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ml.chartshap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0" yWindow="0" windowWidth="12120" windowHeight="5220" tabRatio="859" activeTab="1"/>
  </bookViews>
  <sheets>
    <sheet name="ReadMe" sheetId="16" r:id="rId1"/>
    <sheet name="Relative" sheetId="15" r:id="rId2"/>
    <sheet name="COMBINED" sheetId="2" r:id="rId3"/>
    <sheet name="regions" sheetId="17" r:id="rId4"/>
  </sheets>
  <definedNames>
    <definedName name="__123Graph_ATOTAL" hidden="1">COMBINED!$H$2786:$H$2819</definedName>
    <definedName name="__123Graph_XTOTAL" hidden="1">COMBINED!$A$2786:$A$2819</definedName>
    <definedName name="_Regression_Int" localSheetId="2" hidden="1">1</definedName>
    <definedName name="alltowndata">COMBINED!$A$2:$BQ$2843</definedName>
    <definedName name="DatCol">Relative!$C$1</definedName>
    <definedName name="RegionLookup">regions!$G$1:$H$7</definedName>
    <definedName name="Regions">regions!$G$1:$G$7</definedName>
    <definedName name="RegionSelect">Relative!$C$3</definedName>
    <definedName name="ResourceColumn">Relative!$A$5:$A$69</definedName>
    <definedName name="town_region">regions!$A$2:$B$50</definedName>
    <definedName name="towns">regions!$A$2:$A$50</definedName>
    <definedName name="TownSelect">Relative!$H$25</definedName>
    <definedName name="yr_relative">COMBINED!$A$2:$D$2843</definedName>
  </definedNames>
  <calcPr calcId="125725"/>
  <pivotCaches>
    <pivotCache cacheId="0" r:id="rId5"/>
  </pivotCaches>
</workbook>
</file>

<file path=xl/calcChain.xml><?xml version="1.0" encoding="utf-8"?>
<calcChain xmlns="http://schemas.openxmlformats.org/spreadsheetml/2006/main">
  <c r="K2667" i="2"/>
  <c r="K1391"/>
  <c r="F347" l="1"/>
  <c r="B67" i="15"/>
  <c r="B66"/>
  <c r="D347" i="2"/>
  <c r="F348" l="1"/>
  <c r="D348"/>
  <c r="F349" l="1"/>
  <c r="G292" a="1"/>
  <c r="G292" s="1"/>
  <c r="G45" i="15"/>
  <c r="F2" i="2"/>
  <c r="D349"/>
  <c r="D2"/>
  <c r="BN2783" l="1"/>
  <c r="BO2783"/>
  <c r="BP2783"/>
  <c r="BQ2783"/>
  <c r="BN2784"/>
  <c r="BO2784"/>
  <c r="BP2784"/>
  <c r="BQ2784"/>
  <c r="BN2785"/>
  <c r="BO2785"/>
  <c r="BP2785"/>
  <c r="BQ2785"/>
  <c r="BN2786"/>
  <c r="BO2786"/>
  <c r="BP2786"/>
  <c r="BQ2786"/>
  <c r="BN2787"/>
  <c r="BO2787"/>
  <c r="BP2787"/>
  <c r="BQ2787"/>
  <c r="BN2788"/>
  <c r="BO2788"/>
  <c r="BP2788"/>
  <c r="BQ2788"/>
  <c r="BN2789"/>
  <c r="BO2789"/>
  <c r="BP2789"/>
  <c r="BQ2789"/>
  <c r="BN2790"/>
  <c r="BO2790"/>
  <c r="BP2790"/>
  <c r="BQ2790"/>
  <c r="BN2791"/>
  <c r="BO2791"/>
  <c r="BP2791"/>
  <c r="BQ2791"/>
  <c r="BN2792"/>
  <c r="BO2792"/>
  <c r="BP2792"/>
  <c r="BQ2792"/>
  <c r="BN2793"/>
  <c r="BO2793"/>
  <c r="BP2793"/>
  <c r="BQ2793"/>
  <c r="BN2794"/>
  <c r="BO2794"/>
  <c r="BP2794"/>
  <c r="BQ2794"/>
  <c r="BN2795"/>
  <c r="BO2795"/>
  <c r="BP2795"/>
  <c r="BQ2795"/>
  <c r="BN2796"/>
  <c r="BO2796"/>
  <c r="BP2796"/>
  <c r="BQ2796"/>
  <c r="BN2797"/>
  <c r="BO2797"/>
  <c r="BP2797"/>
  <c r="BQ2797"/>
  <c r="BN2798"/>
  <c r="BO2798"/>
  <c r="BP2798"/>
  <c r="BQ2798"/>
  <c r="BN2799"/>
  <c r="BO2799"/>
  <c r="BP2799"/>
  <c r="BQ2799"/>
  <c r="BN2800"/>
  <c r="BO2800"/>
  <c r="BP2800"/>
  <c r="BQ2800"/>
  <c r="BN2801"/>
  <c r="BO2801"/>
  <c r="BP2801"/>
  <c r="BQ2801"/>
  <c r="BN2802"/>
  <c r="BO2802"/>
  <c r="BP2802"/>
  <c r="BQ2802"/>
  <c r="BN2803"/>
  <c r="BO2803"/>
  <c r="BP2803"/>
  <c r="BQ2803"/>
  <c r="BN2804"/>
  <c r="BO2804"/>
  <c r="BP2804"/>
  <c r="BQ2804"/>
  <c r="BN2805"/>
  <c r="BO2805"/>
  <c r="BP2805"/>
  <c r="BQ2805"/>
  <c r="BN2806"/>
  <c r="BO2806"/>
  <c r="BP2806"/>
  <c r="BQ2806"/>
  <c r="BN2807"/>
  <c r="BO2807"/>
  <c r="BP2807"/>
  <c r="BQ2807"/>
  <c r="BN2808"/>
  <c r="BO2808"/>
  <c r="BP2808"/>
  <c r="BQ2808"/>
  <c r="BN2809"/>
  <c r="BO2809"/>
  <c r="BP2809"/>
  <c r="BQ2809"/>
  <c r="BN2810"/>
  <c r="BO2810"/>
  <c r="BP2810"/>
  <c r="BQ2810"/>
  <c r="BN2811"/>
  <c r="BO2811"/>
  <c r="BP2811"/>
  <c r="BQ2811"/>
  <c r="BN2812"/>
  <c r="BO2812"/>
  <c r="BP2812"/>
  <c r="BQ2812"/>
  <c r="BN2813"/>
  <c r="BO2813"/>
  <c r="BP2813"/>
  <c r="BQ2813"/>
  <c r="BN2814"/>
  <c r="BO2814"/>
  <c r="BP2814"/>
  <c r="BQ2814"/>
  <c r="BN2815"/>
  <c r="BO2815"/>
  <c r="BP2815"/>
  <c r="BQ2815"/>
  <c r="BN2816"/>
  <c r="BO2816"/>
  <c r="BP2816"/>
  <c r="BQ2816"/>
  <c r="BN2817"/>
  <c r="BO2817"/>
  <c r="BP2817"/>
  <c r="BQ2817"/>
  <c r="BN2818"/>
  <c r="BO2818"/>
  <c r="BP2818"/>
  <c r="BQ2818"/>
  <c r="BN2819"/>
  <c r="BO2819"/>
  <c r="BP2819"/>
  <c r="BQ2819"/>
  <c r="BN2820"/>
  <c r="BO2820"/>
  <c r="BP2820"/>
  <c r="BQ2820"/>
  <c r="BN2821"/>
  <c r="BO2821"/>
  <c r="BP2821"/>
  <c r="BQ2821"/>
  <c r="BN2822"/>
  <c r="BO2822"/>
  <c r="BP2822"/>
  <c r="BQ2822"/>
  <c r="BN2823"/>
  <c r="BO2823"/>
  <c r="BP2823"/>
  <c r="BQ2823"/>
  <c r="BN2824"/>
  <c r="BO2824"/>
  <c r="BP2824"/>
  <c r="BQ2824"/>
  <c r="BN2825"/>
  <c r="BO2825"/>
  <c r="BP2825"/>
  <c r="BQ2825"/>
  <c r="BN2826"/>
  <c r="BO2826"/>
  <c r="BP2826"/>
  <c r="BQ2826"/>
  <c r="BN2827"/>
  <c r="BO2827"/>
  <c r="BP2827"/>
  <c r="BQ2827"/>
  <c r="BP2828"/>
  <c r="BQ2828"/>
  <c r="BP2829"/>
  <c r="BQ2829"/>
  <c r="BP2830"/>
  <c r="BQ2830"/>
  <c r="BP2831"/>
  <c r="BQ2831"/>
  <c r="BP2832"/>
  <c r="BQ2832"/>
  <c r="BP2833"/>
  <c r="BQ2833"/>
  <c r="BP2834"/>
  <c r="BQ2834"/>
  <c r="BP2835"/>
  <c r="BQ2835"/>
  <c r="BP2836"/>
  <c r="BQ2836"/>
  <c r="BP2837"/>
  <c r="BQ2837"/>
  <c r="BP2838"/>
  <c r="BQ2838"/>
  <c r="BP2839"/>
  <c r="BQ2839"/>
  <c r="BP2840"/>
  <c r="BQ2840"/>
  <c r="BN2841"/>
  <c r="BO2841"/>
  <c r="BP2841"/>
  <c r="BQ2841"/>
  <c r="BN2842"/>
  <c r="BO2842"/>
  <c r="BP2842"/>
  <c r="BQ2842"/>
  <c r="BN2843"/>
  <c r="BO2843"/>
  <c r="BP2843"/>
  <c r="BQ2843"/>
  <c r="F2841"/>
  <c r="D2841"/>
  <c r="F2842" l="1"/>
  <c r="F2843"/>
  <c r="F2783"/>
  <c r="F2784"/>
  <c r="F2785"/>
  <c r="F2725"/>
  <c r="F2726"/>
  <c r="F2727"/>
  <c r="F2667"/>
  <c r="F2668"/>
  <c r="F2669"/>
  <c r="F2609"/>
  <c r="F2610"/>
  <c r="F2611"/>
  <c r="F2551"/>
  <c r="F2552"/>
  <c r="F2553"/>
  <c r="F2493"/>
  <c r="F2494"/>
  <c r="F2495"/>
  <c r="F2435"/>
  <c r="F2436"/>
  <c r="F2437"/>
  <c r="F2377"/>
  <c r="F2378"/>
  <c r="F2379"/>
  <c r="F2319"/>
  <c r="F2320"/>
  <c r="F2321"/>
  <c r="F2261"/>
  <c r="F2262"/>
  <c r="F2263"/>
  <c r="F2203"/>
  <c r="F2204"/>
  <c r="F2205"/>
  <c r="F2145"/>
  <c r="F2146"/>
  <c r="F2147"/>
  <c r="F2087"/>
  <c r="F2088"/>
  <c r="F2089"/>
  <c r="F2029"/>
  <c r="F2030"/>
  <c r="F2031"/>
  <c r="F1971"/>
  <c r="F1972"/>
  <c r="F1973"/>
  <c r="F1913"/>
  <c r="F1914"/>
  <c r="F1915"/>
  <c r="D2553"/>
  <c r="D2379"/>
  <c r="D2030"/>
  <c r="D2610"/>
  <c r="D2436"/>
  <c r="D2727"/>
  <c r="D2089"/>
  <c r="D2783"/>
  <c r="D2495"/>
  <c r="D2146"/>
  <c r="D1913"/>
  <c r="D2726"/>
  <c r="D2842"/>
  <c r="D2668"/>
  <c r="D2319"/>
  <c r="D2031"/>
  <c r="D2725"/>
  <c r="D1972"/>
  <c r="D2378"/>
  <c r="D2204"/>
  <c r="D2784"/>
  <c r="D2435"/>
  <c r="D1973"/>
  <c r="D2263"/>
  <c r="D1914"/>
  <c r="D2669"/>
  <c r="D2320"/>
  <c r="D1971"/>
  <c r="D2437"/>
  <c r="D2088"/>
  <c r="D2493"/>
  <c r="D2205"/>
  <c r="D2785"/>
  <c r="D2611"/>
  <c r="D2262"/>
  <c r="D2552"/>
  <c r="D2203"/>
  <c r="D2029"/>
  <c r="D2609"/>
  <c r="D2321"/>
  <c r="D2147"/>
  <c r="D2377"/>
  <c r="D2843"/>
  <c r="D2494"/>
  <c r="D2145"/>
  <c r="D1915"/>
  <c r="D2551"/>
  <c r="D2087"/>
  <c r="D2261"/>
  <c r="F1855" l="1"/>
  <c r="F1856"/>
  <c r="F1857"/>
  <c r="F1797"/>
  <c r="F1798"/>
  <c r="F1799"/>
  <c r="F1739"/>
  <c r="F1740"/>
  <c r="F1741"/>
  <c r="F1681"/>
  <c r="F1682"/>
  <c r="F1683"/>
  <c r="F1623"/>
  <c r="F1624"/>
  <c r="F1625"/>
  <c r="F1565"/>
  <c r="F1566"/>
  <c r="F1567"/>
  <c r="F1507"/>
  <c r="F1508"/>
  <c r="F1509"/>
  <c r="F1449"/>
  <c r="F1450"/>
  <c r="F1451"/>
  <c r="F1391"/>
  <c r="F1392"/>
  <c r="F1393"/>
  <c r="F1333"/>
  <c r="F1334"/>
  <c r="F1335"/>
  <c r="F1275"/>
  <c r="F1276"/>
  <c r="F1277"/>
  <c r="F1217"/>
  <c r="F1218"/>
  <c r="F1219"/>
  <c r="F1159"/>
  <c r="F1160"/>
  <c r="F1161"/>
  <c r="F1101"/>
  <c r="F1102"/>
  <c r="F1103"/>
  <c r="F1043"/>
  <c r="F1044"/>
  <c r="F1045"/>
  <c r="F985"/>
  <c r="F986"/>
  <c r="F987"/>
  <c r="F927"/>
  <c r="F928"/>
  <c r="F929"/>
  <c r="F869"/>
  <c r="F870"/>
  <c r="F871"/>
  <c r="F811"/>
  <c r="F812"/>
  <c r="F813"/>
  <c r="F753"/>
  <c r="F754"/>
  <c r="F755"/>
  <c r="F695"/>
  <c r="F696"/>
  <c r="F697"/>
  <c r="C698"/>
  <c r="F698"/>
  <c r="F637"/>
  <c r="F638"/>
  <c r="F639"/>
  <c r="F579"/>
  <c r="F580"/>
  <c r="F581"/>
  <c r="F521"/>
  <c r="F522"/>
  <c r="F523"/>
  <c r="F463"/>
  <c r="F464"/>
  <c r="F465"/>
  <c r="F405"/>
  <c r="F406"/>
  <c r="F407"/>
  <c r="F289"/>
  <c r="F290"/>
  <c r="F291"/>
  <c r="F231"/>
  <c r="F232"/>
  <c r="F233"/>
  <c r="F173"/>
  <c r="F174"/>
  <c r="F175"/>
  <c r="F115"/>
  <c r="F116"/>
  <c r="F117"/>
  <c r="F57"/>
  <c r="F58"/>
  <c r="F59"/>
  <c r="D2" i="15"/>
  <c r="D3"/>
  <c r="J46" s="1"/>
  <c r="D1856" i="2"/>
  <c r="D639"/>
  <c r="D1159"/>
  <c r="D1740"/>
  <c r="D523"/>
  <c r="D1043"/>
  <c r="D1449"/>
  <c r="D174"/>
  <c r="D463"/>
  <c r="D1044"/>
  <c r="D1625"/>
  <c r="D289"/>
  <c r="D1103"/>
  <c r="D1623"/>
  <c r="D406"/>
  <c r="D987"/>
  <c r="D1507"/>
  <c r="D232"/>
  <c r="D696"/>
  <c r="D1277"/>
  <c r="D1797"/>
  <c r="D580"/>
  <c r="D1161"/>
  <c r="D1567"/>
  <c r="D231"/>
  <c r="D870"/>
  <c r="D1451"/>
  <c r="D115"/>
  <c r="D754"/>
  <c r="D1160"/>
  <c r="D1741"/>
  <c r="D116"/>
  <c r="D755"/>
  <c r="D1275"/>
  <c r="E1" i="15"/>
  <c r="D753" i="2"/>
  <c r="D1334"/>
  <c r="D59"/>
  <c r="D637"/>
  <c r="D1218"/>
  <c r="D1624"/>
  <c r="D407"/>
  <c r="D927"/>
  <c r="D1508"/>
  <c r="D233"/>
  <c r="D811"/>
  <c r="D1217"/>
  <c r="D1798"/>
  <c r="D581"/>
  <c r="D1101"/>
  <c r="D1682"/>
  <c r="D465"/>
  <c r="D871"/>
  <c r="D1102"/>
  <c r="D1683"/>
  <c r="D405"/>
  <c r="D986"/>
  <c r="D1681"/>
  <c r="D464"/>
  <c r="D1045"/>
  <c r="D1565"/>
  <c r="D290"/>
  <c r="D929"/>
  <c r="D1335"/>
  <c r="D1855"/>
  <c r="D638"/>
  <c r="D1219"/>
  <c r="D1739"/>
  <c r="D522"/>
  <c r="D928"/>
  <c r="D1509"/>
  <c r="D173"/>
  <c r="D812"/>
  <c r="D1393"/>
  <c r="D1799"/>
  <c r="D521"/>
  <c r="D813"/>
  <c r="D1333"/>
  <c r="D58"/>
  <c r="D697"/>
  <c r="D1392"/>
  <c r="D117"/>
  <c r="D695"/>
  <c r="D1276"/>
  <c r="D1857"/>
  <c r="D579"/>
  <c r="D985"/>
  <c r="D1566"/>
  <c r="D291"/>
  <c r="D869"/>
  <c r="D1450"/>
  <c r="D175"/>
  <c r="D57"/>
  <c r="BP2" l="1"/>
  <c r="BP3"/>
  <c r="BP4"/>
  <c r="BP5"/>
  <c r="BP6"/>
  <c r="BP7"/>
  <c r="BP8"/>
  <c r="BP9"/>
  <c r="BP10"/>
  <c r="BP11"/>
  <c r="B64" i="15"/>
  <c r="B63"/>
  <c r="B65"/>
  <c r="Q1365" i="2" l="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C2786"/>
  <c r="BQ45" l="1"/>
  <c r="BQ46"/>
  <c r="BQ47"/>
  <c r="BQ48"/>
  <c r="BQ49"/>
  <c r="BQ50"/>
  <c r="BQ51"/>
  <c r="BQ54"/>
  <c r="BQ55"/>
  <c r="BQ56"/>
  <c r="BQ103"/>
  <c r="BQ104"/>
  <c r="BQ108"/>
  <c r="BQ109"/>
  <c r="BQ110"/>
  <c r="BQ111"/>
  <c r="BQ112"/>
  <c r="BQ113"/>
  <c r="BQ114"/>
  <c r="BQ161"/>
  <c r="BQ162"/>
  <c r="BQ163"/>
  <c r="BQ164"/>
  <c r="BQ165"/>
  <c r="BQ166"/>
  <c r="BQ167"/>
  <c r="BQ168"/>
  <c r="BQ169"/>
  <c r="BQ220"/>
  <c r="BQ221"/>
  <c r="BQ222"/>
  <c r="BQ223"/>
  <c r="BQ224"/>
  <c r="BQ225"/>
  <c r="BQ226"/>
  <c r="BQ227"/>
  <c r="BQ228"/>
  <c r="BQ229"/>
  <c r="BQ230"/>
  <c r="BQ277"/>
  <c r="BQ278"/>
  <c r="BQ279"/>
  <c r="BQ281"/>
  <c r="BQ284"/>
  <c r="BQ285"/>
  <c r="BQ286"/>
  <c r="BQ287"/>
  <c r="BQ288"/>
  <c r="BQ335"/>
  <c r="BQ336"/>
  <c r="BQ337"/>
  <c r="BQ338"/>
  <c r="BQ339"/>
  <c r="BQ340"/>
  <c r="BQ341"/>
  <c r="BQ342"/>
  <c r="BQ343"/>
  <c r="BQ344"/>
  <c r="BQ345"/>
  <c r="BQ346"/>
  <c r="BQ393"/>
  <c r="BQ394"/>
  <c r="BQ395"/>
  <c r="BQ396"/>
  <c r="BQ397"/>
  <c r="BQ398"/>
  <c r="BQ401"/>
  <c r="BQ402"/>
  <c r="BQ403"/>
  <c r="BQ404"/>
  <c r="BQ454"/>
  <c r="BQ459"/>
  <c r="BQ460"/>
  <c r="BQ461"/>
  <c r="BQ462"/>
  <c r="BQ509"/>
  <c r="BQ510"/>
  <c r="BQ512"/>
  <c r="BQ513"/>
  <c r="BQ514"/>
  <c r="BQ515"/>
  <c r="BQ516"/>
  <c r="BQ517"/>
  <c r="BQ518"/>
  <c r="BQ519"/>
  <c r="BQ520"/>
  <c r="BQ567"/>
  <c r="BQ568"/>
  <c r="BQ569"/>
  <c r="BQ570"/>
  <c r="BQ571"/>
  <c r="BQ572"/>
  <c r="BQ573"/>
  <c r="BQ574"/>
  <c r="BQ575"/>
  <c r="BQ576"/>
  <c r="BQ577"/>
  <c r="BQ578"/>
  <c r="BQ626"/>
  <c r="BQ632"/>
  <c r="BQ633"/>
  <c r="BQ634"/>
  <c r="BQ635"/>
  <c r="BQ636"/>
  <c r="BQ683"/>
  <c r="BQ684"/>
  <c r="BQ685"/>
  <c r="BQ686"/>
  <c r="BQ687"/>
  <c r="BQ688"/>
  <c r="BQ689"/>
  <c r="BQ690"/>
  <c r="BQ691"/>
  <c r="BQ692"/>
  <c r="BQ693"/>
  <c r="BQ694"/>
  <c r="BQ741"/>
  <c r="BQ742"/>
  <c r="BQ743"/>
  <c r="BQ744"/>
  <c r="BQ745"/>
  <c r="BQ746"/>
  <c r="BQ747"/>
  <c r="BQ748"/>
  <c r="BQ749"/>
  <c r="BQ750"/>
  <c r="BQ751"/>
  <c r="BQ752"/>
  <c r="BQ800"/>
  <c r="BQ801"/>
  <c r="BQ802"/>
  <c r="BQ803"/>
  <c r="BQ804"/>
  <c r="BQ805"/>
  <c r="BQ806"/>
  <c r="BQ807"/>
  <c r="BQ808"/>
  <c r="BQ809"/>
  <c r="BQ810"/>
  <c r="BQ858"/>
  <c r="BQ859"/>
  <c r="BQ860"/>
  <c r="BQ862"/>
  <c r="BQ863"/>
  <c r="BQ864"/>
  <c r="BQ865"/>
  <c r="BQ866"/>
  <c r="BQ867"/>
  <c r="BQ868"/>
  <c r="BQ915"/>
  <c r="BQ916"/>
  <c r="BQ917"/>
  <c r="BQ918"/>
  <c r="BQ919"/>
  <c r="BQ922"/>
  <c r="BQ923"/>
  <c r="BQ924"/>
  <c r="BQ925"/>
  <c r="BQ926"/>
  <c r="BQ973"/>
  <c r="BQ974"/>
  <c r="BQ975"/>
  <c r="BQ976"/>
  <c r="BQ977"/>
  <c r="BQ978"/>
  <c r="BQ979"/>
  <c r="BQ980"/>
  <c r="BQ981"/>
  <c r="BQ982"/>
  <c r="BQ983"/>
  <c r="BQ984"/>
  <c r="BQ1031"/>
  <c r="BQ1032"/>
  <c r="BQ1033"/>
  <c r="BQ1034"/>
  <c r="BQ1035"/>
  <c r="BQ1036"/>
  <c r="BQ1037"/>
  <c r="BQ1038"/>
  <c r="BQ1039"/>
  <c r="BQ1040"/>
  <c r="BQ1041"/>
  <c r="BQ1042"/>
  <c r="BQ1088"/>
  <c r="BQ1089"/>
  <c r="BQ1090"/>
  <c r="BQ1091"/>
  <c r="BQ1092"/>
  <c r="BQ1093"/>
  <c r="BQ1094"/>
  <c r="BQ1095"/>
  <c r="BQ1096"/>
  <c r="BQ1097"/>
  <c r="BQ1098"/>
  <c r="BQ1099"/>
  <c r="BQ1100"/>
  <c r="BQ1145"/>
  <c r="BQ1146"/>
  <c r="BQ1147"/>
  <c r="BQ1148"/>
  <c r="BQ1149"/>
  <c r="BQ1150"/>
  <c r="BQ1151"/>
  <c r="BQ1152"/>
  <c r="BQ1153"/>
  <c r="BQ1154"/>
  <c r="BQ1155"/>
  <c r="BQ1156"/>
  <c r="BQ1157"/>
  <c r="BQ1158"/>
  <c r="BQ1205"/>
  <c r="BQ1207"/>
  <c r="BQ1209"/>
  <c r="BQ1210"/>
  <c r="BQ1211"/>
  <c r="BQ1212"/>
  <c r="BQ1213"/>
  <c r="BQ1214"/>
  <c r="BQ1215"/>
  <c r="BQ1216"/>
  <c r="BQ1261"/>
  <c r="BQ1262"/>
  <c r="BQ1263"/>
  <c r="BQ1264"/>
  <c r="BQ1265"/>
  <c r="BQ1266"/>
  <c r="BQ1267"/>
  <c r="BQ1268"/>
  <c r="BQ1269"/>
  <c r="BQ1270"/>
  <c r="BQ1271"/>
  <c r="BQ1272"/>
  <c r="BQ1273"/>
  <c r="BQ1274"/>
  <c r="BQ1319"/>
  <c r="BQ1320"/>
  <c r="BQ1321"/>
  <c r="BQ1322"/>
  <c r="BQ1323"/>
  <c r="BQ1324"/>
  <c r="BQ1325"/>
  <c r="BQ1326"/>
  <c r="BQ1327"/>
  <c r="BQ1328"/>
  <c r="BQ1329"/>
  <c r="BQ1330"/>
  <c r="BQ1331"/>
  <c r="BQ1332"/>
  <c r="BQ1379"/>
  <c r="BQ1380"/>
  <c r="BQ1381"/>
  <c r="BQ1382"/>
  <c r="BQ1383"/>
  <c r="BQ1384"/>
  <c r="BQ1385"/>
  <c r="BQ1386"/>
  <c r="BQ1387"/>
  <c r="BQ1388"/>
  <c r="BQ1389"/>
  <c r="BQ1390"/>
  <c r="BQ1437"/>
  <c r="BQ1438"/>
  <c r="BQ1439"/>
  <c r="BQ1440"/>
  <c r="BQ1441"/>
  <c r="BQ1442"/>
  <c r="BQ1443"/>
  <c r="BQ1444"/>
  <c r="BQ1445"/>
  <c r="BQ1446"/>
  <c r="BQ1447"/>
  <c r="BQ1448"/>
  <c r="BQ1495"/>
  <c r="BQ1496"/>
  <c r="BQ1497"/>
  <c r="BQ1498"/>
  <c r="BQ1499"/>
  <c r="BQ1500"/>
  <c r="BQ1501"/>
  <c r="BQ1502"/>
  <c r="BQ1503"/>
  <c r="BQ1504"/>
  <c r="BQ1505"/>
  <c r="BQ1506"/>
  <c r="BQ1553"/>
  <c r="BQ1554"/>
  <c r="BQ1556"/>
  <c r="BQ1557"/>
  <c r="BQ1558"/>
  <c r="BQ1560"/>
  <c r="BQ1561"/>
  <c r="BQ1562"/>
  <c r="BQ1563"/>
  <c r="BQ1564"/>
  <c r="BQ1611"/>
  <c r="BQ1612"/>
  <c r="BQ1613"/>
  <c r="BQ1614"/>
  <c r="BQ1615"/>
  <c r="BQ1616"/>
  <c r="BQ1617"/>
  <c r="BQ1618"/>
  <c r="BQ1619"/>
  <c r="BQ1620"/>
  <c r="BQ1621"/>
  <c r="BQ1622"/>
  <c r="BQ1669"/>
  <c r="BQ1670"/>
  <c r="BQ1671"/>
  <c r="BQ1672"/>
  <c r="BQ1673"/>
  <c r="BQ1674"/>
  <c r="BQ1675"/>
  <c r="BQ1676"/>
  <c r="BQ1677"/>
  <c r="BQ1678"/>
  <c r="BQ1679"/>
  <c r="BQ1680"/>
  <c r="BQ1725"/>
  <c r="BQ1726"/>
  <c r="BQ1727"/>
  <c r="BQ1728"/>
  <c r="BQ1729"/>
  <c r="BQ1730"/>
  <c r="BQ1731"/>
  <c r="BQ1732"/>
  <c r="BQ1733"/>
  <c r="BQ1734"/>
  <c r="BQ1735"/>
  <c r="BQ1736"/>
  <c r="BQ1737"/>
  <c r="BQ1738"/>
  <c r="BQ1783"/>
  <c r="BQ1784"/>
  <c r="BQ1785"/>
  <c r="BQ1786"/>
  <c r="BQ1787"/>
  <c r="BQ1788"/>
  <c r="BQ1789"/>
  <c r="BQ1790"/>
  <c r="BQ1791"/>
  <c r="BQ1792"/>
  <c r="BQ1793"/>
  <c r="BQ1794"/>
  <c r="BQ1795"/>
  <c r="BQ1796"/>
  <c r="BQ1843"/>
  <c r="BQ1844"/>
  <c r="BQ1845"/>
  <c r="BQ1846"/>
  <c r="BQ1847"/>
  <c r="BQ1848"/>
  <c r="BQ1849"/>
  <c r="BQ1850"/>
  <c r="BQ1851"/>
  <c r="BQ1852"/>
  <c r="BQ1853"/>
  <c r="BQ1854"/>
  <c r="BQ1901"/>
  <c r="BQ1902"/>
  <c r="BQ1903"/>
  <c r="BQ1904"/>
  <c r="BQ1905"/>
  <c r="BQ1906"/>
  <c r="BQ1907"/>
  <c r="BQ1908"/>
  <c r="BQ1909"/>
  <c r="BQ1910"/>
  <c r="BQ1911"/>
  <c r="BQ1912"/>
  <c r="BQ1959"/>
  <c r="BQ1960"/>
  <c r="BQ1961"/>
  <c r="BQ1962"/>
  <c r="BQ1963"/>
  <c r="BQ1964"/>
  <c r="BQ1965"/>
  <c r="BQ1966"/>
  <c r="BQ1967"/>
  <c r="BQ1968"/>
  <c r="BQ1969"/>
  <c r="BQ1970"/>
  <c r="BQ2017"/>
  <c r="BQ2018"/>
  <c r="BQ2019"/>
  <c r="BQ2021"/>
  <c r="BQ2022"/>
  <c r="BQ2023"/>
  <c r="BQ2024"/>
  <c r="BQ2025"/>
  <c r="BQ2026"/>
  <c r="BQ2027"/>
  <c r="BQ2028"/>
  <c r="BQ2074"/>
  <c r="BQ2075"/>
  <c r="BQ2076"/>
  <c r="BQ2077"/>
  <c r="BQ2078"/>
  <c r="BQ2079"/>
  <c r="BQ2080"/>
  <c r="BQ2081"/>
  <c r="BQ2082"/>
  <c r="BQ2083"/>
  <c r="BQ2084"/>
  <c r="BQ2085"/>
  <c r="BQ2086"/>
  <c r="BQ2131"/>
  <c r="BQ2132"/>
  <c r="BQ2133"/>
  <c r="BQ2134"/>
  <c r="BQ2135"/>
  <c r="BQ2136"/>
  <c r="BQ2137"/>
  <c r="BQ2138"/>
  <c r="BQ2139"/>
  <c r="BQ2140"/>
  <c r="BQ2141"/>
  <c r="BQ2142"/>
  <c r="BQ2143"/>
  <c r="BQ2144"/>
  <c r="BQ2191"/>
  <c r="BQ2192"/>
  <c r="BQ2193"/>
  <c r="BQ2194"/>
  <c r="BQ2195"/>
  <c r="BQ2196"/>
  <c r="BQ2197"/>
  <c r="BQ2198"/>
  <c r="BQ2199"/>
  <c r="BQ2200"/>
  <c r="BQ2201"/>
  <c r="BQ2202"/>
  <c r="BQ2247"/>
  <c r="BQ2248"/>
  <c r="BQ2249"/>
  <c r="BQ2250"/>
  <c r="BQ2251"/>
  <c r="BQ2252"/>
  <c r="BQ2253"/>
  <c r="BQ2254"/>
  <c r="BQ2255"/>
  <c r="BQ2256"/>
  <c r="BQ2257"/>
  <c r="BQ2258"/>
  <c r="BQ2259"/>
  <c r="BQ2260"/>
  <c r="BQ2307"/>
  <c r="BQ2308"/>
  <c r="BQ2309"/>
  <c r="BQ2310"/>
  <c r="BQ2313"/>
  <c r="BQ2314"/>
  <c r="BQ2315"/>
  <c r="BQ2316"/>
  <c r="BQ2317"/>
  <c r="BQ2318"/>
  <c r="BQ2363"/>
  <c r="BQ2364"/>
  <c r="BQ2365"/>
  <c r="BQ2366"/>
  <c r="BQ2367"/>
  <c r="BQ2368"/>
  <c r="BQ2369"/>
  <c r="BQ2370"/>
  <c r="BQ2371"/>
  <c r="BQ2372"/>
  <c r="BQ2373"/>
  <c r="BQ2374"/>
  <c r="BQ2375"/>
  <c r="BQ2376"/>
  <c r="BQ2424"/>
  <c r="BQ2430"/>
  <c r="BQ2431"/>
  <c r="BQ2432"/>
  <c r="BQ2433"/>
  <c r="BQ2434"/>
  <c r="BQ2481"/>
  <c r="BQ2482"/>
  <c r="BQ2483"/>
  <c r="BQ2484"/>
  <c r="BQ2485"/>
  <c r="BQ2486"/>
  <c r="BQ2487"/>
  <c r="BQ2488"/>
  <c r="BQ2489"/>
  <c r="BQ2490"/>
  <c r="BQ2491"/>
  <c r="BQ2492"/>
  <c r="BQ2539"/>
  <c r="BQ2540"/>
  <c r="BQ2542"/>
  <c r="BQ2543"/>
  <c r="BQ2544"/>
  <c r="BQ2545"/>
  <c r="BQ2546"/>
  <c r="BQ2547"/>
  <c r="BQ2548"/>
  <c r="BQ2549"/>
  <c r="BQ2550"/>
  <c r="BQ2597"/>
  <c r="BQ2598"/>
  <c r="BQ2599"/>
  <c r="BQ2600"/>
  <c r="BQ2601"/>
  <c r="BQ2603"/>
  <c r="BQ2604"/>
  <c r="BQ2605"/>
  <c r="BQ2606"/>
  <c r="BQ2607"/>
  <c r="BQ2608"/>
  <c r="BQ2655"/>
  <c r="BQ2656"/>
  <c r="BQ2657"/>
  <c r="BQ2658"/>
  <c r="BQ2659"/>
  <c r="BQ2660"/>
  <c r="BQ2661"/>
  <c r="BQ2662"/>
  <c r="BQ2663"/>
  <c r="BQ2664"/>
  <c r="BQ2665"/>
  <c r="BQ2666"/>
  <c r="BQ2713"/>
  <c r="BQ2714"/>
  <c r="BQ2715"/>
  <c r="BQ2716"/>
  <c r="BQ2717"/>
  <c r="BQ2718"/>
  <c r="BQ2719"/>
  <c r="BQ2720"/>
  <c r="BQ2721"/>
  <c r="BQ2722"/>
  <c r="BQ2723"/>
  <c r="BQ2724"/>
  <c r="BQ2771"/>
  <c r="BQ2772"/>
  <c r="BQ2773"/>
  <c r="BQ2774"/>
  <c r="BQ2775"/>
  <c r="BQ2776"/>
  <c r="BQ2777"/>
  <c r="BQ2778"/>
  <c r="BQ2779"/>
  <c r="BQ2780"/>
  <c r="BQ2781"/>
  <c r="BQ2782"/>
  <c r="BP12"/>
  <c r="BP13"/>
  <c r="BP14"/>
  <c r="BP15"/>
  <c r="BP16"/>
  <c r="BP17"/>
  <c r="BP18"/>
  <c r="BP19"/>
  <c r="BP20"/>
  <c r="BP21"/>
  <c r="BP22"/>
  <c r="BP23"/>
  <c r="BP24"/>
  <c r="BP25"/>
  <c r="BP26"/>
  <c r="BP27"/>
  <c r="BP28"/>
  <c r="BP29"/>
  <c r="BP30"/>
  <c r="BP31"/>
  <c r="BP32"/>
  <c r="BP33"/>
  <c r="BP34"/>
  <c r="BP35"/>
  <c r="BP36"/>
  <c r="BP37"/>
  <c r="BP38"/>
  <c r="BP39"/>
  <c r="BP40"/>
  <c r="BP41"/>
  <c r="BP42"/>
  <c r="BP43"/>
  <c r="BP55"/>
  <c r="BP56"/>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100"/>
  <c r="BP101"/>
  <c r="BP102"/>
  <c r="BP105"/>
  <c r="BP106"/>
  <c r="BP107"/>
  <c r="BP113"/>
  <c r="BP114"/>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2"/>
  <c r="BP153"/>
  <c r="BP154"/>
  <c r="BP155"/>
  <c r="BP157"/>
  <c r="BP164"/>
  <c r="BP170"/>
  <c r="BP172"/>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9"/>
  <c r="BP221"/>
  <c r="BP222"/>
  <c r="BP223"/>
  <c r="BP224"/>
  <c r="BP225"/>
  <c r="BP226"/>
  <c r="BP227"/>
  <c r="BP228"/>
  <c r="BP229"/>
  <c r="BP230"/>
  <c r="BP234"/>
  <c r="BP235"/>
  <c r="BP236"/>
  <c r="BP237"/>
  <c r="BP238"/>
  <c r="BP239"/>
  <c r="BP240"/>
  <c r="BP241"/>
  <c r="BP242"/>
  <c r="BP243"/>
  <c r="BP244"/>
  <c r="BP245"/>
  <c r="BP246"/>
  <c r="BP247"/>
  <c r="BP248"/>
  <c r="BP249"/>
  <c r="BP250"/>
  <c r="BP251"/>
  <c r="BP252"/>
  <c r="BP253"/>
  <c r="BP254"/>
  <c r="BP255"/>
  <c r="BP256"/>
  <c r="BP257"/>
  <c r="BP258"/>
  <c r="BP259"/>
  <c r="BP260"/>
  <c r="BP261"/>
  <c r="BP263"/>
  <c r="BP264"/>
  <c r="BP265"/>
  <c r="BP266"/>
  <c r="BP267"/>
  <c r="BP268"/>
  <c r="BP269"/>
  <c r="BP270"/>
  <c r="BP271"/>
  <c r="BP272"/>
  <c r="BP273"/>
  <c r="BP274"/>
  <c r="BP275"/>
  <c r="BP276"/>
  <c r="BP279"/>
  <c r="BP280"/>
  <c r="BP282"/>
  <c r="BP283"/>
  <c r="BP285"/>
  <c r="BP286"/>
  <c r="BP287"/>
  <c r="BP292"/>
  <c r="BP293"/>
  <c r="BP294"/>
  <c r="BP295"/>
  <c r="BP296"/>
  <c r="BP297"/>
  <c r="BP298"/>
  <c r="BP299"/>
  <c r="BP300"/>
  <c r="BP301"/>
  <c r="BP302"/>
  <c r="BP303"/>
  <c r="BP304"/>
  <c r="BP305"/>
  <c r="BP306"/>
  <c r="BP307"/>
  <c r="BP308"/>
  <c r="BP309"/>
  <c r="BP310"/>
  <c r="BP311"/>
  <c r="BP312"/>
  <c r="BP313"/>
  <c r="BP314"/>
  <c r="BP315"/>
  <c r="BP316"/>
  <c r="BP317"/>
  <c r="BP318"/>
  <c r="BP319"/>
  <c r="BP320"/>
  <c r="BP321"/>
  <c r="BP322"/>
  <c r="BP323"/>
  <c r="BP324"/>
  <c r="BP325"/>
  <c r="BP326"/>
  <c r="BP327"/>
  <c r="BP328"/>
  <c r="BP329"/>
  <c r="BP330"/>
  <c r="BP331"/>
  <c r="BP332"/>
  <c r="BP333"/>
  <c r="BP334"/>
  <c r="BP335"/>
  <c r="BP336"/>
  <c r="BP337"/>
  <c r="BP338"/>
  <c r="BP339"/>
  <c r="BP340"/>
  <c r="BP341"/>
  <c r="BP342"/>
  <c r="BP343"/>
  <c r="BP344"/>
  <c r="BP345"/>
  <c r="BP346"/>
  <c r="BP350"/>
  <c r="BP351"/>
  <c r="BP352"/>
  <c r="BP353"/>
  <c r="BP354"/>
  <c r="BP355"/>
  <c r="BP356"/>
  <c r="BP357"/>
  <c r="BP358"/>
  <c r="BP359"/>
  <c r="BP360"/>
  <c r="BP361"/>
  <c r="BP362"/>
  <c r="BP363"/>
  <c r="BP364"/>
  <c r="BP365"/>
  <c r="BP366"/>
  <c r="BP367"/>
  <c r="BP368"/>
  <c r="BP369"/>
  <c r="BP370"/>
  <c r="BP371"/>
  <c r="BP372"/>
  <c r="BP373"/>
  <c r="BP374"/>
  <c r="BP375"/>
  <c r="BP376"/>
  <c r="BP377"/>
  <c r="BP378"/>
  <c r="BP379"/>
  <c r="BP380"/>
  <c r="BP381"/>
  <c r="BP382"/>
  <c r="BP383"/>
  <c r="BP384"/>
  <c r="BP385"/>
  <c r="BP386"/>
  <c r="BP387"/>
  <c r="BP401"/>
  <c r="BP402"/>
  <c r="BP403"/>
  <c r="BP404"/>
  <c r="BP408"/>
  <c r="BP409"/>
  <c r="BP410"/>
  <c r="BP411"/>
  <c r="BP412"/>
  <c r="BP413"/>
  <c r="BP414"/>
  <c r="BP415"/>
  <c r="BP416"/>
  <c r="BP417"/>
  <c r="BP418"/>
  <c r="BP419"/>
  <c r="BP420"/>
  <c r="BP421"/>
  <c r="BP422"/>
  <c r="BP423"/>
  <c r="BP424"/>
  <c r="BP425"/>
  <c r="BP426"/>
  <c r="BP427"/>
  <c r="BP428"/>
  <c r="BP429"/>
  <c r="BP430"/>
  <c r="BP431"/>
  <c r="BP432"/>
  <c r="BP433"/>
  <c r="BP434"/>
  <c r="BP435"/>
  <c r="BP436"/>
  <c r="BP437"/>
  <c r="BP438"/>
  <c r="BP439"/>
  <c r="BP440"/>
  <c r="BP441"/>
  <c r="BP442"/>
  <c r="BP443"/>
  <c r="BP444"/>
  <c r="BP445"/>
  <c r="BP446"/>
  <c r="BP447"/>
  <c r="BP448"/>
  <c r="BP449"/>
  <c r="BP450"/>
  <c r="BP457"/>
  <c r="BP460"/>
  <c r="BP461"/>
  <c r="BP462"/>
  <c r="BP466"/>
  <c r="BP467"/>
  <c r="BP468"/>
  <c r="BP469"/>
  <c r="BP470"/>
  <c r="BP471"/>
  <c r="BP472"/>
  <c r="BP473"/>
  <c r="BP474"/>
  <c r="BP475"/>
  <c r="BP476"/>
  <c r="BP477"/>
  <c r="BP478"/>
  <c r="BP479"/>
  <c r="BP480"/>
  <c r="BP481"/>
  <c r="BP482"/>
  <c r="BP483"/>
  <c r="BP484"/>
  <c r="BP485"/>
  <c r="BP486"/>
  <c r="BP487"/>
  <c r="BP488"/>
  <c r="BP489"/>
  <c r="BP490"/>
  <c r="BP491"/>
  <c r="BP492"/>
  <c r="BP493"/>
  <c r="BP494"/>
  <c r="BP495"/>
  <c r="BP496"/>
  <c r="BP497"/>
  <c r="BP499"/>
  <c r="BP500"/>
  <c r="BP504"/>
  <c r="BP505"/>
  <c r="BP507"/>
  <c r="BP508"/>
  <c r="BP509"/>
  <c r="BP510"/>
  <c r="BP511"/>
  <c r="BP512"/>
  <c r="BP513"/>
  <c r="BP514"/>
  <c r="BP515"/>
  <c r="BP516"/>
  <c r="BP517"/>
  <c r="BP518"/>
  <c r="BP519"/>
  <c r="BP520"/>
  <c r="BP524"/>
  <c r="BP525"/>
  <c r="BP526"/>
  <c r="BP527"/>
  <c r="BP528"/>
  <c r="BP529"/>
  <c r="BP530"/>
  <c r="BP531"/>
  <c r="BP532"/>
  <c r="BP533"/>
  <c r="BP534"/>
  <c r="BP535"/>
  <c r="BP536"/>
  <c r="BP537"/>
  <c r="BP538"/>
  <c r="BP539"/>
  <c r="BP540"/>
  <c r="BP541"/>
  <c r="BP542"/>
  <c r="BP543"/>
  <c r="BP544"/>
  <c r="BP545"/>
  <c r="BP546"/>
  <c r="BP547"/>
  <c r="BP548"/>
  <c r="BP549"/>
  <c r="BP550"/>
  <c r="BP551"/>
  <c r="BP552"/>
  <c r="BP553"/>
  <c r="BP554"/>
  <c r="BP555"/>
  <c r="BP556"/>
  <c r="BP557"/>
  <c r="BP558"/>
  <c r="BP559"/>
  <c r="BP574"/>
  <c r="BP575"/>
  <c r="BP576"/>
  <c r="BP577"/>
  <c r="BP582"/>
  <c r="BP583"/>
  <c r="BP584"/>
  <c r="BP585"/>
  <c r="BP586"/>
  <c r="BP587"/>
  <c r="BP588"/>
  <c r="BP589"/>
  <c r="BP590"/>
  <c r="BP591"/>
  <c r="BP592"/>
  <c r="BP593"/>
  <c r="BP594"/>
  <c r="BP595"/>
  <c r="BP596"/>
  <c r="BP597"/>
  <c r="BP598"/>
  <c r="BP599"/>
  <c r="BP600"/>
  <c r="BP601"/>
  <c r="BP602"/>
  <c r="BP603"/>
  <c r="BP604"/>
  <c r="BP605"/>
  <c r="BP606"/>
  <c r="BP607"/>
  <c r="BP608"/>
  <c r="BP609"/>
  <c r="BP610"/>
  <c r="BP611"/>
  <c r="BP612"/>
  <c r="BP613"/>
  <c r="BP614"/>
  <c r="BP615"/>
  <c r="BP616"/>
  <c r="BP617"/>
  <c r="BP618"/>
  <c r="BP619"/>
  <c r="BP620"/>
  <c r="BP621"/>
  <c r="BP622"/>
  <c r="BP623"/>
  <c r="BP624"/>
  <c r="BP625"/>
  <c r="BP630"/>
  <c r="BP631"/>
  <c r="BP632"/>
  <c r="BP633"/>
  <c r="BP634"/>
  <c r="BP635"/>
  <c r="BP636"/>
  <c r="BP640"/>
  <c r="BP641"/>
  <c r="BP642"/>
  <c r="BP643"/>
  <c r="BP644"/>
  <c r="BP645"/>
  <c r="BP646"/>
  <c r="BP647"/>
  <c r="BP648"/>
  <c r="BP649"/>
  <c r="BP650"/>
  <c r="BP651"/>
  <c r="BP652"/>
  <c r="BP653"/>
  <c r="BP654"/>
  <c r="BP655"/>
  <c r="BP656"/>
  <c r="BP657"/>
  <c r="BP658"/>
  <c r="BP659"/>
  <c r="BP660"/>
  <c r="BP661"/>
  <c r="BP662"/>
  <c r="BP663"/>
  <c r="BP664"/>
  <c r="BP665"/>
  <c r="BP666"/>
  <c r="BP667"/>
  <c r="BP668"/>
  <c r="BP669"/>
  <c r="BP670"/>
  <c r="BP671"/>
  <c r="BP672"/>
  <c r="BP673"/>
  <c r="BP674"/>
  <c r="BP675"/>
  <c r="BP676"/>
  <c r="BP677"/>
  <c r="BP678"/>
  <c r="BP679"/>
  <c r="BP680"/>
  <c r="BP681"/>
  <c r="BP682"/>
  <c r="BP690"/>
  <c r="BP691"/>
  <c r="BP692"/>
  <c r="BP693"/>
  <c r="BP694"/>
  <c r="BP698"/>
  <c r="BP699"/>
  <c r="BP700"/>
  <c r="BP701"/>
  <c r="BP702"/>
  <c r="BP703"/>
  <c r="BP704"/>
  <c r="BP705"/>
  <c r="BP706"/>
  <c r="BP707"/>
  <c r="BP708"/>
  <c r="BP709"/>
  <c r="BP710"/>
  <c r="BP711"/>
  <c r="BP712"/>
  <c r="BP713"/>
  <c r="BP714"/>
  <c r="BP715"/>
  <c r="BP716"/>
  <c r="BP717"/>
  <c r="BP718"/>
  <c r="BP719"/>
  <c r="BP720"/>
  <c r="BP721"/>
  <c r="BP722"/>
  <c r="BP723"/>
  <c r="BP724"/>
  <c r="BP726"/>
  <c r="BP729"/>
  <c r="BP731"/>
  <c r="BP735"/>
  <c r="BP747"/>
  <c r="BP749"/>
  <c r="BP750"/>
  <c r="BP751"/>
  <c r="BP752"/>
  <c r="BP756"/>
  <c r="BP757"/>
  <c r="BP758"/>
  <c r="BP759"/>
  <c r="BP760"/>
  <c r="BP761"/>
  <c r="BP762"/>
  <c r="BP763"/>
  <c r="BP764"/>
  <c r="BP765"/>
  <c r="BP766"/>
  <c r="BP767"/>
  <c r="BP768"/>
  <c r="BP769"/>
  <c r="BP770"/>
  <c r="BP771"/>
  <c r="BP772"/>
  <c r="BP773"/>
  <c r="BP774"/>
  <c r="BP775"/>
  <c r="BP776"/>
  <c r="BP777"/>
  <c r="BP778"/>
  <c r="BP779"/>
  <c r="BP780"/>
  <c r="BP781"/>
  <c r="BP782"/>
  <c r="BP783"/>
  <c r="BP784"/>
  <c r="BP785"/>
  <c r="BP786"/>
  <c r="BP787"/>
  <c r="BP788"/>
  <c r="BP789"/>
  <c r="BP790"/>
  <c r="BP791"/>
  <c r="BP792"/>
  <c r="BP793"/>
  <c r="BP794"/>
  <c r="BP795"/>
  <c r="BP796"/>
  <c r="BP797"/>
  <c r="BP798"/>
  <c r="BP814"/>
  <c r="BP815"/>
  <c r="BP816"/>
  <c r="BP817"/>
  <c r="BP818"/>
  <c r="BP819"/>
  <c r="BP820"/>
  <c r="BP821"/>
  <c r="BP822"/>
  <c r="BP823"/>
  <c r="BP824"/>
  <c r="BP825"/>
  <c r="BP826"/>
  <c r="BP827"/>
  <c r="BP828"/>
  <c r="BP829"/>
  <c r="BP830"/>
  <c r="BP831"/>
  <c r="BP832"/>
  <c r="BP833"/>
  <c r="BP834"/>
  <c r="BP835"/>
  <c r="BP836"/>
  <c r="BP837"/>
  <c r="BP838"/>
  <c r="BP839"/>
  <c r="BP840"/>
  <c r="BP841"/>
  <c r="BP842"/>
  <c r="BP843"/>
  <c r="BP844"/>
  <c r="BP845"/>
  <c r="BP846"/>
  <c r="BP847"/>
  <c r="BP848"/>
  <c r="BP849"/>
  <c r="BP850"/>
  <c r="BP851"/>
  <c r="BP852"/>
  <c r="BP853"/>
  <c r="BP854"/>
  <c r="BP855"/>
  <c r="BP856"/>
  <c r="BP864"/>
  <c r="BP865"/>
  <c r="BP866"/>
  <c r="BP867"/>
  <c r="BP868"/>
  <c r="BP872"/>
  <c r="BP873"/>
  <c r="BP874"/>
  <c r="BP875"/>
  <c r="BP876"/>
  <c r="BP877"/>
  <c r="BP878"/>
  <c r="BP879"/>
  <c r="BP880"/>
  <c r="BP881"/>
  <c r="BP882"/>
  <c r="BP883"/>
  <c r="BP884"/>
  <c r="BP885"/>
  <c r="BP886"/>
  <c r="BP887"/>
  <c r="BP888"/>
  <c r="BP889"/>
  <c r="BP890"/>
  <c r="BP891"/>
  <c r="BP892"/>
  <c r="BP893"/>
  <c r="BP894"/>
  <c r="BP895"/>
  <c r="BP896"/>
  <c r="BP897"/>
  <c r="BP898"/>
  <c r="BP899"/>
  <c r="BP900"/>
  <c r="BP901"/>
  <c r="BP902"/>
  <c r="BP903"/>
  <c r="BP904"/>
  <c r="BP905"/>
  <c r="BP906"/>
  <c r="BP907"/>
  <c r="BP908"/>
  <c r="BP909"/>
  <c r="BP910"/>
  <c r="BP911"/>
  <c r="BP912"/>
  <c r="BP913"/>
  <c r="BP918"/>
  <c r="BP920"/>
  <c r="BP921"/>
  <c r="BP923"/>
  <c r="BP925"/>
  <c r="BP930"/>
  <c r="BP931"/>
  <c r="BP932"/>
  <c r="BP933"/>
  <c r="BP934"/>
  <c r="BP935"/>
  <c r="BP936"/>
  <c r="BP937"/>
  <c r="BP938"/>
  <c r="BP939"/>
  <c r="BP940"/>
  <c r="BP941"/>
  <c r="BP942"/>
  <c r="BP943"/>
  <c r="BP944"/>
  <c r="BP945"/>
  <c r="BP946"/>
  <c r="BP947"/>
  <c r="BP948"/>
  <c r="BP949"/>
  <c r="BP950"/>
  <c r="BP951"/>
  <c r="BP952"/>
  <c r="BP953"/>
  <c r="BP954"/>
  <c r="BP955"/>
  <c r="BP956"/>
  <c r="BP957"/>
  <c r="BP958"/>
  <c r="BP959"/>
  <c r="BP960"/>
  <c r="BP961"/>
  <c r="BP962"/>
  <c r="BP963"/>
  <c r="BP964"/>
  <c r="BP965"/>
  <c r="BP967"/>
  <c r="BP968"/>
  <c r="BP969"/>
  <c r="BP970"/>
  <c r="BP976"/>
  <c r="BP977"/>
  <c r="BP978"/>
  <c r="BP979"/>
  <c r="BP980"/>
  <c r="BP981"/>
  <c r="BP982"/>
  <c r="BP983"/>
  <c r="BP984"/>
  <c r="BP988"/>
  <c r="BP989"/>
  <c r="BP990"/>
  <c r="BP991"/>
  <c r="BP992"/>
  <c r="BP993"/>
  <c r="BP994"/>
  <c r="BP995"/>
  <c r="BP996"/>
  <c r="BP997"/>
  <c r="BP998"/>
  <c r="BP999"/>
  <c r="BP1000"/>
  <c r="BP1001"/>
  <c r="BP1002"/>
  <c r="BP1003"/>
  <c r="BP1004"/>
  <c r="BP1005"/>
  <c r="BP1006"/>
  <c r="BP1007"/>
  <c r="BP1008"/>
  <c r="BP1009"/>
  <c r="BP1010"/>
  <c r="BP1011"/>
  <c r="BP1012"/>
  <c r="BP1013"/>
  <c r="BP1014"/>
  <c r="BP1015"/>
  <c r="BP1016"/>
  <c r="BP1017"/>
  <c r="BP1018"/>
  <c r="BP1019"/>
  <c r="BP1020"/>
  <c r="BP1021"/>
  <c r="BP1022"/>
  <c r="BP1023"/>
  <c r="BP1025"/>
  <c r="BP1036"/>
  <c r="BP1040"/>
  <c r="BP1041"/>
  <c r="BP1046"/>
  <c r="BP1047"/>
  <c r="BP1048"/>
  <c r="BP1049"/>
  <c r="BP1050"/>
  <c r="BP1051"/>
  <c r="BP1052"/>
  <c r="BP1053"/>
  <c r="BP1054"/>
  <c r="BP1055"/>
  <c r="BP1056"/>
  <c r="BP1057"/>
  <c r="BP1058"/>
  <c r="BP1059"/>
  <c r="BP1060"/>
  <c r="BP1061"/>
  <c r="BP1062"/>
  <c r="BP1063"/>
  <c r="BP1064"/>
  <c r="BP1065"/>
  <c r="BP1066"/>
  <c r="BP1067"/>
  <c r="BP1068"/>
  <c r="BP1069"/>
  <c r="BP1070"/>
  <c r="BP1071"/>
  <c r="BP1072"/>
  <c r="BP1073"/>
  <c r="BP1074"/>
  <c r="BP1075"/>
  <c r="BP1076"/>
  <c r="BP1077"/>
  <c r="BP1078"/>
  <c r="BP1079"/>
  <c r="BP1080"/>
  <c r="BP1081"/>
  <c r="BP1082"/>
  <c r="BP1083"/>
  <c r="BP1084"/>
  <c r="BP1085"/>
  <c r="BP1086"/>
  <c r="BP1087"/>
  <c r="BP1088"/>
  <c r="BP1089"/>
  <c r="BP1090"/>
  <c r="BP1091"/>
  <c r="BP1092"/>
  <c r="BP1093"/>
  <c r="BP1094"/>
  <c r="BP1095"/>
  <c r="BP1096"/>
  <c r="BP1097"/>
  <c r="BP1098"/>
  <c r="BP1099"/>
  <c r="BP1100"/>
  <c r="BP1104"/>
  <c r="BP1105"/>
  <c r="BP1106"/>
  <c r="BP1107"/>
  <c r="BP1108"/>
  <c r="BP1109"/>
  <c r="BP1110"/>
  <c r="BP1111"/>
  <c r="BP1112"/>
  <c r="BP1113"/>
  <c r="BP1114"/>
  <c r="BP1115"/>
  <c r="BP1116"/>
  <c r="BP1117"/>
  <c r="BP1118"/>
  <c r="BP1119"/>
  <c r="BP1120"/>
  <c r="BP1121"/>
  <c r="BP1122"/>
  <c r="BP1123"/>
  <c r="BP1124"/>
  <c r="BP1125"/>
  <c r="BP1126"/>
  <c r="BP1127"/>
  <c r="BP1128"/>
  <c r="BP1129"/>
  <c r="BP1130"/>
  <c r="BP1131"/>
  <c r="BP1132"/>
  <c r="BP1133"/>
  <c r="BP1134"/>
  <c r="BP1135"/>
  <c r="BP1136"/>
  <c r="BP1137"/>
  <c r="BP1138"/>
  <c r="BP1139"/>
  <c r="BP1140"/>
  <c r="BP1141"/>
  <c r="BP1142"/>
  <c r="BP1143"/>
  <c r="BP1144"/>
  <c r="BP1145"/>
  <c r="BP1146"/>
  <c r="BP1147"/>
  <c r="BP1148"/>
  <c r="BP1149"/>
  <c r="BP1150"/>
  <c r="BP1151"/>
  <c r="BP1152"/>
  <c r="BP1153"/>
  <c r="BP1154"/>
  <c r="BP1155"/>
  <c r="BP1156"/>
  <c r="BP1157"/>
  <c r="BP1158"/>
  <c r="BP1162"/>
  <c r="BP1163"/>
  <c r="BP1164"/>
  <c r="BP1165"/>
  <c r="BP1166"/>
  <c r="BP1167"/>
  <c r="BP1168"/>
  <c r="BP1169"/>
  <c r="BP1170"/>
  <c r="BP1171"/>
  <c r="BP1172"/>
  <c r="BP1173"/>
  <c r="BP1174"/>
  <c r="BP1175"/>
  <c r="BP1176"/>
  <c r="BP1177"/>
  <c r="BP1178"/>
  <c r="BP1179"/>
  <c r="BP1180"/>
  <c r="BP1181"/>
  <c r="BP1182"/>
  <c r="BP1183"/>
  <c r="BP1184"/>
  <c r="BP1185"/>
  <c r="BP1186"/>
  <c r="BP1187"/>
  <c r="BP1188"/>
  <c r="BP1189"/>
  <c r="BP1190"/>
  <c r="BP1191"/>
  <c r="BP1192"/>
  <c r="BP1193"/>
  <c r="BP1194"/>
  <c r="BP1195"/>
  <c r="BP1196"/>
  <c r="BP1197"/>
  <c r="BP1198"/>
  <c r="BP1199"/>
  <c r="BP1200"/>
  <c r="BP1201"/>
  <c r="BP1202"/>
  <c r="BP1203"/>
  <c r="BP1204"/>
  <c r="BP1210"/>
  <c r="BP1211"/>
  <c r="BP1212"/>
  <c r="BP1213"/>
  <c r="BP1215"/>
  <c r="BP1220"/>
  <c r="BP1221"/>
  <c r="BP1222"/>
  <c r="BP1223"/>
  <c r="BP1224"/>
  <c r="BP1225"/>
  <c r="BP1226"/>
  <c r="BP1227"/>
  <c r="BP1228"/>
  <c r="BP1229"/>
  <c r="BP1230"/>
  <c r="BP1231"/>
  <c r="BP1232"/>
  <c r="BP1233"/>
  <c r="BP1234"/>
  <c r="BP1235"/>
  <c r="BP1236"/>
  <c r="BP1237"/>
  <c r="BP1238"/>
  <c r="BP1239"/>
  <c r="BP1240"/>
  <c r="BP1241"/>
  <c r="BP1242"/>
  <c r="BP1243"/>
  <c r="BP1244"/>
  <c r="BP1245"/>
  <c r="BP1246"/>
  <c r="BP1247"/>
  <c r="BP1248"/>
  <c r="BP1249"/>
  <c r="BP1250"/>
  <c r="BP1251"/>
  <c r="BP1252"/>
  <c r="BP1253"/>
  <c r="BP1254"/>
  <c r="BP1255"/>
  <c r="BP1256"/>
  <c r="BP1257"/>
  <c r="BP1258"/>
  <c r="BP1259"/>
  <c r="BP1260"/>
  <c r="BP1261"/>
  <c r="BP1262"/>
  <c r="BP1263"/>
  <c r="BP1264"/>
  <c r="BP1265"/>
  <c r="BP1269"/>
  <c r="BP1270"/>
  <c r="BP1271"/>
  <c r="BP1272"/>
  <c r="BP1273"/>
  <c r="BP1274"/>
  <c r="BP1278"/>
  <c r="BP1279"/>
  <c r="BP1280"/>
  <c r="BP1281"/>
  <c r="BP1282"/>
  <c r="BP1283"/>
  <c r="BP1284"/>
  <c r="BP1285"/>
  <c r="BP1286"/>
  <c r="BP1287"/>
  <c r="BP1288"/>
  <c r="BP1289"/>
  <c r="BP1290"/>
  <c r="BP1291"/>
  <c r="BP1292"/>
  <c r="BP1293"/>
  <c r="BP1294"/>
  <c r="BP1295"/>
  <c r="BP1296"/>
  <c r="BP1297"/>
  <c r="BP1298"/>
  <c r="BP1299"/>
  <c r="BP1300"/>
  <c r="BP1301"/>
  <c r="BP1302"/>
  <c r="BP1303"/>
  <c r="BP1304"/>
  <c r="BP1305"/>
  <c r="BP1306"/>
  <c r="BP1307"/>
  <c r="BP1308"/>
  <c r="BP1309"/>
  <c r="BP1310"/>
  <c r="BP1311"/>
  <c r="BP1312"/>
  <c r="BP1313"/>
  <c r="BP1314"/>
  <c r="BP1315"/>
  <c r="BP1316"/>
  <c r="BP1317"/>
  <c r="BP1318"/>
  <c r="BP1319"/>
  <c r="BP1320"/>
  <c r="BP1321"/>
  <c r="BP1322"/>
  <c r="BP1323"/>
  <c r="BP1324"/>
  <c r="BP1325"/>
  <c r="BP1326"/>
  <c r="BP1327"/>
  <c r="BP1328"/>
  <c r="BP1329"/>
  <c r="BP1330"/>
  <c r="BP1331"/>
  <c r="BP1332"/>
  <c r="BP1336"/>
  <c r="BP1337"/>
  <c r="BP1338"/>
  <c r="BP1339"/>
  <c r="BP1340"/>
  <c r="BP1341"/>
  <c r="BP1342"/>
  <c r="BP1343"/>
  <c r="BP1344"/>
  <c r="BP1345"/>
  <c r="BP1346"/>
  <c r="BP1347"/>
  <c r="BP1348"/>
  <c r="BP1349"/>
  <c r="BP1350"/>
  <c r="BP1351"/>
  <c r="BP1352"/>
  <c r="BP1353"/>
  <c r="BP1354"/>
  <c r="BP1355"/>
  <c r="BP1356"/>
  <c r="BP1357"/>
  <c r="BP1358"/>
  <c r="BP1359"/>
  <c r="BP1360"/>
  <c r="BP1361"/>
  <c r="BP1362"/>
  <c r="BP1363"/>
  <c r="BP1364"/>
  <c r="BP1365"/>
  <c r="BP1366"/>
  <c r="BP1367"/>
  <c r="BP1368"/>
  <c r="BP1369"/>
  <c r="BP1370"/>
  <c r="BP1371"/>
  <c r="BP1372"/>
  <c r="BP1375"/>
  <c r="BP1389"/>
  <c r="BP1390"/>
  <c r="BP1394"/>
  <c r="BP1395"/>
  <c r="BP1396"/>
  <c r="BP1397"/>
  <c r="BP1398"/>
  <c r="BP1399"/>
  <c r="BP1400"/>
  <c r="BP1401"/>
  <c r="BP1402"/>
  <c r="BP1403"/>
  <c r="BP1404"/>
  <c r="BP1405"/>
  <c r="BP1406"/>
  <c r="BP1407"/>
  <c r="BP1408"/>
  <c r="BP1409"/>
  <c r="BP1410"/>
  <c r="BP1411"/>
  <c r="BP1412"/>
  <c r="BP1413"/>
  <c r="BP1414"/>
  <c r="BP1415"/>
  <c r="BP1416"/>
  <c r="BP1417"/>
  <c r="BP1418"/>
  <c r="BP1419"/>
  <c r="BP1420"/>
  <c r="BP1421"/>
  <c r="BP1422"/>
  <c r="BP1423"/>
  <c r="BP1424"/>
  <c r="BP1425"/>
  <c r="BP1426"/>
  <c r="BP1427"/>
  <c r="BP1428"/>
  <c r="BP1429"/>
  <c r="BP1430"/>
  <c r="BP1431"/>
  <c r="BP1432"/>
  <c r="BP1433"/>
  <c r="BP1434"/>
  <c r="BP1435"/>
  <c r="BP1436"/>
  <c r="BP1437"/>
  <c r="BP1438"/>
  <c r="BP1439"/>
  <c r="BP1440"/>
  <c r="BP1442"/>
  <c r="BP1443"/>
  <c r="BP1444"/>
  <c r="BP1445"/>
  <c r="BP1447"/>
  <c r="BP1448"/>
  <c r="BP1452"/>
  <c r="BP1453"/>
  <c r="BP1454"/>
  <c r="BP1455"/>
  <c r="BP1456"/>
  <c r="BP1457"/>
  <c r="BP1458"/>
  <c r="BP1459"/>
  <c r="BP1460"/>
  <c r="BP1461"/>
  <c r="BP1462"/>
  <c r="BP1463"/>
  <c r="BP1464"/>
  <c r="BP1465"/>
  <c r="BP1466"/>
  <c r="BP1467"/>
  <c r="BP1468"/>
  <c r="BP1469"/>
  <c r="BP1470"/>
  <c r="BP1471"/>
  <c r="BP1472"/>
  <c r="BP1473"/>
  <c r="BP1474"/>
  <c r="BP1475"/>
  <c r="BP1476"/>
  <c r="BP1477"/>
  <c r="BP1478"/>
  <c r="BP1479"/>
  <c r="BP1480"/>
  <c r="BP1481"/>
  <c r="BP1482"/>
  <c r="BP1483"/>
  <c r="BP1484"/>
  <c r="BP1485"/>
  <c r="BP1486"/>
  <c r="BP1487"/>
  <c r="BP1488"/>
  <c r="BP1489"/>
  <c r="BP1490"/>
  <c r="BP1491"/>
  <c r="BP1492"/>
  <c r="BP1493"/>
  <c r="BP1494"/>
  <c r="BP1495"/>
  <c r="BP1496"/>
  <c r="BP1502"/>
  <c r="BP1503"/>
  <c r="BP1504"/>
  <c r="BP1505"/>
  <c r="BP1506"/>
  <c r="BP1510"/>
  <c r="BP1511"/>
  <c r="BP1512"/>
  <c r="BP1513"/>
  <c r="BP1514"/>
  <c r="BP1515"/>
  <c r="BP1516"/>
  <c r="BP1517"/>
  <c r="BP1518"/>
  <c r="BP1519"/>
  <c r="BP1520"/>
  <c r="BP1521"/>
  <c r="BP1522"/>
  <c r="BP1523"/>
  <c r="BP1524"/>
  <c r="BP1525"/>
  <c r="BP1526"/>
  <c r="BP1527"/>
  <c r="BP1528"/>
  <c r="BP1529"/>
  <c r="BP1530"/>
  <c r="BP1531"/>
  <c r="BP1532"/>
  <c r="BP1533"/>
  <c r="BP1534"/>
  <c r="BP1535"/>
  <c r="BP1536"/>
  <c r="BP1537"/>
  <c r="BP1538"/>
  <c r="BP1539"/>
  <c r="BP1540"/>
  <c r="BP1541"/>
  <c r="BP1542"/>
  <c r="BP1543"/>
  <c r="BP1544"/>
  <c r="BP1545"/>
  <c r="BP1546"/>
  <c r="BP1555"/>
  <c r="BP1560"/>
  <c r="BP1561"/>
  <c r="BP1562"/>
  <c r="BP1563"/>
  <c r="BP1564"/>
  <c r="BP1568"/>
  <c r="BP1569"/>
  <c r="BP1570"/>
  <c r="BP1571"/>
  <c r="BP1572"/>
  <c r="BP1573"/>
  <c r="BP1574"/>
  <c r="BP1575"/>
  <c r="BP1576"/>
  <c r="BP1577"/>
  <c r="BP1578"/>
  <c r="BP1579"/>
  <c r="BP1580"/>
  <c r="BP1581"/>
  <c r="BP1582"/>
  <c r="BP1583"/>
  <c r="BP1584"/>
  <c r="BP1585"/>
  <c r="BP1586"/>
  <c r="BP1587"/>
  <c r="BP1588"/>
  <c r="BP1589"/>
  <c r="BP1590"/>
  <c r="BP1591"/>
  <c r="BP1592"/>
  <c r="BP1593"/>
  <c r="BP1594"/>
  <c r="BP1595"/>
  <c r="BP1596"/>
  <c r="BP1597"/>
  <c r="BP1598"/>
  <c r="BP1599"/>
  <c r="BP1600"/>
  <c r="BP1601"/>
  <c r="BP1602"/>
  <c r="BP1614"/>
  <c r="BP1615"/>
  <c r="BP1616"/>
  <c r="BP1617"/>
  <c r="BP1618"/>
  <c r="BP1619"/>
  <c r="BP1620"/>
  <c r="BP1621"/>
  <c r="BP1622"/>
  <c r="BP1626"/>
  <c r="BP1627"/>
  <c r="BP1628"/>
  <c r="BP1629"/>
  <c r="BP1630"/>
  <c r="BP1631"/>
  <c r="BP1632"/>
  <c r="BP1633"/>
  <c r="BP1634"/>
  <c r="BP1635"/>
  <c r="BP1636"/>
  <c r="BP1637"/>
  <c r="BP1638"/>
  <c r="BP1639"/>
  <c r="BP1640"/>
  <c r="BP1641"/>
  <c r="BP1642"/>
  <c r="BP1643"/>
  <c r="BP1644"/>
  <c r="BP1645"/>
  <c r="BP1646"/>
  <c r="BP1647"/>
  <c r="BP1648"/>
  <c r="BP1649"/>
  <c r="BP1650"/>
  <c r="BP1651"/>
  <c r="BP1652"/>
  <c r="BP1653"/>
  <c r="BP1654"/>
  <c r="BP1655"/>
  <c r="BP1656"/>
  <c r="BP1657"/>
  <c r="BP1658"/>
  <c r="BP1659"/>
  <c r="BP1660"/>
  <c r="BP1661"/>
  <c r="BP1662"/>
  <c r="BP1663"/>
  <c r="BP1664"/>
  <c r="BP1665"/>
  <c r="BP1667"/>
  <c r="BP1668"/>
  <c r="BP1678"/>
  <c r="BP1679"/>
  <c r="BP1680"/>
  <c r="BP1684"/>
  <c r="BP1685"/>
  <c r="BP1686"/>
  <c r="BP1687"/>
  <c r="BP1688"/>
  <c r="BP1689"/>
  <c r="BP1690"/>
  <c r="BP1691"/>
  <c r="BP1692"/>
  <c r="BP1693"/>
  <c r="BP1694"/>
  <c r="BP1695"/>
  <c r="BP1696"/>
  <c r="BP1697"/>
  <c r="BP1698"/>
  <c r="BP1699"/>
  <c r="BP1700"/>
  <c r="BP1701"/>
  <c r="BP1702"/>
  <c r="BP1703"/>
  <c r="BP1704"/>
  <c r="BP1705"/>
  <c r="BP1706"/>
  <c r="BP1707"/>
  <c r="BP1708"/>
  <c r="BP1709"/>
  <c r="BP1710"/>
  <c r="BP1711"/>
  <c r="BP1712"/>
  <c r="BP1713"/>
  <c r="BP1714"/>
  <c r="BP1715"/>
  <c r="BP1716"/>
  <c r="BP1717"/>
  <c r="BP1718"/>
  <c r="BP1719"/>
  <c r="BP1720"/>
  <c r="BP1721"/>
  <c r="BP1722"/>
  <c r="BP1723"/>
  <c r="BP1724"/>
  <c r="BP1725"/>
  <c r="BP1726"/>
  <c r="BP1727"/>
  <c r="BP1728"/>
  <c r="BP1729"/>
  <c r="BP1730"/>
  <c r="BP1731"/>
  <c r="BP1732"/>
  <c r="BP1733"/>
  <c r="BP1734"/>
  <c r="BP1735"/>
  <c r="BP1736"/>
  <c r="BP1737"/>
  <c r="BP1738"/>
  <c r="BP1742"/>
  <c r="BP1743"/>
  <c r="BP1744"/>
  <c r="BP1745"/>
  <c r="BP1746"/>
  <c r="BP1747"/>
  <c r="BP1748"/>
  <c r="BP1749"/>
  <c r="BP1750"/>
  <c r="BP1751"/>
  <c r="BP1752"/>
  <c r="BP1753"/>
  <c r="BP1754"/>
  <c r="BP1755"/>
  <c r="BP1756"/>
  <c r="BP1757"/>
  <c r="BP1758"/>
  <c r="BP1759"/>
  <c r="BP1760"/>
  <c r="BP1761"/>
  <c r="BP1762"/>
  <c r="BP1763"/>
  <c r="BP1764"/>
  <c r="BP1765"/>
  <c r="BP1766"/>
  <c r="BP1767"/>
  <c r="BP1768"/>
  <c r="BP1769"/>
  <c r="BP1770"/>
  <c r="BP1771"/>
  <c r="BP1772"/>
  <c r="BP1773"/>
  <c r="BP1774"/>
  <c r="BP1775"/>
  <c r="BP1776"/>
  <c r="BP1777"/>
  <c r="BP1778"/>
  <c r="BP1779"/>
  <c r="BP1780"/>
  <c r="BP1781"/>
  <c r="BP1782"/>
  <c r="BP1783"/>
  <c r="BP1784"/>
  <c r="BP1785"/>
  <c r="BP1786"/>
  <c r="BP1787"/>
  <c r="BP1788"/>
  <c r="BP1789"/>
  <c r="BP1790"/>
  <c r="BP1791"/>
  <c r="BP1792"/>
  <c r="BP1793"/>
  <c r="BP1794"/>
  <c r="BP1795"/>
  <c r="BP1796"/>
  <c r="BP1800"/>
  <c r="BP1801"/>
  <c r="BP1802"/>
  <c r="BP1803"/>
  <c r="BP1804"/>
  <c r="BP1805"/>
  <c r="BP1806"/>
  <c r="BP1807"/>
  <c r="BP1808"/>
  <c r="BP1809"/>
  <c r="BP1810"/>
  <c r="BP1811"/>
  <c r="BP1812"/>
  <c r="BP1813"/>
  <c r="BP1814"/>
  <c r="BP1815"/>
  <c r="BP1816"/>
  <c r="BP1817"/>
  <c r="BP1818"/>
  <c r="BP1819"/>
  <c r="BP1820"/>
  <c r="BP1821"/>
  <c r="BP1822"/>
  <c r="BP1823"/>
  <c r="BP1824"/>
  <c r="BP1825"/>
  <c r="BP1826"/>
  <c r="BP1827"/>
  <c r="BP1828"/>
  <c r="BP1829"/>
  <c r="BP1830"/>
  <c r="BP1831"/>
  <c r="BP1832"/>
  <c r="BP1833"/>
  <c r="BP1834"/>
  <c r="BP1835"/>
  <c r="BP1836"/>
  <c r="BP1853"/>
  <c r="BP1858"/>
  <c r="BP1859"/>
  <c r="BP1860"/>
  <c r="BP1861"/>
  <c r="BP1862"/>
  <c r="BP1863"/>
  <c r="BP1864"/>
  <c r="BP1865"/>
  <c r="BP1866"/>
  <c r="BP1867"/>
  <c r="BP1868"/>
  <c r="BP1869"/>
  <c r="BP1870"/>
  <c r="BP1871"/>
  <c r="BP1872"/>
  <c r="BP1873"/>
  <c r="BP1874"/>
  <c r="BP1875"/>
  <c r="BP1876"/>
  <c r="BP1877"/>
  <c r="BP1878"/>
  <c r="BP1879"/>
  <c r="BP1880"/>
  <c r="BP1881"/>
  <c r="BP1882"/>
  <c r="BP1883"/>
  <c r="BP1884"/>
  <c r="BP1885"/>
  <c r="BP1886"/>
  <c r="BP1887"/>
  <c r="BP1888"/>
  <c r="BP1889"/>
  <c r="BP1890"/>
  <c r="BP1891"/>
  <c r="BP1892"/>
  <c r="BP1893"/>
  <c r="BP1894"/>
  <c r="BP1895"/>
  <c r="BP1896"/>
  <c r="BP1897"/>
  <c r="BP1898"/>
  <c r="BP1899"/>
  <c r="BP1900"/>
  <c r="BP1909"/>
  <c r="BP1911"/>
  <c r="BP1912"/>
  <c r="BP1916"/>
  <c r="BP1917"/>
  <c r="BP1918"/>
  <c r="BP1919"/>
  <c r="BP1920"/>
  <c r="BP1921"/>
  <c r="BP1922"/>
  <c r="BP1923"/>
  <c r="BP1924"/>
  <c r="BP1925"/>
  <c r="BP1926"/>
  <c r="BP1927"/>
  <c r="BP1928"/>
  <c r="BP1929"/>
  <c r="BP1930"/>
  <c r="BP1931"/>
  <c r="BP1932"/>
  <c r="BP1933"/>
  <c r="BP1934"/>
  <c r="BP1935"/>
  <c r="BP1936"/>
  <c r="BP1937"/>
  <c r="BP1938"/>
  <c r="BP1939"/>
  <c r="BP1940"/>
  <c r="BP1941"/>
  <c r="BP1942"/>
  <c r="BP1943"/>
  <c r="BP1944"/>
  <c r="BP1945"/>
  <c r="BP1946"/>
  <c r="BP1947"/>
  <c r="BP1948"/>
  <c r="BP1949"/>
  <c r="BP1950"/>
  <c r="BP1951"/>
  <c r="BP1963"/>
  <c r="BP1964"/>
  <c r="BP1965"/>
  <c r="BP1966"/>
  <c r="BP1967"/>
  <c r="BP1968"/>
  <c r="BP1969"/>
  <c r="BP1970"/>
  <c r="BP1974"/>
  <c r="BP1975"/>
  <c r="BP1976"/>
  <c r="BP1977"/>
  <c r="BP1978"/>
  <c r="BP1979"/>
  <c r="BP1980"/>
  <c r="BP1981"/>
  <c r="BP1982"/>
  <c r="BP1983"/>
  <c r="BP1984"/>
  <c r="BP1985"/>
  <c r="BP1986"/>
  <c r="BP1987"/>
  <c r="BP1988"/>
  <c r="BP1989"/>
  <c r="BP1990"/>
  <c r="BP1991"/>
  <c r="BP1992"/>
  <c r="BP1993"/>
  <c r="BP1994"/>
  <c r="BP1995"/>
  <c r="BP1996"/>
  <c r="BP1997"/>
  <c r="BP1998"/>
  <c r="BP1999"/>
  <c r="BP2000"/>
  <c r="BP2001"/>
  <c r="BP2002"/>
  <c r="BP2003"/>
  <c r="BP2004"/>
  <c r="BP2005"/>
  <c r="BP2006"/>
  <c r="BP2007"/>
  <c r="BP2008"/>
  <c r="BP2009"/>
  <c r="BP2010"/>
  <c r="BP2011"/>
  <c r="BP2012"/>
  <c r="BP2013"/>
  <c r="BP2014"/>
  <c r="BP2015"/>
  <c r="BP2016"/>
  <c r="BP2019"/>
  <c r="BP2024"/>
  <c r="BP2025"/>
  <c r="BP2026"/>
  <c r="BP2027"/>
  <c r="BP2028"/>
  <c r="BP2032"/>
  <c r="BP2033"/>
  <c r="BP2034"/>
  <c r="BP2035"/>
  <c r="BP2036"/>
  <c r="BP2037"/>
  <c r="BP2038"/>
  <c r="BP2039"/>
  <c r="BP2040"/>
  <c r="BP2041"/>
  <c r="BP2042"/>
  <c r="BP2043"/>
  <c r="BP2044"/>
  <c r="BP2045"/>
  <c r="BP2046"/>
  <c r="BP2047"/>
  <c r="BP2048"/>
  <c r="BP2049"/>
  <c r="BP2050"/>
  <c r="BP2051"/>
  <c r="BP2052"/>
  <c r="BP2053"/>
  <c r="BP2054"/>
  <c r="BP2055"/>
  <c r="BP2056"/>
  <c r="BP2057"/>
  <c r="BP2058"/>
  <c r="BP2059"/>
  <c r="BP2060"/>
  <c r="BP2061"/>
  <c r="BP2062"/>
  <c r="BP2063"/>
  <c r="BP2064"/>
  <c r="BP2065"/>
  <c r="BP2066"/>
  <c r="BP2067"/>
  <c r="BP2068"/>
  <c r="BP2069"/>
  <c r="BP2070"/>
  <c r="BP2071"/>
  <c r="BP2072"/>
  <c r="BP2073"/>
  <c r="BP2074"/>
  <c r="BP2075"/>
  <c r="BP2076"/>
  <c r="BP2077"/>
  <c r="BP2078"/>
  <c r="BP2079"/>
  <c r="BP2080"/>
  <c r="BP2081"/>
  <c r="BP2082"/>
  <c r="BP2083"/>
  <c r="BP2084"/>
  <c r="BP2085"/>
  <c r="BP2086"/>
  <c r="BP2090"/>
  <c r="BP2091"/>
  <c r="BP2092"/>
  <c r="BP2093"/>
  <c r="BP2094"/>
  <c r="BP2095"/>
  <c r="BP2096"/>
  <c r="BP2097"/>
  <c r="BP2098"/>
  <c r="BP2099"/>
  <c r="BP2100"/>
  <c r="BP2101"/>
  <c r="BP2102"/>
  <c r="BP2103"/>
  <c r="BP2104"/>
  <c r="BP2105"/>
  <c r="BP2106"/>
  <c r="BP2107"/>
  <c r="BP2108"/>
  <c r="BP2109"/>
  <c r="BP2110"/>
  <c r="BP2111"/>
  <c r="BP2112"/>
  <c r="BP2113"/>
  <c r="BP2114"/>
  <c r="BP2115"/>
  <c r="BP2116"/>
  <c r="BP2117"/>
  <c r="BP2118"/>
  <c r="BP2119"/>
  <c r="BP2120"/>
  <c r="BP2121"/>
  <c r="BP2122"/>
  <c r="BP2123"/>
  <c r="BP2124"/>
  <c r="BP2125"/>
  <c r="BP2126"/>
  <c r="BP2127"/>
  <c r="BP2128"/>
  <c r="BP2129"/>
  <c r="BP2130"/>
  <c r="BP2131"/>
  <c r="BP2132"/>
  <c r="BP2133"/>
  <c r="BP2134"/>
  <c r="BP2135"/>
  <c r="BP2136"/>
  <c r="BP2137"/>
  <c r="BP2138"/>
  <c r="BP2141"/>
  <c r="BP2143"/>
  <c r="BP2148"/>
  <c r="BP2149"/>
  <c r="BP2150"/>
  <c r="BP2151"/>
  <c r="BP2152"/>
  <c r="BP2153"/>
  <c r="BP2154"/>
  <c r="BP2155"/>
  <c r="BP2156"/>
  <c r="BP2157"/>
  <c r="BP2158"/>
  <c r="BP2159"/>
  <c r="BP2160"/>
  <c r="BP2161"/>
  <c r="BP2162"/>
  <c r="BP2163"/>
  <c r="BP2164"/>
  <c r="BP2165"/>
  <c r="BP2166"/>
  <c r="BP2167"/>
  <c r="BP2168"/>
  <c r="BP2169"/>
  <c r="BP2170"/>
  <c r="BP2171"/>
  <c r="BP2172"/>
  <c r="BP2173"/>
  <c r="BP2174"/>
  <c r="BP2175"/>
  <c r="BP2176"/>
  <c r="BP2177"/>
  <c r="BP2178"/>
  <c r="BP2179"/>
  <c r="BP2180"/>
  <c r="BP2181"/>
  <c r="BP2182"/>
  <c r="BP2183"/>
  <c r="BP2184"/>
  <c r="BP2185"/>
  <c r="BP2186"/>
  <c r="BP2187"/>
  <c r="BP2188"/>
  <c r="BP2189"/>
  <c r="BP2190"/>
  <c r="BP2191"/>
  <c r="BP2192"/>
  <c r="BP2194"/>
  <c r="BP2195"/>
  <c r="BP2196"/>
  <c r="BP2197"/>
  <c r="BP2198"/>
  <c r="BP2199"/>
  <c r="BP2200"/>
  <c r="BP2201"/>
  <c r="BP2202"/>
  <c r="BP2206"/>
  <c r="BP2207"/>
  <c r="BP2208"/>
  <c r="BP2209"/>
  <c r="BP2210"/>
  <c r="BP2211"/>
  <c r="BP2212"/>
  <c r="BP2213"/>
  <c r="BP2214"/>
  <c r="BP2215"/>
  <c r="BP2216"/>
  <c r="BP2217"/>
  <c r="BP2218"/>
  <c r="BP2219"/>
  <c r="BP2220"/>
  <c r="BP2221"/>
  <c r="BP2222"/>
  <c r="BP2223"/>
  <c r="BP2224"/>
  <c r="BP2225"/>
  <c r="BP2226"/>
  <c r="BP2227"/>
  <c r="BP2228"/>
  <c r="BP2229"/>
  <c r="BP2230"/>
  <c r="BP2231"/>
  <c r="BP2232"/>
  <c r="BP2233"/>
  <c r="BP2234"/>
  <c r="BP2235"/>
  <c r="BP2236"/>
  <c r="BP2237"/>
  <c r="BP2238"/>
  <c r="BP2239"/>
  <c r="BP2240"/>
  <c r="BP2241"/>
  <c r="BP2242"/>
  <c r="BP2243"/>
  <c r="BP2244"/>
  <c r="BP2245"/>
  <c r="BP2246"/>
  <c r="BP2247"/>
  <c r="BP2248"/>
  <c r="BP2249"/>
  <c r="BP2250"/>
  <c r="BP2251"/>
  <c r="BP2252"/>
  <c r="BP2253"/>
  <c r="BP2254"/>
  <c r="BP2255"/>
  <c r="BP2256"/>
  <c r="BP2257"/>
  <c r="BP2258"/>
  <c r="BP2259"/>
  <c r="BP2260"/>
  <c r="BP2264"/>
  <c r="BP2265"/>
  <c r="BP2266"/>
  <c r="BP2267"/>
  <c r="BP2268"/>
  <c r="BP2269"/>
  <c r="BP2270"/>
  <c r="BP2271"/>
  <c r="BP2272"/>
  <c r="BP2273"/>
  <c r="BP2274"/>
  <c r="BP2275"/>
  <c r="BP2276"/>
  <c r="BP2277"/>
  <c r="BP2278"/>
  <c r="BP2279"/>
  <c r="BP2280"/>
  <c r="BP2281"/>
  <c r="BP2282"/>
  <c r="BP2283"/>
  <c r="BP2284"/>
  <c r="BP2285"/>
  <c r="BP2286"/>
  <c r="BP2287"/>
  <c r="BP2288"/>
  <c r="BP2289"/>
  <c r="BP2290"/>
  <c r="BP2291"/>
  <c r="BP2292"/>
  <c r="BP2293"/>
  <c r="BP2294"/>
  <c r="BP2295"/>
  <c r="BP2296"/>
  <c r="BP2297"/>
  <c r="BP2298"/>
  <c r="BP2299"/>
  <c r="BP2300"/>
  <c r="BP2301"/>
  <c r="BP2302"/>
  <c r="BP2303"/>
  <c r="BP2304"/>
  <c r="BP2305"/>
  <c r="BP2306"/>
  <c r="BP2309"/>
  <c r="BP2312"/>
  <c r="BP2318"/>
  <c r="BP2322"/>
  <c r="BP2323"/>
  <c r="BP2324"/>
  <c r="BP2325"/>
  <c r="BP2326"/>
  <c r="BP2327"/>
  <c r="BP2328"/>
  <c r="BP2329"/>
  <c r="BP2330"/>
  <c r="BP2331"/>
  <c r="BP2332"/>
  <c r="BP2333"/>
  <c r="BP2334"/>
  <c r="BP2335"/>
  <c r="BP2336"/>
  <c r="BP2337"/>
  <c r="BP2338"/>
  <c r="BP2339"/>
  <c r="BP2340"/>
  <c r="BP2341"/>
  <c r="BP2342"/>
  <c r="BP2343"/>
  <c r="BP2344"/>
  <c r="BP2345"/>
  <c r="BP2346"/>
  <c r="BP2347"/>
  <c r="BP2348"/>
  <c r="BP2349"/>
  <c r="BP2350"/>
  <c r="BP2351"/>
  <c r="BP2352"/>
  <c r="BP2353"/>
  <c r="BP2354"/>
  <c r="BP2355"/>
  <c r="BP2356"/>
  <c r="BP2357"/>
  <c r="BP2358"/>
  <c r="BP2359"/>
  <c r="BP2360"/>
  <c r="BP2361"/>
  <c r="BP2362"/>
  <c r="BP2363"/>
  <c r="BP2364"/>
  <c r="BP2365"/>
  <c r="BP2366"/>
  <c r="BP2367"/>
  <c r="BP2368"/>
  <c r="BP2369"/>
  <c r="BP2370"/>
  <c r="BP2371"/>
  <c r="BP2372"/>
  <c r="BP2373"/>
  <c r="BP2374"/>
  <c r="BP2375"/>
  <c r="BP2380"/>
  <c r="BP2381"/>
  <c r="BP2382"/>
  <c r="BP2383"/>
  <c r="BP2384"/>
  <c r="BP2385"/>
  <c r="BP2386"/>
  <c r="BP2387"/>
  <c r="BP2388"/>
  <c r="BP2389"/>
  <c r="BP2390"/>
  <c r="BP2391"/>
  <c r="BP2392"/>
  <c r="BP2393"/>
  <c r="BP2394"/>
  <c r="BP2395"/>
  <c r="BP2396"/>
  <c r="BP2397"/>
  <c r="BP2398"/>
  <c r="BP2399"/>
  <c r="BP2400"/>
  <c r="BP2401"/>
  <c r="BP2402"/>
  <c r="BP2403"/>
  <c r="BP2404"/>
  <c r="BP2405"/>
  <c r="BP2406"/>
  <c r="BP2407"/>
  <c r="BP2408"/>
  <c r="BP2409"/>
  <c r="BP2410"/>
  <c r="BP2411"/>
  <c r="BP2412"/>
  <c r="BP2413"/>
  <c r="BP2414"/>
  <c r="BP2415"/>
  <c r="BP2416"/>
  <c r="BP2417"/>
  <c r="BP2418"/>
  <c r="BP2419"/>
  <c r="BP2421"/>
  <c r="BP2422"/>
  <c r="BP2423"/>
  <c r="BP2425"/>
  <c r="BP2427"/>
  <c r="BP2428"/>
  <c r="BP2429"/>
  <c r="BP2430"/>
  <c r="BP2431"/>
  <c r="BP2432"/>
  <c r="BP2433"/>
  <c r="BP2438"/>
  <c r="BP2439"/>
  <c r="BP2440"/>
  <c r="BP2441"/>
  <c r="BP2442"/>
  <c r="BP2443"/>
  <c r="BP2444"/>
  <c r="BP2445"/>
  <c r="BP2446"/>
  <c r="BP2447"/>
  <c r="BP2448"/>
  <c r="BP2449"/>
  <c r="BP2450"/>
  <c r="BP2451"/>
  <c r="BP2452"/>
  <c r="BP2453"/>
  <c r="BP2454"/>
  <c r="BP2455"/>
  <c r="BP2456"/>
  <c r="BP2457"/>
  <c r="BP2458"/>
  <c r="BP2459"/>
  <c r="BP2460"/>
  <c r="BP2461"/>
  <c r="BP2462"/>
  <c r="BP2463"/>
  <c r="BP2464"/>
  <c r="BP2465"/>
  <c r="BP2466"/>
  <c r="BP2467"/>
  <c r="BP2468"/>
  <c r="BP2469"/>
  <c r="BP2470"/>
  <c r="BP2471"/>
  <c r="BP2472"/>
  <c r="BP2473"/>
  <c r="BP2474"/>
  <c r="BP2475"/>
  <c r="BP2476"/>
  <c r="BP2477"/>
  <c r="BP2478"/>
  <c r="BP2479"/>
  <c r="BP2480"/>
  <c r="BP2486"/>
  <c r="BP2487"/>
  <c r="BP2488"/>
  <c r="BP2489"/>
  <c r="BP2490"/>
  <c r="BP2491"/>
  <c r="BP2492"/>
  <c r="BP2496"/>
  <c r="BP2497"/>
  <c r="BP2498"/>
  <c r="BP2499"/>
  <c r="BP2500"/>
  <c r="BP2501"/>
  <c r="BP2502"/>
  <c r="BP2503"/>
  <c r="BP2504"/>
  <c r="BP2505"/>
  <c r="BP2506"/>
  <c r="BP2507"/>
  <c r="BP2508"/>
  <c r="BP2509"/>
  <c r="BP2510"/>
  <c r="BP2511"/>
  <c r="BP2512"/>
  <c r="BP2513"/>
  <c r="BP2514"/>
  <c r="BP2515"/>
  <c r="BP2516"/>
  <c r="BP2517"/>
  <c r="BP2518"/>
  <c r="BP2519"/>
  <c r="BP2520"/>
  <c r="BP2521"/>
  <c r="BP2522"/>
  <c r="BP2523"/>
  <c r="BP2524"/>
  <c r="BP2525"/>
  <c r="BP2526"/>
  <c r="BP2527"/>
  <c r="BP2528"/>
  <c r="BP2529"/>
  <c r="BP2530"/>
  <c r="BP2531"/>
  <c r="BP2532"/>
  <c r="BP2535"/>
  <c r="BP2536"/>
  <c r="BP2537"/>
  <c r="BP2538"/>
  <c r="BP2549"/>
  <c r="BP2554"/>
  <c r="BP2555"/>
  <c r="BP2556"/>
  <c r="BP2557"/>
  <c r="BP2558"/>
  <c r="BP2559"/>
  <c r="BP2560"/>
  <c r="BP2561"/>
  <c r="BP2562"/>
  <c r="BP2563"/>
  <c r="BP2564"/>
  <c r="BP2565"/>
  <c r="BP2566"/>
  <c r="BP2567"/>
  <c r="BP2568"/>
  <c r="BP2569"/>
  <c r="BP2570"/>
  <c r="BP2571"/>
  <c r="BP2572"/>
  <c r="BP2573"/>
  <c r="BP2574"/>
  <c r="BP2575"/>
  <c r="BP2576"/>
  <c r="BP2577"/>
  <c r="BP2578"/>
  <c r="BP2579"/>
  <c r="BP2580"/>
  <c r="BP2581"/>
  <c r="BP2582"/>
  <c r="BP2583"/>
  <c r="BP2584"/>
  <c r="BP2585"/>
  <c r="BP2586"/>
  <c r="BP2587"/>
  <c r="BP2588"/>
  <c r="BP2589"/>
  <c r="BP2590"/>
  <c r="BP2591"/>
  <c r="BP2592"/>
  <c r="BP2593"/>
  <c r="BP2594"/>
  <c r="BP2595"/>
  <c r="BP2596"/>
  <c r="BP2607"/>
  <c r="BP2608"/>
  <c r="BP2612"/>
  <c r="BP2613"/>
  <c r="BP2614"/>
  <c r="BP2615"/>
  <c r="BP2616"/>
  <c r="BP2617"/>
  <c r="BP2618"/>
  <c r="BP2619"/>
  <c r="BP2620"/>
  <c r="BP2621"/>
  <c r="BP2622"/>
  <c r="BP2623"/>
  <c r="BP2624"/>
  <c r="BP2625"/>
  <c r="BP2626"/>
  <c r="BP2627"/>
  <c r="BP2628"/>
  <c r="BP2629"/>
  <c r="BP2630"/>
  <c r="BP2631"/>
  <c r="BP2632"/>
  <c r="BP2633"/>
  <c r="BP2634"/>
  <c r="BP2635"/>
  <c r="BP2636"/>
  <c r="BP2637"/>
  <c r="BP2638"/>
  <c r="BP2639"/>
  <c r="BP2640"/>
  <c r="BP2641"/>
  <c r="BP2642"/>
  <c r="BP2643"/>
  <c r="BP2644"/>
  <c r="BP2646"/>
  <c r="BP2647"/>
  <c r="BP2648"/>
  <c r="BP2654"/>
  <c r="BP2657"/>
  <c r="BP2665"/>
  <c r="BP2666"/>
  <c r="BP2670"/>
  <c r="BP2671"/>
  <c r="BP2672"/>
  <c r="BP2673"/>
  <c r="BP2674"/>
  <c r="BP2675"/>
  <c r="BP2676"/>
  <c r="BP2677"/>
  <c r="BP2678"/>
  <c r="BP2679"/>
  <c r="BP2680"/>
  <c r="BP2681"/>
  <c r="BP2682"/>
  <c r="BP2683"/>
  <c r="BP2684"/>
  <c r="BP2685"/>
  <c r="BP2686"/>
  <c r="BP2687"/>
  <c r="BP2688"/>
  <c r="BP2689"/>
  <c r="BP2690"/>
  <c r="BP2691"/>
  <c r="BP2692"/>
  <c r="BP2693"/>
  <c r="BP2694"/>
  <c r="BP2695"/>
  <c r="BP2696"/>
  <c r="BP2697"/>
  <c r="BP2698"/>
  <c r="BP2699"/>
  <c r="BP2700"/>
  <c r="BP2701"/>
  <c r="BP2702"/>
  <c r="BP2703"/>
  <c r="BP2704"/>
  <c r="BP2705"/>
  <c r="BP2706"/>
  <c r="BP2707"/>
  <c r="BP2708"/>
  <c r="BP2709"/>
  <c r="BP2710"/>
  <c r="BP2711"/>
  <c r="BP2712"/>
  <c r="BP2718"/>
  <c r="BP2719"/>
  <c r="BP2720"/>
  <c r="BP2721"/>
  <c r="BP2722"/>
  <c r="BP2723"/>
  <c r="BP2724"/>
  <c r="BP2728"/>
  <c r="BP2729"/>
  <c r="BP2730"/>
  <c r="BP2731"/>
  <c r="BP2732"/>
  <c r="BP2733"/>
  <c r="BP2734"/>
  <c r="BP2735"/>
  <c r="BP2736"/>
  <c r="BP2737"/>
  <c r="BP2738"/>
  <c r="BP2739"/>
  <c r="BP2740"/>
  <c r="BP2741"/>
  <c r="BP2742"/>
  <c r="BP2743"/>
  <c r="BP2744"/>
  <c r="BP2745"/>
  <c r="BP2746"/>
  <c r="BP2747"/>
  <c r="BP2748"/>
  <c r="BP2749"/>
  <c r="BP2750"/>
  <c r="BP2751"/>
  <c r="BP2752"/>
  <c r="BP2753"/>
  <c r="BP2754"/>
  <c r="BP2755"/>
  <c r="BP2756"/>
  <c r="BP2757"/>
  <c r="BP2758"/>
  <c r="BP2759"/>
  <c r="BP2760"/>
  <c r="BP2761"/>
  <c r="BP2762"/>
  <c r="BP2763"/>
  <c r="BP2764"/>
  <c r="BP2765"/>
  <c r="BP2766"/>
  <c r="BP2767"/>
  <c r="BP2768"/>
  <c r="BP2769"/>
  <c r="BP2770"/>
  <c r="BP2781"/>
  <c r="BO47"/>
  <c r="BO48"/>
  <c r="BO49"/>
  <c r="BO50"/>
  <c r="BO51"/>
  <c r="BO54"/>
  <c r="BO55"/>
  <c r="BO56"/>
  <c r="BO103"/>
  <c r="BO104"/>
  <c r="BO109"/>
  <c r="BO110"/>
  <c r="BO111"/>
  <c r="BO112"/>
  <c r="BO113"/>
  <c r="BO114"/>
  <c r="BO161"/>
  <c r="BO162"/>
  <c r="BO163"/>
  <c r="BO164"/>
  <c r="BO165"/>
  <c r="BO166"/>
  <c r="BO167"/>
  <c r="BO168"/>
  <c r="BO169"/>
  <c r="BO220"/>
  <c r="BO226"/>
  <c r="BO227"/>
  <c r="BO228"/>
  <c r="BO229"/>
  <c r="BO230"/>
  <c r="BO277"/>
  <c r="BO278"/>
  <c r="BO279"/>
  <c r="BO281"/>
  <c r="BO284"/>
  <c r="BO285"/>
  <c r="BO286"/>
  <c r="BO287"/>
  <c r="BO288"/>
  <c r="BO335"/>
  <c r="BO336"/>
  <c r="BO337"/>
  <c r="BO338"/>
  <c r="BO339"/>
  <c r="BO340"/>
  <c r="BO341"/>
  <c r="BO342"/>
  <c r="BO343"/>
  <c r="BO344"/>
  <c r="BO345"/>
  <c r="BO346"/>
  <c r="BO393"/>
  <c r="BO394"/>
  <c r="BO395"/>
  <c r="BO396"/>
  <c r="BO397"/>
  <c r="BO398"/>
  <c r="BO401"/>
  <c r="BO402"/>
  <c r="BO403"/>
  <c r="BO404"/>
  <c r="BO454"/>
  <c r="BO459"/>
  <c r="BO460"/>
  <c r="BO461"/>
  <c r="BO462"/>
  <c r="BO509"/>
  <c r="BO510"/>
  <c r="BO514"/>
  <c r="BO515"/>
  <c r="BO516"/>
  <c r="BO517"/>
  <c r="BO518"/>
  <c r="BO519"/>
  <c r="BO520"/>
  <c r="BO567"/>
  <c r="BO568"/>
  <c r="BO569"/>
  <c r="BO570"/>
  <c r="BO571"/>
  <c r="BO572"/>
  <c r="BO573"/>
  <c r="BO574"/>
  <c r="BO575"/>
  <c r="BO576"/>
  <c r="BO577"/>
  <c r="BO578"/>
  <c r="BO626"/>
  <c r="BO632"/>
  <c r="BO633"/>
  <c r="BO634"/>
  <c r="BO635"/>
  <c r="BO636"/>
  <c r="BO683"/>
  <c r="BO684"/>
  <c r="BO685"/>
  <c r="BO686"/>
  <c r="BO687"/>
  <c r="BO688"/>
  <c r="BO689"/>
  <c r="BO690"/>
  <c r="BO691"/>
  <c r="BO692"/>
  <c r="BO693"/>
  <c r="BO694"/>
  <c r="BO741"/>
  <c r="BO742"/>
  <c r="BO743"/>
  <c r="BO744"/>
  <c r="BO745"/>
  <c r="BO746"/>
  <c r="BO747"/>
  <c r="BO748"/>
  <c r="BO749"/>
  <c r="BO750"/>
  <c r="BO751"/>
  <c r="BO752"/>
  <c r="BO801"/>
  <c r="BO802"/>
  <c r="BO803"/>
  <c r="BO804"/>
  <c r="BO805"/>
  <c r="BO806"/>
  <c r="BO807"/>
  <c r="BO808"/>
  <c r="BO809"/>
  <c r="BO810"/>
  <c r="BO857"/>
  <c r="BO858"/>
  <c r="BO859"/>
  <c r="BO860"/>
  <c r="BO862"/>
  <c r="BO863"/>
  <c r="BO864"/>
  <c r="BO865"/>
  <c r="BO866"/>
  <c r="BO867"/>
  <c r="BO868"/>
  <c r="BO916"/>
  <c r="BO917"/>
  <c r="BO918"/>
  <c r="BO919"/>
  <c r="BO922"/>
  <c r="BO923"/>
  <c r="BO924"/>
  <c r="BO925"/>
  <c r="BO926"/>
  <c r="BO973"/>
  <c r="BO974"/>
  <c r="BO975"/>
  <c r="BO976"/>
  <c r="BO977"/>
  <c r="BO978"/>
  <c r="BO979"/>
  <c r="BO980"/>
  <c r="BO981"/>
  <c r="BO982"/>
  <c r="BO983"/>
  <c r="BO984"/>
  <c r="BO1031"/>
  <c r="BO1032"/>
  <c r="BO1033"/>
  <c r="BO1034"/>
  <c r="BO1035"/>
  <c r="BO1036"/>
  <c r="BO1037"/>
  <c r="BO1038"/>
  <c r="BO1039"/>
  <c r="BO1040"/>
  <c r="BO1041"/>
  <c r="BO1042"/>
  <c r="BO1094"/>
  <c r="BO1095"/>
  <c r="BO1096"/>
  <c r="BO1097"/>
  <c r="BO1098"/>
  <c r="BO1099"/>
  <c r="BO1145"/>
  <c r="BO1146"/>
  <c r="BO1147"/>
  <c r="BO1151"/>
  <c r="BO1152"/>
  <c r="BO1153"/>
  <c r="BO1154"/>
  <c r="BO1155"/>
  <c r="BO1156"/>
  <c r="BO1157"/>
  <c r="BO1158"/>
  <c r="BO1205"/>
  <c r="BO1206"/>
  <c r="BO1207"/>
  <c r="BO1208"/>
  <c r="BO1209"/>
  <c r="BO1210"/>
  <c r="BO1211"/>
  <c r="BO1212"/>
  <c r="BO1213"/>
  <c r="BO1214"/>
  <c r="BO1215"/>
  <c r="BO1216"/>
  <c r="BO1261"/>
  <c r="BO1262"/>
  <c r="BO1263"/>
  <c r="BO1264"/>
  <c r="BO1265"/>
  <c r="BO1266"/>
  <c r="BO1267"/>
  <c r="BO1268"/>
  <c r="BO1269"/>
  <c r="BO1270"/>
  <c r="BO1271"/>
  <c r="BO1272"/>
  <c r="BO1273"/>
  <c r="BO1274"/>
  <c r="BO1327"/>
  <c r="BO1328"/>
  <c r="BO1329"/>
  <c r="BO1330"/>
  <c r="BO1331"/>
  <c r="BO1332"/>
  <c r="BO1379"/>
  <c r="BO1380"/>
  <c r="BO1381"/>
  <c r="BO1382"/>
  <c r="BO1383"/>
  <c r="BO1384"/>
  <c r="BO1385"/>
  <c r="BO1386"/>
  <c r="BO1387"/>
  <c r="BO1388"/>
  <c r="BO1389"/>
  <c r="BO1390"/>
  <c r="BO1437"/>
  <c r="BO1438"/>
  <c r="BO1439"/>
  <c r="BO1440"/>
  <c r="BO1441"/>
  <c r="BO1442"/>
  <c r="BO1443"/>
  <c r="BO1444"/>
  <c r="BO1445"/>
  <c r="BO1446"/>
  <c r="BO1447"/>
  <c r="BO1448"/>
  <c r="BO1495"/>
  <c r="BO1496"/>
  <c r="BO1497"/>
  <c r="BO1498"/>
  <c r="BO1499"/>
  <c r="BO1500"/>
  <c r="BO1501"/>
  <c r="BO1502"/>
  <c r="BO1503"/>
  <c r="BO1504"/>
  <c r="BO1505"/>
  <c r="BO1506"/>
  <c r="BO1553"/>
  <c r="BO1554"/>
  <c r="BO1556"/>
  <c r="BO1557"/>
  <c r="BO1558"/>
  <c r="BO1560"/>
  <c r="BO1561"/>
  <c r="BO1562"/>
  <c r="BO1563"/>
  <c r="BO1564"/>
  <c r="BO1621"/>
  <c r="BO1622"/>
  <c r="BO1669"/>
  <c r="BO1670"/>
  <c r="BO1671"/>
  <c r="BO1672"/>
  <c r="BO1673"/>
  <c r="BO1674"/>
  <c r="BO1675"/>
  <c r="BO1676"/>
  <c r="BO1677"/>
  <c r="BO1678"/>
  <c r="BO1679"/>
  <c r="BO1680"/>
  <c r="BO1725"/>
  <c r="BO1726"/>
  <c r="BO1727"/>
  <c r="BO1728"/>
  <c r="BO1729"/>
  <c r="BO1730"/>
  <c r="BO1731"/>
  <c r="BO1732"/>
  <c r="BO1733"/>
  <c r="BO1734"/>
  <c r="BO1735"/>
  <c r="BO1736"/>
  <c r="BO1737"/>
  <c r="BO1738"/>
  <c r="BO1783"/>
  <c r="BO1784"/>
  <c r="BO1785"/>
  <c r="BO1786"/>
  <c r="BO1787"/>
  <c r="BO1788"/>
  <c r="BO1789"/>
  <c r="BO1790"/>
  <c r="BO1791"/>
  <c r="BO1792"/>
  <c r="BO1793"/>
  <c r="BO1794"/>
  <c r="BO1795"/>
  <c r="BO1796"/>
  <c r="BO1843"/>
  <c r="BO1844"/>
  <c r="BO1845"/>
  <c r="BO1846"/>
  <c r="BO1847"/>
  <c r="BO1848"/>
  <c r="BO1849"/>
  <c r="BO1850"/>
  <c r="BO1851"/>
  <c r="BO1852"/>
  <c r="BO1853"/>
  <c r="BO1854"/>
  <c r="BO1901"/>
  <c r="BO1902"/>
  <c r="BO1903"/>
  <c r="BO1904"/>
  <c r="BO1905"/>
  <c r="BO1906"/>
  <c r="BO1907"/>
  <c r="BO1908"/>
  <c r="BO1909"/>
  <c r="BO1910"/>
  <c r="BO1911"/>
  <c r="BO1912"/>
  <c r="BO1959"/>
  <c r="BO1960"/>
  <c r="BO1961"/>
  <c r="BO1962"/>
  <c r="BO1963"/>
  <c r="BO1964"/>
  <c r="BO1965"/>
  <c r="BO1966"/>
  <c r="BO1967"/>
  <c r="BO1968"/>
  <c r="BO1969"/>
  <c r="BO1970"/>
  <c r="BO2017"/>
  <c r="BO2018"/>
  <c r="BO2019"/>
  <c r="BO2020"/>
  <c r="BO2021"/>
  <c r="BO2022"/>
  <c r="BO2023"/>
  <c r="BO2024"/>
  <c r="BO2025"/>
  <c r="BO2026"/>
  <c r="BO2027"/>
  <c r="BO2028"/>
  <c r="BO2075"/>
  <c r="BO2076"/>
  <c r="BO2077"/>
  <c r="BO2078"/>
  <c r="BO2079"/>
  <c r="BO2080"/>
  <c r="BO2081"/>
  <c r="BO2082"/>
  <c r="BO2083"/>
  <c r="BO2084"/>
  <c r="BO2085"/>
  <c r="BO2086"/>
  <c r="BO2138"/>
  <c r="BO2139"/>
  <c r="BO2140"/>
  <c r="BO2141"/>
  <c r="BO2142"/>
  <c r="BO2143"/>
  <c r="BO2144"/>
  <c r="BO2191"/>
  <c r="BO2192"/>
  <c r="BO2193"/>
  <c r="BO2194"/>
  <c r="BO2195"/>
  <c r="BO2196"/>
  <c r="BO2197"/>
  <c r="BO2198"/>
  <c r="BO2199"/>
  <c r="BO2200"/>
  <c r="BO2201"/>
  <c r="BO2202"/>
  <c r="BO2247"/>
  <c r="BO2248"/>
  <c r="BO2249"/>
  <c r="BO2250"/>
  <c r="BO2251"/>
  <c r="BO2252"/>
  <c r="BO2253"/>
  <c r="BO2254"/>
  <c r="BO2255"/>
  <c r="BO2256"/>
  <c r="BO2257"/>
  <c r="BO2258"/>
  <c r="BO2259"/>
  <c r="BO2260"/>
  <c r="BO2307"/>
  <c r="BO2308"/>
  <c r="BO2309"/>
  <c r="BO2310"/>
  <c r="BO2311"/>
  <c r="BO2313"/>
  <c r="BO2314"/>
  <c r="BO2315"/>
  <c r="BO2316"/>
  <c r="BO2317"/>
  <c r="BO2318"/>
  <c r="BO2363"/>
  <c r="BO2364"/>
  <c r="BO2365"/>
  <c r="BO2366"/>
  <c r="BO2367"/>
  <c r="BO2368"/>
  <c r="BO2369"/>
  <c r="BO2370"/>
  <c r="BO2371"/>
  <c r="BO2372"/>
  <c r="BO2373"/>
  <c r="BO2374"/>
  <c r="BO2375"/>
  <c r="BO2376"/>
  <c r="BO2424"/>
  <c r="BO2430"/>
  <c r="BO2431"/>
  <c r="BO2432"/>
  <c r="BO2433"/>
  <c r="BO2434"/>
  <c r="BO2481"/>
  <c r="BO2482"/>
  <c r="BO2483"/>
  <c r="BO2484"/>
  <c r="BO2485"/>
  <c r="BO2486"/>
  <c r="BO2487"/>
  <c r="BO2488"/>
  <c r="BO2489"/>
  <c r="BO2490"/>
  <c r="BO2491"/>
  <c r="BO2492"/>
  <c r="BO2539"/>
  <c r="BO2540"/>
  <c r="BO2541"/>
  <c r="BO2542"/>
  <c r="BO2543"/>
  <c r="BO2544"/>
  <c r="BO2545"/>
  <c r="BO2546"/>
  <c r="BO2547"/>
  <c r="BO2548"/>
  <c r="BO2549"/>
  <c r="BO2550"/>
  <c r="BO2597"/>
  <c r="BO2598"/>
  <c r="BO2599"/>
  <c r="BO2600"/>
  <c r="BO2601"/>
  <c r="BO2602"/>
  <c r="BO2603"/>
  <c r="BO2604"/>
  <c r="BO2605"/>
  <c r="BO2606"/>
  <c r="BO2607"/>
  <c r="BO2608"/>
  <c r="BO2655"/>
  <c r="BO2656"/>
  <c r="BO2657"/>
  <c r="BO2658"/>
  <c r="BO2659"/>
  <c r="BO2660"/>
  <c r="BO2661"/>
  <c r="BO2662"/>
  <c r="BO2663"/>
  <c r="BO2664"/>
  <c r="BO2665"/>
  <c r="BO2666"/>
  <c r="BO2713"/>
  <c r="BO2714"/>
  <c r="BO2715"/>
  <c r="BO2716"/>
  <c r="BO2717"/>
  <c r="BO2718"/>
  <c r="BO2719"/>
  <c r="BO2720"/>
  <c r="BO2721"/>
  <c r="BO2722"/>
  <c r="BO2723"/>
  <c r="BO2724"/>
  <c r="BO2771"/>
  <c r="BO2772"/>
  <c r="BO2773"/>
  <c r="BO2774"/>
  <c r="BO2775"/>
  <c r="BO2776"/>
  <c r="BO2777"/>
  <c r="BO2778"/>
  <c r="BO2779"/>
  <c r="BO2780"/>
  <c r="BO2781"/>
  <c r="BO2782"/>
  <c r="BN2"/>
  <c r="BN3"/>
  <c r="BN4"/>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2"/>
  <c r="BN55"/>
  <c r="BN56"/>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100"/>
  <c r="BN101"/>
  <c r="BN102"/>
  <c r="BN105"/>
  <c r="BN106"/>
  <c r="BN107"/>
  <c r="BN113"/>
  <c r="BN114"/>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2"/>
  <c r="BN153"/>
  <c r="BN154"/>
  <c r="BN155"/>
  <c r="BN157"/>
  <c r="BN164"/>
  <c r="BN172"/>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9"/>
  <c r="BN221"/>
  <c r="BN222"/>
  <c r="BN223"/>
  <c r="BN224"/>
  <c r="BN225"/>
  <c r="BN226"/>
  <c r="BN227"/>
  <c r="BN228"/>
  <c r="BN229"/>
  <c r="BN230"/>
  <c r="BN234"/>
  <c r="BN235"/>
  <c r="BN236"/>
  <c r="BN237"/>
  <c r="BN238"/>
  <c r="BN239"/>
  <c r="BN240"/>
  <c r="BN241"/>
  <c r="BN242"/>
  <c r="BN243"/>
  <c r="BN244"/>
  <c r="BN245"/>
  <c r="BN246"/>
  <c r="BN247"/>
  <c r="BN248"/>
  <c r="BN249"/>
  <c r="BN250"/>
  <c r="BN251"/>
  <c r="BN252"/>
  <c r="BN253"/>
  <c r="BN254"/>
  <c r="BN255"/>
  <c r="BN257"/>
  <c r="BN258"/>
  <c r="BN259"/>
  <c r="BN260"/>
  <c r="BN261"/>
  <c r="BN263"/>
  <c r="BN264"/>
  <c r="BN265"/>
  <c r="BN266"/>
  <c r="BN267"/>
  <c r="BN268"/>
  <c r="BN269"/>
  <c r="BN270"/>
  <c r="BN271"/>
  <c r="BN272"/>
  <c r="BN273"/>
  <c r="BN274"/>
  <c r="BN282"/>
  <c r="BN283"/>
  <c r="BN285"/>
  <c r="BN286"/>
  <c r="BN287"/>
  <c r="BN292"/>
  <c r="BN293"/>
  <c r="BN294"/>
  <c r="BN295"/>
  <c r="BN296"/>
  <c r="BN297"/>
  <c r="BN298"/>
  <c r="BN299"/>
  <c r="BN300"/>
  <c r="BN301"/>
  <c r="BN302"/>
  <c r="BN303"/>
  <c r="BN304"/>
  <c r="BN305"/>
  <c r="BN306"/>
  <c r="BN307"/>
  <c r="BN308"/>
  <c r="BN309"/>
  <c r="BN310"/>
  <c r="BN311"/>
  <c r="BN312"/>
  <c r="BN313"/>
  <c r="BN314"/>
  <c r="BN315"/>
  <c r="BN316"/>
  <c r="BN317"/>
  <c r="BN318"/>
  <c r="BN319"/>
  <c r="BN320"/>
  <c r="BN321"/>
  <c r="BN322"/>
  <c r="BN323"/>
  <c r="BN324"/>
  <c r="BN325"/>
  <c r="BN326"/>
  <c r="BN327"/>
  <c r="BN328"/>
  <c r="BN329"/>
  <c r="BN330"/>
  <c r="BN331"/>
  <c r="BN332"/>
  <c r="BN333"/>
  <c r="BN334"/>
  <c r="BN335"/>
  <c r="BN336"/>
  <c r="BN337"/>
  <c r="BN338"/>
  <c r="BN339"/>
  <c r="BN340"/>
  <c r="BN341"/>
  <c r="BN342"/>
  <c r="BN343"/>
  <c r="BN344"/>
  <c r="BN345"/>
  <c r="BN346"/>
  <c r="BN350"/>
  <c r="BN351"/>
  <c r="BN352"/>
  <c r="BN353"/>
  <c r="BN354"/>
  <c r="BN355"/>
  <c r="BN356"/>
  <c r="BN357"/>
  <c r="BN358"/>
  <c r="BN359"/>
  <c r="BN360"/>
  <c r="BN361"/>
  <c r="BN362"/>
  <c r="BN363"/>
  <c r="BN364"/>
  <c r="BN365"/>
  <c r="BN366"/>
  <c r="BN367"/>
  <c r="BN368"/>
  <c r="BN369"/>
  <c r="BN370"/>
  <c r="BN371"/>
  <c r="BN372"/>
  <c r="BN373"/>
  <c r="BN374"/>
  <c r="BN375"/>
  <c r="BN376"/>
  <c r="BN377"/>
  <c r="BN378"/>
  <c r="BN379"/>
  <c r="BN380"/>
  <c r="BN381"/>
  <c r="BN382"/>
  <c r="BN383"/>
  <c r="BN384"/>
  <c r="BN385"/>
  <c r="BN401"/>
  <c r="BN402"/>
  <c r="BN403"/>
  <c r="BN404"/>
  <c r="BN408"/>
  <c r="BN409"/>
  <c r="BN410"/>
  <c r="BN411"/>
  <c r="BN412"/>
  <c r="BN413"/>
  <c r="BN414"/>
  <c r="BN415"/>
  <c r="BN416"/>
  <c r="BN417"/>
  <c r="BN418"/>
  <c r="BN419"/>
  <c r="BN420"/>
  <c r="BN421"/>
  <c r="BN422"/>
  <c r="BN423"/>
  <c r="BN424"/>
  <c r="BN425"/>
  <c r="BN426"/>
  <c r="BN427"/>
  <c r="BN428"/>
  <c r="BN429"/>
  <c r="BN430"/>
  <c r="BN431"/>
  <c r="BN432"/>
  <c r="BN433"/>
  <c r="BN434"/>
  <c r="BN435"/>
  <c r="BN436"/>
  <c r="BN437"/>
  <c r="BN438"/>
  <c r="BN439"/>
  <c r="BN440"/>
  <c r="BN441"/>
  <c r="BN442"/>
  <c r="BN443"/>
  <c r="BN444"/>
  <c r="BN445"/>
  <c r="BN446"/>
  <c r="BN447"/>
  <c r="BN448"/>
  <c r="BN457"/>
  <c r="BN460"/>
  <c r="BN461"/>
  <c r="BN462"/>
  <c r="BN466"/>
  <c r="BN467"/>
  <c r="BN468"/>
  <c r="BN469"/>
  <c r="BN470"/>
  <c r="BN471"/>
  <c r="BN472"/>
  <c r="BN473"/>
  <c r="BN474"/>
  <c r="BN475"/>
  <c r="BN476"/>
  <c r="BN477"/>
  <c r="BN478"/>
  <c r="BN479"/>
  <c r="BN480"/>
  <c r="BN481"/>
  <c r="BN482"/>
  <c r="BN483"/>
  <c r="BN484"/>
  <c r="BN485"/>
  <c r="BN486"/>
  <c r="BN487"/>
  <c r="BN488"/>
  <c r="BN489"/>
  <c r="BN490"/>
  <c r="BN491"/>
  <c r="BN492"/>
  <c r="BN493"/>
  <c r="BN494"/>
  <c r="BN495"/>
  <c r="BN496"/>
  <c r="BN497"/>
  <c r="BN499"/>
  <c r="BN500"/>
  <c r="BN504"/>
  <c r="BN505"/>
  <c r="BN507"/>
  <c r="BN508"/>
  <c r="BN509"/>
  <c r="BN510"/>
  <c r="BN511"/>
  <c r="BN514"/>
  <c r="BN515"/>
  <c r="BN516"/>
  <c r="BN517"/>
  <c r="BN518"/>
  <c r="BN519"/>
  <c r="BN520"/>
  <c r="BN524"/>
  <c r="BN525"/>
  <c r="BN526"/>
  <c r="BN527"/>
  <c r="BN528"/>
  <c r="BN529"/>
  <c r="BN530"/>
  <c r="BN531"/>
  <c r="BN532"/>
  <c r="BN533"/>
  <c r="BN534"/>
  <c r="BN535"/>
  <c r="BN536"/>
  <c r="BN537"/>
  <c r="BN538"/>
  <c r="BN539"/>
  <c r="BN540"/>
  <c r="BN541"/>
  <c r="BN542"/>
  <c r="BN543"/>
  <c r="BN544"/>
  <c r="BN545"/>
  <c r="BN546"/>
  <c r="BN547"/>
  <c r="BN548"/>
  <c r="BN549"/>
  <c r="BN550"/>
  <c r="BN551"/>
  <c r="BN552"/>
  <c r="BN553"/>
  <c r="BN554"/>
  <c r="BN555"/>
  <c r="BN556"/>
  <c r="BN558"/>
  <c r="BN559"/>
  <c r="BN574"/>
  <c r="BN575"/>
  <c r="BN576"/>
  <c r="BN577"/>
  <c r="BN582"/>
  <c r="BN583"/>
  <c r="BN584"/>
  <c r="BN585"/>
  <c r="BN586"/>
  <c r="BN587"/>
  <c r="BN588"/>
  <c r="BN589"/>
  <c r="BN590"/>
  <c r="BN591"/>
  <c r="BN592"/>
  <c r="BN593"/>
  <c r="BN594"/>
  <c r="BN595"/>
  <c r="BN596"/>
  <c r="BN597"/>
  <c r="BN598"/>
  <c r="BN599"/>
  <c r="BN600"/>
  <c r="BN601"/>
  <c r="BN602"/>
  <c r="BN603"/>
  <c r="BN604"/>
  <c r="BN605"/>
  <c r="BN606"/>
  <c r="BN613"/>
  <c r="BN614"/>
  <c r="BN615"/>
  <c r="BN616"/>
  <c r="BN618"/>
  <c r="BN619"/>
  <c r="BN620"/>
  <c r="BN621"/>
  <c r="BN622"/>
  <c r="BN623"/>
  <c r="BN624"/>
  <c r="BN625"/>
  <c r="BN630"/>
  <c r="BN631"/>
  <c r="BN632"/>
  <c r="BN633"/>
  <c r="BN634"/>
  <c r="BN635"/>
  <c r="BN636"/>
  <c r="BN640"/>
  <c r="BN641"/>
  <c r="BN642"/>
  <c r="BN643"/>
  <c r="BN644"/>
  <c r="BN645"/>
  <c r="BN646"/>
  <c r="BN647"/>
  <c r="BN648"/>
  <c r="BN649"/>
  <c r="BN650"/>
  <c r="BN651"/>
  <c r="BN652"/>
  <c r="BN653"/>
  <c r="BN654"/>
  <c r="BN655"/>
  <c r="BN656"/>
  <c r="BN657"/>
  <c r="BN658"/>
  <c r="BN659"/>
  <c r="BN660"/>
  <c r="BN661"/>
  <c r="BN662"/>
  <c r="BN663"/>
  <c r="BN664"/>
  <c r="BN665"/>
  <c r="BN666"/>
  <c r="BN667"/>
  <c r="BN668"/>
  <c r="BN669"/>
  <c r="BN670"/>
  <c r="BN671"/>
  <c r="BN672"/>
  <c r="BN673"/>
  <c r="BN674"/>
  <c r="BN675"/>
  <c r="BN676"/>
  <c r="BN677"/>
  <c r="BN678"/>
  <c r="BN679"/>
  <c r="BN680"/>
  <c r="BN681"/>
  <c r="BN682"/>
  <c r="BN690"/>
  <c r="BN691"/>
  <c r="BN692"/>
  <c r="BN693"/>
  <c r="BN694"/>
  <c r="BN698"/>
  <c r="BN699"/>
  <c r="BN700"/>
  <c r="BN701"/>
  <c r="BN702"/>
  <c r="BN703"/>
  <c r="BN704"/>
  <c r="BN705"/>
  <c r="BN706"/>
  <c r="BN707"/>
  <c r="BN708"/>
  <c r="BN709"/>
  <c r="BN710"/>
  <c r="BN711"/>
  <c r="BN712"/>
  <c r="BN713"/>
  <c r="BN714"/>
  <c r="BN715"/>
  <c r="BN716"/>
  <c r="BN717"/>
  <c r="BN718"/>
  <c r="BN719"/>
  <c r="BN720"/>
  <c r="BN721"/>
  <c r="BN722"/>
  <c r="BN723"/>
  <c r="BN724"/>
  <c r="BN729"/>
  <c r="BN731"/>
  <c r="BN747"/>
  <c r="BN749"/>
  <c r="BN750"/>
  <c r="BN751"/>
  <c r="BN752"/>
  <c r="BN756"/>
  <c r="BN757"/>
  <c r="BN758"/>
  <c r="BN759"/>
  <c r="BN760"/>
  <c r="BN761"/>
  <c r="BN762"/>
  <c r="BN763"/>
  <c r="BN764"/>
  <c r="BN765"/>
  <c r="BN766"/>
  <c r="BN767"/>
  <c r="BN768"/>
  <c r="BN769"/>
  <c r="BN770"/>
  <c r="BN771"/>
  <c r="BN772"/>
  <c r="BN773"/>
  <c r="BN774"/>
  <c r="BN775"/>
  <c r="BN776"/>
  <c r="BN777"/>
  <c r="BN778"/>
  <c r="BN779"/>
  <c r="BN780"/>
  <c r="BN781"/>
  <c r="BN782"/>
  <c r="BN783"/>
  <c r="BN784"/>
  <c r="BN785"/>
  <c r="BN786"/>
  <c r="BN787"/>
  <c r="BN788"/>
  <c r="BN789"/>
  <c r="BN790"/>
  <c r="BN791"/>
  <c r="BN792"/>
  <c r="BN793"/>
  <c r="BN794"/>
  <c r="BN795"/>
  <c r="BN796"/>
  <c r="BN797"/>
  <c r="BN814"/>
  <c r="BN815"/>
  <c r="BN816"/>
  <c r="BN817"/>
  <c r="BN818"/>
  <c r="BN819"/>
  <c r="BN820"/>
  <c r="BN821"/>
  <c r="BN822"/>
  <c r="BN823"/>
  <c r="BN824"/>
  <c r="BN825"/>
  <c r="BN826"/>
  <c r="BN827"/>
  <c r="BN828"/>
  <c r="BN829"/>
  <c r="BN830"/>
  <c r="BN831"/>
  <c r="BN832"/>
  <c r="BN833"/>
  <c r="BN834"/>
  <c r="BN835"/>
  <c r="BN836"/>
  <c r="BN837"/>
  <c r="BN838"/>
  <c r="BN839"/>
  <c r="BN840"/>
  <c r="BN841"/>
  <c r="BN842"/>
  <c r="BN843"/>
  <c r="BN844"/>
  <c r="BN845"/>
  <c r="BN846"/>
  <c r="BN847"/>
  <c r="BN848"/>
  <c r="BN849"/>
  <c r="BN850"/>
  <c r="BN851"/>
  <c r="BN852"/>
  <c r="BN853"/>
  <c r="BN854"/>
  <c r="BN855"/>
  <c r="BN856"/>
  <c r="BN864"/>
  <c r="BN865"/>
  <c r="BN866"/>
  <c r="BN867"/>
  <c r="BN868"/>
  <c r="BN872"/>
  <c r="BN873"/>
  <c r="BN874"/>
  <c r="BN875"/>
  <c r="BN876"/>
  <c r="BN877"/>
  <c r="BN878"/>
  <c r="BN879"/>
  <c r="BN880"/>
  <c r="BN881"/>
  <c r="BN882"/>
  <c r="BN883"/>
  <c r="BN884"/>
  <c r="BN885"/>
  <c r="BN886"/>
  <c r="BN887"/>
  <c r="BN888"/>
  <c r="BN889"/>
  <c r="BN890"/>
  <c r="BN891"/>
  <c r="BN892"/>
  <c r="BN893"/>
  <c r="BN894"/>
  <c r="BN895"/>
  <c r="BN896"/>
  <c r="BN897"/>
  <c r="BN898"/>
  <c r="BN899"/>
  <c r="BN900"/>
  <c r="BN901"/>
  <c r="BN902"/>
  <c r="BN903"/>
  <c r="BN904"/>
  <c r="BN905"/>
  <c r="BN906"/>
  <c r="BN907"/>
  <c r="BN908"/>
  <c r="BN909"/>
  <c r="BN910"/>
  <c r="BN911"/>
  <c r="BN912"/>
  <c r="BN913"/>
  <c r="BN920"/>
  <c r="BN921"/>
  <c r="BN923"/>
  <c r="BN925"/>
  <c r="BN930"/>
  <c r="BN931"/>
  <c r="BN932"/>
  <c r="BN933"/>
  <c r="BN934"/>
  <c r="BN935"/>
  <c r="BN936"/>
  <c r="BN937"/>
  <c r="BN938"/>
  <c r="BN939"/>
  <c r="BN940"/>
  <c r="BN941"/>
  <c r="BN942"/>
  <c r="BN943"/>
  <c r="BN944"/>
  <c r="BN945"/>
  <c r="BN946"/>
  <c r="BN947"/>
  <c r="BN948"/>
  <c r="BN949"/>
  <c r="BN950"/>
  <c r="BN951"/>
  <c r="BN952"/>
  <c r="BN953"/>
  <c r="BN954"/>
  <c r="BN955"/>
  <c r="BN956"/>
  <c r="BN957"/>
  <c r="BN958"/>
  <c r="BN959"/>
  <c r="BN960"/>
  <c r="BN961"/>
  <c r="BN962"/>
  <c r="BN963"/>
  <c r="BN964"/>
  <c r="BN965"/>
  <c r="BN967"/>
  <c r="BN976"/>
  <c r="BN977"/>
  <c r="BN978"/>
  <c r="BN979"/>
  <c r="BN980"/>
  <c r="BN981"/>
  <c r="BN982"/>
  <c r="BN983"/>
  <c r="BN984"/>
  <c r="BN988"/>
  <c r="BN989"/>
  <c r="BN990"/>
  <c r="BN991"/>
  <c r="BN992"/>
  <c r="BN993"/>
  <c r="BN994"/>
  <c r="BN995"/>
  <c r="BN996"/>
  <c r="BN997"/>
  <c r="BN998"/>
  <c r="BN999"/>
  <c r="BN1000"/>
  <c r="BN1001"/>
  <c r="BN1002"/>
  <c r="BN1003"/>
  <c r="BN1004"/>
  <c r="BN1005"/>
  <c r="BN1006"/>
  <c r="BN1007"/>
  <c r="BN1008"/>
  <c r="BN1009"/>
  <c r="BN1010"/>
  <c r="BN1011"/>
  <c r="BN1012"/>
  <c r="BN1013"/>
  <c r="BN1014"/>
  <c r="BN1015"/>
  <c r="BN1016"/>
  <c r="BN1017"/>
  <c r="BN1018"/>
  <c r="BN1019"/>
  <c r="BN1020"/>
  <c r="BN1021"/>
  <c r="BN1022"/>
  <c r="BN1023"/>
  <c r="BN1025"/>
  <c r="BN1036"/>
  <c r="BN1040"/>
  <c r="BN1041"/>
  <c r="BN1046"/>
  <c r="BN1047"/>
  <c r="BN1048"/>
  <c r="BN1049"/>
  <c r="BN1050"/>
  <c r="BN1051"/>
  <c r="BN1052"/>
  <c r="BN1053"/>
  <c r="BN1054"/>
  <c r="BN1055"/>
  <c r="BN1056"/>
  <c r="BN1057"/>
  <c r="BN1058"/>
  <c r="BN1059"/>
  <c r="BN1060"/>
  <c r="BN1061"/>
  <c r="BN1062"/>
  <c r="BN1063"/>
  <c r="BN1064"/>
  <c r="BN1065"/>
  <c r="BN1066"/>
  <c r="BN1067"/>
  <c r="BN1068"/>
  <c r="BN1069"/>
  <c r="BN1070"/>
  <c r="BN1071"/>
  <c r="BN1072"/>
  <c r="BN1073"/>
  <c r="BN1074"/>
  <c r="BN1075"/>
  <c r="BN1076"/>
  <c r="BN1077"/>
  <c r="BN1078"/>
  <c r="BN1079"/>
  <c r="BN1080"/>
  <c r="BN1081"/>
  <c r="BN1082"/>
  <c r="BN1083"/>
  <c r="BN1084"/>
  <c r="BN1085"/>
  <c r="BN1086"/>
  <c r="BN1087"/>
  <c r="BN1089"/>
  <c r="BN1094"/>
  <c r="BN1095"/>
  <c r="BN1096"/>
  <c r="BN1097"/>
  <c r="BN1099"/>
  <c r="BN1104"/>
  <c r="BN1105"/>
  <c r="BN1106"/>
  <c r="BN1107"/>
  <c r="BN1108"/>
  <c r="BN1109"/>
  <c r="BN1110"/>
  <c r="BN1111"/>
  <c r="BN1112"/>
  <c r="BN1113"/>
  <c r="BN1114"/>
  <c r="BN1115"/>
  <c r="BN1116"/>
  <c r="BN1117"/>
  <c r="BN1118"/>
  <c r="BN1119"/>
  <c r="BN1120"/>
  <c r="BN1121"/>
  <c r="BN1122"/>
  <c r="BN1123"/>
  <c r="BN1124"/>
  <c r="BN1125"/>
  <c r="BN1126"/>
  <c r="BN1127"/>
  <c r="BN1128"/>
  <c r="BN1129"/>
  <c r="BN1130"/>
  <c r="BN1131"/>
  <c r="BN1132"/>
  <c r="BN1133"/>
  <c r="BN1134"/>
  <c r="BN1135"/>
  <c r="BN1136"/>
  <c r="BN1137"/>
  <c r="BN1138"/>
  <c r="BN1139"/>
  <c r="BN1140"/>
  <c r="BN1141"/>
  <c r="BN1143"/>
  <c r="BN1144"/>
  <c r="BN1145"/>
  <c r="BN1146"/>
  <c r="BN1148"/>
  <c r="BN1151"/>
  <c r="BN1152"/>
  <c r="BN1153"/>
  <c r="BN1154"/>
  <c r="BN1155"/>
  <c r="BN1156"/>
  <c r="BN1157"/>
  <c r="BN1158"/>
  <c r="BN1162"/>
  <c r="BN1163"/>
  <c r="BN1164"/>
  <c r="BN1165"/>
  <c r="BN1166"/>
  <c r="BN1167"/>
  <c r="BN1168"/>
  <c r="BN1169"/>
  <c r="BN1170"/>
  <c r="BN1171"/>
  <c r="BN1172"/>
  <c r="BN1173"/>
  <c r="BN1174"/>
  <c r="BN1175"/>
  <c r="BN1176"/>
  <c r="BN1177"/>
  <c r="BN1178"/>
  <c r="BN1179"/>
  <c r="BN1180"/>
  <c r="BN1181"/>
  <c r="BN1182"/>
  <c r="BN1183"/>
  <c r="BN1184"/>
  <c r="BN1185"/>
  <c r="BN1186"/>
  <c r="BN1187"/>
  <c r="BN1188"/>
  <c r="BN1189"/>
  <c r="BN1190"/>
  <c r="BN1191"/>
  <c r="BN1192"/>
  <c r="BN1193"/>
  <c r="BN1194"/>
  <c r="BN1195"/>
  <c r="BN1196"/>
  <c r="BN1197"/>
  <c r="BN1198"/>
  <c r="BN1199"/>
  <c r="BN1200"/>
  <c r="BN1201"/>
  <c r="BN1202"/>
  <c r="BN1203"/>
  <c r="BN1204"/>
  <c r="BN1212"/>
  <c r="BN1213"/>
  <c r="BN1215"/>
  <c r="BN1220"/>
  <c r="BN1221"/>
  <c r="BN1222"/>
  <c r="BN1223"/>
  <c r="BN1224"/>
  <c r="BN1225"/>
  <c r="BN1226"/>
  <c r="BN1227"/>
  <c r="BN1228"/>
  <c r="BN1229"/>
  <c r="BN1230"/>
  <c r="BN1231"/>
  <c r="BN1232"/>
  <c r="BN1233"/>
  <c r="BN1234"/>
  <c r="BN1235"/>
  <c r="BN1236"/>
  <c r="BN1237"/>
  <c r="BN1238"/>
  <c r="BN1239"/>
  <c r="BN1240"/>
  <c r="BN1241"/>
  <c r="BN1242"/>
  <c r="BN1243"/>
  <c r="BN1244"/>
  <c r="BN1245"/>
  <c r="BN1246"/>
  <c r="BN1247"/>
  <c r="BN1248"/>
  <c r="BN1249"/>
  <c r="BN1250"/>
  <c r="BN1251"/>
  <c r="BN1252"/>
  <c r="BN1253"/>
  <c r="BN1254"/>
  <c r="BN1255"/>
  <c r="BN1256"/>
  <c r="BN1257"/>
  <c r="BN1258"/>
  <c r="BN1259"/>
  <c r="BN1260"/>
  <c r="BN1261"/>
  <c r="BN1262"/>
  <c r="BN1263"/>
  <c r="BN1269"/>
  <c r="BN1270"/>
  <c r="BN1271"/>
  <c r="BN1272"/>
  <c r="BN1273"/>
  <c r="BN1274"/>
  <c r="BN1278"/>
  <c r="BN1279"/>
  <c r="BN1280"/>
  <c r="BN1281"/>
  <c r="BN1282"/>
  <c r="BN1283"/>
  <c r="BN1284"/>
  <c r="BN1285"/>
  <c r="BN1286"/>
  <c r="BN1287"/>
  <c r="BN1288"/>
  <c r="BN1289"/>
  <c r="BN1290"/>
  <c r="BN1291"/>
  <c r="BN1292"/>
  <c r="BN1293"/>
  <c r="BN1294"/>
  <c r="BN1295"/>
  <c r="BN1296"/>
  <c r="BN1297"/>
  <c r="BN1298"/>
  <c r="BN1299"/>
  <c r="BN1300"/>
  <c r="BN1301"/>
  <c r="BN1302"/>
  <c r="BN1303"/>
  <c r="BN1304"/>
  <c r="BN1305"/>
  <c r="BN1306"/>
  <c r="BN1307"/>
  <c r="BN1308"/>
  <c r="BN1309"/>
  <c r="BN1310"/>
  <c r="BN1311"/>
  <c r="BN1312"/>
  <c r="BN1313"/>
  <c r="BN1314"/>
  <c r="BN1315"/>
  <c r="BN1316"/>
  <c r="BN1317"/>
  <c r="BN1318"/>
  <c r="BN1319"/>
  <c r="BN1320"/>
  <c r="BN1321"/>
  <c r="BN1322"/>
  <c r="BN1323"/>
  <c r="BN1324"/>
  <c r="BN1325"/>
  <c r="BN1326"/>
  <c r="BN1327"/>
  <c r="BN1328"/>
  <c r="BN1329"/>
  <c r="BN1330"/>
  <c r="BN1331"/>
  <c r="BN1332"/>
  <c r="BN1336"/>
  <c r="BN1337"/>
  <c r="BN1338"/>
  <c r="BN1339"/>
  <c r="BN1340"/>
  <c r="BN1341"/>
  <c r="BN1342"/>
  <c r="BN1343"/>
  <c r="BN1344"/>
  <c r="BN1345"/>
  <c r="BN1346"/>
  <c r="BN1347"/>
  <c r="BN1348"/>
  <c r="BN1349"/>
  <c r="BN1350"/>
  <c r="BN1351"/>
  <c r="BN1352"/>
  <c r="BN1353"/>
  <c r="BN1354"/>
  <c r="BN1355"/>
  <c r="BN1356"/>
  <c r="BN1357"/>
  <c r="BN1358"/>
  <c r="BN1359"/>
  <c r="BN1360"/>
  <c r="BN1361"/>
  <c r="BN1362"/>
  <c r="BN1363"/>
  <c r="BN1364"/>
  <c r="BN1365"/>
  <c r="BN1366"/>
  <c r="BN1367"/>
  <c r="BN1368"/>
  <c r="BN1369"/>
  <c r="BN1370"/>
  <c r="BN1371"/>
  <c r="BN1372"/>
  <c r="BN1389"/>
  <c r="BN1390"/>
  <c r="BN1394"/>
  <c r="BN1395"/>
  <c r="BN1396"/>
  <c r="BN1397"/>
  <c r="BN1398"/>
  <c r="BN1399"/>
  <c r="BN1400"/>
  <c r="BN1401"/>
  <c r="BN1402"/>
  <c r="BN1403"/>
  <c r="BN1404"/>
  <c r="BN1405"/>
  <c r="BN1406"/>
  <c r="BN1407"/>
  <c r="BN1408"/>
  <c r="BN1409"/>
  <c r="BN1410"/>
  <c r="BN1411"/>
  <c r="BN1412"/>
  <c r="BN1413"/>
  <c r="BN1414"/>
  <c r="BN1415"/>
  <c r="BN1416"/>
  <c r="BN1417"/>
  <c r="BN1418"/>
  <c r="BN1419"/>
  <c r="BN1420"/>
  <c r="BN1421"/>
  <c r="BN1422"/>
  <c r="BN1423"/>
  <c r="BN1424"/>
  <c r="BN1425"/>
  <c r="BN1426"/>
  <c r="BN1427"/>
  <c r="BN1428"/>
  <c r="BN1429"/>
  <c r="BN1430"/>
  <c r="BN1431"/>
  <c r="BN1432"/>
  <c r="BN1433"/>
  <c r="BN1434"/>
  <c r="BN1435"/>
  <c r="BN1436"/>
  <c r="BN1437"/>
  <c r="BN1438"/>
  <c r="BN1439"/>
  <c r="BN1440"/>
  <c r="BN1441"/>
  <c r="BN1442"/>
  <c r="BN1443"/>
  <c r="BN1444"/>
  <c r="BN1445"/>
  <c r="BN1447"/>
  <c r="BN1448"/>
  <c r="BN1452"/>
  <c r="BN1453"/>
  <c r="BN1454"/>
  <c r="BN1455"/>
  <c r="BN1456"/>
  <c r="BN1457"/>
  <c r="BN1458"/>
  <c r="BN1459"/>
  <c r="BN1460"/>
  <c r="BN1461"/>
  <c r="BN1462"/>
  <c r="BN1463"/>
  <c r="BN1464"/>
  <c r="BN1465"/>
  <c r="BN1466"/>
  <c r="BN1467"/>
  <c r="BN1468"/>
  <c r="BN1469"/>
  <c r="BN1470"/>
  <c r="BN1471"/>
  <c r="BN1472"/>
  <c r="BN1473"/>
  <c r="BN1474"/>
  <c r="BN1475"/>
  <c r="BN1476"/>
  <c r="BN1477"/>
  <c r="BN1478"/>
  <c r="BN1479"/>
  <c r="BN1480"/>
  <c r="BN1481"/>
  <c r="BN1482"/>
  <c r="BN1483"/>
  <c r="BN1484"/>
  <c r="BN1485"/>
  <c r="BN1486"/>
  <c r="BN1487"/>
  <c r="BN1488"/>
  <c r="BN1489"/>
  <c r="BN1490"/>
  <c r="BN1491"/>
  <c r="BN1492"/>
  <c r="BN1493"/>
  <c r="BN1494"/>
  <c r="BN1495"/>
  <c r="BN1496"/>
  <c r="BN1502"/>
  <c r="BN1503"/>
  <c r="BN1504"/>
  <c r="BN1505"/>
  <c r="BN1506"/>
  <c r="BN1510"/>
  <c r="BN1511"/>
  <c r="BN1512"/>
  <c r="BN1513"/>
  <c r="BN1514"/>
  <c r="BN1515"/>
  <c r="BN1516"/>
  <c r="BN1517"/>
  <c r="BN1518"/>
  <c r="BN1519"/>
  <c r="BN1520"/>
  <c r="BN1521"/>
  <c r="BN1522"/>
  <c r="BN1523"/>
  <c r="BN1524"/>
  <c r="BN1525"/>
  <c r="BN1526"/>
  <c r="BN1527"/>
  <c r="BN1528"/>
  <c r="BN1529"/>
  <c r="BN1530"/>
  <c r="BN1531"/>
  <c r="BN1532"/>
  <c r="BN1533"/>
  <c r="BN1534"/>
  <c r="BN1535"/>
  <c r="BN1536"/>
  <c r="BN1537"/>
  <c r="BN1538"/>
  <c r="BN1539"/>
  <c r="BN1540"/>
  <c r="BN1541"/>
  <c r="BN1542"/>
  <c r="BN1543"/>
  <c r="BN1544"/>
  <c r="BN1545"/>
  <c r="BN1546"/>
  <c r="BN1555"/>
  <c r="BN1560"/>
  <c r="BN1561"/>
  <c r="BN1562"/>
  <c r="BN1563"/>
  <c r="BN1564"/>
  <c r="BN1568"/>
  <c r="BN1569"/>
  <c r="BN1570"/>
  <c r="BN1571"/>
  <c r="BN1572"/>
  <c r="BN1573"/>
  <c r="BN1574"/>
  <c r="BN1575"/>
  <c r="BN1576"/>
  <c r="BN1577"/>
  <c r="BN1578"/>
  <c r="BN1579"/>
  <c r="BN1580"/>
  <c r="BN1581"/>
  <c r="BN1582"/>
  <c r="BN1583"/>
  <c r="BN1584"/>
  <c r="BN1585"/>
  <c r="BN1586"/>
  <c r="BN1587"/>
  <c r="BN1588"/>
  <c r="BN1589"/>
  <c r="BN1590"/>
  <c r="BN1591"/>
  <c r="BN1592"/>
  <c r="BN1593"/>
  <c r="BN1594"/>
  <c r="BN1595"/>
  <c r="BN1596"/>
  <c r="BN1597"/>
  <c r="BN1598"/>
  <c r="BN1599"/>
  <c r="BN1600"/>
  <c r="BN1601"/>
  <c r="BN1602"/>
  <c r="BN1614"/>
  <c r="BN1615"/>
  <c r="BN1616"/>
  <c r="BN1617"/>
  <c r="BN1618"/>
  <c r="BN1619"/>
  <c r="BN1620"/>
  <c r="BN1621"/>
  <c r="BN1622"/>
  <c r="BN1626"/>
  <c r="BN1627"/>
  <c r="BN1628"/>
  <c r="BN1629"/>
  <c r="BN1630"/>
  <c r="BN1631"/>
  <c r="BN1632"/>
  <c r="BN1633"/>
  <c r="BN1634"/>
  <c r="BN1635"/>
  <c r="BN1636"/>
  <c r="BN1637"/>
  <c r="BN1638"/>
  <c r="BN1639"/>
  <c r="BN1640"/>
  <c r="BN1641"/>
  <c r="BN1642"/>
  <c r="BN1643"/>
  <c r="BN1644"/>
  <c r="BN1645"/>
  <c r="BN1646"/>
  <c r="BN1647"/>
  <c r="BN1648"/>
  <c r="BN1649"/>
  <c r="BN1650"/>
  <c r="BN1651"/>
  <c r="BN1652"/>
  <c r="BN1654"/>
  <c r="BN1655"/>
  <c r="BN1656"/>
  <c r="BN1657"/>
  <c r="BN1658"/>
  <c r="BN1678"/>
  <c r="BN1679"/>
  <c r="BN1680"/>
  <c r="BN1684"/>
  <c r="BN1685"/>
  <c r="BN1686"/>
  <c r="BN1687"/>
  <c r="BN1688"/>
  <c r="BN1689"/>
  <c r="BN1690"/>
  <c r="BN1691"/>
  <c r="BN1692"/>
  <c r="BN1693"/>
  <c r="BN1694"/>
  <c r="BN1695"/>
  <c r="BN1696"/>
  <c r="BN1697"/>
  <c r="BN1698"/>
  <c r="BN1699"/>
  <c r="BN1700"/>
  <c r="BN1701"/>
  <c r="BN1702"/>
  <c r="BN1703"/>
  <c r="BN1704"/>
  <c r="BN1705"/>
  <c r="BN1706"/>
  <c r="BN1707"/>
  <c r="BN1708"/>
  <c r="BN1709"/>
  <c r="BN1710"/>
  <c r="BN1711"/>
  <c r="BN1712"/>
  <c r="BN1713"/>
  <c r="BN1714"/>
  <c r="BN1715"/>
  <c r="BN1716"/>
  <c r="BN1717"/>
  <c r="BN1718"/>
  <c r="BN1719"/>
  <c r="BN1720"/>
  <c r="BN1721"/>
  <c r="BN1722"/>
  <c r="BN1723"/>
  <c r="BN1724"/>
  <c r="BN1725"/>
  <c r="BN1726"/>
  <c r="BN1727"/>
  <c r="BN1728"/>
  <c r="BN1729"/>
  <c r="BN1730"/>
  <c r="BN1731"/>
  <c r="BN1732"/>
  <c r="BN1733"/>
  <c r="BN1734"/>
  <c r="BN1735"/>
  <c r="BN1736"/>
  <c r="BN1737"/>
  <c r="BN1738"/>
  <c r="BN1742"/>
  <c r="BN1743"/>
  <c r="BN1744"/>
  <c r="BN1745"/>
  <c r="BN1746"/>
  <c r="BN1747"/>
  <c r="BN1748"/>
  <c r="BN1749"/>
  <c r="BN1750"/>
  <c r="BN1751"/>
  <c r="BN1752"/>
  <c r="BN1753"/>
  <c r="BN1754"/>
  <c r="BN1755"/>
  <c r="BN1756"/>
  <c r="BN1757"/>
  <c r="BN1758"/>
  <c r="BN1759"/>
  <c r="BN1760"/>
  <c r="BN1761"/>
  <c r="BN1762"/>
  <c r="BN1763"/>
  <c r="BN1764"/>
  <c r="BN1765"/>
  <c r="BN1766"/>
  <c r="BN1767"/>
  <c r="BN1768"/>
  <c r="BN1769"/>
  <c r="BN1770"/>
  <c r="BN1771"/>
  <c r="BN1772"/>
  <c r="BN1773"/>
  <c r="BN1774"/>
  <c r="BN1775"/>
  <c r="BN1776"/>
  <c r="BN1777"/>
  <c r="BN1778"/>
  <c r="BN1779"/>
  <c r="BN1780"/>
  <c r="BN1781"/>
  <c r="BN1782"/>
  <c r="BN1783"/>
  <c r="BN1784"/>
  <c r="BN1785"/>
  <c r="BN1786"/>
  <c r="BN1787"/>
  <c r="BN1788"/>
  <c r="BN1789"/>
  <c r="BN1790"/>
  <c r="BN1791"/>
  <c r="BN1792"/>
  <c r="BN1793"/>
  <c r="BN1794"/>
  <c r="BN1795"/>
  <c r="BN1796"/>
  <c r="BN1800"/>
  <c r="BN1801"/>
  <c r="BN1802"/>
  <c r="BN1803"/>
  <c r="BN1804"/>
  <c r="BN1805"/>
  <c r="BN1806"/>
  <c r="BN1807"/>
  <c r="BN1808"/>
  <c r="BN1809"/>
  <c r="BN1810"/>
  <c r="BN1811"/>
  <c r="BN1812"/>
  <c r="BN1813"/>
  <c r="BN1814"/>
  <c r="BN1815"/>
  <c r="BN1816"/>
  <c r="BN1817"/>
  <c r="BN1818"/>
  <c r="BN1819"/>
  <c r="BN1820"/>
  <c r="BN1821"/>
  <c r="BN1822"/>
  <c r="BN1823"/>
  <c r="BN1824"/>
  <c r="BN1825"/>
  <c r="BN1826"/>
  <c r="BN1827"/>
  <c r="BN1828"/>
  <c r="BN1829"/>
  <c r="BN1830"/>
  <c r="BN1831"/>
  <c r="BN1832"/>
  <c r="BN1834"/>
  <c r="BN1835"/>
  <c r="BN1836"/>
  <c r="BN1858"/>
  <c r="BN1859"/>
  <c r="BN1860"/>
  <c r="BN1861"/>
  <c r="BN1862"/>
  <c r="BN1863"/>
  <c r="BN1864"/>
  <c r="BN1865"/>
  <c r="BN1866"/>
  <c r="BN1867"/>
  <c r="BN1868"/>
  <c r="BN1869"/>
  <c r="BN1870"/>
  <c r="BN1871"/>
  <c r="BN1872"/>
  <c r="BN1873"/>
  <c r="BN1874"/>
  <c r="BN1875"/>
  <c r="BN1876"/>
  <c r="BN1877"/>
  <c r="BN1878"/>
  <c r="BN1879"/>
  <c r="BN1880"/>
  <c r="BN1881"/>
  <c r="BN1882"/>
  <c r="BN1883"/>
  <c r="BN1884"/>
  <c r="BN1885"/>
  <c r="BN1886"/>
  <c r="BN1887"/>
  <c r="BN1888"/>
  <c r="BN1889"/>
  <c r="BN1890"/>
  <c r="BN1891"/>
  <c r="BN1892"/>
  <c r="BN1893"/>
  <c r="BN1894"/>
  <c r="BN1895"/>
  <c r="BN1896"/>
  <c r="BN1897"/>
  <c r="BN1898"/>
  <c r="BN1899"/>
  <c r="BN1900"/>
  <c r="BN1909"/>
  <c r="BN1911"/>
  <c r="BN1912"/>
  <c r="BN1916"/>
  <c r="BN1917"/>
  <c r="BN1918"/>
  <c r="BN1919"/>
  <c r="BN1920"/>
  <c r="BN1921"/>
  <c r="BN1922"/>
  <c r="BN1923"/>
  <c r="BN1924"/>
  <c r="BN1925"/>
  <c r="BN1926"/>
  <c r="BN1927"/>
  <c r="BN1928"/>
  <c r="BN1929"/>
  <c r="BN1930"/>
  <c r="BN1931"/>
  <c r="BN1932"/>
  <c r="BN1933"/>
  <c r="BN1934"/>
  <c r="BN1935"/>
  <c r="BN1936"/>
  <c r="BN1937"/>
  <c r="BN1938"/>
  <c r="BN1939"/>
  <c r="BN1940"/>
  <c r="BN1941"/>
  <c r="BN1942"/>
  <c r="BN1943"/>
  <c r="BN1944"/>
  <c r="BN1945"/>
  <c r="BN1946"/>
  <c r="BN1947"/>
  <c r="BN1948"/>
  <c r="BN1949"/>
  <c r="BN1950"/>
  <c r="BN1951"/>
  <c r="BN1963"/>
  <c r="BN1964"/>
  <c r="BN1965"/>
  <c r="BN1966"/>
  <c r="BN1967"/>
  <c r="BN1968"/>
  <c r="BN1969"/>
  <c r="BN1970"/>
  <c r="BN1974"/>
  <c r="BN1975"/>
  <c r="BN1976"/>
  <c r="BN1977"/>
  <c r="BN1978"/>
  <c r="BN1979"/>
  <c r="BN1980"/>
  <c r="BN1981"/>
  <c r="BN1982"/>
  <c r="BN1983"/>
  <c r="BN1984"/>
  <c r="BN1985"/>
  <c r="BN1986"/>
  <c r="BN1987"/>
  <c r="BN1988"/>
  <c r="BN1989"/>
  <c r="BN1990"/>
  <c r="BN1991"/>
  <c r="BN1992"/>
  <c r="BN1993"/>
  <c r="BN1994"/>
  <c r="BN1995"/>
  <c r="BN1996"/>
  <c r="BN1997"/>
  <c r="BN1998"/>
  <c r="BN1999"/>
  <c r="BN2000"/>
  <c r="BN2001"/>
  <c r="BN2002"/>
  <c r="BN2003"/>
  <c r="BN2004"/>
  <c r="BN2005"/>
  <c r="BN2006"/>
  <c r="BN2007"/>
  <c r="BN2008"/>
  <c r="BN2009"/>
  <c r="BN2010"/>
  <c r="BN2011"/>
  <c r="BN2012"/>
  <c r="BN2013"/>
  <c r="BN2014"/>
  <c r="BN2015"/>
  <c r="BN2016"/>
  <c r="BN2017"/>
  <c r="BN2018"/>
  <c r="BN2019"/>
  <c r="BN2024"/>
  <c r="BN2025"/>
  <c r="BN2026"/>
  <c r="BN2027"/>
  <c r="BN2028"/>
  <c r="BN2032"/>
  <c r="BN2033"/>
  <c r="BN2034"/>
  <c r="BN2035"/>
  <c r="BN2036"/>
  <c r="BN2037"/>
  <c r="BN2038"/>
  <c r="BN2039"/>
  <c r="BN2040"/>
  <c r="BN2041"/>
  <c r="BN2042"/>
  <c r="BN2043"/>
  <c r="BN2044"/>
  <c r="BN2045"/>
  <c r="BN2046"/>
  <c r="BN2047"/>
  <c r="BN2048"/>
  <c r="BN2049"/>
  <c r="BN2050"/>
  <c r="BN2051"/>
  <c r="BN2052"/>
  <c r="BN2053"/>
  <c r="BN2054"/>
  <c r="BN2055"/>
  <c r="BN2056"/>
  <c r="BN2057"/>
  <c r="BN2058"/>
  <c r="BN2059"/>
  <c r="BN2060"/>
  <c r="BN2061"/>
  <c r="BN2062"/>
  <c r="BN2063"/>
  <c r="BN2064"/>
  <c r="BN2065"/>
  <c r="BN2066"/>
  <c r="BN2067"/>
  <c r="BN2068"/>
  <c r="BN2069"/>
  <c r="BN2070"/>
  <c r="BN2071"/>
  <c r="BN2072"/>
  <c r="BN2073"/>
  <c r="BN2080"/>
  <c r="BN2081"/>
  <c r="BN2082"/>
  <c r="BN2083"/>
  <c r="BN2084"/>
  <c r="BN2085"/>
  <c r="BN2086"/>
  <c r="BN2090"/>
  <c r="BN2091"/>
  <c r="BN2092"/>
  <c r="BN2093"/>
  <c r="BN2094"/>
  <c r="BN2095"/>
  <c r="BN2096"/>
  <c r="BN2097"/>
  <c r="BN2098"/>
  <c r="BN2099"/>
  <c r="BN2100"/>
  <c r="BN2101"/>
  <c r="BN2102"/>
  <c r="BN2103"/>
  <c r="BN2104"/>
  <c r="BN2105"/>
  <c r="BN2106"/>
  <c r="BN2107"/>
  <c r="BN2108"/>
  <c r="BN2109"/>
  <c r="BN2110"/>
  <c r="BN2111"/>
  <c r="BN2112"/>
  <c r="BN2113"/>
  <c r="BN2114"/>
  <c r="BN2115"/>
  <c r="BN2116"/>
  <c r="BN2117"/>
  <c r="BN2118"/>
  <c r="BN2119"/>
  <c r="BN2120"/>
  <c r="BN2121"/>
  <c r="BN2122"/>
  <c r="BN2123"/>
  <c r="BN2124"/>
  <c r="BN2125"/>
  <c r="BN2126"/>
  <c r="BN2127"/>
  <c r="BN2128"/>
  <c r="BN2129"/>
  <c r="BN2130"/>
  <c r="BN2131"/>
  <c r="BN2132"/>
  <c r="BN2133"/>
  <c r="BN2134"/>
  <c r="BN2135"/>
  <c r="BN2136"/>
  <c r="BN2137"/>
  <c r="BN2141"/>
  <c r="BN2143"/>
  <c r="BN2148"/>
  <c r="BN2149"/>
  <c r="BN2150"/>
  <c r="BN2151"/>
  <c r="BN2152"/>
  <c r="BN2153"/>
  <c r="BN2154"/>
  <c r="BN2155"/>
  <c r="BN2156"/>
  <c r="BN2157"/>
  <c r="BN2158"/>
  <c r="BN2159"/>
  <c r="BN2160"/>
  <c r="BN2161"/>
  <c r="BN2162"/>
  <c r="BN2163"/>
  <c r="BN2164"/>
  <c r="BN2165"/>
  <c r="BN2166"/>
  <c r="BN2167"/>
  <c r="BN2168"/>
  <c r="BN2169"/>
  <c r="BN2170"/>
  <c r="BN2171"/>
  <c r="BN2172"/>
  <c r="BN2173"/>
  <c r="BN2174"/>
  <c r="BN2175"/>
  <c r="BN2176"/>
  <c r="BN2177"/>
  <c r="BN2178"/>
  <c r="BN2179"/>
  <c r="BN2180"/>
  <c r="BN2181"/>
  <c r="BN2182"/>
  <c r="BN2183"/>
  <c r="BN2184"/>
  <c r="BN2185"/>
  <c r="BN2186"/>
  <c r="BN2187"/>
  <c r="BN2188"/>
  <c r="BN2189"/>
  <c r="BN2190"/>
  <c r="BN2191"/>
  <c r="BN2192"/>
  <c r="BN2193"/>
  <c r="BN2194"/>
  <c r="BN2195"/>
  <c r="BN2196"/>
  <c r="BN2197"/>
  <c r="BN2198"/>
  <c r="BN2199"/>
  <c r="BN2200"/>
  <c r="BN2201"/>
  <c r="BN2202"/>
  <c r="BN2206"/>
  <c r="BN2207"/>
  <c r="BN2208"/>
  <c r="BN2209"/>
  <c r="BN2210"/>
  <c r="BN2211"/>
  <c r="BN2212"/>
  <c r="BN2213"/>
  <c r="BN2214"/>
  <c r="BN2215"/>
  <c r="BN2216"/>
  <c r="BN2217"/>
  <c r="BN2218"/>
  <c r="BN2219"/>
  <c r="BN2220"/>
  <c r="BN2221"/>
  <c r="BN2222"/>
  <c r="BN2223"/>
  <c r="BN2224"/>
  <c r="BN2225"/>
  <c r="BN2226"/>
  <c r="BN2227"/>
  <c r="BN2228"/>
  <c r="BN2229"/>
  <c r="BN2230"/>
  <c r="BN2231"/>
  <c r="BN2232"/>
  <c r="BN2233"/>
  <c r="BN2234"/>
  <c r="BN2235"/>
  <c r="BN2236"/>
  <c r="BN2237"/>
  <c r="BN2238"/>
  <c r="BN2239"/>
  <c r="BN2240"/>
  <c r="BN2241"/>
  <c r="BN2242"/>
  <c r="BN2243"/>
  <c r="BN2244"/>
  <c r="BN2245"/>
  <c r="BN2246"/>
  <c r="BN2247"/>
  <c r="BN2248"/>
  <c r="BN2249"/>
  <c r="BN2250"/>
  <c r="BN2251"/>
  <c r="BN2252"/>
  <c r="BN2253"/>
  <c r="BN2254"/>
  <c r="BN2255"/>
  <c r="BN2256"/>
  <c r="BN2257"/>
  <c r="BN2258"/>
  <c r="BN2259"/>
  <c r="BN2260"/>
  <c r="BN2264"/>
  <c r="BN2265"/>
  <c r="BN2266"/>
  <c r="BN2267"/>
  <c r="BN2268"/>
  <c r="BN2269"/>
  <c r="BN2270"/>
  <c r="BN2271"/>
  <c r="BN2272"/>
  <c r="BN2273"/>
  <c r="BN2274"/>
  <c r="BN2275"/>
  <c r="BN2276"/>
  <c r="BN2277"/>
  <c r="BN2278"/>
  <c r="BN2279"/>
  <c r="BN2280"/>
  <c r="BN2281"/>
  <c r="BN2282"/>
  <c r="BN2283"/>
  <c r="BN2284"/>
  <c r="BN2285"/>
  <c r="BN2286"/>
  <c r="BN2287"/>
  <c r="BN2288"/>
  <c r="BN2289"/>
  <c r="BN2290"/>
  <c r="BN2291"/>
  <c r="BN2292"/>
  <c r="BN2293"/>
  <c r="BN2294"/>
  <c r="BN2295"/>
  <c r="BN2296"/>
  <c r="BN2297"/>
  <c r="BN2298"/>
  <c r="BN2299"/>
  <c r="BN2300"/>
  <c r="BN2301"/>
  <c r="BN2302"/>
  <c r="BN2303"/>
  <c r="BN2304"/>
  <c r="BN2305"/>
  <c r="BN2306"/>
  <c r="BN2307"/>
  <c r="BN2308"/>
  <c r="BN2309"/>
  <c r="BN2310"/>
  <c r="BN2311"/>
  <c r="BN2312"/>
  <c r="BN2313"/>
  <c r="BN2314"/>
  <c r="BN2315"/>
  <c r="BN2316"/>
  <c r="BN2317"/>
  <c r="BN2318"/>
  <c r="BN2322"/>
  <c r="BN2323"/>
  <c r="BN2324"/>
  <c r="BN2325"/>
  <c r="BN2326"/>
  <c r="BN2327"/>
  <c r="BN2328"/>
  <c r="BN2329"/>
  <c r="BN2330"/>
  <c r="BN2331"/>
  <c r="BN2332"/>
  <c r="BN2333"/>
  <c r="BN2334"/>
  <c r="BN2335"/>
  <c r="BN2336"/>
  <c r="BN2337"/>
  <c r="BN2338"/>
  <c r="BN2339"/>
  <c r="BN2340"/>
  <c r="BN2341"/>
  <c r="BN2342"/>
  <c r="BN2343"/>
  <c r="BN2344"/>
  <c r="BN2345"/>
  <c r="BN2346"/>
  <c r="BN2347"/>
  <c r="BN2348"/>
  <c r="BN2349"/>
  <c r="BN2350"/>
  <c r="BN2351"/>
  <c r="BN2352"/>
  <c r="BN2353"/>
  <c r="BN2354"/>
  <c r="BN2355"/>
  <c r="BN2356"/>
  <c r="BN2357"/>
  <c r="BN2358"/>
  <c r="BN2359"/>
  <c r="BN2360"/>
  <c r="BN2361"/>
  <c r="BN2362"/>
  <c r="BN2363"/>
  <c r="BN2364"/>
  <c r="BN2365"/>
  <c r="BN2366"/>
  <c r="BN2367"/>
  <c r="BN2368"/>
  <c r="BN2369"/>
  <c r="BN2370"/>
  <c r="BN2371"/>
  <c r="BN2372"/>
  <c r="BN2373"/>
  <c r="BN2374"/>
  <c r="BN2375"/>
  <c r="BN2380"/>
  <c r="BN2381"/>
  <c r="BN2382"/>
  <c r="BN2383"/>
  <c r="BN2384"/>
  <c r="BN2385"/>
  <c r="BN2386"/>
  <c r="BN2387"/>
  <c r="BN2388"/>
  <c r="BN2389"/>
  <c r="BN2390"/>
  <c r="BN2391"/>
  <c r="BN2392"/>
  <c r="BN2393"/>
  <c r="BN2394"/>
  <c r="BN2395"/>
  <c r="BN2396"/>
  <c r="BN2397"/>
  <c r="BN2398"/>
  <c r="BN2399"/>
  <c r="BN2400"/>
  <c r="BN2401"/>
  <c r="BN2402"/>
  <c r="BN2403"/>
  <c r="BN2404"/>
  <c r="BN2405"/>
  <c r="BN2406"/>
  <c r="BN2407"/>
  <c r="BN2408"/>
  <c r="BN2409"/>
  <c r="BN2410"/>
  <c r="BN2411"/>
  <c r="BN2412"/>
  <c r="BN2413"/>
  <c r="BN2414"/>
  <c r="BN2415"/>
  <c r="BN2416"/>
  <c r="BN2417"/>
  <c r="BN2418"/>
  <c r="BN2423"/>
  <c r="BN2425"/>
  <c r="BN2427"/>
  <c r="BN2428"/>
  <c r="BN2429"/>
  <c r="BN2430"/>
  <c r="BN2431"/>
  <c r="BN2432"/>
  <c r="BN2433"/>
  <c r="BN2438"/>
  <c r="BN2439"/>
  <c r="BN2440"/>
  <c r="BN2441"/>
  <c r="BN2442"/>
  <c r="BN2443"/>
  <c r="BN2444"/>
  <c r="BN2445"/>
  <c r="BN2446"/>
  <c r="BN2447"/>
  <c r="BN2448"/>
  <c r="BN2449"/>
  <c r="BN2450"/>
  <c r="BN2451"/>
  <c r="BN2452"/>
  <c r="BN2453"/>
  <c r="BN2454"/>
  <c r="BN2455"/>
  <c r="BN2456"/>
  <c r="BN2457"/>
  <c r="BN2458"/>
  <c r="BN2459"/>
  <c r="BN2460"/>
  <c r="BN2461"/>
  <c r="BN2462"/>
  <c r="BN2463"/>
  <c r="BN2464"/>
  <c r="BN2465"/>
  <c r="BN2466"/>
  <c r="BN2467"/>
  <c r="BN2468"/>
  <c r="BN2469"/>
  <c r="BN2470"/>
  <c r="BN2471"/>
  <c r="BN2472"/>
  <c r="BN2473"/>
  <c r="BN2474"/>
  <c r="BN2475"/>
  <c r="BN2476"/>
  <c r="BN2477"/>
  <c r="BN2478"/>
  <c r="BN2479"/>
  <c r="BN2480"/>
  <c r="BN2486"/>
  <c r="BN2487"/>
  <c r="BN2488"/>
  <c r="BN2489"/>
  <c r="BN2490"/>
  <c r="BN2491"/>
  <c r="BN2492"/>
  <c r="BN2496"/>
  <c r="BN2497"/>
  <c r="BN2498"/>
  <c r="BN2499"/>
  <c r="BN2500"/>
  <c r="BN2501"/>
  <c r="BN2502"/>
  <c r="BN2503"/>
  <c r="BN2504"/>
  <c r="BN2505"/>
  <c r="BN2506"/>
  <c r="BN2507"/>
  <c r="BN2508"/>
  <c r="BN2509"/>
  <c r="BN2510"/>
  <c r="BN2511"/>
  <c r="BN2512"/>
  <c r="BN2513"/>
  <c r="BN2514"/>
  <c r="BN2515"/>
  <c r="BN2516"/>
  <c r="BN2517"/>
  <c r="BN2518"/>
  <c r="BN2519"/>
  <c r="BN2520"/>
  <c r="BN2521"/>
  <c r="BN2522"/>
  <c r="BN2523"/>
  <c r="BN2524"/>
  <c r="BN2525"/>
  <c r="BN2526"/>
  <c r="BN2527"/>
  <c r="BN2528"/>
  <c r="BN2530"/>
  <c r="BN2531"/>
  <c r="BN2532"/>
  <c r="BN2549"/>
  <c r="BN2554"/>
  <c r="BN2555"/>
  <c r="BN2556"/>
  <c r="BN2557"/>
  <c r="BN2558"/>
  <c r="BN2559"/>
  <c r="BN2560"/>
  <c r="BN2561"/>
  <c r="BN2562"/>
  <c r="BN2563"/>
  <c r="BN2564"/>
  <c r="BN2565"/>
  <c r="BN2566"/>
  <c r="BN2567"/>
  <c r="BN2568"/>
  <c r="BN2569"/>
  <c r="BN2570"/>
  <c r="BN2571"/>
  <c r="BN2572"/>
  <c r="BN2573"/>
  <c r="BN2574"/>
  <c r="BN2575"/>
  <c r="BN2576"/>
  <c r="BN2577"/>
  <c r="BN2578"/>
  <c r="BN2579"/>
  <c r="BN2580"/>
  <c r="BN2581"/>
  <c r="BN2582"/>
  <c r="BN2583"/>
  <c r="BN2584"/>
  <c r="BN2585"/>
  <c r="BN2586"/>
  <c r="BN2587"/>
  <c r="BN2588"/>
  <c r="BN2589"/>
  <c r="BN2590"/>
  <c r="BN2591"/>
  <c r="BN2592"/>
  <c r="BN2593"/>
  <c r="BN2594"/>
  <c r="BN2596"/>
  <c r="BN2607"/>
  <c r="BN2608"/>
  <c r="BN2612"/>
  <c r="BN2613"/>
  <c r="BN2614"/>
  <c r="BN2615"/>
  <c r="BN2616"/>
  <c r="BN2617"/>
  <c r="BN2618"/>
  <c r="BN2619"/>
  <c r="BN2620"/>
  <c r="BN2621"/>
  <c r="BN2622"/>
  <c r="BN2623"/>
  <c r="BN2624"/>
  <c r="BN2625"/>
  <c r="BN2626"/>
  <c r="BN2627"/>
  <c r="BN2628"/>
  <c r="BN2629"/>
  <c r="BN2630"/>
  <c r="BN2631"/>
  <c r="BN2632"/>
  <c r="BN2633"/>
  <c r="BN2634"/>
  <c r="BN2635"/>
  <c r="BN2636"/>
  <c r="BN2637"/>
  <c r="BN2638"/>
  <c r="BN2639"/>
  <c r="BN2640"/>
  <c r="BN2641"/>
  <c r="BN2642"/>
  <c r="BN2643"/>
  <c r="BN2644"/>
  <c r="BN2646"/>
  <c r="BN2647"/>
  <c r="BN2648"/>
  <c r="BN2657"/>
  <c r="BN2665"/>
  <c r="BN2666"/>
  <c r="BN2670"/>
  <c r="BN2671"/>
  <c r="BN2672"/>
  <c r="BN2673"/>
  <c r="BN2674"/>
  <c r="BN2675"/>
  <c r="BN2676"/>
  <c r="BN2677"/>
  <c r="BN2678"/>
  <c r="BN2679"/>
  <c r="BN2680"/>
  <c r="BN2681"/>
  <c r="BN2682"/>
  <c r="BN2683"/>
  <c r="BN2684"/>
  <c r="BN2685"/>
  <c r="BN2686"/>
  <c r="BN2687"/>
  <c r="BN2688"/>
  <c r="BN2689"/>
  <c r="BN2690"/>
  <c r="BN2691"/>
  <c r="BN2692"/>
  <c r="BN2693"/>
  <c r="BN2694"/>
  <c r="BN2695"/>
  <c r="BN2696"/>
  <c r="BN2697"/>
  <c r="BN2698"/>
  <c r="BN2699"/>
  <c r="BN2700"/>
  <c r="BN2701"/>
  <c r="BN2702"/>
  <c r="BN2703"/>
  <c r="BN2704"/>
  <c r="BN2705"/>
  <c r="BN2706"/>
  <c r="BN2707"/>
  <c r="BN2708"/>
  <c r="BN2709"/>
  <c r="BN2710"/>
  <c r="BN2711"/>
  <c r="BN2712"/>
  <c r="BN2718"/>
  <c r="BN2719"/>
  <c r="BN2720"/>
  <c r="BN2721"/>
  <c r="BN2722"/>
  <c r="BN2723"/>
  <c r="BN2724"/>
  <c r="BN2728"/>
  <c r="BN2729"/>
  <c r="BN2730"/>
  <c r="BN2731"/>
  <c r="BN2732"/>
  <c r="BN2733"/>
  <c r="BN2734"/>
  <c r="BN2735"/>
  <c r="BN2736"/>
  <c r="BN2737"/>
  <c r="BN2738"/>
  <c r="BN2739"/>
  <c r="BN2740"/>
  <c r="BN2741"/>
  <c r="BN2742"/>
  <c r="BN2743"/>
  <c r="BN2744"/>
  <c r="BN2745"/>
  <c r="BN2746"/>
  <c r="BN2747"/>
  <c r="BN2748"/>
  <c r="BN2749"/>
  <c r="BN2750"/>
  <c r="BN2751"/>
  <c r="BN2752"/>
  <c r="BN2753"/>
  <c r="BN2754"/>
  <c r="BN2755"/>
  <c r="BN2756"/>
  <c r="BN2757"/>
  <c r="BN2758"/>
  <c r="BN2759"/>
  <c r="BN2760"/>
  <c r="BN2761"/>
  <c r="BN2762"/>
  <c r="BN2763"/>
  <c r="BN2764"/>
  <c r="BN2765"/>
  <c r="BN2766"/>
  <c r="BN2767"/>
  <c r="BN2768"/>
  <c r="BN2769"/>
  <c r="BN2770"/>
  <c r="BN2781"/>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8"/>
  <c r="K49"/>
  <c r="K50"/>
  <c r="K51"/>
  <c r="K52"/>
  <c r="K53"/>
  <c r="K54"/>
  <c r="K55"/>
  <c r="K56"/>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5"/>
  <c r="K226"/>
  <c r="K227"/>
  <c r="K228"/>
  <c r="K229"/>
  <c r="K230"/>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1"/>
  <c r="K402"/>
  <c r="K403"/>
  <c r="K404"/>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3"/>
  <c r="K504"/>
  <c r="K505"/>
  <c r="K506"/>
  <c r="K507"/>
  <c r="K508"/>
  <c r="K509"/>
  <c r="K510"/>
  <c r="K511"/>
  <c r="K513"/>
  <c r="K514"/>
  <c r="K515"/>
  <c r="K516"/>
  <c r="K517"/>
  <c r="K518"/>
  <c r="K519"/>
  <c r="K520"/>
  <c r="K524"/>
  <c r="K525"/>
  <c r="K526"/>
  <c r="K527"/>
  <c r="K528"/>
  <c r="K529"/>
  <c r="K530"/>
  <c r="K531"/>
  <c r="K532"/>
  <c r="K533"/>
  <c r="K534"/>
  <c r="K535"/>
  <c r="K536"/>
  <c r="K537"/>
  <c r="K538"/>
  <c r="K539"/>
  <c r="K540"/>
  <c r="K541"/>
  <c r="K542"/>
  <c r="K544"/>
  <c r="K545"/>
  <c r="K546"/>
  <c r="K547"/>
  <c r="K548"/>
  <c r="K549"/>
  <c r="K550"/>
  <c r="K551"/>
  <c r="K552"/>
  <c r="K553"/>
  <c r="K554"/>
  <c r="K555"/>
  <c r="K556"/>
  <c r="K557"/>
  <c r="K558"/>
  <c r="K559"/>
  <c r="K560"/>
  <c r="K561"/>
  <c r="K562"/>
  <c r="K563"/>
  <c r="K564"/>
  <c r="K565"/>
  <c r="K566"/>
  <c r="K567"/>
  <c r="K568"/>
  <c r="K569"/>
  <c r="K570"/>
  <c r="K571"/>
  <c r="K573"/>
  <c r="K574"/>
  <c r="K575"/>
  <c r="K576"/>
  <c r="K577"/>
  <c r="K578"/>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2"/>
  <c r="K623"/>
  <c r="K624"/>
  <c r="K625"/>
  <c r="K626"/>
  <c r="K627"/>
  <c r="K632"/>
  <c r="K633"/>
  <c r="K634"/>
  <c r="K635"/>
  <c r="K636"/>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6"/>
  <c r="K757"/>
  <c r="K758"/>
  <c r="K759"/>
  <c r="K760"/>
  <c r="K761"/>
  <c r="K762"/>
  <c r="K763"/>
  <c r="K764"/>
  <c r="K765"/>
  <c r="K766"/>
  <c r="K767"/>
  <c r="K768"/>
  <c r="K769"/>
  <c r="K770"/>
  <c r="K771"/>
  <c r="K772"/>
  <c r="K773"/>
  <c r="K774"/>
  <c r="K775"/>
  <c r="K776"/>
  <c r="K777"/>
  <c r="K778"/>
  <c r="K779"/>
  <c r="K780"/>
  <c r="K782"/>
  <c r="K783"/>
  <c r="K784"/>
  <c r="K785"/>
  <c r="K786"/>
  <c r="K787"/>
  <c r="K788"/>
  <c r="K789"/>
  <c r="K790"/>
  <c r="K791"/>
  <c r="K792"/>
  <c r="K793"/>
  <c r="K794"/>
  <c r="K795"/>
  <c r="K796"/>
  <c r="K797"/>
  <c r="K798"/>
  <c r="K799"/>
  <c r="K800"/>
  <c r="K801"/>
  <c r="K802"/>
  <c r="K803"/>
  <c r="K804"/>
  <c r="K805"/>
  <c r="K808"/>
  <c r="K809"/>
  <c r="K810"/>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2"/>
  <c r="K923"/>
  <c r="K925"/>
  <c r="K926"/>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3"/>
  <c r="K974"/>
  <c r="K975"/>
  <c r="K976"/>
  <c r="K977"/>
  <c r="K978"/>
  <c r="K979"/>
  <c r="K980"/>
  <c r="K981"/>
  <c r="K982"/>
  <c r="K983"/>
  <c r="K984"/>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30"/>
  <c r="K1031"/>
  <c r="K1032"/>
  <c r="K1033"/>
  <c r="K1034"/>
  <c r="K1035"/>
  <c r="K1036"/>
  <c r="K1037"/>
  <c r="K1040"/>
  <c r="K1041"/>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1"/>
  <c r="K1203"/>
  <c r="K1206"/>
  <c r="K1207"/>
  <c r="K1209"/>
  <c r="K1210"/>
  <c r="K1211"/>
  <c r="K1212"/>
  <c r="K1213"/>
  <c r="K1214"/>
  <c r="K1215"/>
  <c r="K1216"/>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428"/>
  <c r="K1429"/>
  <c r="K1430"/>
  <c r="K1431"/>
  <c r="K1432"/>
  <c r="K1433"/>
  <c r="K1434"/>
  <c r="K1435"/>
  <c r="K1436"/>
  <c r="K1437"/>
  <c r="K1438"/>
  <c r="K1439"/>
  <c r="K1440"/>
  <c r="K1441"/>
  <c r="K1442"/>
  <c r="K1443"/>
  <c r="K1444"/>
  <c r="K1445"/>
  <c r="K1446"/>
  <c r="K1447"/>
  <c r="K1448"/>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504"/>
  <c r="K1505"/>
  <c r="K1506"/>
  <c r="K1510"/>
  <c r="K1511"/>
  <c r="K1512"/>
  <c r="K1513"/>
  <c r="K1514"/>
  <c r="K1515"/>
  <c r="K1516"/>
  <c r="K1517"/>
  <c r="K1518"/>
  <c r="K1519"/>
  <c r="K1520"/>
  <c r="K1521"/>
  <c r="K1522"/>
  <c r="K1523"/>
  <c r="K1524"/>
  <c r="K1525"/>
  <c r="K1526"/>
  <c r="K1527"/>
  <c r="K1528"/>
  <c r="K1529"/>
  <c r="K1530"/>
  <c r="K1531"/>
  <c r="K1532"/>
  <c r="K1533"/>
  <c r="K1534"/>
  <c r="K1535"/>
  <c r="K1536"/>
  <c r="K1537"/>
  <c r="K1538"/>
  <c r="K1539"/>
  <c r="K1540"/>
  <c r="K1541"/>
  <c r="K1542"/>
  <c r="K1543"/>
  <c r="K1544"/>
  <c r="K1545"/>
  <c r="K1546"/>
  <c r="K1547"/>
  <c r="K1548"/>
  <c r="K1549"/>
  <c r="K1550"/>
  <c r="K1551"/>
  <c r="K1552"/>
  <c r="K1553"/>
  <c r="K1554"/>
  <c r="K1555"/>
  <c r="K1556"/>
  <c r="K1557"/>
  <c r="K1558"/>
  <c r="K1559"/>
  <c r="K1560"/>
  <c r="K1561"/>
  <c r="K1562"/>
  <c r="K1563"/>
  <c r="K1564"/>
  <c r="K1568"/>
  <c r="K1569"/>
  <c r="K1570"/>
  <c r="K1571"/>
  <c r="K1572"/>
  <c r="K1573"/>
  <c r="K1574"/>
  <c r="K1575"/>
  <c r="K1576"/>
  <c r="K1577"/>
  <c r="K1578"/>
  <c r="K1579"/>
  <c r="K1580"/>
  <c r="K1581"/>
  <c r="K1582"/>
  <c r="K1583"/>
  <c r="K1584"/>
  <c r="K1585"/>
  <c r="K1586"/>
  <c r="K1587"/>
  <c r="K1588"/>
  <c r="K1589"/>
  <c r="K1590"/>
  <c r="K1591"/>
  <c r="K1592"/>
  <c r="K1593"/>
  <c r="K1594"/>
  <c r="K1595"/>
  <c r="K1596"/>
  <c r="K1597"/>
  <c r="K1598"/>
  <c r="K1599"/>
  <c r="K1600"/>
  <c r="K1601"/>
  <c r="K1602"/>
  <c r="K1603"/>
  <c r="K1604"/>
  <c r="K1605"/>
  <c r="K1606"/>
  <c r="K1607"/>
  <c r="K1608"/>
  <c r="K1609"/>
  <c r="K1610"/>
  <c r="K1611"/>
  <c r="K1612"/>
  <c r="K1613"/>
  <c r="K1614"/>
  <c r="K1615"/>
  <c r="K1616"/>
  <c r="K1617"/>
  <c r="K1618"/>
  <c r="K1619"/>
  <c r="K1620"/>
  <c r="K1621"/>
  <c r="K1622"/>
  <c r="K1626"/>
  <c r="K1627"/>
  <c r="K1628"/>
  <c r="K1629"/>
  <c r="K1630"/>
  <c r="K1631"/>
  <c r="K1632"/>
  <c r="K1633"/>
  <c r="K1634"/>
  <c r="K1635"/>
  <c r="K1636"/>
  <c r="K1637"/>
  <c r="K1638"/>
  <c r="K1639"/>
  <c r="K1640"/>
  <c r="K1641"/>
  <c r="K1642"/>
  <c r="K1643"/>
  <c r="K1644"/>
  <c r="K1645"/>
  <c r="K1646"/>
  <c r="K1647"/>
  <c r="K1648"/>
  <c r="K1649"/>
  <c r="K1650"/>
  <c r="K1651"/>
  <c r="K1652"/>
  <c r="K1653"/>
  <c r="K1654"/>
  <c r="K1655"/>
  <c r="K1656"/>
  <c r="K1657"/>
  <c r="K1658"/>
  <c r="K1659"/>
  <c r="K1660"/>
  <c r="K1661"/>
  <c r="K1662"/>
  <c r="K1663"/>
  <c r="K1664"/>
  <c r="K1665"/>
  <c r="K1666"/>
  <c r="K1667"/>
  <c r="K1668"/>
  <c r="K1669"/>
  <c r="K1670"/>
  <c r="K1671"/>
  <c r="K1672"/>
  <c r="K1673"/>
  <c r="K1674"/>
  <c r="K1675"/>
  <c r="K1676"/>
  <c r="K1677"/>
  <c r="K1678"/>
  <c r="K1679"/>
  <c r="K1680"/>
  <c r="K1684"/>
  <c r="K1685"/>
  <c r="K1686"/>
  <c r="K1687"/>
  <c r="K1688"/>
  <c r="K1689"/>
  <c r="K1690"/>
  <c r="K1691"/>
  <c r="K1692"/>
  <c r="K1693"/>
  <c r="K1694"/>
  <c r="K1695"/>
  <c r="K1696"/>
  <c r="K1697"/>
  <c r="K1698"/>
  <c r="K1699"/>
  <c r="K1700"/>
  <c r="K1701"/>
  <c r="K1702"/>
  <c r="K1703"/>
  <c r="K1704"/>
  <c r="K1705"/>
  <c r="K1706"/>
  <c r="K1707"/>
  <c r="K1708"/>
  <c r="K1709"/>
  <c r="K1710"/>
  <c r="K1711"/>
  <c r="K1712"/>
  <c r="K1713"/>
  <c r="K1714"/>
  <c r="K1716"/>
  <c r="K1717"/>
  <c r="K1718"/>
  <c r="K1719"/>
  <c r="K1723"/>
  <c r="K1724"/>
  <c r="K1726"/>
  <c r="K1727"/>
  <c r="K1728"/>
  <c r="K1729"/>
  <c r="K1730"/>
  <c r="K1731"/>
  <c r="K1732"/>
  <c r="K1733"/>
  <c r="K1734"/>
  <c r="K1735"/>
  <c r="K1736"/>
  <c r="K1737"/>
  <c r="K1738"/>
  <c r="K1742"/>
  <c r="K1743"/>
  <c r="K1744"/>
  <c r="K1745"/>
  <c r="K1746"/>
  <c r="K1747"/>
  <c r="K1748"/>
  <c r="K1749"/>
  <c r="K1750"/>
  <c r="K1751"/>
  <c r="K1752"/>
  <c r="K1753"/>
  <c r="K1754"/>
  <c r="K1755"/>
  <c r="K1756"/>
  <c r="K1757"/>
  <c r="K1758"/>
  <c r="K1759"/>
  <c r="K1760"/>
  <c r="K1761"/>
  <c r="K1762"/>
  <c r="K1763"/>
  <c r="K1764"/>
  <c r="K1765"/>
  <c r="K1766"/>
  <c r="K1767"/>
  <c r="K1768"/>
  <c r="K1769"/>
  <c r="K1770"/>
  <c r="K1771"/>
  <c r="K1772"/>
  <c r="K1773"/>
  <c r="K1774"/>
  <c r="K1775"/>
  <c r="K1776"/>
  <c r="K1777"/>
  <c r="K1778"/>
  <c r="K1779"/>
  <c r="K1780"/>
  <c r="K1781"/>
  <c r="K1782"/>
  <c r="K1783"/>
  <c r="K1784"/>
  <c r="K1785"/>
  <c r="K1786"/>
  <c r="K1787"/>
  <c r="K1788"/>
  <c r="K1789"/>
  <c r="K1790"/>
  <c r="K1791"/>
  <c r="K1792"/>
  <c r="K1793"/>
  <c r="K1794"/>
  <c r="K1795"/>
  <c r="K1796"/>
  <c r="K1800"/>
  <c r="K1801"/>
  <c r="K1802"/>
  <c r="K1803"/>
  <c r="K1804"/>
  <c r="K1805"/>
  <c r="K1806"/>
  <c r="K1807"/>
  <c r="K1808"/>
  <c r="K1809"/>
  <c r="K1810"/>
  <c r="K1811"/>
  <c r="K1812"/>
  <c r="K1813"/>
  <c r="K1814"/>
  <c r="K1815"/>
  <c r="K1816"/>
  <c r="K1817"/>
  <c r="K1818"/>
  <c r="K1819"/>
  <c r="K1820"/>
  <c r="K1821"/>
  <c r="K1822"/>
  <c r="K1823"/>
  <c r="K1824"/>
  <c r="K1825"/>
  <c r="K1826"/>
  <c r="K1827"/>
  <c r="K1828"/>
  <c r="K1829"/>
  <c r="K1830"/>
  <c r="K1831"/>
  <c r="K1832"/>
  <c r="K1833"/>
  <c r="K1834"/>
  <c r="K1835"/>
  <c r="K1836"/>
  <c r="K1837"/>
  <c r="K1838"/>
  <c r="K1839"/>
  <c r="K1840"/>
  <c r="K1841"/>
  <c r="K1842"/>
  <c r="K1843"/>
  <c r="K1844"/>
  <c r="K1845"/>
  <c r="K1846"/>
  <c r="K1847"/>
  <c r="K1848"/>
  <c r="K1849"/>
  <c r="K1850"/>
  <c r="K1851"/>
  <c r="K1858"/>
  <c r="K1859"/>
  <c r="K1860"/>
  <c r="K1861"/>
  <c r="K1862"/>
  <c r="K1863"/>
  <c r="K1864"/>
  <c r="K1865"/>
  <c r="K1866"/>
  <c r="K1867"/>
  <c r="K1868"/>
  <c r="K1869"/>
  <c r="K1870"/>
  <c r="K1871"/>
  <c r="K1872"/>
  <c r="K1873"/>
  <c r="K1874"/>
  <c r="K1875"/>
  <c r="K1876"/>
  <c r="K1877"/>
  <c r="K1878"/>
  <c r="K1879"/>
  <c r="K1880"/>
  <c r="K1881"/>
  <c r="K1882"/>
  <c r="K1883"/>
  <c r="K1884"/>
  <c r="K1885"/>
  <c r="K1886"/>
  <c r="K1887"/>
  <c r="K1888"/>
  <c r="K1889"/>
  <c r="K1890"/>
  <c r="K1891"/>
  <c r="K1892"/>
  <c r="K1893"/>
  <c r="K1894"/>
  <c r="K1895"/>
  <c r="K1896"/>
  <c r="K1897"/>
  <c r="K1898"/>
  <c r="K1899"/>
  <c r="K1900"/>
  <c r="K1901"/>
  <c r="K1902"/>
  <c r="K1903"/>
  <c r="K1904"/>
  <c r="K1905"/>
  <c r="K1906"/>
  <c r="K1907"/>
  <c r="K1908"/>
  <c r="K1909"/>
  <c r="K1910"/>
  <c r="K1911"/>
  <c r="K1912"/>
  <c r="K1916"/>
  <c r="K1917"/>
  <c r="K1918"/>
  <c r="K1919"/>
  <c r="K1920"/>
  <c r="K1921"/>
  <c r="K1922"/>
  <c r="K1923"/>
  <c r="K1924"/>
  <c r="K1925"/>
  <c r="K1926"/>
  <c r="K1927"/>
  <c r="K1928"/>
  <c r="K1929"/>
  <c r="K1930"/>
  <c r="K1931"/>
  <c r="K1932"/>
  <c r="K1933"/>
  <c r="K1934"/>
  <c r="K1935"/>
  <c r="K1936"/>
  <c r="K1937"/>
  <c r="K1938"/>
  <c r="K1939"/>
  <c r="K1940"/>
  <c r="K1941"/>
  <c r="K1942"/>
  <c r="K1943"/>
  <c r="K1944"/>
  <c r="K1945"/>
  <c r="K1946"/>
  <c r="K1947"/>
  <c r="K1948"/>
  <c r="K1949"/>
  <c r="K1950"/>
  <c r="K1951"/>
  <c r="K1952"/>
  <c r="K1953"/>
  <c r="K1954"/>
  <c r="K1955"/>
  <c r="K1956"/>
  <c r="K1957"/>
  <c r="K1958"/>
  <c r="K1959"/>
  <c r="K1960"/>
  <c r="K1961"/>
  <c r="K1962"/>
  <c r="K1963"/>
  <c r="K1964"/>
  <c r="K1965"/>
  <c r="K1966"/>
  <c r="K1967"/>
  <c r="K1968"/>
  <c r="K1969"/>
  <c r="K1970"/>
  <c r="K1974"/>
  <c r="K1975"/>
  <c r="K1976"/>
  <c r="K1977"/>
  <c r="K1978"/>
  <c r="K1979"/>
  <c r="K1980"/>
  <c r="K1981"/>
  <c r="K1982"/>
  <c r="K1983"/>
  <c r="K1984"/>
  <c r="K1985"/>
  <c r="K1986"/>
  <c r="K1987"/>
  <c r="K1988"/>
  <c r="K1989"/>
  <c r="K1990"/>
  <c r="K1991"/>
  <c r="K1992"/>
  <c r="K1993"/>
  <c r="K1994"/>
  <c r="K1995"/>
  <c r="K1996"/>
  <c r="K1997"/>
  <c r="K1998"/>
  <c r="K1999"/>
  <c r="K2000"/>
  <c r="K2001"/>
  <c r="K2002"/>
  <c r="K2003"/>
  <c r="K2004"/>
  <c r="K2005"/>
  <c r="K2006"/>
  <c r="K2007"/>
  <c r="K2008"/>
  <c r="K2009"/>
  <c r="K2010"/>
  <c r="K2011"/>
  <c r="K2012"/>
  <c r="K2013"/>
  <c r="K2014"/>
  <c r="K2015"/>
  <c r="K2016"/>
  <c r="K2017"/>
  <c r="K2018"/>
  <c r="K2019"/>
  <c r="K2020"/>
  <c r="K2021"/>
  <c r="K2022"/>
  <c r="K2023"/>
  <c r="K2024"/>
  <c r="K2025"/>
  <c r="K2026"/>
  <c r="K2027"/>
  <c r="K2028"/>
  <c r="K2032"/>
  <c r="K2033"/>
  <c r="K2034"/>
  <c r="K2035"/>
  <c r="K2036"/>
  <c r="K2037"/>
  <c r="K2038"/>
  <c r="K2039"/>
  <c r="K2040"/>
  <c r="K2041"/>
  <c r="K2042"/>
  <c r="K2043"/>
  <c r="K2044"/>
  <c r="K2045"/>
  <c r="K2046"/>
  <c r="K2047"/>
  <c r="K2048"/>
  <c r="K2049"/>
  <c r="K2050"/>
  <c r="K2051"/>
  <c r="K2052"/>
  <c r="K2053"/>
  <c r="K2054"/>
  <c r="K2055"/>
  <c r="K2056"/>
  <c r="K2057"/>
  <c r="K2058"/>
  <c r="K2059"/>
  <c r="K2060"/>
  <c r="K2061"/>
  <c r="K2062"/>
  <c r="K2063"/>
  <c r="K2064"/>
  <c r="K2065"/>
  <c r="K2066"/>
  <c r="K2067"/>
  <c r="K2068"/>
  <c r="K2069"/>
  <c r="K2070"/>
  <c r="K2071"/>
  <c r="K2072"/>
  <c r="K2073"/>
  <c r="K2074"/>
  <c r="K2075"/>
  <c r="K2076"/>
  <c r="K2077"/>
  <c r="K2078"/>
  <c r="K2079"/>
  <c r="K2080"/>
  <c r="K2081"/>
  <c r="K2082"/>
  <c r="K2083"/>
  <c r="K2084"/>
  <c r="K2085"/>
  <c r="K2086"/>
  <c r="K2090"/>
  <c r="K2091"/>
  <c r="K2092"/>
  <c r="K2093"/>
  <c r="K2094"/>
  <c r="K2095"/>
  <c r="K2096"/>
  <c r="K2097"/>
  <c r="K2098"/>
  <c r="K2099"/>
  <c r="K2100"/>
  <c r="K2101"/>
  <c r="K2102"/>
  <c r="K2103"/>
  <c r="K2104"/>
  <c r="K2105"/>
  <c r="K2106"/>
  <c r="K2107"/>
  <c r="K2108"/>
  <c r="K2109"/>
  <c r="K2110"/>
  <c r="K2111"/>
  <c r="K2112"/>
  <c r="K2113"/>
  <c r="K2114"/>
  <c r="K2115"/>
  <c r="K2116"/>
  <c r="K2117"/>
  <c r="K2118"/>
  <c r="K2119"/>
  <c r="K2120"/>
  <c r="K2121"/>
  <c r="K2122"/>
  <c r="K2123"/>
  <c r="K2124"/>
  <c r="K2125"/>
  <c r="K2126"/>
  <c r="K2127"/>
  <c r="K2128"/>
  <c r="K2129"/>
  <c r="K2130"/>
  <c r="K2131"/>
  <c r="K2132"/>
  <c r="K2133"/>
  <c r="K2134"/>
  <c r="K2135"/>
  <c r="K2136"/>
  <c r="K2137"/>
  <c r="K2138"/>
  <c r="K2139"/>
  <c r="K2140"/>
  <c r="K2141"/>
  <c r="K2143"/>
  <c r="K2144"/>
  <c r="K2148"/>
  <c r="K2149"/>
  <c r="K2150"/>
  <c r="K2151"/>
  <c r="K2152"/>
  <c r="K2153"/>
  <c r="K2154"/>
  <c r="K2155"/>
  <c r="K2156"/>
  <c r="K2157"/>
  <c r="K2158"/>
  <c r="K2159"/>
  <c r="K2160"/>
  <c r="K2161"/>
  <c r="K2162"/>
  <c r="K2163"/>
  <c r="K2164"/>
  <c r="K2165"/>
  <c r="K2166"/>
  <c r="K2167"/>
  <c r="K2168"/>
  <c r="K2169"/>
  <c r="K2170"/>
  <c r="K2171"/>
  <c r="K2172"/>
  <c r="K2173"/>
  <c r="K2174"/>
  <c r="K2175"/>
  <c r="K2176"/>
  <c r="K2177"/>
  <c r="K2178"/>
  <c r="K2179"/>
  <c r="K2180"/>
  <c r="K2181"/>
  <c r="K2182"/>
  <c r="K2183"/>
  <c r="K2184"/>
  <c r="K2185"/>
  <c r="K2186"/>
  <c r="K2187"/>
  <c r="K2188"/>
  <c r="K2189"/>
  <c r="K2190"/>
  <c r="K2191"/>
  <c r="K2192"/>
  <c r="K2193"/>
  <c r="K2194"/>
  <c r="K2195"/>
  <c r="K2196"/>
  <c r="K2197"/>
  <c r="K2198"/>
  <c r="K2199"/>
  <c r="K2200"/>
  <c r="K2201"/>
  <c r="K2202"/>
  <c r="K2206"/>
  <c r="K2207"/>
  <c r="K2208"/>
  <c r="K2209"/>
  <c r="K2210"/>
  <c r="K2211"/>
  <c r="K2212"/>
  <c r="K2213"/>
  <c r="K2214"/>
  <c r="K2215"/>
  <c r="K2216"/>
  <c r="K2217"/>
  <c r="K2218"/>
  <c r="K2219"/>
  <c r="K2220"/>
  <c r="K2221"/>
  <c r="K2222"/>
  <c r="K2223"/>
  <c r="K2224"/>
  <c r="K2225"/>
  <c r="K2226"/>
  <c r="K2227"/>
  <c r="K2228"/>
  <c r="K2229"/>
  <c r="K2230"/>
  <c r="K2231"/>
  <c r="K2232"/>
  <c r="K2233"/>
  <c r="K2234"/>
  <c r="K2235"/>
  <c r="K2236"/>
  <c r="K2237"/>
  <c r="K2238"/>
  <c r="K2239"/>
  <c r="K2240"/>
  <c r="K2241"/>
  <c r="K2242"/>
  <c r="K2243"/>
  <c r="K2244"/>
  <c r="K2245"/>
  <c r="K2246"/>
  <c r="K2247"/>
  <c r="K2248"/>
  <c r="K2249"/>
  <c r="K2250"/>
  <c r="K2251"/>
  <c r="K2252"/>
  <c r="K2253"/>
  <c r="K2254"/>
  <c r="K2255"/>
  <c r="K2256"/>
  <c r="K2257"/>
  <c r="K2258"/>
  <c r="K2259"/>
  <c r="K2260"/>
  <c r="K2264"/>
  <c r="K2265"/>
  <c r="K2266"/>
  <c r="K2267"/>
  <c r="K2268"/>
  <c r="K2269"/>
  <c r="K2270"/>
  <c r="K2271"/>
  <c r="K2272"/>
  <c r="K2273"/>
  <c r="K2274"/>
  <c r="K2275"/>
  <c r="K2276"/>
  <c r="K2277"/>
  <c r="K2278"/>
  <c r="K2279"/>
  <c r="K2280"/>
  <c r="K2281"/>
  <c r="K2282"/>
  <c r="K2283"/>
  <c r="K2284"/>
  <c r="K2285"/>
  <c r="K2286"/>
  <c r="K2287"/>
  <c r="K2288"/>
  <c r="K2289"/>
  <c r="K2290"/>
  <c r="K2291"/>
  <c r="K2292"/>
  <c r="K2293"/>
  <c r="K2294"/>
  <c r="K2295"/>
  <c r="K2296"/>
  <c r="K2297"/>
  <c r="K2298"/>
  <c r="K2299"/>
  <c r="K2300"/>
  <c r="K2301"/>
  <c r="K2302"/>
  <c r="K2303"/>
  <c r="K2304"/>
  <c r="K2305"/>
  <c r="K2306"/>
  <c r="K2307"/>
  <c r="K2308"/>
  <c r="K2309"/>
  <c r="K2310"/>
  <c r="K2311"/>
  <c r="K2312"/>
  <c r="K2313"/>
  <c r="K2314"/>
  <c r="K2315"/>
  <c r="K2318"/>
  <c r="K2322"/>
  <c r="K2323"/>
  <c r="K2324"/>
  <c r="K2325"/>
  <c r="K2326"/>
  <c r="K2327"/>
  <c r="K2328"/>
  <c r="K2329"/>
  <c r="K2330"/>
  <c r="K2331"/>
  <c r="K2332"/>
  <c r="K2333"/>
  <c r="K2334"/>
  <c r="K2335"/>
  <c r="K2336"/>
  <c r="K2337"/>
  <c r="K2338"/>
  <c r="K2339"/>
  <c r="K2340"/>
  <c r="K2341"/>
  <c r="K2342"/>
  <c r="K2343"/>
  <c r="K2344"/>
  <c r="K2345"/>
  <c r="K2346"/>
  <c r="K2347"/>
  <c r="K2348"/>
  <c r="K2349"/>
  <c r="K2350"/>
  <c r="K2351"/>
  <c r="K2352"/>
  <c r="K2353"/>
  <c r="K2354"/>
  <c r="K2355"/>
  <c r="K2356"/>
  <c r="K2357"/>
  <c r="K2358"/>
  <c r="K2359"/>
  <c r="K2360"/>
  <c r="K2361"/>
  <c r="K2362"/>
  <c r="K2363"/>
  <c r="K2364"/>
  <c r="K2365"/>
  <c r="K2366"/>
  <c r="K2367"/>
  <c r="K2368"/>
  <c r="K2369"/>
  <c r="K2370"/>
  <c r="K2371"/>
  <c r="K2372"/>
  <c r="K2373"/>
  <c r="K2374"/>
  <c r="K2375"/>
  <c r="K2376"/>
  <c r="K2380"/>
  <c r="K2381"/>
  <c r="K2382"/>
  <c r="K2383"/>
  <c r="K2384"/>
  <c r="K2385"/>
  <c r="K2386"/>
  <c r="K2387"/>
  <c r="K2388"/>
  <c r="K2389"/>
  <c r="K2390"/>
  <c r="K2391"/>
  <c r="K2392"/>
  <c r="K2393"/>
  <c r="K2394"/>
  <c r="K2395"/>
  <c r="K2396"/>
  <c r="K2397"/>
  <c r="K2398"/>
  <c r="K2399"/>
  <c r="K2400"/>
  <c r="K2401"/>
  <c r="K2402"/>
  <c r="K2403"/>
  <c r="K2404"/>
  <c r="K2405"/>
  <c r="K2406"/>
  <c r="K2407"/>
  <c r="K2408"/>
  <c r="K2409"/>
  <c r="K2410"/>
  <c r="K2411"/>
  <c r="K2412"/>
  <c r="K2413"/>
  <c r="K2414"/>
  <c r="K2415"/>
  <c r="K2416"/>
  <c r="K2417"/>
  <c r="K2418"/>
  <c r="K2419"/>
  <c r="K2420"/>
  <c r="K2421"/>
  <c r="K2422"/>
  <c r="K2423"/>
  <c r="K2424"/>
  <c r="K2426"/>
  <c r="K2427"/>
  <c r="K2430"/>
  <c r="K2431"/>
  <c r="K2432"/>
  <c r="K2433"/>
  <c r="K2434"/>
  <c r="K2438"/>
  <c r="K2439"/>
  <c r="K2440"/>
  <c r="K2441"/>
  <c r="K2442"/>
  <c r="K2443"/>
  <c r="K2444"/>
  <c r="K2445"/>
  <c r="K2446"/>
  <c r="K2447"/>
  <c r="K2448"/>
  <c r="K2449"/>
  <c r="K2450"/>
  <c r="K2451"/>
  <c r="K2452"/>
  <c r="K2453"/>
  <c r="K2454"/>
  <c r="K2455"/>
  <c r="K2456"/>
  <c r="K2457"/>
  <c r="K2458"/>
  <c r="K2459"/>
  <c r="K2460"/>
  <c r="K2461"/>
  <c r="K2462"/>
  <c r="K2463"/>
  <c r="K2464"/>
  <c r="K2465"/>
  <c r="K2466"/>
  <c r="K2467"/>
  <c r="K2468"/>
  <c r="K2469"/>
  <c r="K2470"/>
  <c r="K2471"/>
  <c r="K2472"/>
  <c r="K2473"/>
  <c r="K2474"/>
  <c r="K2475"/>
  <c r="K2476"/>
  <c r="K2477"/>
  <c r="K2478"/>
  <c r="K2479"/>
  <c r="K2480"/>
  <c r="K2481"/>
  <c r="K2482"/>
  <c r="K2483"/>
  <c r="K2484"/>
  <c r="K2485"/>
  <c r="K2486"/>
  <c r="K2487"/>
  <c r="K2488"/>
  <c r="K2489"/>
  <c r="K2490"/>
  <c r="K2491"/>
  <c r="K2492"/>
  <c r="K2496"/>
  <c r="K2497"/>
  <c r="K2498"/>
  <c r="K2499"/>
  <c r="K2500"/>
  <c r="K2501"/>
  <c r="K2502"/>
  <c r="K2503"/>
  <c r="K2504"/>
  <c r="K2505"/>
  <c r="K2506"/>
  <c r="K2507"/>
  <c r="K2508"/>
  <c r="K2509"/>
  <c r="K2510"/>
  <c r="K2511"/>
  <c r="K2512"/>
  <c r="K2513"/>
  <c r="K2514"/>
  <c r="K2515"/>
  <c r="K2516"/>
  <c r="K2517"/>
  <c r="K2518"/>
  <c r="K2519"/>
  <c r="K2520"/>
  <c r="K2521"/>
  <c r="K2522"/>
  <c r="K2523"/>
  <c r="K2524"/>
  <c r="K2525"/>
  <c r="K2526"/>
  <c r="K2527"/>
  <c r="K2528"/>
  <c r="K2529"/>
  <c r="K2530"/>
  <c r="K2531"/>
  <c r="K2532"/>
  <c r="K2533"/>
  <c r="K2534"/>
  <c r="K2535"/>
  <c r="K2536"/>
  <c r="K2537"/>
  <c r="K2538"/>
  <c r="K2539"/>
  <c r="K2540"/>
  <c r="K2541"/>
  <c r="K2542"/>
  <c r="K2543"/>
  <c r="K2544"/>
  <c r="K2545"/>
  <c r="K2546"/>
  <c r="K2547"/>
  <c r="K2548"/>
  <c r="K2549"/>
  <c r="K2550"/>
  <c r="K2554"/>
  <c r="K2555"/>
  <c r="K2556"/>
  <c r="K2557"/>
  <c r="K2558"/>
  <c r="K2559"/>
  <c r="K2560"/>
  <c r="K2561"/>
  <c r="K2562"/>
  <c r="K2563"/>
  <c r="K2564"/>
  <c r="K2565"/>
  <c r="K2566"/>
  <c r="K2567"/>
  <c r="K2568"/>
  <c r="K2569"/>
  <c r="K2570"/>
  <c r="K2571"/>
  <c r="K2572"/>
  <c r="K2573"/>
  <c r="K2574"/>
  <c r="K2575"/>
  <c r="K2576"/>
  <c r="K2577"/>
  <c r="K2578"/>
  <c r="K2579"/>
  <c r="K2580"/>
  <c r="K2581"/>
  <c r="K2582"/>
  <c r="K2583"/>
  <c r="K2584"/>
  <c r="K2585"/>
  <c r="K2586"/>
  <c r="K2587"/>
  <c r="K2588"/>
  <c r="K2589"/>
  <c r="K2590"/>
  <c r="K2591"/>
  <c r="K2592"/>
  <c r="K2593"/>
  <c r="K2594"/>
  <c r="K2595"/>
  <c r="K2596"/>
  <c r="K2597"/>
  <c r="K2598"/>
  <c r="K2599"/>
  <c r="K2600"/>
  <c r="K2601"/>
  <c r="K2602"/>
  <c r="K2603"/>
  <c r="K2604"/>
  <c r="K2606"/>
  <c r="K2607"/>
  <c r="K2608"/>
  <c r="K2612"/>
  <c r="K2613"/>
  <c r="K2614"/>
  <c r="K2615"/>
  <c r="K2616"/>
  <c r="K2617"/>
  <c r="K2618"/>
  <c r="K2619"/>
  <c r="K2620"/>
  <c r="K2621"/>
  <c r="K2622"/>
  <c r="K2623"/>
  <c r="K2624"/>
  <c r="K2625"/>
  <c r="K2626"/>
  <c r="K2627"/>
  <c r="K2628"/>
  <c r="K2629"/>
  <c r="K2630"/>
  <c r="K2631"/>
  <c r="K2632"/>
  <c r="K2633"/>
  <c r="K2634"/>
  <c r="K2635"/>
  <c r="K2636"/>
  <c r="K2637"/>
  <c r="K2638"/>
  <c r="K2639"/>
  <c r="K2640"/>
  <c r="K2641"/>
  <c r="K2642"/>
  <c r="K2643"/>
  <c r="K2644"/>
  <c r="K2645"/>
  <c r="K2646"/>
  <c r="K2647"/>
  <c r="K2648"/>
  <c r="K2649"/>
  <c r="K2650"/>
  <c r="K2651"/>
  <c r="K2652"/>
  <c r="K2653"/>
  <c r="K2654"/>
  <c r="K2655"/>
  <c r="K2656"/>
  <c r="K2657"/>
  <c r="K2658"/>
  <c r="K2661"/>
  <c r="K2662"/>
  <c r="K2663"/>
  <c r="K2664"/>
  <c r="K2665"/>
  <c r="K2666"/>
  <c r="K2670"/>
  <c r="K2671"/>
  <c r="K2672"/>
  <c r="K2673"/>
  <c r="K2674"/>
  <c r="K2675"/>
  <c r="K2676"/>
  <c r="K2677"/>
  <c r="K2678"/>
  <c r="K2679"/>
  <c r="K2680"/>
  <c r="K2681"/>
  <c r="K2682"/>
  <c r="K2683"/>
  <c r="K2684"/>
  <c r="K2685"/>
  <c r="K2686"/>
  <c r="K2687"/>
  <c r="K2688"/>
  <c r="K2689"/>
  <c r="K2690"/>
  <c r="K2691"/>
  <c r="K2692"/>
  <c r="K2693"/>
  <c r="K2694"/>
  <c r="K2695"/>
  <c r="K2696"/>
  <c r="K2697"/>
  <c r="K2698"/>
  <c r="K2699"/>
  <c r="K2700"/>
  <c r="K2701"/>
  <c r="K2702"/>
  <c r="K2703"/>
  <c r="K2704"/>
  <c r="K2705"/>
  <c r="K2706"/>
  <c r="K2707"/>
  <c r="K2708"/>
  <c r="K2709"/>
  <c r="K2710"/>
  <c r="K2711"/>
  <c r="K2712"/>
  <c r="K2713"/>
  <c r="K2714"/>
  <c r="K2715"/>
  <c r="K2716"/>
  <c r="K2717"/>
  <c r="K2718"/>
  <c r="K2719"/>
  <c r="K2720"/>
  <c r="K2721"/>
  <c r="K2722"/>
  <c r="K2723"/>
  <c r="K2724"/>
  <c r="K2728"/>
  <c r="K2729"/>
  <c r="K2730"/>
  <c r="K2731"/>
  <c r="K2732"/>
  <c r="K2733"/>
  <c r="K2734"/>
  <c r="K2735"/>
  <c r="K2736"/>
  <c r="K2737"/>
  <c r="K2738"/>
  <c r="K2739"/>
  <c r="K2740"/>
  <c r="K2741"/>
  <c r="K2742"/>
  <c r="K2743"/>
  <c r="K2744"/>
  <c r="K2745"/>
  <c r="K2746"/>
  <c r="K2747"/>
  <c r="K2748"/>
  <c r="K2749"/>
  <c r="K2750"/>
  <c r="K2751"/>
  <c r="K2752"/>
  <c r="K2753"/>
  <c r="K2754"/>
  <c r="K2755"/>
  <c r="K2756"/>
  <c r="K2757"/>
  <c r="K2758"/>
  <c r="K2759"/>
  <c r="K2760"/>
  <c r="K2761"/>
  <c r="K2762"/>
  <c r="K2763"/>
  <c r="K2764"/>
  <c r="K2765"/>
  <c r="K2766"/>
  <c r="K2767"/>
  <c r="K2768"/>
  <c r="K2769"/>
  <c r="K2770"/>
  <c r="K2771"/>
  <c r="K2772"/>
  <c r="K2773"/>
  <c r="K2774"/>
  <c r="K2775"/>
  <c r="K2776"/>
  <c r="K2777"/>
  <c r="K2778"/>
  <c r="K2779"/>
  <c r="K2780"/>
  <c r="K2781"/>
  <c r="K2782"/>
  <c r="C2787" l="1"/>
  <c r="M2833"/>
  <c r="BO2833" s="1"/>
  <c r="L2833"/>
  <c r="BN2833" s="1"/>
  <c r="C2788" l="1"/>
  <c r="C60"/>
  <c r="C118"/>
  <c r="C176"/>
  <c r="C234"/>
  <c r="C292"/>
  <c r="C350"/>
  <c r="C408"/>
  <c r="C466"/>
  <c r="C524"/>
  <c r="C582"/>
  <c r="C640"/>
  <c r="C756"/>
  <c r="C814"/>
  <c r="C872"/>
  <c r="C930"/>
  <c r="C988"/>
  <c r="C1046"/>
  <c r="C1104"/>
  <c r="C1162"/>
  <c r="C1220"/>
  <c r="C1278"/>
  <c r="C1336"/>
  <c r="C1394"/>
  <c r="C1221" l="1"/>
  <c r="C1105"/>
  <c r="C873"/>
  <c r="C757"/>
  <c r="C583"/>
  <c r="C235"/>
  <c r="C1279"/>
  <c r="C1163"/>
  <c r="C1047"/>
  <c r="C931"/>
  <c r="C815"/>
  <c r="C641"/>
  <c r="C293"/>
  <c r="C177"/>
  <c r="C61"/>
  <c r="C2789"/>
  <c r="C525"/>
  <c r="C409"/>
  <c r="C989"/>
  <c r="C699"/>
  <c r="C1337"/>
  <c r="C467"/>
  <c r="C351"/>
  <c r="C119"/>
  <c r="C1395"/>
  <c r="C1452"/>
  <c r="C990" l="1"/>
  <c r="C1396"/>
  <c r="C2790"/>
  <c r="C62"/>
  <c r="C178"/>
  <c r="C294"/>
  <c r="C642"/>
  <c r="C816"/>
  <c r="C932"/>
  <c r="C1048"/>
  <c r="C1164"/>
  <c r="C1280"/>
  <c r="C236"/>
  <c r="C584"/>
  <c r="C758"/>
  <c r="C874"/>
  <c r="C1106"/>
  <c r="C1222"/>
  <c r="C526"/>
  <c r="C410"/>
  <c r="C700"/>
  <c r="C468"/>
  <c r="C1338"/>
  <c r="C120"/>
  <c r="C352"/>
  <c r="C991"/>
  <c r="C1453"/>
  <c r="C411" l="1"/>
  <c r="C1223"/>
  <c r="C1107"/>
  <c r="C875"/>
  <c r="C759"/>
  <c r="C585"/>
  <c r="C237"/>
  <c r="C1281"/>
  <c r="C1165"/>
  <c r="C1049"/>
  <c r="C933"/>
  <c r="C817"/>
  <c r="C643"/>
  <c r="C295"/>
  <c r="C179"/>
  <c r="C63"/>
  <c r="C2791"/>
  <c r="C1397"/>
  <c r="C412"/>
  <c r="C527"/>
  <c r="C701"/>
  <c r="C121"/>
  <c r="C992"/>
  <c r="C353"/>
  <c r="C1339"/>
  <c r="C469"/>
  <c r="C1454"/>
  <c r="D2816"/>
  <c r="D518"/>
  <c r="D2814"/>
  <c r="D691"/>
  <c r="D2811"/>
  <c r="D460"/>
  <c r="D1269"/>
  <c r="D1502"/>
  <c r="D2198"/>
  <c r="D2788"/>
  <c r="D749"/>
  <c r="D1274"/>
  <c r="D229"/>
  <c r="D1040"/>
  <c r="D338"/>
  <c r="D984"/>
  <c r="D344"/>
  <c r="D1447"/>
  <c r="D1964"/>
  <c r="D1729"/>
  <c r="D1504"/>
  <c r="D1560"/>
  <c r="D2257"/>
  <c r="D2374"/>
  <c r="D2082"/>
  <c r="D2201"/>
  <c r="D1562"/>
  <c r="D635"/>
  <c r="D1795"/>
  <c r="D1921"/>
  <c r="D2375"/>
  <c r="D2608"/>
  <c r="D1563"/>
  <c r="D1505"/>
  <c r="D2251"/>
  <c r="D2431"/>
  <c r="D2718"/>
  <c r="B13" i="15"/>
  <c r="B38"/>
  <c r="B48"/>
  <c r="B11"/>
  <c r="B42"/>
  <c r="B47"/>
  <c r="B46"/>
  <c r="D2808" i="2"/>
  <c r="D636"/>
  <c r="D2806"/>
  <c r="D747"/>
  <c r="D2803"/>
  <c r="D519"/>
  <c r="D2801"/>
  <c r="D1789"/>
  <c r="D1503"/>
  <c r="D164"/>
  <c r="D865"/>
  <c r="D2817"/>
  <c r="D341"/>
  <c r="D1099"/>
  <c r="D230"/>
  <c r="D976"/>
  <c r="D287"/>
  <c r="D1439"/>
  <c r="D1911"/>
  <c r="D1737"/>
  <c r="D1734"/>
  <c r="D1678"/>
  <c r="D2607"/>
  <c r="D2724"/>
  <c r="D1790"/>
  <c r="D2369"/>
  <c r="D1621"/>
  <c r="D752"/>
  <c r="D1920"/>
  <c r="D1967"/>
  <c r="D2432"/>
  <c r="D2492"/>
  <c r="D1730"/>
  <c r="D2024"/>
  <c r="D2373"/>
  <c r="D2549"/>
  <c r="B37" i="15"/>
  <c r="B16"/>
  <c r="B43"/>
  <c r="B12"/>
  <c r="B21"/>
  <c r="B23"/>
  <c r="B14"/>
  <c r="B28"/>
  <c r="D2800" i="2"/>
  <c r="D693"/>
  <c r="D2798"/>
  <c r="D979"/>
  <c r="D2795"/>
  <c r="D576"/>
  <c r="D336"/>
  <c r="D1736"/>
  <c r="D1440"/>
  <c r="D227"/>
  <c r="D981"/>
  <c r="D2809"/>
  <c r="D404"/>
  <c r="D1146"/>
  <c r="D515"/>
  <c r="D1155"/>
  <c r="D864"/>
  <c r="D1561"/>
  <c r="D2080"/>
  <c r="D1784"/>
  <c r="D1787"/>
  <c r="D1794"/>
  <c r="D2371"/>
  <c r="D2722"/>
  <c r="D1735"/>
  <c r="D2255"/>
  <c r="D1680"/>
  <c r="D923"/>
  <c r="D2086"/>
  <c r="D2026"/>
  <c r="D2489"/>
  <c r="D2805"/>
  <c r="D1783"/>
  <c r="D1727"/>
  <c r="D2365"/>
  <c r="D2490"/>
  <c r="B56" i="15"/>
  <c r="B34"/>
  <c r="B24"/>
  <c r="B51"/>
  <c r="B36"/>
  <c r="B44"/>
  <c r="B15"/>
  <c r="B25"/>
  <c r="D2792" i="2"/>
  <c r="D977"/>
  <c r="D2790"/>
  <c r="D1095"/>
  <c r="D2787"/>
  <c r="D694"/>
  <c r="D462"/>
  <c r="D1968"/>
  <c r="D2812"/>
  <c r="D339"/>
  <c r="D1036"/>
  <c r="D2818"/>
  <c r="D516"/>
  <c r="D1156"/>
  <c r="D346"/>
  <c r="D1094"/>
  <c r="D517"/>
  <c r="D1506"/>
  <c r="D2143"/>
  <c r="D1792"/>
  <c r="D1909"/>
  <c r="D1917"/>
  <c r="D2254"/>
  <c r="D2789"/>
  <c r="D1965"/>
  <c r="D2491"/>
  <c r="D1733"/>
  <c r="D982"/>
  <c r="D2141"/>
  <c r="D2083"/>
  <c r="D2723"/>
  <c r="D2720"/>
  <c r="D1916"/>
  <c r="D2197"/>
  <c r="D2252"/>
  <c r="D2372"/>
  <c r="B19" i="15"/>
  <c r="B7"/>
  <c r="B27"/>
  <c r="B53"/>
  <c r="B54"/>
  <c r="B45"/>
  <c r="B8"/>
  <c r="E2789" i="2" a="1"/>
  <c r="E2787" a="1"/>
  <c r="B59" i="15"/>
  <c r="B58"/>
  <c r="D286" i="2"/>
  <c r="D1154"/>
  <c r="D337"/>
  <c r="D1152"/>
  <c r="D226"/>
  <c r="D925"/>
  <c r="D1153"/>
  <c r="D1918"/>
  <c r="D2820"/>
  <c r="D402"/>
  <c r="D1097"/>
  <c r="D2810"/>
  <c r="D575"/>
  <c r="D2815"/>
  <c r="D690"/>
  <c r="D1273"/>
  <c r="D1145"/>
  <c r="D1732"/>
  <c r="D2194"/>
  <c r="D574"/>
  <c r="D1966"/>
  <c r="D1963"/>
  <c r="D2719"/>
  <c r="D228"/>
  <c r="D1919"/>
  <c r="D2430"/>
  <c r="D1788"/>
  <c r="D1329"/>
  <c r="D2200"/>
  <c r="D2191"/>
  <c r="D2250"/>
  <c r="D692"/>
  <c r="D1970"/>
  <c r="D1969"/>
  <c r="D2487"/>
  <c r="D2657"/>
  <c r="B10" i="15"/>
  <c r="B20"/>
  <c r="B26"/>
  <c r="B22"/>
  <c r="B30"/>
  <c r="B52"/>
  <c r="B60"/>
  <c r="B55"/>
  <c r="D335" i="2"/>
  <c r="D1270"/>
  <c r="D345"/>
  <c r="D1215"/>
  <c r="D285"/>
  <c r="D980"/>
  <c r="D1271"/>
  <c r="D2084"/>
  <c r="D2796"/>
  <c r="D514"/>
  <c r="D1158"/>
  <c r="D2802"/>
  <c r="D751"/>
  <c r="D2807"/>
  <c r="D633"/>
  <c r="D1261"/>
  <c r="D978"/>
  <c r="D1622"/>
  <c r="D2202"/>
  <c r="D868"/>
  <c r="D2192"/>
  <c r="D2249"/>
  <c r="D2366"/>
  <c r="D1738"/>
  <c r="D2081"/>
  <c r="D2721"/>
  <c r="D1796"/>
  <c r="D1445"/>
  <c r="D1438"/>
  <c r="D2199"/>
  <c r="D2258"/>
  <c r="D340"/>
  <c r="D1564"/>
  <c r="D2259"/>
  <c r="D2368"/>
  <c r="D2781"/>
  <c r="B5" i="15"/>
  <c r="B39"/>
  <c r="B62"/>
  <c r="B17"/>
  <c r="E2788" i="2" a="1"/>
  <c r="B49" i="15"/>
  <c r="B9"/>
  <c r="E2791" i="2" a="1"/>
  <c r="D343"/>
  <c r="D2813"/>
  <c r="D520"/>
  <c r="D1272"/>
  <c r="D342"/>
  <c r="D1151"/>
  <c r="D1327"/>
  <c r="D2027"/>
  <c r="D2804"/>
  <c r="D577"/>
  <c r="D1213"/>
  <c r="D2794"/>
  <c r="D867"/>
  <c r="D2799"/>
  <c r="D866"/>
  <c r="D55"/>
  <c r="D1331"/>
  <c r="D1793"/>
  <c r="D1328"/>
  <c r="D1096"/>
  <c r="D1330"/>
  <c r="D2195"/>
  <c r="D2309"/>
  <c r="D1791"/>
  <c r="D2028"/>
  <c r="D2248"/>
  <c r="D2797"/>
  <c r="D1679"/>
  <c r="D1731"/>
  <c r="D2253"/>
  <c r="D2433"/>
  <c r="D1157"/>
  <c r="D2196"/>
  <c r="D2085"/>
  <c r="D2260"/>
  <c r="D2486"/>
  <c r="B57" i="15"/>
  <c r="B50"/>
  <c r="B18"/>
  <c r="B33"/>
  <c r="B29"/>
  <c r="B35"/>
  <c r="B40"/>
  <c r="E2790" i="2" a="1"/>
  <c r="D461"/>
  <c r="E2786" a="1"/>
  <c r="D634"/>
  <c r="D2819"/>
  <c r="D403"/>
  <c r="D1212"/>
  <c r="D1728"/>
  <c r="D1332"/>
  <c r="D56"/>
  <c r="D632"/>
  <c r="D1262"/>
  <c r="D2786"/>
  <c r="D983"/>
  <c r="D2791"/>
  <c r="D750"/>
  <c r="D2793"/>
  <c r="D1263"/>
  <c r="D1785"/>
  <c r="D1444"/>
  <c r="D1437"/>
  <c r="D1448"/>
  <c r="D2363"/>
  <c r="D2488"/>
  <c r="D2025"/>
  <c r="D2247"/>
  <c r="D2256"/>
  <c r="D401"/>
  <c r="D1726"/>
  <c r="D1786"/>
  <c r="D2367"/>
  <c r="D2370"/>
  <c r="D1041"/>
  <c r="D1912"/>
  <c r="D2318"/>
  <c r="D2364"/>
  <c r="B32" i="15"/>
  <c r="B6"/>
  <c r="B41"/>
  <c r="B61"/>
  <c r="B31"/>
  <c r="E2790" i="2" l="1"/>
  <c r="E2789"/>
  <c r="E2788"/>
  <c r="E2787"/>
  <c r="E2786"/>
  <c r="E2791"/>
  <c r="C1398"/>
  <c r="C2792"/>
  <c r="C64"/>
  <c r="C180"/>
  <c r="C296"/>
  <c r="C644"/>
  <c r="C818"/>
  <c r="C934"/>
  <c r="C1050"/>
  <c r="C1166"/>
  <c r="C1282"/>
  <c r="C238"/>
  <c r="C586"/>
  <c r="C760"/>
  <c r="C876"/>
  <c r="C1108"/>
  <c r="C1224"/>
  <c r="C122"/>
  <c r="C702"/>
  <c r="C528"/>
  <c r="C413"/>
  <c r="C470"/>
  <c r="C1340"/>
  <c r="C354"/>
  <c r="C993"/>
  <c r="C1455"/>
  <c r="E2792" a="1"/>
  <c r="E2792" l="1"/>
  <c r="C1225"/>
  <c r="C1109"/>
  <c r="C877"/>
  <c r="C761"/>
  <c r="C587"/>
  <c r="C239"/>
  <c r="C1283"/>
  <c r="C1167"/>
  <c r="C1051"/>
  <c r="C935"/>
  <c r="C819"/>
  <c r="C645"/>
  <c r="C297"/>
  <c r="C181"/>
  <c r="C65"/>
  <c r="C2793"/>
  <c r="C1399"/>
  <c r="C703"/>
  <c r="C414"/>
  <c r="C529"/>
  <c r="C123"/>
  <c r="C994"/>
  <c r="C355"/>
  <c r="C1341"/>
  <c r="C471"/>
  <c r="C1456"/>
  <c r="E2793" a="1"/>
  <c r="E2793" l="1"/>
  <c r="C1400"/>
  <c r="C2794"/>
  <c r="C66"/>
  <c r="C182"/>
  <c r="C298"/>
  <c r="C646"/>
  <c r="C820"/>
  <c r="C936"/>
  <c r="C1052"/>
  <c r="C1168"/>
  <c r="C1284"/>
  <c r="C240"/>
  <c r="C588"/>
  <c r="C762"/>
  <c r="C878"/>
  <c r="C1110"/>
  <c r="C1226"/>
  <c r="C704"/>
  <c r="C530"/>
  <c r="C415"/>
  <c r="C124"/>
  <c r="C1342"/>
  <c r="C356"/>
  <c r="C472"/>
  <c r="C995"/>
  <c r="C1457"/>
  <c r="E2794" a="1"/>
  <c r="E2794" l="1"/>
  <c r="C705"/>
  <c r="C1227"/>
  <c r="C1111"/>
  <c r="C879"/>
  <c r="C763"/>
  <c r="C589"/>
  <c r="C241"/>
  <c r="C1285"/>
  <c r="C1169"/>
  <c r="C1053"/>
  <c r="C937"/>
  <c r="C821"/>
  <c r="C647"/>
  <c r="C299"/>
  <c r="C2795"/>
  <c r="C1401"/>
  <c r="C183"/>
  <c r="C67"/>
  <c r="C531"/>
  <c r="C125"/>
  <c r="C416"/>
  <c r="C996"/>
  <c r="C473"/>
  <c r="C357"/>
  <c r="C1343"/>
  <c r="C1458"/>
  <c r="E2795" a="1"/>
  <c r="E2795" l="1"/>
  <c r="C1402"/>
  <c r="C532"/>
  <c r="C184"/>
  <c r="C2796"/>
  <c r="C300"/>
  <c r="C648"/>
  <c r="C822"/>
  <c r="C938"/>
  <c r="C1054"/>
  <c r="C1170"/>
  <c r="C1286"/>
  <c r="C242"/>
  <c r="C590"/>
  <c r="C764"/>
  <c r="C880"/>
  <c r="C1112"/>
  <c r="C1228"/>
  <c r="C706"/>
  <c r="C68"/>
  <c r="C126"/>
  <c r="C417"/>
  <c r="C1344"/>
  <c r="C358"/>
  <c r="C474"/>
  <c r="C997"/>
  <c r="C1459"/>
  <c r="E2796" a="1"/>
  <c r="E2796" l="1"/>
  <c r="C1229"/>
  <c r="C185"/>
  <c r="C1403"/>
  <c r="C69"/>
  <c r="C707"/>
  <c r="C1113"/>
  <c r="C881"/>
  <c r="C765"/>
  <c r="C591"/>
  <c r="C243"/>
  <c r="C1287"/>
  <c r="C1171"/>
  <c r="C1055"/>
  <c r="C939"/>
  <c r="C823"/>
  <c r="C649"/>
  <c r="C301"/>
  <c r="C2797"/>
  <c r="C533"/>
  <c r="C418"/>
  <c r="C127"/>
  <c r="C998"/>
  <c r="C359"/>
  <c r="C475"/>
  <c r="C1345"/>
  <c r="C1460"/>
  <c r="E2797" a="1"/>
  <c r="E2797" l="1"/>
  <c r="C534"/>
  <c r="C2798"/>
  <c r="C302"/>
  <c r="C650"/>
  <c r="C824"/>
  <c r="C940"/>
  <c r="C1056"/>
  <c r="C1172"/>
  <c r="C1288"/>
  <c r="C592"/>
  <c r="C766"/>
  <c r="C882"/>
  <c r="C1114"/>
  <c r="C244"/>
  <c r="C708"/>
  <c r="C70"/>
  <c r="C1404"/>
  <c r="C186"/>
  <c r="C1230"/>
  <c r="C128"/>
  <c r="C419"/>
  <c r="C1346"/>
  <c r="C360"/>
  <c r="C999"/>
  <c r="C476"/>
  <c r="C1461"/>
  <c r="E2798" a="1"/>
  <c r="E2798" l="1"/>
  <c r="C593"/>
  <c r="C1115"/>
  <c r="C883"/>
  <c r="C767"/>
  <c r="C1289"/>
  <c r="C1173"/>
  <c r="C1057"/>
  <c r="C941"/>
  <c r="C825"/>
  <c r="C651"/>
  <c r="C303"/>
  <c r="C2799"/>
  <c r="C535"/>
  <c r="C1231"/>
  <c r="C187"/>
  <c r="C1405"/>
  <c r="C71"/>
  <c r="C709"/>
  <c r="C245"/>
  <c r="C420"/>
  <c r="C129"/>
  <c r="C477"/>
  <c r="C1000"/>
  <c r="C361"/>
  <c r="C1347"/>
  <c r="C1462"/>
  <c r="E2799" a="1"/>
  <c r="E2799" l="1"/>
  <c r="C710"/>
  <c r="C1406"/>
  <c r="C1232"/>
  <c r="C246"/>
  <c r="C72"/>
  <c r="C2800"/>
  <c r="C304"/>
  <c r="C652"/>
  <c r="C826"/>
  <c r="C942"/>
  <c r="C1058"/>
  <c r="C1174"/>
  <c r="C1290"/>
  <c r="C768"/>
  <c r="C884"/>
  <c r="C1116"/>
  <c r="C594"/>
  <c r="C188"/>
  <c r="C536"/>
  <c r="C130"/>
  <c r="C421"/>
  <c r="C1348"/>
  <c r="C362"/>
  <c r="C478"/>
  <c r="C1001"/>
  <c r="C1463"/>
  <c r="E2800" a="1"/>
  <c r="E2800" l="1"/>
  <c r="C537"/>
  <c r="C595"/>
  <c r="C1117"/>
  <c r="C885"/>
  <c r="C769"/>
  <c r="C1291"/>
  <c r="C1175"/>
  <c r="C1059"/>
  <c r="C653"/>
  <c r="C305"/>
  <c r="C2801"/>
  <c r="C189"/>
  <c r="C943"/>
  <c r="C827"/>
  <c r="C73"/>
  <c r="C247"/>
  <c r="C1233"/>
  <c r="C1407"/>
  <c r="C711"/>
  <c r="C131"/>
  <c r="C422"/>
  <c r="C1002"/>
  <c r="C479"/>
  <c r="C363"/>
  <c r="C1349"/>
  <c r="C1464"/>
  <c r="E2801" a="1"/>
  <c r="E2801" l="1"/>
  <c r="C1234"/>
  <c r="C828"/>
  <c r="C2802"/>
  <c r="C654"/>
  <c r="C1176"/>
  <c r="C1292"/>
  <c r="C770"/>
  <c r="C886"/>
  <c r="C712"/>
  <c r="C1408"/>
  <c r="C248"/>
  <c r="C74"/>
  <c r="C944"/>
  <c r="C190"/>
  <c r="C306"/>
  <c r="C1060"/>
  <c r="C1118"/>
  <c r="C596"/>
  <c r="C538"/>
  <c r="C132"/>
  <c r="C423"/>
  <c r="C364"/>
  <c r="C480"/>
  <c r="C1003"/>
  <c r="C1350"/>
  <c r="C1465"/>
  <c r="E2802" a="1"/>
  <c r="E2802" l="1"/>
  <c r="C887"/>
  <c r="C1293"/>
  <c r="C2803"/>
  <c r="C829"/>
  <c r="C539"/>
  <c r="C597"/>
  <c r="C1119"/>
  <c r="C1061"/>
  <c r="C307"/>
  <c r="C191"/>
  <c r="C945"/>
  <c r="C75"/>
  <c r="C249"/>
  <c r="C1409"/>
  <c r="C713"/>
  <c r="C771"/>
  <c r="C1177"/>
  <c r="C655"/>
  <c r="C1235"/>
  <c r="C424"/>
  <c r="C133"/>
  <c r="C1466"/>
  <c r="C1351"/>
  <c r="C481"/>
  <c r="C1004"/>
  <c r="C365"/>
  <c r="E2803" a="1"/>
  <c r="E2803" l="1"/>
  <c r="C2804"/>
  <c r="C1236"/>
  <c r="C656"/>
  <c r="C1178"/>
  <c r="C772"/>
  <c r="C714"/>
  <c r="C1410"/>
  <c r="C250"/>
  <c r="C76"/>
  <c r="C946"/>
  <c r="C192"/>
  <c r="C308"/>
  <c r="C1062"/>
  <c r="C1120"/>
  <c r="C598"/>
  <c r="C540"/>
  <c r="C830"/>
  <c r="C1294"/>
  <c r="C888"/>
  <c r="C1467"/>
  <c r="C425"/>
  <c r="C134"/>
  <c r="C366"/>
  <c r="C1005"/>
  <c r="C482"/>
  <c r="C1352"/>
  <c r="E2804" a="1"/>
  <c r="E2804" l="1"/>
  <c r="C1468"/>
  <c r="C1469" s="1"/>
  <c r="C1295"/>
  <c r="C831"/>
  <c r="C251"/>
  <c r="C1179"/>
  <c r="C657"/>
  <c r="C2805"/>
  <c r="C889"/>
  <c r="C541"/>
  <c r="C599"/>
  <c r="C1121"/>
  <c r="C1063"/>
  <c r="C309"/>
  <c r="C193"/>
  <c r="C947"/>
  <c r="C77"/>
  <c r="C1411"/>
  <c r="C715"/>
  <c r="C773"/>
  <c r="C1237"/>
  <c r="C1006"/>
  <c r="C426"/>
  <c r="C135"/>
  <c r="C1353"/>
  <c r="C367"/>
  <c r="C483"/>
  <c r="E2805" a="1"/>
  <c r="E2805" l="1"/>
  <c r="C1238"/>
  <c r="C774"/>
  <c r="C716"/>
  <c r="C1412"/>
  <c r="C78"/>
  <c r="C948"/>
  <c r="C310"/>
  <c r="C1064"/>
  <c r="C600"/>
  <c r="C542"/>
  <c r="C890"/>
  <c r="C1180"/>
  <c r="C252"/>
  <c r="C1007"/>
  <c r="C194"/>
  <c r="C1122"/>
  <c r="C2806"/>
  <c r="C658"/>
  <c r="C832"/>
  <c r="C1296"/>
  <c r="C136"/>
  <c r="C427"/>
  <c r="C484"/>
  <c r="C1470"/>
  <c r="C368"/>
  <c r="C1354"/>
  <c r="E2806" a="1"/>
  <c r="E2806" l="1"/>
  <c r="C1297"/>
  <c r="C833"/>
  <c r="C659"/>
  <c r="C2807"/>
  <c r="C1123"/>
  <c r="C195"/>
  <c r="C1008"/>
  <c r="C775"/>
  <c r="C253"/>
  <c r="C1181"/>
  <c r="C891"/>
  <c r="C543"/>
  <c r="C601"/>
  <c r="C1065"/>
  <c r="C311"/>
  <c r="C949"/>
  <c r="C79"/>
  <c r="C1413"/>
  <c r="C717"/>
  <c r="C1239"/>
  <c r="C428"/>
  <c r="C137"/>
  <c r="C1471"/>
  <c r="C1355"/>
  <c r="C369"/>
  <c r="C485"/>
  <c r="E2807" a="1"/>
  <c r="E2807" l="1"/>
  <c r="C1240"/>
  <c r="C718"/>
  <c r="C1414"/>
  <c r="C80"/>
  <c r="C544"/>
  <c r="C892"/>
  <c r="C254"/>
  <c r="C1472"/>
  <c r="C950"/>
  <c r="C312"/>
  <c r="C1066"/>
  <c r="C602"/>
  <c r="C1182"/>
  <c r="C776"/>
  <c r="C1009"/>
  <c r="C196"/>
  <c r="C1124"/>
  <c r="C2808"/>
  <c r="C660"/>
  <c r="C834"/>
  <c r="C1298"/>
  <c r="C138"/>
  <c r="C429"/>
  <c r="C1356"/>
  <c r="C486"/>
  <c r="C370"/>
  <c r="E2808" a="1"/>
  <c r="E2808" l="1"/>
  <c r="C1473"/>
  <c r="C1299"/>
  <c r="C835"/>
  <c r="C661"/>
  <c r="C2809"/>
  <c r="C1125"/>
  <c r="C197"/>
  <c r="C1010"/>
  <c r="C777"/>
  <c r="C1183"/>
  <c r="C603"/>
  <c r="C313"/>
  <c r="C951"/>
  <c r="C255"/>
  <c r="C893"/>
  <c r="C545"/>
  <c r="C81"/>
  <c r="C1415"/>
  <c r="C719"/>
  <c r="C1241"/>
  <c r="C1067"/>
  <c r="C430"/>
  <c r="C139"/>
  <c r="C1357"/>
  <c r="C1474"/>
  <c r="C487"/>
  <c r="C371"/>
  <c r="E2809" a="1"/>
  <c r="E2809" l="1"/>
  <c r="C1416"/>
  <c r="C1068"/>
  <c r="C546"/>
  <c r="C894"/>
  <c r="C256"/>
  <c r="C952"/>
  <c r="C314"/>
  <c r="C778"/>
  <c r="C1126"/>
  <c r="C2810"/>
  <c r="C836"/>
  <c r="C1300"/>
  <c r="C1242"/>
  <c r="C720"/>
  <c r="C82"/>
  <c r="C604"/>
  <c r="C1184"/>
  <c r="C1011"/>
  <c r="C198"/>
  <c r="C662"/>
  <c r="C140"/>
  <c r="C431"/>
  <c r="C1358"/>
  <c r="C488"/>
  <c r="C1475"/>
  <c r="C372"/>
  <c r="E2810" a="1"/>
  <c r="E2810" l="1"/>
  <c r="C1359"/>
  <c r="C1360" s="1"/>
  <c r="C663"/>
  <c r="C1301"/>
  <c r="C2811"/>
  <c r="C1127"/>
  <c r="C315"/>
  <c r="C1069"/>
  <c r="C199"/>
  <c r="C1012"/>
  <c r="C1185"/>
  <c r="C605"/>
  <c r="C83"/>
  <c r="C721"/>
  <c r="C1243"/>
  <c r="C837"/>
  <c r="C779"/>
  <c r="C953"/>
  <c r="C257"/>
  <c r="C895"/>
  <c r="C547"/>
  <c r="C1417"/>
  <c r="C432"/>
  <c r="C141"/>
  <c r="C489"/>
  <c r="C373"/>
  <c r="C1476"/>
  <c r="E2811" a="1"/>
  <c r="E2811" l="1"/>
  <c r="C838"/>
  <c r="C1418"/>
  <c r="C548"/>
  <c r="C896"/>
  <c r="C258"/>
  <c r="C954"/>
  <c r="C780"/>
  <c r="C1244"/>
  <c r="C722"/>
  <c r="C84"/>
  <c r="C606"/>
  <c r="C1186"/>
  <c r="C1013"/>
  <c r="C200"/>
  <c r="C1070"/>
  <c r="C316"/>
  <c r="C1128"/>
  <c r="C2812"/>
  <c r="C1302"/>
  <c r="C664"/>
  <c r="C142"/>
  <c r="C433"/>
  <c r="C1361"/>
  <c r="C374"/>
  <c r="C490"/>
  <c r="C1477"/>
  <c r="E2812" a="1"/>
  <c r="E2812" l="1"/>
  <c r="C1419"/>
  <c r="C2813"/>
  <c r="C1478"/>
  <c r="C665"/>
  <c r="C1303"/>
  <c r="C1129"/>
  <c r="C317"/>
  <c r="C1071"/>
  <c r="C201"/>
  <c r="C1014"/>
  <c r="C1187"/>
  <c r="C607"/>
  <c r="C85"/>
  <c r="C723"/>
  <c r="C1245"/>
  <c r="C781"/>
  <c r="C955"/>
  <c r="C259"/>
  <c r="C897"/>
  <c r="C549"/>
  <c r="C839"/>
  <c r="C143"/>
  <c r="C434"/>
  <c r="C1362"/>
  <c r="C375"/>
  <c r="C491"/>
  <c r="E2813" a="1"/>
  <c r="E2813" l="1"/>
  <c r="C1479"/>
  <c r="C1480" s="1"/>
  <c r="C724"/>
  <c r="C840"/>
  <c r="C550"/>
  <c r="C898"/>
  <c r="C260"/>
  <c r="C956"/>
  <c r="C782"/>
  <c r="C1246"/>
  <c r="C86"/>
  <c r="C608"/>
  <c r="C1188"/>
  <c r="C1015"/>
  <c r="C202"/>
  <c r="C1072"/>
  <c r="C1130"/>
  <c r="C666"/>
  <c r="C1420"/>
  <c r="C318"/>
  <c r="C1304"/>
  <c r="C2814"/>
  <c r="C144"/>
  <c r="C435"/>
  <c r="C1363"/>
  <c r="C492"/>
  <c r="C376"/>
  <c r="C1510"/>
  <c r="E2814" a="1"/>
  <c r="E2814" l="1"/>
  <c r="C2815"/>
  <c r="C1131"/>
  <c r="C1073"/>
  <c r="C1305"/>
  <c r="C1481"/>
  <c r="C319"/>
  <c r="C1421"/>
  <c r="C667"/>
  <c r="C203"/>
  <c r="C1016"/>
  <c r="C1189"/>
  <c r="C609"/>
  <c r="C87"/>
  <c r="C1247"/>
  <c r="C783"/>
  <c r="C957"/>
  <c r="C261"/>
  <c r="C899"/>
  <c r="C551"/>
  <c r="C841"/>
  <c r="C725"/>
  <c r="C145"/>
  <c r="C1482"/>
  <c r="C436"/>
  <c r="C1364"/>
  <c r="C377"/>
  <c r="C493"/>
  <c r="C1511"/>
  <c r="E2815" a="1"/>
  <c r="E2815" l="1"/>
  <c r="C1483"/>
  <c r="C1306"/>
  <c r="C1074"/>
  <c r="C2816"/>
  <c r="C726"/>
  <c r="C842"/>
  <c r="C552"/>
  <c r="C900"/>
  <c r="C262"/>
  <c r="C958"/>
  <c r="C784"/>
  <c r="C1248"/>
  <c r="C88"/>
  <c r="C610"/>
  <c r="C1190"/>
  <c r="C1017"/>
  <c r="C204"/>
  <c r="C668"/>
  <c r="C1422"/>
  <c r="C320"/>
  <c r="C1132"/>
  <c r="C437"/>
  <c r="C146"/>
  <c r="C1365"/>
  <c r="C494"/>
  <c r="C378"/>
  <c r="C1512"/>
  <c r="E2816" a="1"/>
  <c r="E2816" l="1"/>
  <c r="C321"/>
  <c r="C2817"/>
  <c r="C1484"/>
  <c r="C1133"/>
  <c r="C1423"/>
  <c r="C669"/>
  <c r="C205"/>
  <c r="C1018"/>
  <c r="C1191"/>
  <c r="C611"/>
  <c r="C89"/>
  <c r="C1249"/>
  <c r="C785"/>
  <c r="C959"/>
  <c r="C263"/>
  <c r="C901"/>
  <c r="C553"/>
  <c r="C843"/>
  <c r="C727"/>
  <c r="C1075"/>
  <c r="C1307"/>
  <c r="C438"/>
  <c r="C147"/>
  <c r="C1366"/>
  <c r="C495"/>
  <c r="C379"/>
  <c r="C1513"/>
  <c r="E2817" a="1"/>
  <c r="E2817" l="1"/>
  <c r="C148"/>
  <c r="C1076"/>
  <c r="C1308"/>
  <c r="C728"/>
  <c r="C844"/>
  <c r="C554"/>
  <c r="C902"/>
  <c r="C264"/>
  <c r="C960"/>
  <c r="C786"/>
  <c r="C1250"/>
  <c r="C90"/>
  <c r="C612"/>
  <c r="C1192"/>
  <c r="C1019"/>
  <c r="C206"/>
  <c r="C670"/>
  <c r="C1424"/>
  <c r="C1134"/>
  <c r="C1485"/>
  <c r="C2818"/>
  <c r="C322"/>
  <c r="C149"/>
  <c r="C439"/>
  <c r="C1367"/>
  <c r="C496"/>
  <c r="C380"/>
  <c r="C1514"/>
  <c r="E2818" a="1"/>
  <c r="E2818" l="1"/>
  <c r="C1309"/>
  <c r="C1077"/>
  <c r="C2819"/>
  <c r="C323"/>
  <c r="C1486"/>
  <c r="C1135"/>
  <c r="C1425"/>
  <c r="C671"/>
  <c r="C207"/>
  <c r="C1020"/>
  <c r="C1193"/>
  <c r="C613"/>
  <c r="C91"/>
  <c r="C1251"/>
  <c r="C787"/>
  <c r="C961"/>
  <c r="C265"/>
  <c r="C903"/>
  <c r="C555"/>
  <c r="C845"/>
  <c r="C729"/>
  <c r="C1368"/>
  <c r="C440"/>
  <c r="C150"/>
  <c r="C381"/>
  <c r="C497"/>
  <c r="C1515"/>
  <c r="E2819" a="1"/>
  <c r="E2819" l="1"/>
  <c r="C1369"/>
  <c r="C846"/>
  <c r="C730"/>
  <c r="C556"/>
  <c r="C904"/>
  <c r="C266"/>
  <c r="C788"/>
  <c r="C1252"/>
  <c r="C92"/>
  <c r="C614"/>
  <c r="C1194"/>
  <c r="C1021"/>
  <c r="C208"/>
  <c r="C672"/>
  <c r="C1426"/>
  <c r="C1136"/>
  <c r="C1487"/>
  <c r="C1310"/>
  <c r="C962"/>
  <c r="C324"/>
  <c r="C2820"/>
  <c r="C1078"/>
  <c r="C441"/>
  <c r="C151"/>
  <c r="C498"/>
  <c r="C382"/>
  <c r="C1516"/>
  <c r="E2820" a="1"/>
  <c r="E2820" l="1"/>
  <c r="C1370"/>
  <c r="C963"/>
  <c r="C1311"/>
  <c r="C325"/>
  <c r="C1488"/>
  <c r="C1137"/>
  <c r="C1427"/>
  <c r="C673"/>
  <c r="C209"/>
  <c r="C1022"/>
  <c r="C1195"/>
  <c r="C615"/>
  <c r="C93"/>
  <c r="C1253"/>
  <c r="C789"/>
  <c r="C267"/>
  <c r="C905"/>
  <c r="C557"/>
  <c r="C731"/>
  <c r="C847"/>
  <c r="C1079"/>
  <c r="C2821"/>
  <c r="C152"/>
  <c r="C442"/>
  <c r="C1517"/>
  <c r="C499"/>
  <c r="C383"/>
  <c r="E2821" a="1"/>
  <c r="E2821" l="1"/>
  <c r="C1518"/>
  <c r="C1519" s="1"/>
  <c r="C1371"/>
  <c r="C2822"/>
  <c r="C848"/>
  <c r="C732"/>
  <c r="C558"/>
  <c r="C906"/>
  <c r="C268"/>
  <c r="C790"/>
  <c r="C1254"/>
  <c r="C94"/>
  <c r="C616"/>
  <c r="C1196"/>
  <c r="C1023"/>
  <c r="C210"/>
  <c r="C674"/>
  <c r="C1428"/>
  <c r="C1138"/>
  <c r="C1489"/>
  <c r="C326"/>
  <c r="C1080"/>
  <c r="C1312"/>
  <c r="C964"/>
  <c r="C443"/>
  <c r="C153"/>
  <c r="C384"/>
  <c r="C500"/>
  <c r="D2821"/>
  <c r="E2822" a="1"/>
  <c r="E2822" l="1"/>
  <c r="C1372"/>
  <c r="C1313"/>
  <c r="C1081"/>
  <c r="C1490"/>
  <c r="C1024"/>
  <c r="C1139"/>
  <c r="C1429"/>
  <c r="C675"/>
  <c r="C211"/>
  <c r="C1197"/>
  <c r="C617"/>
  <c r="C95"/>
  <c r="C1255"/>
  <c r="C791"/>
  <c r="C269"/>
  <c r="C907"/>
  <c r="C559"/>
  <c r="C849"/>
  <c r="C965"/>
  <c r="C327"/>
  <c r="C733"/>
  <c r="C2823"/>
  <c r="C154"/>
  <c r="C444"/>
  <c r="C385"/>
  <c r="C1520"/>
  <c r="C501"/>
  <c r="D2822"/>
  <c r="E2823" a="1"/>
  <c r="E2823" l="1"/>
  <c r="C1373"/>
  <c r="C850"/>
  <c r="C1256"/>
  <c r="C734"/>
  <c r="C966"/>
  <c r="C560"/>
  <c r="C908"/>
  <c r="C270"/>
  <c r="C792"/>
  <c r="C96"/>
  <c r="C618"/>
  <c r="C1198"/>
  <c r="C212"/>
  <c r="C676"/>
  <c r="C1140"/>
  <c r="C1025"/>
  <c r="C1491"/>
  <c r="C1082"/>
  <c r="C2824"/>
  <c r="C328"/>
  <c r="C1430"/>
  <c r="C1314"/>
  <c r="C445"/>
  <c r="C155"/>
  <c r="C502"/>
  <c r="C1521"/>
  <c r="C386"/>
  <c r="D2823"/>
  <c r="E2824" a="1"/>
  <c r="E2824" l="1"/>
  <c r="C1374"/>
  <c r="C1083"/>
  <c r="C1492"/>
  <c r="C1026"/>
  <c r="C1141"/>
  <c r="C677"/>
  <c r="C213"/>
  <c r="C1199"/>
  <c r="C619"/>
  <c r="C97"/>
  <c r="C793"/>
  <c r="C271"/>
  <c r="C909"/>
  <c r="C561"/>
  <c r="C967"/>
  <c r="C735"/>
  <c r="C851"/>
  <c r="C1315"/>
  <c r="C1431"/>
  <c r="C329"/>
  <c r="C2825"/>
  <c r="C1257"/>
  <c r="C156"/>
  <c r="C446"/>
  <c r="C387"/>
  <c r="C503"/>
  <c r="C1522"/>
  <c r="C1568"/>
  <c r="D2824"/>
  <c r="E2825" a="1"/>
  <c r="E2825" l="1"/>
  <c r="C1375"/>
  <c r="C1258"/>
  <c r="C2826"/>
  <c r="C330"/>
  <c r="C1432"/>
  <c r="C1316"/>
  <c r="C852"/>
  <c r="C736"/>
  <c r="C968"/>
  <c r="C562"/>
  <c r="C910"/>
  <c r="C272"/>
  <c r="C794"/>
  <c r="C98"/>
  <c r="C620"/>
  <c r="C1200"/>
  <c r="C214"/>
  <c r="C678"/>
  <c r="C1142"/>
  <c r="C1493"/>
  <c r="C1084"/>
  <c r="C1027"/>
  <c r="C447"/>
  <c r="C157"/>
  <c r="C1523"/>
  <c r="C504"/>
  <c r="C388"/>
  <c r="C1569"/>
  <c r="D2825"/>
  <c r="E2826" a="1"/>
  <c r="E2826" l="1"/>
  <c r="C1376"/>
  <c r="C1143"/>
  <c r="C969"/>
  <c r="C1317"/>
  <c r="C1433"/>
  <c r="C331"/>
  <c r="C2827"/>
  <c r="C1259"/>
  <c r="C505"/>
  <c r="C506" s="1"/>
  <c r="C1028"/>
  <c r="C1085"/>
  <c r="C1494"/>
  <c r="C679"/>
  <c r="C215"/>
  <c r="C1201"/>
  <c r="C621"/>
  <c r="C99"/>
  <c r="C795"/>
  <c r="C273"/>
  <c r="C911"/>
  <c r="C563"/>
  <c r="C737"/>
  <c r="C853"/>
  <c r="C158"/>
  <c r="C448"/>
  <c r="C1524"/>
  <c r="C389"/>
  <c r="C1570"/>
  <c r="D2826"/>
  <c r="E2827" a="1"/>
  <c r="E2827" l="1"/>
  <c r="C1377"/>
  <c r="C854"/>
  <c r="C738"/>
  <c r="C564"/>
  <c r="C912"/>
  <c r="C274"/>
  <c r="C796"/>
  <c r="C100"/>
  <c r="C622"/>
  <c r="C1202"/>
  <c r="C216"/>
  <c r="C680"/>
  <c r="C1495"/>
  <c r="C1086"/>
  <c r="C1029"/>
  <c r="C970"/>
  <c r="C1144"/>
  <c r="C1260"/>
  <c r="C2828"/>
  <c r="C332"/>
  <c r="C1434"/>
  <c r="C1318"/>
  <c r="C159"/>
  <c r="C449"/>
  <c r="C390"/>
  <c r="C507"/>
  <c r="C1525"/>
  <c r="C1571"/>
  <c r="D2827"/>
  <c r="E2828" a="1"/>
  <c r="E2828" l="1"/>
  <c r="C1378"/>
  <c r="C1319"/>
  <c r="C1435"/>
  <c r="C333"/>
  <c r="C2829"/>
  <c r="C1261"/>
  <c r="C1145"/>
  <c r="C855"/>
  <c r="C971"/>
  <c r="C1030"/>
  <c r="C1087"/>
  <c r="C1496"/>
  <c r="C681"/>
  <c r="C217"/>
  <c r="C1203"/>
  <c r="C623"/>
  <c r="C101"/>
  <c r="C797"/>
  <c r="C275"/>
  <c r="C913"/>
  <c r="C565"/>
  <c r="C739"/>
  <c r="C160"/>
  <c r="C450"/>
  <c r="C1526"/>
  <c r="C391"/>
  <c r="C508"/>
  <c r="C1572"/>
  <c r="D2828"/>
  <c r="E2829" a="1"/>
  <c r="E2829" l="1"/>
  <c r="C1379"/>
  <c r="C1088"/>
  <c r="C1146"/>
  <c r="C1262"/>
  <c r="C2830"/>
  <c r="C334"/>
  <c r="C1436"/>
  <c r="C1320"/>
  <c r="C740"/>
  <c r="C566"/>
  <c r="C914"/>
  <c r="C276"/>
  <c r="C798"/>
  <c r="C102"/>
  <c r="C624"/>
  <c r="C1204"/>
  <c r="C218"/>
  <c r="C682"/>
  <c r="C1497"/>
  <c r="C1031"/>
  <c r="C972"/>
  <c r="C856"/>
  <c r="C451"/>
  <c r="C161"/>
  <c r="C509"/>
  <c r="C392"/>
  <c r="C1527"/>
  <c r="C1573"/>
  <c r="D2829"/>
  <c r="E2830" a="1"/>
  <c r="E2830" l="1"/>
  <c r="C1380"/>
  <c r="C741"/>
  <c r="C1321"/>
  <c r="C1437"/>
  <c r="C335"/>
  <c r="C2831"/>
  <c r="C1263"/>
  <c r="C1147"/>
  <c r="C857"/>
  <c r="C973"/>
  <c r="C1032"/>
  <c r="C1498"/>
  <c r="C683"/>
  <c r="C219"/>
  <c r="C1205"/>
  <c r="C625"/>
  <c r="C103"/>
  <c r="C799"/>
  <c r="C277"/>
  <c r="C915"/>
  <c r="C567"/>
  <c r="C1089"/>
  <c r="C162"/>
  <c r="C452"/>
  <c r="C1528"/>
  <c r="C510"/>
  <c r="C393"/>
  <c r="C1574"/>
  <c r="D2830"/>
  <c r="E2831" a="1"/>
  <c r="E2831" l="1"/>
  <c r="C1381"/>
  <c r="C1148"/>
  <c r="C1264"/>
  <c r="C2832"/>
  <c r="C336"/>
  <c r="C1322"/>
  <c r="C1575"/>
  <c r="C1090"/>
  <c r="C568"/>
  <c r="C916"/>
  <c r="C278"/>
  <c r="C800"/>
  <c r="C104"/>
  <c r="C626"/>
  <c r="C1206"/>
  <c r="C220"/>
  <c r="C684"/>
  <c r="C1499"/>
  <c r="C1033"/>
  <c r="C974"/>
  <c r="C858"/>
  <c r="C1438"/>
  <c r="C742"/>
  <c r="C453"/>
  <c r="C163"/>
  <c r="C511"/>
  <c r="C394"/>
  <c r="C1529"/>
  <c r="D2831"/>
  <c r="E2832" a="1"/>
  <c r="E2832" l="1"/>
  <c r="C1382"/>
  <c r="C743"/>
  <c r="C859"/>
  <c r="C975"/>
  <c r="C1034"/>
  <c r="C1500"/>
  <c r="C685"/>
  <c r="C221"/>
  <c r="C1207"/>
  <c r="C627"/>
  <c r="C105"/>
  <c r="C801"/>
  <c r="C279"/>
  <c r="C917"/>
  <c r="C569"/>
  <c r="C1091"/>
  <c r="C1149"/>
  <c r="C1439"/>
  <c r="C1576"/>
  <c r="C1323"/>
  <c r="C337"/>
  <c r="C2833"/>
  <c r="C1265"/>
  <c r="C164"/>
  <c r="C454"/>
  <c r="C512"/>
  <c r="C1530"/>
  <c r="C395"/>
  <c r="D2832"/>
  <c r="E2833" a="1"/>
  <c r="E2833" l="1"/>
  <c r="C1383"/>
  <c r="C2834"/>
  <c r="C338"/>
  <c r="C1324"/>
  <c r="C1577"/>
  <c r="C1440"/>
  <c r="C165"/>
  <c r="C166" s="1"/>
  <c r="C1266"/>
  <c r="C1150"/>
  <c r="C1092"/>
  <c r="C570"/>
  <c r="C918"/>
  <c r="C280"/>
  <c r="C802"/>
  <c r="C106"/>
  <c r="C628"/>
  <c r="C1208"/>
  <c r="C222"/>
  <c r="C686"/>
  <c r="C1501"/>
  <c r="C1035"/>
  <c r="C976"/>
  <c r="C860"/>
  <c r="C744"/>
  <c r="C455"/>
  <c r="C396"/>
  <c r="C513"/>
  <c r="C1531"/>
  <c r="E2834" a="1"/>
  <c r="D2833"/>
  <c r="E2834" l="1"/>
  <c r="C1384"/>
  <c r="C745"/>
  <c r="C861"/>
  <c r="C977"/>
  <c r="C1036"/>
  <c r="C1502"/>
  <c r="C687"/>
  <c r="C223"/>
  <c r="C1209"/>
  <c r="C629"/>
  <c r="C107"/>
  <c r="C803"/>
  <c r="C281"/>
  <c r="C919"/>
  <c r="C571"/>
  <c r="C1093"/>
  <c r="C1151"/>
  <c r="C1267"/>
  <c r="C1441"/>
  <c r="C1578"/>
  <c r="C1325"/>
  <c r="C339"/>
  <c r="C2835"/>
  <c r="C456"/>
  <c r="C167"/>
  <c r="C397"/>
  <c r="C1532"/>
  <c r="C514"/>
  <c r="D2834"/>
  <c r="E2835" a="1"/>
  <c r="E2835" l="1"/>
  <c r="C1385"/>
  <c r="C2836"/>
  <c r="C340"/>
  <c r="C1326"/>
  <c r="C1579"/>
  <c r="C1442"/>
  <c r="C978"/>
  <c r="C515"/>
  <c r="C1268"/>
  <c r="C1152"/>
  <c r="C1094"/>
  <c r="C572"/>
  <c r="C920"/>
  <c r="C282"/>
  <c r="C804"/>
  <c r="C108"/>
  <c r="C630"/>
  <c r="C1210"/>
  <c r="C224"/>
  <c r="C688"/>
  <c r="C1503"/>
  <c r="C1037"/>
  <c r="C862"/>
  <c r="C746"/>
  <c r="C168"/>
  <c r="C457"/>
  <c r="C1533"/>
  <c r="C398"/>
  <c r="C1626"/>
  <c r="D2835"/>
  <c r="E2836" a="1"/>
  <c r="E2836" l="1"/>
  <c r="C1386"/>
  <c r="C1038"/>
  <c r="C1504"/>
  <c r="C747"/>
  <c r="C863"/>
  <c r="C689"/>
  <c r="C225"/>
  <c r="C1211"/>
  <c r="C631"/>
  <c r="C109"/>
  <c r="C805"/>
  <c r="C283"/>
  <c r="C921"/>
  <c r="C573"/>
  <c r="C1095"/>
  <c r="C1269"/>
  <c r="C1443"/>
  <c r="C1153"/>
  <c r="C516"/>
  <c r="C979"/>
  <c r="C1580"/>
  <c r="C1327"/>
  <c r="C341"/>
  <c r="C2837"/>
  <c r="C458"/>
  <c r="C169"/>
  <c r="C1534"/>
  <c r="C399"/>
  <c r="C1627"/>
  <c r="D2836"/>
  <c r="E2837" a="1"/>
  <c r="E2837" l="1"/>
  <c r="C1387"/>
  <c r="C459"/>
  <c r="C1535"/>
  <c r="C1444"/>
  <c r="C1270"/>
  <c r="C574"/>
  <c r="C922"/>
  <c r="C284"/>
  <c r="C806"/>
  <c r="C110"/>
  <c r="C632"/>
  <c r="C1212"/>
  <c r="C226"/>
  <c r="C690"/>
  <c r="C864"/>
  <c r="C748"/>
  <c r="C1039"/>
  <c r="C2838"/>
  <c r="C342"/>
  <c r="C1328"/>
  <c r="C1581"/>
  <c r="C980"/>
  <c r="C517"/>
  <c r="C1154"/>
  <c r="C1096"/>
  <c r="C1505"/>
  <c r="C170"/>
  <c r="C460"/>
  <c r="C400"/>
  <c r="C1628"/>
  <c r="D2837"/>
  <c r="E2838" a="1"/>
  <c r="E2838" l="1"/>
  <c r="C1536"/>
  <c r="C1537" s="1"/>
  <c r="C1388"/>
  <c r="C1506"/>
  <c r="C1097"/>
  <c r="C1155"/>
  <c r="C518"/>
  <c r="C981"/>
  <c r="C1329"/>
  <c r="C343"/>
  <c r="C2839"/>
  <c r="C749"/>
  <c r="C1271"/>
  <c r="C461"/>
  <c r="C1582"/>
  <c r="C1040"/>
  <c r="C865"/>
  <c r="C691"/>
  <c r="C227"/>
  <c r="C1213"/>
  <c r="C633"/>
  <c r="C111"/>
  <c r="C807"/>
  <c r="C285"/>
  <c r="C923"/>
  <c r="C575"/>
  <c r="C1445"/>
  <c r="C171"/>
  <c r="C401"/>
  <c r="C1629"/>
  <c r="D2838"/>
  <c r="E2839" a="1"/>
  <c r="E2839" l="1"/>
  <c r="C1389"/>
  <c r="C402"/>
  <c r="C924"/>
  <c r="C286"/>
  <c r="C808"/>
  <c r="C112"/>
  <c r="C1446"/>
  <c r="C576"/>
  <c r="C634"/>
  <c r="C1214"/>
  <c r="C228"/>
  <c r="C692"/>
  <c r="C866"/>
  <c r="C462"/>
  <c r="C1272"/>
  <c r="C2840"/>
  <c r="C344"/>
  <c r="C1330"/>
  <c r="C982"/>
  <c r="C519"/>
  <c r="C1156"/>
  <c r="C1098"/>
  <c r="C1507"/>
  <c r="C1041"/>
  <c r="C1583"/>
  <c r="C750"/>
  <c r="C172"/>
  <c r="C1538"/>
  <c r="C1630"/>
  <c r="D2839"/>
  <c r="E2840" a="1"/>
  <c r="E2840" l="1"/>
  <c r="C1390"/>
  <c r="C1584"/>
  <c r="C751"/>
  <c r="C1042"/>
  <c r="C1508"/>
  <c r="C1099"/>
  <c r="C1157"/>
  <c r="C520"/>
  <c r="C983"/>
  <c r="C1331"/>
  <c r="C345"/>
  <c r="C2841"/>
  <c r="C1273"/>
  <c r="C463"/>
  <c r="C867"/>
  <c r="C693"/>
  <c r="C229"/>
  <c r="C1215"/>
  <c r="C635"/>
  <c r="C577"/>
  <c r="C1447"/>
  <c r="C287"/>
  <c r="C925"/>
  <c r="C403"/>
  <c r="C113"/>
  <c r="C809"/>
  <c r="C173"/>
  <c r="C1539"/>
  <c r="C1631"/>
  <c r="D2840"/>
  <c r="E2841" a="1"/>
  <c r="E2841" l="1"/>
  <c r="C1391"/>
  <c r="C810"/>
  <c r="C114"/>
  <c r="C1448"/>
  <c r="C1216"/>
  <c r="C1100"/>
  <c r="C1585"/>
  <c r="C926"/>
  <c r="C174"/>
  <c r="C404"/>
  <c r="C288"/>
  <c r="C578"/>
  <c r="C636"/>
  <c r="C230"/>
  <c r="C694"/>
  <c r="C868"/>
  <c r="C464"/>
  <c r="C1274"/>
  <c r="C2842"/>
  <c r="C346"/>
  <c r="C1332"/>
  <c r="C984"/>
  <c r="C521"/>
  <c r="C1158"/>
  <c r="C1509"/>
  <c r="C1043"/>
  <c r="C752"/>
  <c r="C1540"/>
  <c r="C1632"/>
  <c r="E2842" a="1"/>
  <c r="E2842" l="1"/>
  <c r="C347"/>
  <c r="C1392"/>
  <c r="C1586"/>
  <c r="C811"/>
  <c r="C1044"/>
  <c r="C1633"/>
  <c r="C753"/>
  <c r="C1159"/>
  <c r="C522"/>
  <c r="C985"/>
  <c r="C1333"/>
  <c r="C2843"/>
  <c r="C1275"/>
  <c r="C465"/>
  <c r="C869"/>
  <c r="C695"/>
  <c r="C231"/>
  <c r="C637"/>
  <c r="C579"/>
  <c r="C289"/>
  <c r="C405"/>
  <c r="C175"/>
  <c r="C927"/>
  <c r="C1101"/>
  <c r="C1217"/>
  <c r="C1449"/>
  <c r="C115"/>
  <c r="C1541"/>
  <c r="E2843" a="1"/>
  <c r="E2843" l="1"/>
  <c r="C348"/>
  <c r="C1393"/>
  <c r="C928"/>
  <c r="C290"/>
  <c r="C580"/>
  <c r="C812"/>
  <c r="C1587"/>
  <c r="C1218"/>
  <c r="C116"/>
  <c r="C1450"/>
  <c r="C1102"/>
  <c r="C406"/>
  <c r="C638"/>
  <c r="C232"/>
  <c r="C696"/>
  <c r="C870"/>
  <c r="C1276"/>
  <c r="C1334"/>
  <c r="C986"/>
  <c r="C523"/>
  <c r="C1160"/>
  <c r="C754"/>
  <c r="C1634"/>
  <c r="C1045"/>
  <c r="C1542"/>
  <c r="C349" l="1"/>
  <c r="C1588"/>
  <c r="C1635"/>
  <c r="C755"/>
  <c r="C1161"/>
  <c r="C987"/>
  <c r="C1335"/>
  <c r="C1277"/>
  <c r="C871"/>
  <c r="C697"/>
  <c r="C233"/>
  <c r="C639"/>
  <c r="C407"/>
  <c r="C1103"/>
  <c r="C1451"/>
  <c r="C117"/>
  <c r="C1219"/>
  <c r="C813"/>
  <c r="C581"/>
  <c r="C291"/>
  <c r="C929"/>
  <c r="C1543"/>
  <c r="C1636" l="1"/>
  <c r="C1589"/>
  <c r="C1544"/>
  <c r="C1637" l="1"/>
  <c r="C1590"/>
  <c r="C1545"/>
  <c r="C1684"/>
  <c r="C1638" l="1"/>
  <c r="C1591"/>
  <c r="C1546"/>
  <c r="C1685"/>
  <c r="C1639" l="1"/>
  <c r="C1592"/>
  <c r="C1547"/>
  <c r="C1686"/>
  <c r="C1640" l="1"/>
  <c r="C1593"/>
  <c r="C1548"/>
  <c r="C1687"/>
  <c r="C1594" l="1"/>
  <c r="C1641"/>
  <c r="C1549"/>
  <c r="C1688"/>
  <c r="C1595" l="1"/>
  <c r="C1642"/>
  <c r="C1550"/>
  <c r="C1689"/>
  <c r="C1596" l="1"/>
  <c r="C1643"/>
  <c r="C1551"/>
  <c r="C1690"/>
  <c r="C1597" l="1"/>
  <c r="C1644"/>
  <c r="C1691"/>
  <c r="C1552"/>
  <c r="C1692" l="1"/>
  <c r="C1645"/>
  <c r="C1598"/>
  <c r="C1553"/>
  <c r="C1646" l="1"/>
  <c r="C1693"/>
  <c r="C1599"/>
  <c r="C1554"/>
  <c r="C1694" l="1"/>
  <c r="C1647"/>
  <c r="C1600"/>
  <c r="C1555"/>
  <c r="C1648" l="1"/>
  <c r="C1695"/>
  <c r="C1601"/>
  <c r="C1556"/>
  <c r="C1742"/>
  <c r="C1602" l="1"/>
  <c r="C1696"/>
  <c r="C1649"/>
  <c r="C1557"/>
  <c r="C1743"/>
  <c r="C1650" l="1"/>
  <c r="C1697"/>
  <c r="C1603"/>
  <c r="C1558"/>
  <c r="C1744"/>
  <c r="C1651" l="1"/>
  <c r="C1604"/>
  <c r="C1698"/>
  <c r="C1559"/>
  <c r="C1745"/>
  <c r="C1699" l="1"/>
  <c r="C1652"/>
  <c r="C1605"/>
  <c r="C1560"/>
  <c r="C1746"/>
  <c r="C1653" l="1"/>
  <c r="C1561"/>
  <c r="C1606"/>
  <c r="C1700"/>
  <c r="C1747"/>
  <c r="C1701" l="1"/>
  <c r="C1562"/>
  <c r="C1654"/>
  <c r="C1607"/>
  <c r="C1748"/>
  <c r="C1563" l="1"/>
  <c r="C1702"/>
  <c r="C1749"/>
  <c r="C1608"/>
  <c r="C1655"/>
  <c r="C1656" l="1"/>
  <c r="C1609"/>
  <c r="C1703"/>
  <c r="C1750"/>
  <c r="C1564"/>
  <c r="C1565" l="1"/>
  <c r="C1751"/>
  <c r="C1704"/>
  <c r="C1610"/>
  <c r="C1657"/>
  <c r="C1752" l="1"/>
  <c r="C1566"/>
  <c r="C1658"/>
  <c r="C1611"/>
  <c r="C1705"/>
  <c r="C1567" l="1"/>
  <c r="C1753"/>
  <c r="C1706"/>
  <c r="C1612"/>
  <c r="C1659"/>
  <c r="C1800"/>
  <c r="C1660" l="1"/>
  <c r="C1613"/>
  <c r="C1707"/>
  <c r="C1754"/>
  <c r="C1801"/>
  <c r="C1755" l="1"/>
  <c r="C1708"/>
  <c r="C1614"/>
  <c r="C1661"/>
  <c r="C1802"/>
  <c r="C1756" l="1"/>
  <c r="C1662"/>
  <c r="C1615"/>
  <c r="C1709"/>
  <c r="C1803"/>
  <c r="C1757" l="1"/>
  <c r="C1710"/>
  <c r="C1616"/>
  <c r="C1663"/>
  <c r="C1804"/>
  <c r="C1758" l="1"/>
  <c r="C1664"/>
  <c r="C1617"/>
  <c r="C1711"/>
  <c r="C1805"/>
  <c r="C1759" l="1"/>
  <c r="C1712"/>
  <c r="C1618"/>
  <c r="C1665"/>
  <c r="C1806"/>
  <c r="C1760" l="1"/>
  <c r="C1807"/>
  <c r="C1666"/>
  <c r="C1619"/>
  <c r="C1713"/>
  <c r="C1858"/>
  <c r="C1714" l="1"/>
  <c r="C1620"/>
  <c r="C1667"/>
  <c r="C1808"/>
  <c r="C1761"/>
  <c r="C1859"/>
  <c r="C1762" l="1"/>
  <c r="C1809"/>
  <c r="C1668"/>
  <c r="C1621"/>
  <c r="C1715"/>
  <c r="C1860"/>
  <c r="C1716" l="1"/>
  <c r="C1622"/>
  <c r="C1669"/>
  <c r="C1810"/>
  <c r="C1763"/>
  <c r="C1861"/>
  <c r="C1764" l="1"/>
  <c r="C1623"/>
  <c r="C1811"/>
  <c r="C1670"/>
  <c r="C1717"/>
  <c r="C1862"/>
  <c r="C1718" l="1"/>
  <c r="C1671"/>
  <c r="C1812"/>
  <c r="C1624"/>
  <c r="C1765"/>
  <c r="C1863"/>
  <c r="C1813" l="1"/>
  <c r="C1672"/>
  <c r="C1766"/>
  <c r="C1625"/>
  <c r="C1719"/>
  <c r="C1864"/>
  <c r="C1865" l="1"/>
  <c r="C1720"/>
  <c r="C1767"/>
  <c r="C1673"/>
  <c r="C1814"/>
  <c r="C1916"/>
  <c r="C1815" l="1"/>
  <c r="C1674"/>
  <c r="C1721"/>
  <c r="C1768"/>
  <c r="C1866"/>
  <c r="C1917"/>
  <c r="C1867" l="1"/>
  <c r="C1769"/>
  <c r="C1722"/>
  <c r="C1675"/>
  <c r="C1816"/>
  <c r="C1918"/>
  <c r="C1817" l="1"/>
  <c r="C1676"/>
  <c r="C1723"/>
  <c r="C1770"/>
  <c r="C1868"/>
  <c r="C1919"/>
  <c r="C1869" l="1"/>
  <c r="C1771"/>
  <c r="C1724"/>
  <c r="C1677"/>
  <c r="C1818"/>
  <c r="C1920"/>
  <c r="C1819" l="1"/>
  <c r="C1678"/>
  <c r="C1725"/>
  <c r="C1772"/>
  <c r="C1870"/>
  <c r="C1921"/>
  <c r="C1871" l="1"/>
  <c r="C1773"/>
  <c r="C1726"/>
  <c r="C1679"/>
  <c r="C1820"/>
  <c r="C1922"/>
  <c r="C1821" l="1"/>
  <c r="C1923"/>
  <c r="C1680"/>
  <c r="C1727"/>
  <c r="C1774"/>
  <c r="C1872"/>
  <c r="C1974"/>
  <c r="C1728" l="1"/>
  <c r="C1681"/>
  <c r="C1924"/>
  <c r="C1873"/>
  <c r="C1822"/>
  <c r="C1775"/>
  <c r="C1975"/>
  <c r="C1823" l="1"/>
  <c r="C1874"/>
  <c r="C1776"/>
  <c r="C1925"/>
  <c r="C1682"/>
  <c r="C1729"/>
  <c r="C1976"/>
  <c r="C1875" l="1"/>
  <c r="C1824"/>
  <c r="C1730"/>
  <c r="C1683"/>
  <c r="C1926"/>
  <c r="C1777"/>
  <c r="C1977"/>
  <c r="C1778" l="1"/>
  <c r="C1731"/>
  <c r="C1927"/>
  <c r="C1825"/>
  <c r="C1876"/>
  <c r="C1978"/>
  <c r="C1877" l="1"/>
  <c r="C1826"/>
  <c r="C1928"/>
  <c r="C1732"/>
  <c r="C1779"/>
  <c r="C1979"/>
  <c r="C1929" l="1"/>
  <c r="C1878"/>
  <c r="C1780"/>
  <c r="C1733"/>
  <c r="C1827"/>
  <c r="C1980"/>
  <c r="C1981" l="1"/>
  <c r="C1828"/>
  <c r="C1879"/>
  <c r="C1930"/>
  <c r="C1734"/>
  <c r="C1781"/>
  <c r="C2032"/>
  <c r="C1782" l="1"/>
  <c r="C1735"/>
  <c r="C1982"/>
  <c r="C1931"/>
  <c r="C1880"/>
  <c r="C1829"/>
  <c r="C2033"/>
  <c r="C1736" l="1"/>
  <c r="C1830"/>
  <c r="C1881"/>
  <c r="C1932"/>
  <c r="C1983"/>
  <c r="C1783"/>
  <c r="C2034"/>
  <c r="C1784" l="1"/>
  <c r="C1984"/>
  <c r="C1933"/>
  <c r="C1882"/>
  <c r="C1831"/>
  <c r="C1737"/>
  <c r="C2035"/>
  <c r="C1738" l="1"/>
  <c r="C1985"/>
  <c r="C1832"/>
  <c r="C1883"/>
  <c r="C1934"/>
  <c r="C1785"/>
  <c r="C2036"/>
  <c r="C1786" l="1"/>
  <c r="C1986"/>
  <c r="C1935"/>
  <c r="C1884"/>
  <c r="C1833"/>
  <c r="C1739"/>
  <c r="C2037"/>
  <c r="C1740" l="1"/>
  <c r="C1987"/>
  <c r="C1834"/>
  <c r="C1885"/>
  <c r="C1936"/>
  <c r="C1787"/>
  <c r="C2038"/>
  <c r="C2039" l="1"/>
  <c r="C1788"/>
  <c r="C1988"/>
  <c r="C1937"/>
  <c r="C1886"/>
  <c r="C1835"/>
  <c r="C1741"/>
  <c r="C2090"/>
  <c r="C1989" l="1"/>
  <c r="C1789"/>
  <c r="C2040"/>
  <c r="C1836"/>
  <c r="C1887"/>
  <c r="C1938"/>
  <c r="C2091"/>
  <c r="C1939" l="1"/>
  <c r="C1888"/>
  <c r="C1837"/>
  <c r="C2041"/>
  <c r="C1790"/>
  <c r="C1990"/>
  <c r="C2092"/>
  <c r="C1838" l="1"/>
  <c r="C1889"/>
  <c r="C1940"/>
  <c r="C1991"/>
  <c r="C1791"/>
  <c r="C2042"/>
  <c r="C2093"/>
  <c r="C1941" l="1"/>
  <c r="C1890"/>
  <c r="C1839"/>
  <c r="C2043"/>
  <c r="C1792"/>
  <c r="C1992"/>
  <c r="C2094"/>
  <c r="C1840" l="1"/>
  <c r="C1891"/>
  <c r="C1942"/>
  <c r="C1993"/>
  <c r="C1793"/>
  <c r="C2044"/>
  <c r="C2095"/>
  <c r="C1943" l="1"/>
  <c r="C1892"/>
  <c r="C1841"/>
  <c r="C2045"/>
  <c r="C1794"/>
  <c r="C1994"/>
  <c r="C2096"/>
  <c r="C1995" l="1"/>
  <c r="C1795"/>
  <c r="C2046"/>
  <c r="C2097"/>
  <c r="C1842"/>
  <c r="C1893"/>
  <c r="C1944"/>
  <c r="C2148"/>
  <c r="C1945" l="1"/>
  <c r="C1894"/>
  <c r="C1843"/>
  <c r="C2098"/>
  <c r="C1796"/>
  <c r="C1996"/>
  <c r="C2047"/>
  <c r="C2149"/>
  <c r="C2048" l="1"/>
  <c r="C1997"/>
  <c r="C2099"/>
  <c r="C1797"/>
  <c r="C1844"/>
  <c r="C1895"/>
  <c r="C1946"/>
  <c r="C2150"/>
  <c r="C1947" l="1"/>
  <c r="C1896"/>
  <c r="C1845"/>
  <c r="C1798"/>
  <c r="C2100"/>
  <c r="C1998"/>
  <c r="C2049"/>
  <c r="C2151"/>
  <c r="C2050" l="1"/>
  <c r="C1999"/>
  <c r="C2101"/>
  <c r="C1799"/>
  <c r="C1846"/>
  <c r="C1897"/>
  <c r="C1948"/>
  <c r="C2152"/>
  <c r="C2102" l="1"/>
  <c r="C2000"/>
  <c r="C2051"/>
  <c r="C1949"/>
  <c r="C1898"/>
  <c r="C1847"/>
  <c r="C2153"/>
  <c r="C2001" l="1"/>
  <c r="C1848"/>
  <c r="C1899"/>
  <c r="C1950"/>
  <c r="C2052"/>
  <c r="C2103"/>
  <c r="C2154"/>
  <c r="C2104" l="1"/>
  <c r="C2053"/>
  <c r="C2155"/>
  <c r="C1951"/>
  <c r="C1900"/>
  <c r="C1849"/>
  <c r="C2002"/>
  <c r="C2206"/>
  <c r="C1850" l="1"/>
  <c r="C1901"/>
  <c r="C1952"/>
  <c r="C2003"/>
  <c r="C2156"/>
  <c r="C2054"/>
  <c r="C2105"/>
  <c r="C2207"/>
  <c r="C2106" l="1"/>
  <c r="C2055"/>
  <c r="C2157"/>
  <c r="C2004"/>
  <c r="C1953"/>
  <c r="C1902"/>
  <c r="C1851"/>
  <c r="C2208"/>
  <c r="C1852" l="1"/>
  <c r="C1903"/>
  <c r="C1954"/>
  <c r="C2005"/>
  <c r="C2158"/>
  <c r="C2056"/>
  <c r="C2107"/>
  <c r="C2209"/>
  <c r="C2108" l="1"/>
  <c r="C2057"/>
  <c r="C2159"/>
  <c r="C2006"/>
  <c r="C1955"/>
  <c r="C1904"/>
  <c r="C1853"/>
  <c r="C2210"/>
  <c r="C2160" l="1"/>
  <c r="C2058"/>
  <c r="C1854"/>
  <c r="C1905"/>
  <c r="C1956"/>
  <c r="C2007"/>
  <c r="C2109"/>
  <c r="C2211"/>
  <c r="C2161" l="1"/>
  <c r="C2110"/>
  <c r="C2008"/>
  <c r="C1957"/>
  <c r="C1906"/>
  <c r="C1855"/>
  <c r="C2059"/>
  <c r="C2212"/>
  <c r="C1856" l="1"/>
  <c r="C1907"/>
  <c r="C1958"/>
  <c r="C2009"/>
  <c r="C2111"/>
  <c r="C2213"/>
  <c r="C2060"/>
  <c r="C2162"/>
  <c r="C2264"/>
  <c r="C2061" l="1"/>
  <c r="C2112"/>
  <c r="C2010"/>
  <c r="C1959"/>
  <c r="C1908"/>
  <c r="C2163"/>
  <c r="C2214"/>
  <c r="C1857"/>
  <c r="C2265"/>
  <c r="C2215" l="1"/>
  <c r="C2164"/>
  <c r="C1909"/>
  <c r="C1960"/>
  <c r="C2011"/>
  <c r="C2113"/>
  <c r="C2062"/>
  <c r="C2266"/>
  <c r="C2063" l="1"/>
  <c r="C2114"/>
  <c r="C2012"/>
  <c r="C2165"/>
  <c r="C2216"/>
  <c r="C1961"/>
  <c r="C1910"/>
  <c r="C2267"/>
  <c r="C1962" l="1"/>
  <c r="C1911"/>
  <c r="C2217"/>
  <c r="C2166"/>
  <c r="C2013"/>
  <c r="C2115"/>
  <c r="C2064"/>
  <c r="C2268"/>
  <c r="C2014" l="1"/>
  <c r="C2116"/>
  <c r="C2167"/>
  <c r="C2218"/>
  <c r="C2065"/>
  <c r="C1912"/>
  <c r="C1963"/>
  <c r="C2269"/>
  <c r="C1964" l="1"/>
  <c r="C1913"/>
  <c r="C2219"/>
  <c r="C2066"/>
  <c r="C2168"/>
  <c r="C2117"/>
  <c r="C2015"/>
  <c r="C2270"/>
  <c r="C2322"/>
  <c r="C2271" l="1"/>
  <c r="C2016"/>
  <c r="C2118"/>
  <c r="C2169"/>
  <c r="C2220"/>
  <c r="C1914"/>
  <c r="C1965"/>
  <c r="C2067"/>
  <c r="C2323"/>
  <c r="C2068" l="1"/>
  <c r="C2119"/>
  <c r="C2017"/>
  <c r="C1966"/>
  <c r="C1915"/>
  <c r="C2221"/>
  <c r="C2170"/>
  <c r="C2272"/>
  <c r="C2324"/>
  <c r="C2222" l="1"/>
  <c r="C2171"/>
  <c r="C2018"/>
  <c r="C2120"/>
  <c r="C2069"/>
  <c r="C2273"/>
  <c r="C1967"/>
  <c r="C2325"/>
  <c r="C1968" l="1"/>
  <c r="C2223"/>
  <c r="C2274"/>
  <c r="C2070"/>
  <c r="C2121"/>
  <c r="C2019"/>
  <c r="C2172"/>
  <c r="C2326"/>
  <c r="C2380"/>
  <c r="C2173" l="1"/>
  <c r="C2020"/>
  <c r="C2122"/>
  <c r="C2071"/>
  <c r="C2275"/>
  <c r="C2224"/>
  <c r="C1969"/>
  <c r="C2327"/>
  <c r="C2381"/>
  <c r="C2072" l="1"/>
  <c r="C2123"/>
  <c r="C2021"/>
  <c r="C1970"/>
  <c r="C2225"/>
  <c r="C2276"/>
  <c r="C2174"/>
  <c r="C2328"/>
  <c r="C2382"/>
  <c r="C2277" l="1"/>
  <c r="C2226"/>
  <c r="C1971"/>
  <c r="C2175"/>
  <c r="C2022"/>
  <c r="C2124"/>
  <c r="C2073"/>
  <c r="C2329"/>
  <c r="C2383"/>
  <c r="C2074" l="1"/>
  <c r="C2125"/>
  <c r="C2023"/>
  <c r="C2176"/>
  <c r="C1972"/>
  <c r="C2227"/>
  <c r="C2278"/>
  <c r="C2330"/>
  <c r="C2384"/>
  <c r="C2438"/>
  <c r="C2385" l="1"/>
  <c r="C2279"/>
  <c r="C2177"/>
  <c r="C2024"/>
  <c r="C2126"/>
  <c r="C2075"/>
  <c r="C2228"/>
  <c r="C1973"/>
  <c r="C2331"/>
  <c r="C2439"/>
  <c r="C2229" l="1"/>
  <c r="C2076"/>
  <c r="C2127"/>
  <c r="C2025"/>
  <c r="C2178"/>
  <c r="C2280"/>
  <c r="C2386"/>
  <c r="C2332"/>
  <c r="C2440"/>
  <c r="C2387" l="1"/>
  <c r="C2026"/>
  <c r="C2128"/>
  <c r="C2281"/>
  <c r="C2179"/>
  <c r="C2077"/>
  <c r="C2230"/>
  <c r="C2333"/>
  <c r="C2441"/>
  <c r="C2231" l="1"/>
  <c r="C2078"/>
  <c r="C2180"/>
  <c r="C2282"/>
  <c r="C2129"/>
  <c r="C2027"/>
  <c r="C2388"/>
  <c r="C2334"/>
  <c r="C2442"/>
  <c r="C2496"/>
  <c r="C2130" l="1"/>
  <c r="C2283"/>
  <c r="C2079"/>
  <c r="C2232"/>
  <c r="C2443"/>
  <c r="C2389"/>
  <c r="C2028"/>
  <c r="C2181"/>
  <c r="C2335"/>
  <c r="C2497"/>
  <c r="C2182" l="1"/>
  <c r="C2029"/>
  <c r="C2444"/>
  <c r="C2233"/>
  <c r="C2390"/>
  <c r="C2080"/>
  <c r="C2284"/>
  <c r="C2131"/>
  <c r="C2336"/>
  <c r="C2498"/>
  <c r="C2132" l="1"/>
  <c r="C2285"/>
  <c r="C2081"/>
  <c r="C2391"/>
  <c r="C2234"/>
  <c r="C2445"/>
  <c r="C2030"/>
  <c r="C2183"/>
  <c r="C2337"/>
  <c r="C2499"/>
  <c r="C2031" l="1"/>
  <c r="C2286"/>
  <c r="C2133"/>
  <c r="C2184"/>
  <c r="C2446"/>
  <c r="C2235"/>
  <c r="C2392"/>
  <c r="C2082"/>
  <c r="C2338"/>
  <c r="C2500"/>
  <c r="C2554"/>
  <c r="C2236" l="1"/>
  <c r="C2185"/>
  <c r="C2393"/>
  <c r="C2447"/>
  <c r="C2134"/>
  <c r="C2287"/>
  <c r="C2083"/>
  <c r="C2501"/>
  <c r="C2339"/>
  <c r="C2555"/>
  <c r="C2084" l="1"/>
  <c r="C2448"/>
  <c r="C2186"/>
  <c r="C2237"/>
  <c r="C2288"/>
  <c r="C2135"/>
  <c r="C2394"/>
  <c r="C2502"/>
  <c r="C2340"/>
  <c r="C2556"/>
  <c r="C2449" l="1"/>
  <c r="C2238"/>
  <c r="C2187"/>
  <c r="C2085"/>
  <c r="C2395"/>
  <c r="C2136"/>
  <c r="C2289"/>
  <c r="C2503"/>
  <c r="C2341"/>
  <c r="C2557"/>
  <c r="C2290" l="1"/>
  <c r="C2396"/>
  <c r="C2086"/>
  <c r="C2188"/>
  <c r="C2239"/>
  <c r="C2450"/>
  <c r="C2137"/>
  <c r="C2504"/>
  <c r="C2342"/>
  <c r="C2558"/>
  <c r="C2612"/>
  <c r="C2138" l="1"/>
  <c r="C2451"/>
  <c r="C2240"/>
  <c r="C2189"/>
  <c r="C2087"/>
  <c r="C2397"/>
  <c r="C2291"/>
  <c r="C2343"/>
  <c r="C2505"/>
  <c r="C2344"/>
  <c r="C2559"/>
  <c r="C2613"/>
  <c r="C2506" l="1"/>
  <c r="C2292"/>
  <c r="C2398"/>
  <c r="C2139"/>
  <c r="C2088"/>
  <c r="C2190"/>
  <c r="C2241"/>
  <c r="C2452"/>
  <c r="C2345"/>
  <c r="C2560"/>
  <c r="C2507"/>
  <c r="C2614"/>
  <c r="C2346" l="1"/>
  <c r="C2453"/>
  <c r="C2242"/>
  <c r="C2191"/>
  <c r="C2089"/>
  <c r="C2140"/>
  <c r="C2399"/>
  <c r="C2293"/>
  <c r="C2561"/>
  <c r="C2508"/>
  <c r="C2615"/>
  <c r="C2347" l="1"/>
  <c r="C2192"/>
  <c r="C2243"/>
  <c r="C2294"/>
  <c r="C2400"/>
  <c r="C2141"/>
  <c r="C2454"/>
  <c r="C2348"/>
  <c r="C2509"/>
  <c r="C2562"/>
  <c r="C2616"/>
  <c r="C2244" l="1"/>
  <c r="C2193"/>
  <c r="C2455"/>
  <c r="C2142"/>
  <c r="C2401"/>
  <c r="C2295"/>
  <c r="C2510"/>
  <c r="C2349"/>
  <c r="C2563"/>
  <c r="C2617"/>
  <c r="C2456" l="1"/>
  <c r="C2143"/>
  <c r="C2194"/>
  <c r="C2245"/>
  <c r="C2296"/>
  <c r="C2402"/>
  <c r="C2350"/>
  <c r="C2564"/>
  <c r="C2511"/>
  <c r="C2618"/>
  <c r="C2403" l="1"/>
  <c r="C2297"/>
  <c r="C2246"/>
  <c r="C2195"/>
  <c r="C2144"/>
  <c r="C2457"/>
  <c r="C2565"/>
  <c r="C2351"/>
  <c r="C2512"/>
  <c r="C2619"/>
  <c r="C2566" l="1"/>
  <c r="C2458"/>
  <c r="C2145"/>
  <c r="C2196"/>
  <c r="C2247"/>
  <c r="C2298"/>
  <c r="C2404"/>
  <c r="C2352"/>
  <c r="C2513"/>
  <c r="C2620"/>
  <c r="C2405" l="1"/>
  <c r="C2299"/>
  <c r="C2248"/>
  <c r="C2197"/>
  <c r="C2567"/>
  <c r="C2146"/>
  <c r="C2459"/>
  <c r="C2514"/>
  <c r="C2353"/>
  <c r="C2621"/>
  <c r="C2147" l="1"/>
  <c r="C2568"/>
  <c r="C2198"/>
  <c r="C2249"/>
  <c r="C2354"/>
  <c r="C2460"/>
  <c r="C2300"/>
  <c r="C2406"/>
  <c r="C2515"/>
  <c r="C2622"/>
  <c r="C2670"/>
  <c r="C2355" l="1"/>
  <c r="C2199"/>
  <c r="C2407"/>
  <c r="C2301"/>
  <c r="C2461"/>
  <c r="C2569"/>
  <c r="C2250"/>
  <c r="C2516"/>
  <c r="C2623"/>
  <c r="C2671"/>
  <c r="C2570" l="1"/>
  <c r="C2302"/>
  <c r="C2408"/>
  <c r="C2251"/>
  <c r="C2200"/>
  <c r="C2356"/>
  <c r="C2462"/>
  <c r="C2624"/>
  <c r="C2517"/>
  <c r="C2672"/>
  <c r="C2357" l="1"/>
  <c r="C2201"/>
  <c r="C2252"/>
  <c r="C2463"/>
  <c r="C2409"/>
  <c r="C2303"/>
  <c r="C2571"/>
  <c r="C2625"/>
  <c r="C2518"/>
  <c r="C2673"/>
  <c r="C2253" l="1"/>
  <c r="C2202"/>
  <c r="C2358"/>
  <c r="C2572"/>
  <c r="C2304"/>
  <c r="C2410"/>
  <c r="C2464"/>
  <c r="C2519"/>
  <c r="C2626"/>
  <c r="C2674"/>
  <c r="C2411" l="1"/>
  <c r="C2305"/>
  <c r="C2573"/>
  <c r="C2675"/>
  <c r="C2359"/>
  <c r="C2203"/>
  <c r="C2254"/>
  <c r="C2465"/>
  <c r="C2520"/>
  <c r="C2627"/>
  <c r="C2728"/>
  <c r="C2574" l="1"/>
  <c r="C2306"/>
  <c r="C2412"/>
  <c r="C2466"/>
  <c r="C2255"/>
  <c r="C2204"/>
  <c r="C2360"/>
  <c r="C2676"/>
  <c r="C2729"/>
  <c r="C2628"/>
  <c r="C2521"/>
  <c r="C2"/>
  <c r="L2840"/>
  <c r="BN2840" s="1"/>
  <c r="L2839"/>
  <c r="BN2839" s="1"/>
  <c r="L2838"/>
  <c r="BN2838" s="1"/>
  <c r="L2837"/>
  <c r="BN2837" s="1"/>
  <c r="L2836"/>
  <c r="BN2836" s="1"/>
  <c r="L2835"/>
  <c r="BN2835" s="1"/>
  <c r="L2834"/>
  <c r="BN2834" s="1"/>
  <c r="L2832"/>
  <c r="BN2832" s="1"/>
  <c r="L2831"/>
  <c r="BN2831" s="1"/>
  <c r="L2830"/>
  <c r="BN2830" s="1"/>
  <c r="L2829"/>
  <c r="BN2829" s="1"/>
  <c r="L2828"/>
  <c r="BN2828" s="1"/>
  <c r="M2840"/>
  <c r="BO2840" s="1"/>
  <c r="M2839"/>
  <c r="BO2839" s="1"/>
  <c r="M2838"/>
  <c r="BO2838" s="1"/>
  <c r="M2837"/>
  <c r="BO2837" s="1"/>
  <c r="M2836"/>
  <c r="BO2836" s="1"/>
  <c r="M2835"/>
  <c r="BO2835" s="1"/>
  <c r="M2834"/>
  <c r="BO2834" s="1"/>
  <c r="M2832"/>
  <c r="BO2832" s="1"/>
  <c r="M2831"/>
  <c r="BO2831" s="1"/>
  <c r="M2830"/>
  <c r="BO2830" s="1"/>
  <c r="M2829"/>
  <c r="BO2829" s="1"/>
  <c r="M2828"/>
  <c r="BO2828" s="1"/>
  <c r="BB578"/>
  <c r="AZ578"/>
  <c r="AT578"/>
  <c r="AR578"/>
  <c r="AP578"/>
  <c r="AL578"/>
  <c r="AJ578"/>
  <c r="AH578"/>
  <c r="X578"/>
  <c r="P578"/>
  <c r="N578"/>
  <c r="L578"/>
  <c r="BB1216"/>
  <c r="AZ1216"/>
  <c r="AP1216"/>
  <c r="AN1216"/>
  <c r="N1216"/>
  <c r="BP1216" s="1"/>
  <c r="L1216"/>
  <c r="BN1216" s="1"/>
  <c r="AL2782"/>
  <c r="AJ2782"/>
  <c r="X2782"/>
  <c r="P2782"/>
  <c r="N2782"/>
  <c r="BP2782" s="1"/>
  <c r="L2782"/>
  <c r="AT288"/>
  <c r="AR288"/>
  <c r="AL288"/>
  <c r="AJ288"/>
  <c r="AH288"/>
  <c r="AF288"/>
  <c r="X288"/>
  <c r="P288"/>
  <c r="N288"/>
  <c r="BP288" s="1"/>
  <c r="L288"/>
  <c r="AJ1854"/>
  <c r="AL1854"/>
  <c r="X1854"/>
  <c r="V1854"/>
  <c r="T1854"/>
  <c r="R1854"/>
  <c r="P1854"/>
  <c r="N1854"/>
  <c r="L1854"/>
  <c r="I1854"/>
  <c r="H1854"/>
  <c r="AL2434"/>
  <c r="BP2434" s="1"/>
  <c r="AJ2434"/>
  <c r="BN2434" s="1"/>
  <c r="AL810"/>
  <c r="AH810"/>
  <c r="AF810"/>
  <c r="AD810"/>
  <c r="AB810"/>
  <c r="Z810"/>
  <c r="V810"/>
  <c r="T810"/>
  <c r="R810"/>
  <c r="N810"/>
  <c r="L810"/>
  <c r="X2376"/>
  <c r="V2376"/>
  <c r="P2376"/>
  <c r="N2376"/>
  <c r="L2376"/>
  <c r="BB2144"/>
  <c r="AZ2144"/>
  <c r="AH2144"/>
  <c r="N2144"/>
  <c r="L2144"/>
  <c r="AL1042"/>
  <c r="AJ1042"/>
  <c r="AH1042"/>
  <c r="AF1042"/>
  <c r="AD1042"/>
  <c r="AB1042"/>
  <c r="Z1042"/>
  <c r="V1042"/>
  <c r="T1042"/>
  <c r="R1042"/>
  <c r="N1042"/>
  <c r="J1042"/>
  <c r="K1042" s="1"/>
  <c r="M1100"/>
  <c r="AL2550"/>
  <c r="AJ2550"/>
  <c r="AH2550"/>
  <c r="AF2550"/>
  <c r="X2550"/>
  <c r="V2550"/>
  <c r="T2550"/>
  <c r="R2550"/>
  <c r="N2550"/>
  <c r="BP2550" s="1"/>
  <c r="L2550"/>
  <c r="I2550"/>
  <c r="O172"/>
  <c r="O1048"/>
  <c r="Y172"/>
  <c r="Y1048"/>
  <c r="AA172"/>
  <c r="AI172"/>
  <c r="AI1048"/>
  <c r="AM1048"/>
  <c r="AQ1048"/>
  <c r="AU1048"/>
  <c r="AY1048"/>
  <c r="BC1048"/>
  <c r="BG1048"/>
  <c r="N926"/>
  <c r="AP926"/>
  <c r="AT926"/>
  <c r="BB926"/>
  <c r="M1048"/>
  <c r="Q1048"/>
  <c r="AG1048"/>
  <c r="AK1048"/>
  <c r="AO1048"/>
  <c r="AS1048"/>
  <c r="AW1048"/>
  <c r="BA1048"/>
  <c r="BE1048"/>
  <c r="L926"/>
  <c r="AZ926"/>
  <c r="J172"/>
  <c r="H172"/>
  <c r="AL809"/>
  <c r="AJ809"/>
  <c r="AH809"/>
  <c r="AF809"/>
  <c r="AD809"/>
  <c r="AB809"/>
  <c r="Z809"/>
  <c r="V809"/>
  <c r="T809"/>
  <c r="R809"/>
  <c r="N809"/>
  <c r="L809"/>
  <c r="AG171"/>
  <c r="X171"/>
  <c r="Q171"/>
  <c r="O171"/>
  <c r="BQ171" s="1"/>
  <c r="J171"/>
  <c r="L1098"/>
  <c r="BN1098" s="1"/>
  <c r="R170"/>
  <c r="J1853"/>
  <c r="J2317"/>
  <c r="AP2317"/>
  <c r="N2317"/>
  <c r="L1853"/>
  <c r="H1853"/>
  <c r="BG1047"/>
  <c r="BE1047"/>
  <c r="BC1047"/>
  <c r="BA1047"/>
  <c r="AY1047"/>
  <c r="AW1047"/>
  <c r="AU1047"/>
  <c r="AS1047"/>
  <c r="AQ1047"/>
  <c r="AO1047"/>
  <c r="AM1047"/>
  <c r="AK1047"/>
  <c r="AI1047"/>
  <c r="AG1047"/>
  <c r="Y1047"/>
  <c r="Q1047"/>
  <c r="O1047"/>
  <c r="BQ1047" s="1"/>
  <c r="M1047"/>
  <c r="AK1620"/>
  <c r="AK1619"/>
  <c r="AK1618"/>
  <c r="BO1618" s="1"/>
  <c r="AK1617"/>
  <c r="BO1617" s="1"/>
  <c r="AK1616"/>
  <c r="BO1616" s="1"/>
  <c r="AK1615"/>
  <c r="BO1615" s="1"/>
  <c r="AK1614"/>
  <c r="BO1614" s="1"/>
  <c r="AT1446"/>
  <c r="X1446"/>
  <c r="BN1446" s="1"/>
  <c r="N1446"/>
  <c r="R808"/>
  <c r="R54"/>
  <c r="R1388"/>
  <c r="R2548"/>
  <c r="L808"/>
  <c r="L54"/>
  <c r="L924"/>
  <c r="L1214"/>
  <c r="L1852"/>
  <c r="L1910"/>
  <c r="L2142"/>
  <c r="L2548"/>
  <c r="L2606"/>
  <c r="L2664"/>
  <c r="L2780"/>
  <c r="P112"/>
  <c r="P1852"/>
  <c r="P1910"/>
  <c r="P2606"/>
  <c r="P2664"/>
  <c r="P2780"/>
  <c r="T54"/>
  <c r="T170"/>
  <c r="U170" s="1"/>
  <c r="T808"/>
  <c r="T1388"/>
  <c r="T2548"/>
  <c r="V54"/>
  <c r="V170"/>
  <c r="V808"/>
  <c r="V1388"/>
  <c r="V2548"/>
  <c r="V2664"/>
  <c r="X54"/>
  <c r="X112"/>
  <c r="X1852"/>
  <c r="X1910"/>
  <c r="X2548"/>
  <c r="X2606"/>
  <c r="X2664"/>
  <c r="X2780"/>
  <c r="Z808"/>
  <c r="Z1388"/>
  <c r="AB808"/>
  <c r="AB1388"/>
  <c r="AD808"/>
  <c r="AD1388"/>
  <c r="AD2664"/>
  <c r="AH112"/>
  <c r="AF808"/>
  <c r="AF1388"/>
  <c r="AF2548"/>
  <c r="AF2606"/>
  <c r="AF2664"/>
  <c r="AJ112"/>
  <c r="AJ808"/>
  <c r="AJ1852"/>
  <c r="AJ1910"/>
  <c r="AJ2548"/>
  <c r="AJ2606"/>
  <c r="AJ2664"/>
  <c r="AJ2780"/>
  <c r="AN1214"/>
  <c r="AN1910"/>
  <c r="AN2664"/>
  <c r="AR54"/>
  <c r="AR1910"/>
  <c r="AR2664"/>
  <c r="AV2664"/>
  <c r="AZ54"/>
  <c r="AZ924"/>
  <c r="AZ1910"/>
  <c r="AZ2142"/>
  <c r="AI170"/>
  <c r="AI1046"/>
  <c r="AH53"/>
  <c r="AI53" s="1"/>
  <c r="AH54"/>
  <c r="AH808"/>
  <c r="AH1214"/>
  <c r="AH1388"/>
  <c r="BB1910"/>
  <c r="AT1910"/>
  <c r="AP1910"/>
  <c r="AL1910"/>
  <c r="N1910"/>
  <c r="AL112"/>
  <c r="N112"/>
  <c r="I112"/>
  <c r="AT54"/>
  <c r="BB54"/>
  <c r="N54"/>
  <c r="AA170"/>
  <c r="Y170"/>
  <c r="H170"/>
  <c r="K170" s="1"/>
  <c r="M170"/>
  <c r="AH2606"/>
  <c r="N2606"/>
  <c r="AL2780"/>
  <c r="N2780"/>
  <c r="AL1388"/>
  <c r="N1388"/>
  <c r="BB924"/>
  <c r="AT924"/>
  <c r="AP924"/>
  <c r="N924"/>
  <c r="J924"/>
  <c r="H924"/>
  <c r="BB1852"/>
  <c r="AL1852"/>
  <c r="AH1852"/>
  <c r="N1852"/>
  <c r="J1852"/>
  <c r="K1852" s="1"/>
  <c r="AL808"/>
  <c r="N808"/>
  <c r="AH2548"/>
  <c r="N2548"/>
  <c r="N1214"/>
  <c r="AP2316"/>
  <c r="N2316"/>
  <c r="J2316"/>
  <c r="K2316" s="1"/>
  <c r="BB2142"/>
  <c r="N2142"/>
  <c r="J2142"/>
  <c r="K2142" s="1"/>
  <c r="BB458"/>
  <c r="AT458"/>
  <c r="AP458"/>
  <c r="AL458"/>
  <c r="AH458"/>
  <c r="AF458"/>
  <c r="AE458"/>
  <c r="AD458" s="1"/>
  <c r="AB458"/>
  <c r="AA458"/>
  <c r="V458"/>
  <c r="U458"/>
  <c r="T458" s="1"/>
  <c r="S458"/>
  <c r="N458"/>
  <c r="L458"/>
  <c r="O1046"/>
  <c r="Y1046"/>
  <c r="AM1046"/>
  <c r="AQ1046"/>
  <c r="AU1046"/>
  <c r="AY1046"/>
  <c r="BC1046"/>
  <c r="BG1046"/>
  <c r="N2664"/>
  <c r="AH2664"/>
  <c r="AL2664"/>
  <c r="AP2664"/>
  <c r="AT2664"/>
  <c r="M1046"/>
  <c r="Q1046"/>
  <c r="AG1046"/>
  <c r="AK1046"/>
  <c r="AO1046"/>
  <c r="AS1046"/>
  <c r="AW1046"/>
  <c r="BA1046"/>
  <c r="BE1046"/>
  <c r="AD1677"/>
  <c r="AB1677"/>
  <c r="Z1677"/>
  <c r="V1677"/>
  <c r="T1677"/>
  <c r="R1677"/>
  <c r="BB53"/>
  <c r="BC53" s="1"/>
  <c r="BB52"/>
  <c r="BC52" s="1"/>
  <c r="AH52"/>
  <c r="AI52" s="1"/>
  <c r="X53"/>
  <c r="BN53" s="1"/>
  <c r="X52"/>
  <c r="BN52" s="1"/>
  <c r="N53"/>
  <c r="N52"/>
  <c r="AU52"/>
  <c r="O52"/>
  <c r="AU53"/>
  <c r="BA53"/>
  <c r="AS53"/>
  <c r="W53"/>
  <c r="U53"/>
  <c r="S53"/>
  <c r="M53"/>
  <c r="AV2663"/>
  <c r="AT2663"/>
  <c r="AR2663"/>
  <c r="AP2663"/>
  <c r="AN2663"/>
  <c r="AL2663"/>
  <c r="AJ2663"/>
  <c r="AH2663"/>
  <c r="AF2663"/>
  <c r="AD2663"/>
  <c r="X2663"/>
  <c r="P2663"/>
  <c r="N2663"/>
  <c r="L2663"/>
  <c r="AT2662"/>
  <c r="AR2662"/>
  <c r="AP2662"/>
  <c r="AN2662"/>
  <c r="AL2662"/>
  <c r="AJ2662"/>
  <c r="AH2662"/>
  <c r="AF2662"/>
  <c r="AD2662"/>
  <c r="X2662"/>
  <c r="V2662"/>
  <c r="P2662"/>
  <c r="N2662"/>
  <c r="L2662"/>
  <c r="Q40"/>
  <c r="Q98"/>
  <c r="Q156"/>
  <c r="Q214"/>
  <c r="Q272"/>
  <c r="Q330"/>
  <c r="P388"/>
  <c r="Q446"/>
  <c r="Q504"/>
  <c r="P562"/>
  <c r="Q620"/>
  <c r="Q678"/>
  <c r="P736"/>
  <c r="Q794"/>
  <c r="Q852"/>
  <c r="Q910"/>
  <c r="P968"/>
  <c r="P1026"/>
  <c r="Q1084"/>
  <c r="Q1142"/>
  <c r="Q1200"/>
  <c r="Q1258"/>
  <c r="Q1316"/>
  <c r="P1374"/>
  <c r="Q1432"/>
  <c r="Q1490"/>
  <c r="Q1548"/>
  <c r="P1606"/>
  <c r="P1664"/>
  <c r="Q1722"/>
  <c r="Q1780"/>
  <c r="P1838"/>
  <c r="Q1896"/>
  <c r="Q1954"/>
  <c r="Q2012"/>
  <c r="Q2070"/>
  <c r="Q2128"/>
  <c r="Q2186"/>
  <c r="Q2244"/>
  <c r="Q2302"/>
  <c r="Q2360"/>
  <c r="Q2418"/>
  <c r="Q2476"/>
  <c r="P2534"/>
  <c r="Q2592"/>
  <c r="P2650"/>
  <c r="Q2708"/>
  <c r="Q2766"/>
  <c r="BB459"/>
  <c r="AT459"/>
  <c r="AP459"/>
  <c r="AH459"/>
  <c r="AF459"/>
  <c r="AD459"/>
  <c r="AB459"/>
  <c r="Z459"/>
  <c r="V459"/>
  <c r="T459"/>
  <c r="R459"/>
  <c r="N459"/>
  <c r="L459"/>
  <c r="AL1387"/>
  <c r="AJ1387"/>
  <c r="AH1387"/>
  <c r="AF1387"/>
  <c r="AD1387"/>
  <c r="AB1387"/>
  <c r="Z1387"/>
  <c r="V1387"/>
  <c r="T1387"/>
  <c r="R1387"/>
  <c r="N1387"/>
  <c r="AH2547"/>
  <c r="AF2547"/>
  <c r="X2547"/>
  <c r="V2547"/>
  <c r="T2547"/>
  <c r="R2547"/>
  <c r="N2547"/>
  <c r="BP2547" s="1"/>
  <c r="L2547"/>
  <c r="AP2315"/>
  <c r="N2315"/>
  <c r="AP169"/>
  <c r="AN169"/>
  <c r="X169"/>
  <c r="P169"/>
  <c r="N169"/>
  <c r="BP169" s="1"/>
  <c r="L169"/>
  <c r="H169"/>
  <c r="K169" s="1"/>
  <c r="AL111"/>
  <c r="AJ111"/>
  <c r="AH111"/>
  <c r="X111"/>
  <c r="P111"/>
  <c r="N111"/>
  <c r="I111"/>
  <c r="X2605"/>
  <c r="P2605"/>
  <c r="J2605"/>
  <c r="I2605"/>
  <c r="H2605"/>
  <c r="AJ2605"/>
  <c r="AH2605"/>
  <c r="AF2605"/>
  <c r="AL1851"/>
  <c r="AJ1851"/>
  <c r="AH1851"/>
  <c r="X1851"/>
  <c r="V1851"/>
  <c r="T1851"/>
  <c r="R1851"/>
  <c r="P1851"/>
  <c r="N1851"/>
  <c r="L1851"/>
  <c r="AL1039"/>
  <c r="AJ1039"/>
  <c r="AH1039"/>
  <c r="AF1039"/>
  <c r="AD1039"/>
  <c r="AB1039"/>
  <c r="Z1039"/>
  <c r="V1039"/>
  <c r="T1039"/>
  <c r="R1039"/>
  <c r="N1039"/>
  <c r="J1039"/>
  <c r="H1039"/>
  <c r="AL2779"/>
  <c r="AJ2779"/>
  <c r="X2779"/>
  <c r="P2779"/>
  <c r="N2779"/>
  <c r="BP2779" s="1"/>
  <c r="L2779"/>
  <c r="AL807"/>
  <c r="AJ807"/>
  <c r="AH807"/>
  <c r="AF807"/>
  <c r="AD807"/>
  <c r="AB807"/>
  <c r="Z807"/>
  <c r="V807"/>
  <c r="T807"/>
  <c r="R807"/>
  <c r="N807"/>
  <c r="L807"/>
  <c r="J807"/>
  <c r="BB1908"/>
  <c r="AZ1908"/>
  <c r="AT1908"/>
  <c r="AR1908"/>
  <c r="AP1908"/>
  <c r="AL1908"/>
  <c r="AJ1908"/>
  <c r="X1908"/>
  <c r="P1908"/>
  <c r="N1908"/>
  <c r="L1908"/>
  <c r="BA52"/>
  <c r="AK52"/>
  <c r="W52"/>
  <c r="U52"/>
  <c r="S52"/>
  <c r="M52"/>
  <c r="AL806"/>
  <c r="AJ806"/>
  <c r="AH806"/>
  <c r="AF806"/>
  <c r="AD806"/>
  <c r="AB806"/>
  <c r="Z806"/>
  <c r="V806"/>
  <c r="T806"/>
  <c r="R806"/>
  <c r="N806"/>
  <c r="L806"/>
  <c r="J806"/>
  <c r="K806" s="1"/>
  <c r="AD1676"/>
  <c r="AB1676"/>
  <c r="Z1676"/>
  <c r="V1676"/>
  <c r="T1676"/>
  <c r="R1676"/>
  <c r="AL748"/>
  <c r="AH748"/>
  <c r="AD748"/>
  <c r="AB748"/>
  <c r="Z748"/>
  <c r="V748"/>
  <c r="T748"/>
  <c r="R748"/>
  <c r="N748"/>
  <c r="X168"/>
  <c r="P168"/>
  <c r="N168"/>
  <c r="BP168" s="1"/>
  <c r="L168"/>
  <c r="X400"/>
  <c r="R400"/>
  <c r="P400"/>
  <c r="N400"/>
  <c r="J400"/>
  <c r="K400" s="1"/>
  <c r="AJ2604"/>
  <c r="AF2604"/>
  <c r="P2604"/>
  <c r="L2604"/>
  <c r="AH2604"/>
  <c r="AD2604"/>
  <c r="AB2604"/>
  <c r="Z2604"/>
  <c r="I2604"/>
  <c r="AT2314"/>
  <c r="AP2314"/>
  <c r="N2314"/>
  <c r="AL1386"/>
  <c r="AJ1386"/>
  <c r="AH1386"/>
  <c r="AF1386"/>
  <c r="AD1386"/>
  <c r="AB1386"/>
  <c r="Z1386"/>
  <c r="V1386"/>
  <c r="T1386"/>
  <c r="R1386"/>
  <c r="N1386"/>
  <c r="BB922"/>
  <c r="AZ922"/>
  <c r="AT922"/>
  <c r="AP922"/>
  <c r="N922"/>
  <c r="L922"/>
  <c r="BN922" s="1"/>
  <c r="AH2546"/>
  <c r="AF2546"/>
  <c r="X2546"/>
  <c r="V2546"/>
  <c r="T2546"/>
  <c r="R2546"/>
  <c r="N2546"/>
  <c r="BP2546" s="1"/>
  <c r="L2546"/>
  <c r="AL1038"/>
  <c r="AJ1038"/>
  <c r="AH1038"/>
  <c r="AF1038"/>
  <c r="AD1038"/>
  <c r="AB1038"/>
  <c r="Z1038"/>
  <c r="V1038"/>
  <c r="T1038"/>
  <c r="R1038"/>
  <c r="N1038"/>
  <c r="J1038"/>
  <c r="H1038"/>
  <c r="AL110"/>
  <c r="AJ110"/>
  <c r="AH110"/>
  <c r="X110"/>
  <c r="P110"/>
  <c r="N110"/>
  <c r="BB2139"/>
  <c r="BP2139" s="1"/>
  <c r="BB2140"/>
  <c r="AZ2140"/>
  <c r="N2140"/>
  <c r="BP2140" s="1"/>
  <c r="L2140"/>
  <c r="BN2140" s="1"/>
  <c r="AL284"/>
  <c r="AJ284"/>
  <c r="X284"/>
  <c r="BP284" s="1"/>
  <c r="P284"/>
  <c r="AL2778"/>
  <c r="AJ2778"/>
  <c r="X2778"/>
  <c r="P2778"/>
  <c r="N2778"/>
  <c r="BP2778" s="1"/>
  <c r="L2778"/>
  <c r="AL1850"/>
  <c r="AJ1850"/>
  <c r="AH1850"/>
  <c r="X1850"/>
  <c r="V1850"/>
  <c r="T1850"/>
  <c r="R1850"/>
  <c r="P1850"/>
  <c r="N1850"/>
  <c r="L1850"/>
  <c r="Z400"/>
  <c r="AL1501"/>
  <c r="Z1501"/>
  <c r="X1501"/>
  <c r="R1501"/>
  <c r="P1501"/>
  <c r="N1501"/>
  <c r="L1501"/>
  <c r="AL1500"/>
  <c r="Z1500"/>
  <c r="X1500"/>
  <c r="R1500"/>
  <c r="P1500"/>
  <c r="N1500"/>
  <c r="L1500"/>
  <c r="L1848"/>
  <c r="L1906"/>
  <c r="L2138"/>
  <c r="BN2138" s="1"/>
  <c r="L2544"/>
  <c r="L2602"/>
  <c r="L2660"/>
  <c r="L2776"/>
  <c r="L50"/>
  <c r="L166"/>
  <c r="L398"/>
  <c r="L688"/>
  <c r="L804"/>
  <c r="L1210"/>
  <c r="P1558"/>
  <c r="P1848"/>
  <c r="P1906"/>
  <c r="P2602"/>
  <c r="P2776"/>
  <c r="P108"/>
  <c r="P166"/>
  <c r="P398"/>
  <c r="P746"/>
  <c r="R1674"/>
  <c r="R1848"/>
  <c r="R2544"/>
  <c r="R50"/>
  <c r="R398"/>
  <c r="R572"/>
  <c r="R746"/>
  <c r="R804"/>
  <c r="R1037"/>
  <c r="R1384"/>
  <c r="T1674"/>
  <c r="T1848"/>
  <c r="T2544"/>
  <c r="T2660"/>
  <c r="T50"/>
  <c r="T572"/>
  <c r="T804"/>
  <c r="T1037"/>
  <c r="T1384"/>
  <c r="V1674"/>
  <c r="V1848"/>
  <c r="V2544"/>
  <c r="V2660"/>
  <c r="V50"/>
  <c r="V572"/>
  <c r="V804"/>
  <c r="V1037"/>
  <c r="V1384"/>
  <c r="X1558"/>
  <c r="X1848"/>
  <c r="X1906"/>
  <c r="X2022"/>
  <c r="BN2022" s="1"/>
  <c r="X2544"/>
  <c r="X2602"/>
  <c r="X2776"/>
  <c r="X50"/>
  <c r="X108"/>
  <c r="X166"/>
  <c r="X398"/>
  <c r="X746"/>
  <c r="X862"/>
  <c r="X1268"/>
  <c r="BN1268" s="1"/>
  <c r="Z1558"/>
  <c r="Z1674"/>
  <c r="Z398"/>
  <c r="AA456"/>
  <c r="Z456" s="1"/>
  <c r="Z572"/>
  <c r="Z746"/>
  <c r="Z804"/>
  <c r="Z1037"/>
  <c r="Z1384"/>
  <c r="AB1558"/>
  <c r="AB1674"/>
  <c r="AB2660"/>
  <c r="AB572"/>
  <c r="AB746"/>
  <c r="AB804"/>
  <c r="AB1037"/>
  <c r="AD1674"/>
  <c r="AD2660"/>
  <c r="AE456"/>
  <c r="AD456" s="1"/>
  <c r="AD572"/>
  <c r="AD746"/>
  <c r="AD804"/>
  <c r="AD1037"/>
  <c r="AF2544"/>
  <c r="AF2602"/>
  <c r="AF2660"/>
  <c r="AF398"/>
  <c r="AF804"/>
  <c r="AF1037"/>
  <c r="AF1384"/>
  <c r="AJ1848"/>
  <c r="AJ1906"/>
  <c r="AJ2602"/>
  <c r="AJ2660"/>
  <c r="AJ2776"/>
  <c r="AJ50"/>
  <c r="AJ108"/>
  <c r="AJ572"/>
  <c r="AJ804"/>
  <c r="AJ862"/>
  <c r="AJ1037"/>
  <c r="AZ572"/>
  <c r="AZ688"/>
  <c r="AZ1210"/>
  <c r="AZ1906"/>
  <c r="AN166"/>
  <c r="AN2660"/>
  <c r="AR50"/>
  <c r="AR1906"/>
  <c r="AR2660"/>
  <c r="L1211"/>
  <c r="AZ1211"/>
  <c r="AL2777"/>
  <c r="AJ2777"/>
  <c r="X2777"/>
  <c r="P2777"/>
  <c r="N2777"/>
  <c r="BP2777" s="1"/>
  <c r="L2777"/>
  <c r="AM631"/>
  <c r="AK631"/>
  <c r="AI631"/>
  <c r="AG631"/>
  <c r="Y631"/>
  <c r="Q631"/>
  <c r="O631"/>
  <c r="BQ631" s="1"/>
  <c r="M631"/>
  <c r="J631"/>
  <c r="I631"/>
  <c r="H631"/>
  <c r="K631" s="1"/>
  <c r="AM630"/>
  <c r="AK630"/>
  <c r="AI630"/>
  <c r="AG630"/>
  <c r="Y630"/>
  <c r="Q630"/>
  <c r="O630"/>
  <c r="BQ630" s="1"/>
  <c r="M630"/>
  <c r="J630"/>
  <c r="I630"/>
  <c r="H630"/>
  <c r="BA225"/>
  <c r="AS225"/>
  <c r="AK225"/>
  <c r="Q225"/>
  <c r="M225"/>
  <c r="BB573"/>
  <c r="AZ573"/>
  <c r="AT573"/>
  <c r="AR573"/>
  <c r="AP573"/>
  <c r="AJ573"/>
  <c r="AH573"/>
  <c r="AD573"/>
  <c r="AB573"/>
  <c r="Z573"/>
  <c r="V573"/>
  <c r="T573"/>
  <c r="R573"/>
  <c r="N573"/>
  <c r="L573"/>
  <c r="AT572"/>
  <c r="AP572"/>
  <c r="AH572"/>
  <c r="N572"/>
  <c r="J572"/>
  <c r="K572" s="1"/>
  <c r="AZ689"/>
  <c r="N689"/>
  <c r="BP689" s="1"/>
  <c r="L689"/>
  <c r="BN689" s="1"/>
  <c r="N688"/>
  <c r="BP688" s="1"/>
  <c r="AK283"/>
  <c r="AG283"/>
  <c r="Y283"/>
  <c r="BQ283" s="1"/>
  <c r="Q283"/>
  <c r="AK282"/>
  <c r="AG282"/>
  <c r="Y282"/>
  <c r="BQ282" s="1"/>
  <c r="Q282"/>
  <c r="AT2661"/>
  <c r="AR2661"/>
  <c r="AP2661"/>
  <c r="AN2661"/>
  <c r="AL2661"/>
  <c r="AJ2661"/>
  <c r="AH2661"/>
  <c r="AF2661"/>
  <c r="AD2661"/>
  <c r="AB2661"/>
  <c r="V2661"/>
  <c r="R2661"/>
  <c r="N2661"/>
  <c r="L2661"/>
  <c r="AM2428"/>
  <c r="AK2428"/>
  <c r="Y2428"/>
  <c r="Q2428"/>
  <c r="O2428"/>
  <c r="BQ2428" s="1"/>
  <c r="M2428"/>
  <c r="J2429"/>
  <c r="J2428"/>
  <c r="K2428" s="1"/>
  <c r="AM2429"/>
  <c r="AK2429"/>
  <c r="Y2429"/>
  <c r="Q2429"/>
  <c r="O2429"/>
  <c r="M2429"/>
  <c r="AD1675"/>
  <c r="AB1675"/>
  <c r="Z1675"/>
  <c r="V1675"/>
  <c r="T1675"/>
  <c r="R1675"/>
  <c r="AT51"/>
  <c r="AR51"/>
  <c r="AJ51"/>
  <c r="AH51"/>
  <c r="X51"/>
  <c r="V51"/>
  <c r="T51"/>
  <c r="R51"/>
  <c r="N51"/>
  <c r="L51"/>
  <c r="O921"/>
  <c r="BQ921" s="1"/>
  <c r="M921"/>
  <c r="BO921" s="1"/>
  <c r="J921"/>
  <c r="K921" s="1"/>
  <c r="BC920"/>
  <c r="BA920"/>
  <c r="AU920"/>
  <c r="AQ920"/>
  <c r="O920"/>
  <c r="M920"/>
  <c r="BO920" s="1"/>
  <c r="J920"/>
  <c r="K920" s="1"/>
  <c r="AP2023"/>
  <c r="X2023"/>
  <c r="BN2023" s="1"/>
  <c r="N2023"/>
  <c r="AP2022"/>
  <c r="N2022"/>
  <c r="X863"/>
  <c r="AM1559"/>
  <c r="BQ1559" s="1"/>
  <c r="AK1559"/>
  <c r="BO1559" s="1"/>
  <c r="AD1559"/>
  <c r="AB1559"/>
  <c r="Z1559"/>
  <c r="BC457"/>
  <c r="AU457"/>
  <c r="AQ457"/>
  <c r="AM457"/>
  <c r="AK457"/>
  <c r="AI457"/>
  <c r="AE457"/>
  <c r="AC457"/>
  <c r="AA457"/>
  <c r="W457"/>
  <c r="U457"/>
  <c r="S457"/>
  <c r="O457"/>
  <c r="M457"/>
  <c r="AU456"/>
  <c r="AQ456"/>
  <c r="AM456"/>
  <c r="AK456"/>
  <c r="AI456"/>
  <c r="Q456"/>
  <c r="O456"/>
  <c r="M456"/>
  <c r="BO456" s="1"/>
  <c r="AP167"/>
  <c r="AN167"/>
  <c r="X167"/>
  <c r="P167"/>
  <c r="N167"/>
  <c r="BP167" s="1"/>
  <c r="L167"/>
  <c r="AP166"/>
  <c r="N166"/>
  <c r="S399"/>
  <c r="R805"/>
  <c r="R1385"/>
  <c r="Y399"/>
  <c r="X399" s="1"/>
  <c r="Q399"/>
  <c r="AA399"/>
  <c r="O399"/>
  <c r="AL109"/>
  <c r="AJ109"/>
  <c r="BN109" s="1"/>
  <c r="AH109"/>
  <c r="BP109" s="1"/>
  <c r="BB1907"/>
  <c r="AZ1907"/>
  <c r="AT1907"/>
  <c r="AR1907"/>
  <c r="AJ1907"/>
  <c r="X1907"/>
  <c r="P1907"/>
  <c r="N1907"/>
  <c r="L1907"/>
  <c r="AH2545"/>
  <c r="AF2545"/>
  <c r="X2545"/>
  <c r="V2545"/>
  <c r="T2545"/>
  <c r="R2545"/>
  <c r="N2545"/>
  <c r="BP2545" s="1"/>
  <c r="L2545"/>
  <c r="L2139"/>
  <c r="BN2139" s="1"/>
  <c r="M1326"/>
  <c r="BO1326" s="1"/>
  <c r="M1325"/>
  <c r="BO1325" s="1"/>
  <c r="M1324"/>
  <c r="BO1324" s="1"/>
  <c r="M1323"/>
  <c r="BO1323" s="1"/>
  <c r="M1322"/>
  <c r="BO1322" s="1"/>
  <c r="M1321"/>
  <c r="BO1321" s="1"/>
  <c r="M1320"/>
  <c r="BO1320" s="1"/>
  <c r="M1319"/>
  <c r="BO1319" s="1"/>
  <c r="R2603"/>
  <c r="AJ2603"/>
  <c r="AH2603"/>
  <c r="AF2603"/>
  <c r="X2603"/>
  <c r="P2603"/>
  <c r="N2603"/>
  <c r="BP2603" s="1"/>
  <c r="AL1849"/>
  <c r="AJ1849"/>
  <c r="X1849"/>
  <c r="V1849"/>
  <c r="T1849"/>
  <c r="R1849"/>
  <c r="P1849"/>
  <c r="N1849"/>
  <c r="L1849"/>
  <c r="N2313"/>
  <c r="AL1385"/>
  <c r="AJ1385"/>
  <c r="AH1385"/>
  <c r="AF1385"/>
  <c r="AD1385"/>
  <c r="AB1385"/>
  <c r="Z1385"/>
  <c r="V1385"/>
  <c r="T1385"/>
  <c r="N1385"/>
  <c r="AE1555"/>
  <c r="AL805"/>
  <c r="AJ805"/>
  <c r="AH805"/>
  <c r="AF805"/>
  <c r="AD805"/>
  <c r="AB805"/>
  <c r="Z805"/>
  <c r="V805"/>
  <c r="T805"/>
  <c r="N805"/>
  <c r="L805"/>
  <c r="AT50"/>
  <c r="AH50"/>
  <c r="N50"/>
  <c r="BA224"/>
  <c r="AS224"/>
  <c r="AK224"/>
  <c r="Q224"/>
  <c r="M224"/>
  <c r="J224"/>
  <c r="K224" s="1"/>
  <c r="I224"/>
  <c r="J223"/>
  <c r="K223" s="1"/>
  <c r="I223"/>
  <c r="BA223"/>
  <c r="AS223"/>
  <c r="AK223"/>
  <c r="Q223"/>
  <c r="M223"/>
  <c r="AK222"/>
  <c r="Q222"/>
  <c r="M222"/>
  <c r="J222"/>
  <c r="K222" s="1"/>
  <c r="I222"/>
  <c r="AS221"/>
  <c r="AK221"/>
  <c r="Q221"/>
  <c r="M221"/>
  <c r="J221"/>
  <c r="K221" s="1"/>
  <c r="I221"/>
  <c r="AL1558"/>
  <c r="AH1558"/>
  <c r="AH398"/>
  <c r="AT2660"/>
  <c r="AP2660"/>
  <c r="AL2660"/>
  <c r="AH2660"/>
  <c r="N2660"/>
  <c r="J2660"/>
  <c r="K2660" s="1"/>
  <c r="AT2659"/>
  <c r="AR2659"/>
  <c r="AP2659"/>
  <c r="AN2659"/>
  <c r="AL2659"/>
  <c r="AJ2659"/>
  <c r="AH2659"/>
  <c r="AF2659"/>
  <c r="AD2659"/>
  <c r="AB2659"/>
  <c r="V2659"/>
  <c r="T2659"/>
  <c r="N2659"/>
  <c r="L2659"/>
  <c r="J2659"/>
  <c r="K2659" s="1"/>
  <c r="AT2658"/>
  <c r="AR2658"/>
  <c r="AP2658"/>
  <c r="AN2658"/>
  <c r="AL2658"/>
  <c r="AJ2658"/>
  <c r="AH2658"/>
  <c r="AF2658"/>
  <c r="AD2658"/>
  <c r="AB2658"/>
  <c r="V2658"/>
  <c r="T2658"/>
  <c r="N2658"/>
  <c r="L2658"/>
  <c r="AL746"/>
  <c r="AH746"/>
  <c r="N746"/>
  <c r="AL744"/>
  <c r="AH744"/>
  <c r="AD744"/>
  <c r="AB744"/>
  <c r="Z744"/>
  <c r="V744"/>
  <c r="T744"/>
  <c r="R744"/>
  <c r="I744"/>
  <c r="AL108"/>
  <c r="AH108"/>
  <c r="N108"/>
  <c r="M108"/>
  <c r="BO108" s="1"/>
  <c r="AI2602"/>
  <c r="N2602"/>
  <c r="N1906"/>
  <c r="BP1906" s="1"/>
  <c r="AL1037"/>
  <c r="AH1037"/>
  <c r="N1037"/>
  <c r="AL2776"/>
  <c r="O2312"/>
  <c r="BQ2312" s="1"/>
  <c r="N1848"/>
  <c r="N2544"/>
  <c r="N804"/>
  <c r="N1268"/>
  <c r="N1384"/>
  <c r="AH2544"/>
  <c r="AH804"/>
  <c r="AH1268"/>
  <c r="AH1384"/>
  <c r="AL1848"/>
  <c r="AL804"/>
  <c r="AL1384"/>
  <c r="AO2312"/>
  <c r="O2311"/>
  <c r="BQ2311" s="1"/>
  <c r="AA155"/>
  <c r="AP2485"/>
  <c r="AH2485"/>
  <c r="X2485"/>
  <c r="BN2485" s="1"/>
  <c r="N2485"/>
  <c r="AP2484"/>
  <c r="AH2484"/>
  <c r="X2484"/>
  <c r="BN2484" s="1"/>
  <c r="N2484"/>
  <c r="AP2483"/>
  <c r="AH2483"/>
  <c r="X2483"/>
  <c r="BN2483" s="1"/>
  <c r="N2483"/>
  <c r="AT1962"/>
  <c r="AP1962"/>
  <c r="X1962"/>
  <c r="BN1962" s="1"/>
  <c r="N1962"/>
  <c r="AT1961"/>
  <c r="AP1960"/>
  <c r="AP1961"/>
  <c r="X1961"/>
  <c r="BN1961" s="1"/>
  <c r="N1961"/>
  <c r="AL745"/>
  <c r="AH745"/>
  <c r="AD745"/>
  <c r="AB745"/>
  <c r="Z745"/>
  <c r="N745"/>
  <c r="AL743"/>
  <c r="V745"/>
  <c r="T745"/>
  <c r="R745"/>
  <c r="AD743"/>
  <c r="AB743"/>
  <c r="Z743"/>
  <c r="V743"/>
  <c r="T743"/>
  <c r="R743"/>
  <c r="AZ687"/>
  <c r="AT687"/>
  <c r="AP687"/>
  <c r="N687"/>
  <c r="L687"/>
  <c r="BN687" s="1"/>
  <c r="AZ686"/>
  <c r="AT686"/>
  <c r="AP686"/>
  <c r="N686"/>
  <c r="L686"/>
  <c r="BN686" s="1"/>
  <c r="AP2021"/>
  <c r="X2021"/>
  <c r="BN2021" s="1"/>
  <c r="X2020"/>
  <c r="BN2020" s="1"/>
  <c r="N2021"/>
  <c r="N2020"/>
  <c r="BP2020" s="1"/>
  <c r="L2426"/>
  <c r="AM2425"/>
  <c r="AK2425"/>
  <c r="Y2425"/>
  <c r="Q2425"/>
  <c r="O2425"/>
  <c r="BQ2425" s="1"/>
  <c r="M2425"/>
  <c r="J2425"/>
  <c r="K2425" s="1"/>
  <c r="AL1499"/>
  <c r="AJ1499"/>
  <c r="Z1499"/>
  <c r="X1499"/>
  <c r="R1499"/>
  <c r="P1499"/>
  <c r="N1499"/>
  <c r="L1499"/>
  <c r="AT1498"/>
  <c r="AL1498"/>
  <c r="Z1498"/>
  <c r="X1498"/>
  <c r="R1498"/>
  <c r="P1498"/>
  <c r="N1498"/>
  <c r="AL1497"/>
  <c r="Z1497"/>
  <c r="X1497"/>
  <c r="R1497"/>
  <c r="P1497"/>
  <c r="M2"/>
  <c r="O2"/>
  <c r="Q2"/>
  <c r="Y2"/>
  <c r="AG2"/>
  <c r="AI2"/>
  <c r="AK2"/>
  <c r="AM2"/>
  <c r="AO2"/>
  <c r="AQ2"/>
  <c r="AS2"/>
  <c r="AU2"/>
  <c r="AW2"/>
  <c r="AY2"/>
  <c r="BA2"/>
  <c r="BC2"/>
  <c r="BE2"/>
  <c r="BG2"/>
  <c r="M3"/>
  <c r="O3"/>
  <c r="Q3"/>
  <c r="Y3"/>
  <c r="AG3"/>
  <c r="AI3"/>
  <c r="AK3"/>
  <c r="AM3"/>
  <c r="AO3"/>
  <c r="AQ3"/>
  <c r="AS3"/>
  <c r="AU3"/>
  <c r="AW3"/>
  <c r="AY3"/>
  <c r="BA3"/>
  <c r="BC3"/>
  <c r="BE3"/>
  <c r="BG3"/>
  <c r="M4"/>
  <c r="O4"/>
  <c r="Q4"/>
  <c r="Y4"/>
  <c r="AG4"/>
  <c r="AI4"/>
  <c r="AK4"/>
  <c r="AM4"/>
  <c r="AO4"/>
  <c r="AQ4"/>
  <c r="AS4"/>
  <c r="AU4"/>
  <c r="AW4"/>
  <c r="AY4"/>
  <c r="BA4"/>
  <c r="BC4"/>
  <c r="BE4"/>
  <c r="BG4"/>
  <c r="M5"/>
  <c r="O5"/>
  <c r="Q5"/>
  <c r="Y5"/>
  <c r="AG5"/>
  <c r="AI5"/>
  <c r="AK5"/>
  <c r="AM5"/>
  <c r="AO5"/>
  <c r="AQ5"/>
  <c r="AS5"/>
  <c r="AU5"/>
  <c r="AW5"/>
  <c r="AY5"/>
  <c r="BA5"/>
  <c r="BC5"/>
  <c r="BE5"/>
  <c r="BG5"/>
  <c r="M6"/>
  <c r="O6"/>
  <c r="Q6"/>
  <c r="Y6"/>
  <c r="AG6"/>
  <c r="AI6"/>
  <c r="AK6"/>
  <c r="AM6"/>
  <c r="AO6"/>
  <c r="AQ6"/>
  <c r="AS6"/>
  <c r="AU6"/>
  <c r="AW6"/>
  <c r="AY6"/>
  <c r="BA6"/>
  <c r="BC6"/>
  <c r="BE6"/>
  <c r="BG6"/>
  <c r="M7"/>
  <c r="O7"/>
  <c r="Q7"/>
  <c r="Y7"/>
  <c r="AG7"/>
  <c r="AI7"/>
  <c r="AK7"/>
  <c r="AM7"/>
  <c r="AO7"/>
  <c r="AQ7"/>
  <c r="AS7"/>
  <c r="AU7"/>
  <c r="AW7"/>
  <c r="AY7"/>
  <c r="BA7"/>
  <c r="BC7"/>
  <c r="BE7"/>
  <c r="BG7"/>
  <c r="M8"/>
  <c r="O8"/>
  <c r="Q8"/>
  <c r="Y8"/>
  <c r="AG8"/>
  <c r="AI8"/>
  <c r="AK8"/>
  <c r="AM8"/>
  <c r="AO8"/>
  <c r="AQ8"/>
  <c r="AS8"/>
  <c r="AU8"/>
  <c r="AW8"/>
  <c r="AY8"/>
  <c r="BA8"/>
  <c r="BC8"/>
  <c r="BE8"/>
  <c r="BG8"/>
  <c r="M9"/>
  <c r="O9"/>
  <c r="Q9"/>
  <c r="Y9"/>
  <c r="AG9"/>
  <c r="AI9"/>
  <c r="AK9"/>
  <c r="AM9"/>
  <c r="AO9"/>
  <c r="AQ9"/>
  <c r="AS9"/>
  <c r="AU9"/>
  <c r="AW9"/>
  <c r="AY9"/>
  <c r="BA9"/>
  <c r="BC9"/>
  <c r="BE9"/>
  <c r="BG9"/>
  <c r="M10"/>
  <c r="O10"/>
  <c r="Q10"/>
  <c r="Y10"/>
  <c r="AG10"/>
  <c r="AI10"/>
  <c r="AK10"/>
  <c r="AM10"/>
  <c r="AO10"/>
  <c r="AQ10"/>
  <c r="AS10"/>
  <c r="AU10"/>
  <c r="AW10"/>
  <c r="AY10"/>
  <c r="BA10"/>
  <c r="BC10"/>
  <c r="BE10"/>
  <c r="BG10"/>
  <c r="M11"/>
  <c r="O11"/>
  <c r="Q11"/>
  <c r="Y11"/>
  <c r="AG11"/>
  <c r="AI11"/>
  <c r="AK11"/>
  <c r="AM11"/>
  <c r="AO11"/>
  <c r="AQ11"/>
  <c r="AS11"/>
  <c r="AU11"/>
  <c r="AW11"/>
  <c r="AY11"/>
  <c r="BA11"/>
  <c r="BC11"/>
  <c r="BE11"/>
  <c r="BG11"/>
  <c r="M12"/>
  <c r="O12"/>
  <c r="Q12"/>
  <c r="Y12"/>
  <c r="AG12"/>
  <c r="AI12"/>
  <c r="AK12"/>
  <c r="AM12"/>
  <c r="AO12"/>
  <c r="AQ12"/>
  <c r="AS12"/>
  <c r="AU12"/>
  <c r="AW12"/>
  <c r="AY12"/>
  <c r="BA12"/>
  <c r="BC12"/>
  <c r="BE12"/>
  <c r="BG12"/>
  <c r="M13"/>
  <c r="O13"/>
  <c r="Q13"/>
  <c r="Y13"/>
  <c r="AG13"/>
  <c r="AI13"/>
  <c r="AK13"/>
  <c r="AM13"/>
  <c r="AO13"/>
  <c r="AQ13"/>
  <c r="AS13"/>
  <c r="AU13"/>
  <c r="AW13"/>
  <c r="AY13"/>
  <c r="BA13"/>
  <c r="BC13"/>
  <c r="BE13"/>
  <c r="BG13"/>
  <c r="M14"/>
  <c r="O14"/>
  <c r="Q14"/>
  <c r="Y14"/>
  <c r="AG14"/>
  <c r="AI14"/>
  <c r="AK14"/>
  <c r="AM14"/>
  <c r="AO14"/>
  <c r="AQ14"/>
  <c r="AS14"/>
  <c r="AU14"/>
  <c r="AW14"/>
  <c r="AY14"/>
  <c r="BA14"/>
  <c r="BC14"/>
  <c r="BE14"/>
  <c r="BG14"/>
  <c r="M15"/>
  <c r="O15"/>
  <c r="Q15"/>
  <c r="Y15"/>
  <c r="AG15"/>
  <c r="AI15"/>
  <c r="AK15"/>
  <c r="AM15"/>
  <c r="AO15"/>
  <c r="AQ15"/>
  <c r="AS15"/>
  <c r="AU15"/>
  <c r="AW15"/>
  <c r="AY15"/>
  <c r="BA15"/>
  <c r="BC15"/>
  <c r="BE15"/>
  <c r="BG15"/>
  <c r="M16"/>
  <c r="O16"/>
  <c r="Q16"/>
  <c r="Y16"/>
  <c r="AG16"/>
  <c r="AI16"/>
  <c r="AK16"/>
  <c r="AM16"/>
  <c r="AO16"/>
  <c r="AQ16"/>
  <c r="AS16"/>
  <c r="AU16"/>
  <c r="AW16"/>
  <c r="AY16"/>
  <c r="BA16"/>
  <c r="BC16"/>
  <c r="BE16"/>
  <c r="BG16"/>
  <c r="M17"/>
  <c r="O17"/>
  <c r="Q17"/>
  <c r="Y17"/>
  <c r="AG17"/>
  <c r="AI17"/>
  <c r="AK17"/>
  <c r="AM17"/>
  <c r="AO17"/>
  <c r="AQ17"/>
  <c r="AS17"/>
  <c r="AU17"/>
  <c r="AW17"/>
  <c r="AY17"/>
  <c r="BA17"/>
  <c r="BC17"/>
  <c r="BE17"/>
  <c r="BG17"/>
  <c r="M18"/>
  <c r="O18"/>
  <c r="Q18"/>
  <c r="Y18"/>
  <c r="AG18"/>
  <c r="AI18"/>
  <c r="AK18"/>
  <c r="AM18"/>
  <c r="AO18"/>
  <c r="AQ18"/>
  <c r="AS18"/>
  <c r="AU18"/>
  <c r="AW18"/>
  <c r="AY18"/>
  <c r="BA18"/>
  <c r="BC18"/>
  <c r="BE18"/>
  <c r="BG18"/>
  <c r="M19"/>
  <c r="O19"/>
  <c r="Q19"/>
  <c r="Y19"/>
  <c r="AG19"/>
  <c r="AI19"/>
  <c r="AK19"/>
  <c r="AM19"/>
  <c r="AO19"/>
  <c r="AQ19"/>
  <c r="AS19"/>
  <c r="AU19"/>
  <c r="AW19"/>
  <c r="AY19"/>
  <c r="BA19"/>
  <c r="BC19"/>
  <c r="BE19"/>
  <c r="BG19"/>
  <c r="M20"/>
  <c r="O20"/>
  <c r="Q20"/>
  <c r="Y20"/>
  <c r="AG20"/>
  <c r="AI20"/>
  <c r="AK20"/>
  <c r="AM20"/>
  <c r="AO20"/>
  <c r="AQ20"/>
  <c r="AS20"/>
  <c r="AU20"/>
  <c r="AW20"/>
  <c r="AY20"/>
  <c r="BA20"/>
  <c r="BC20"/>
  <c r="BE20"/>
  <c r="BG20"/>
  <c r="M21"/>
  <c r="O21"/>
  <c r="Q21"/>
  <c r="Y21"/>
  <c r="AG21"/>
  <c r="AI21"/>
  <c r="AK21"/>
  <c r="AM21"/>
  <c r="AO21"/>
  <c r="AQ21"/>
  <c r="AS21"/>
  <c r="AU21"/>
  <c r="AW21"/>
  <c r="AY21"/>
  <c r="BA21"/>
  <c r="BC21"/>
  <c r="BE21"/>
  <c r="BG21"/>
  <c r="M22"/>
  <c r="O22"/>
  <c r="Q22"/>
  <c r="Y22"/>
  <c r="AG22"/>
  <c r="AI22"/>
  <c r="AK22"/>
  <c r="AM22"/>
  <c r="AO22"/>
  <c r="AQ22"/>
  <c r="AS22"/>
  <c r="AU22"/>
  <c r="AW22"/>
  <c r="AY22"/>
  <c r="BA22"/>
  <c r="BC22"/>
  <c r="BE22"/>
  <c r="BG22"/>
  <c r="M23"/>
  <c r="O23"/>
  <c r="Q23"/>
  <c r="Y23"/>
  <c r="AG23"/>
  <c r="AI23"/>
  <c r="AK23"/>
  <c r="AM23"/>
  <c r="AO23"/>
  <c r="AQ23"/>
  <c r="AS23"/>
  <c r="AU23"/>
  <c r="AW23"/>
  <c r="AY23"/>
  <c r="BA23"/>
  <c r="BC23"/>
  <c r="BE23"/>
  <c r="BG23"/>
  <c r="M24"/>
  <c r="O24"/>
  <c r="Q24"/>
  <c r="Y24"/>
  <c r="AG24"/>
  <c r="AI24"/>
  <c r="AK24"/>
  <c r="AM24"/>
  <c r="AO24"/>
  <c r="AQ24"/>
  <c r="AS24"/>
  <c r="AU24"/>
  <c r="AW24"/>
  <c r="AY24"/>
  <c r="BA24"/>
  <c r="BC24"/>
  <c r="BE24"/>
  <c r="BG24"/>
  <c r="M25"/>
  <c r="O25"/>
  <c r="Q25"/>
  <c r="Y25"/>
  <c r="AG25"/>
  <c r="AI25"/>
  <c r="AK25"/>
  <c r="AM25"/>
  <c r="AO25"/>
  <c r="AQ25"/>
  <c r="AS25"/>
  <c r="AU25"/>
  <c r="AW25"/>
  <c r="AY25"/>
  <c r="BA25"/>
  <c r="BC25"/>
  <c r="BE25"/>
  <c r="BG25"/>
  <c r="M26"/>
  <c r="O26"/>
  <c r="Q26"/>
  <c r="Y26"/>
  <c r="AG26"/>
  <c r="AI26"/>
  <c r="AK26"/>
  <c r="AM26"/>
  <c r="AO26"/>
  <c r="AQ26"/>
  <c r="AS26"/>
  <c r="AU26"/>
  <c r="AW26"/>
  <c r="AY26"/>
  <c r="BA26"/>
  <c r="BC26"/>
  <c r="BE26"/>
  <c r="BG26"/>
  <c r="M27"/>
  <c r="O27"/>
  <c r="Q27"/>
  <c r="Y27"/>
  <c r="AG27"/>
  <c r="AI27"/>
  <c r="AK27"/>
  <c r="AM27"/>
  <c r="AO27"/>
  <c r="AQ27"/>
  <c r="AS27"/>
  <c r="AU27"/>
  <c r="AW27"/>
  <c r="AY27"/>
  <c r="BA27"/>
  <c r="BC27"/>
  <c r="BE27"/>
  <c r="BG27"/>
  <c r="M28"/>
  <c r="O28"/>
  <c r="Q28"/>
  <c r="Y28"/>
  <c r="AG28"/>
  <c r="AI28"/>
  <c r="AK28"/>
  <c r="AM28"/>
  <c r="AO28"/>
  <c r="AQ28"/>
  <c r="AS28"/>
  <c r="AU28"/>
  <c r="AW28"/>
  <c r="AY28"/>
  <c r="BA28"/>
  <c r="BC28"/>
  <c r="BE28"/>
  <c r="BG28"/>
  <c r="M29"/>
  <c r="O29"/>
  <c r="Q29"/>
  <c r="Y29"/>
  <c r="AG29"/>
  <c r="AI29"/>
  <c r="AK29"/>
  <c r="AM29"/>
  <c r="AO29"/>
  <c r="AQ29"/>
  <c r="AS29"/>
  <c r="AU29"/>
  <c r="AW29"/>
  <c r="AY29"/>
  <c r="BA29"/>
  <c r="BC29"/>
  <c r="BE29"/>
  <c r="BG29"/>
  <c r="M30"/>
  <c r="O30"/>
  <c r="Q30"/>
  <c r="Y30"/>
  <c r="AG30"/>
  <c r="AI30"/>
  <c r="AK30"/>
  <c r="AM30"/>
  <c r="AO30"/>
  <c r="AQ30"/>
  <c r="AS30"/>
  <c r="AU30"/>
  <c r="AW30"/>
  <c r="AY30"/>
  <c r="BA30"/>
  <c r="BC30"/>
  <c r="BE30"/>
  <c r="BG30"/>
  <c r="M31"/>
  <c r="O31"/>
  <c r="Q31"/>
  <c r="Y31"/>
  <c r="AG31"/>
  <c r="AI31"/>
  <c r="AK31"/>
  <c r="AM31"/>
  <c r="AO31"/>
  <c r="AQ31"/>
  <c r="AS31"/>
  <c r="AU31"/>
  <c r="AW31"/>
  <c r="AY31"/>
  <c r="BA31"/>
  <c r="BC31"/>
  <c r="BE31"/>
  <c r="BG31"/>
  <c r="M32"/>
  <c r="O32"/>
  <c r="Q32"/>
  <c r="Y32"/>
  <c r="AG32"/>
  <c r="AI32"/>
  <c r="AK32"/>
  <c r="AM32"/>
  <c r="AO32"/>
  <c r="AQ32"/>
  <c r="AS32"/>
  <c r="AU32"/>
  <c r="AW32"/>
  <c r="AY32"/>
  <c r="BA32"/>
  <c r="BC32"/>
  <c r="BE32"/>
  <c r="BG32"/>
  <c r="M33"/>
  <c r="O33"/>
  <c r="Q33"/>
  <c r="Y33"/>
  <c r="AG33"/>
  <c r="AI33"/>
  <c r="AK33"/>
  <c r="AM33"/>
  <c r="AO33"/>
  <c r="AQ33"/>
  <c r="AS33"/>
  <c r="AU33"/>
  <c r="AW33"/>
  <c r="AY33"/>
  <c r="BA33"/>
  <c r="BC33"/>
  <c r="BE33"/>
  <c r="BG33"/>
  <c r="M34"/>
  <c r="O34"/>
  <c r="Q34"/>
  <c r="Y34"/>
  <c r="AG34"/>
  <c r="AI34"/>
  <c r="AK34"/>
  <c r="AM34"/>
  <c r="AO34"/>
  <c r="AQ34"/>
  <c r="AS34"/>
  <c r="AU34"/>
  <c r="AW34"/>
  <c r="AY34"/>
  <c r="BA34"/>
  <c r="BC34"/>
  <c r="BE34"/>
  <c r="BG34"/>
  <c r="M35"/>
  <c r="O35"/>
  <c r="Q35"/>
  <c r="Y35"/>
  <c r="AG35"/>
  <c r="AI35"/>
  <c r="AK35"/>
  <c r="AM35"/>
  <c r="AO35"/>
  <c r="AQ35"/>
  <c r="AS35"/>
  <c r="AU35"/>
  <c r="AW35"/>
  <c r="AY35"/>
  <c r="BA35"/>
  <c r="BC35"/>
  <c r="BE35"/>
  <c r="BG35"/>
  <c r="M36"/>
  <c r="O36"/>
  <c r="Q36"/>
  <c r="Y36"/>
  <c r="AG36"/>
  <c r="AI36"/>
  <c r="AK36"/>
  <c r="AM36"/>
  <c r="AO36"/>
  <c r="AQ36"/>
  <c r="AS36"/>
  <c r="AU36"/>
  <c r="AW36"/>
  <c r="AY36"/>
  <c r="BA36"/>
  <c r="BC36"/>
  <c r="BE36"/>
  <c r="BG36"/>
  <c r="M37"/>
  <c r="O37"/>
  <c r="Q37"/>
  <c r="Y37"/>
  <c r="AG37"/>
  <c r="AI37"/>
  <c r="AK37"/>
  <c r="AM37"/>
  <c r="AO37"/>
  <c r="AQ37"/>
  <c r="AS37"/>
  <c r="AU37"/>
  <c r="AW37"/>
  <c r="AY37"/>
  <c r="BA37"/>
  <c r="BC37"/>
  <c r="BE37"/>
  <c r="BG37"/>
  <c r="M38"/>
  <c r="O38"/>
  <c r="Q38"/>
  <c r="Y38"/>
  <c r="AG38"/>
  <c r="AI38"/>
  <c r="AK38"/>
  <c r="AM38"/>
  <c r="AO38"/>
  <c r="AQ38"/>
  <c r="AS38"/>
  <c r="AU38"/>
  <c r="AW38"/>
  <c r="AY38"/>
  <c r="BA38"/>
  <c r="BC38"/>
  <c r="BE38"/>
  <c r="BG38"/>
  <c r="M39"/>
  <c r="O39"/>
  <c r="Q39"/>
  <c r="Y39"/>
  <c r="AG39"/>
  <c r="AI39"/>
  <c r="AK39"/>
  <c r="AM39"/>
  <c r="AO39"/>
  <c r="AQ39"/>
  <c r="AS39"/>
  <c r="AU39"/>
  <c r="AW39"/>
  <c r="AY39"/>
  <c r="BA39"/>
  <c r="BC39"/>
  <c r="BE39"/>
  <c r="BG39"/>
  <c r="M40"/>
  <c r="O40"/>
  <c r="Y40"/>
  <c r="AG40"/>
  <c r="AI40"/>
  <c r="AK40"/>
  <c r="AM40"/>
  <c r="AO40"/>
  <c r="AQ40"/>
  <c r="AS40"/>
  <c r="AU40"/>
  <c r="AW40"/>
  <c r="AY40"/>
  <c r="BA40"/>
  <c r="BC40"/>
  <c r="BE40"/>
  <c r="BG40"/>
  <c r="L41"/>
  <c r="O41"/>
  <c r="Q41"/>
  <c r="Y41"/>
  <c r="AG41"/>
  <c r="AI41"/>
  <c r="AK41"/>
  <c r="AM41"/>
  <c r="AO41"/>
  <c r="AQ41"/>
  <c r="AS41"/>
  <c r="AU41"/>
  <c r="AW41"/>
  <c r="AY41"/>
  <c r="BA41"/>
  <c r="BC41"/>
  <c r="BE41"/>
  <c r="BG41"/>
  <c r="M42"/>
  <c r="O42"/>
  <c r="Q42"/>
  <c r="Y42"/>
  <c r="AG42"/>
  <c r="AI42"/>
  <c r="AK42"/>
  <c r="AM42"/>
  <c r="AO42"/>
  <c r="AQ42"/>
  <c r="AS42"/>
  <c r="AU42"/>
  <c r="AW42"/>
  <c r="AY42"/>
  <c r="BA42"/>
  <c r="BC42"/>
  <c r="BE42"/>
  <c r="BG42"/>
  <c r="M43"/>
  <c r="O43"/>
  <c r="P43"/>
  <c r="Y43"/>
  <c r="AG43"/>
  <c r="AI43"/>
  <c r="AK43"/>
  <c r="AM43"/>
  <c r="AO43"/>
  <c r="AQ43"/>
  <c r="AS43"/>
  <c r="AU43"/>
  <c r="AW43"/>
  <c r="AY43"/>
  <c r="BA43"/>
  <c r="BC43"/>
  <c r="BE43"/>
  <c r="BG43"/>
  <c r="L44"/>
  <c r="N44"/>
  <c r="P44"/>
  <c r="Q44" s="1"/>
  <c r="Y44"/>
  <c r="AG44"/>
  <c r="AI44"/>
  <c r="AK44"/>
  <c r="AM44"/>
  <c r="AO44"/>
  <c r="AQ44"/>
  <c r="AS44"/>
  <c r="AU44"/>
  <c r="AW44"/>
  <c r="AY44"/>
  <c r="BA44"/>
  <c r="BC44"/>
  <c r="BE44"/>
  <c r="BG44"/>
  <c r="L45"/>
  <c r="N45"/>
  <c r="R45"/>
  <c r="T45"/>
  <c r="V45"/>
  <c r="X45"/>
  <c r="AH45"/>
  <c r="AK45"/>
  <c r="BO45" s="1"/>
  <c r="AT45"/>
  <c r="L46"/>
  <c r="N46"/>
  <c r="R46"/>
  <c r="T46"/>
  <c r="V46"/>
  <c r="X46"/>
  <c r="AH46"/>
  <c r="AK46"/>
  <c r="BO46" s="1"/>
  <c r="AT46"/>
  <c r="G47"/>
  <c r="K47" s="1"/>
  <c r="L47"/>
  <c r="N47"/>
  <c r="R47"/>
  <c r="T47"/>
  <c r="V47"/>
  <c r="X47"/>
  <c r="AH47"/>
  <c r="AJ47"/>
  <c r="L48"/>
  <c r="N48"/>
  <c r="R48"/>
  <c r="T48"/>
  <c r="V48"/>
  <c r="X48"/>
  <c r="AH48"/>
  <c r="AJ48"/>
  <c r="L49"/>
  <c r="N49"/>
  <c r="R49"/>
  <c r="T49"/>
  <c r="V49"/>
  <c r="X49"/>
  <c r="AH49"/>
  <c r="AJ49"/>
  <c r="AR49"/>
  <c r="AT49"/>
  <c r="M60"/>
  <c r="O60"/>
  <c r="Q60"/>
  <c r="Y60"/>
  <c r="AG60"/>
  <c r="AI60"/>
  <c r="AK60"/>
  <c r="AM60"/>
  <c r="AO60"/>
  <c r="AQ60"/>
  <c r="AS60"/>
  <c r="AU60"/>
  <c r="AW60"/>
  <c r="AY60"/>
  <c r="BA60"/>
  <c r="BC60"/>
  <c r="BE60"/>
  <c r="BG60"/>
  <c r="M61"/>
  <c r="O61"/>
  <c r="Q61"/>
  <c r="Y61"/>
  <c r="AG61"/>
  <c r="AI61"/>
  <c r="AK61"/>
  <c r="AM61"/>
  <c r="AO61"/>
  <c r="AQ61"/>
  <c r="AS61"/>
  <c r="AU61"/>
  <c r="AW61"/>
  <c r="AY61"/>
  <c r="BA61"/>
  <c r="BC61"/>
  <c r="BE61"/>
  <c r="BG61"/>
  <c r="M62"/>
  <c r="O62"/>
  <c r="Q62"/>
  <c r="Y62"/>
  <c r="AG62"/>
  <c r="AI62"/>
  <c r="AK62"/>
  <c r="AM62"/>
  <c r="AO62"/>
  <c r="AQ62"/>
  <c r="AS62"/>
  <c r="AU62"/>
  <c r="AW62"/>
  <c r="AY62"/>
  <c r="BA62"/>
  <c r="BC62"/>
  <c r="BE62"/>
  <c r="BG62"/>
  <c r="M63"/>
  <c r="O63"/>
  <c r="Q63"/>
  <c r="Y63"/>
  <c r="AG63"/>
  <c r="AI63"/>
  <c r="AK63"/>
  <c r="AM63"/>
  <c r="AO63"/>
  <c r="AQ63"/>
  <c r="AS63"/>
  <c r="AU63"/>
  <c r="AW63"/>
  <c r="AY63"/>
  <c r="BA63"/>
  <c r="BC63"/>
  <c r="BE63"/>
  <c r="BG63"/>
  <c r="M64"/>
  <c r="O64"/>
  <c r="Q64"/>
  <c r="Y64"/>
  <c r="AG64"/>
  <c r="AI64"/>
  <c r="AK64"/>
  <c r="AM64"/>
  <c r="AO64"/>
  <c r="AQ64"/>
  <c r="AS64"/>
  <c r="AU64"/>
  <c r="AW64"/>
  <c r="AY64"/>
  <c r="BA64"/>
  <c r="BC64"/>
  <c r="BE64"/>
  <c r="BG64"/>
  <c r="M65"/>
  <c r="O65"/>
  <c r="Q65"/>
  <c r="Y65"/>
  <c r="AG65"/>
  <c r="AI65"/>
  <c r="AK65"/>
  <c r="AM65"/>
  <c r="AO65"/>
  <c r="AQ65"/>
  <c r="AS65"/>
  <c r="AU65"/>
  <c r="AW65"/>
  <c r="AY65"/>
  <c r="BA65"/>
  <c r="BC65"/>
  <c r="BE65"/>
  <c r="BG65"/>
  <c r="M66"/>
  <c r="O66"/>
  <c r="Q66"/>
  <c r="Y66"/>
  <c r="AG66"/>
  <c r="AI66"/>
  <c r="AK66"/>
  <c r="AM66"/>
  <c r="AO66"/>
  <c r="AQ66"/>
  <c r="AS66"/>
  <c r="AU66"/>
  <c r="AW66"/>
  <c r="AY66"/>
  <c r="BA66"/>
  <c r="BC66"/>
  <c r="BE66"/>
  <c r="BG66"/>
  <c r="M67"/>
  <c r="O67"/>
  <c r="Q67"/>
  <c r="Y67"/>
  <c r="AG67"/>
  <c r="AI67"/>
  <c r="AK67"/>
  <c r="AM67"/>
  <c r="AO67"/>
  <c r="AQ67"/>
  <c r="AS67"/>
  <c r="AU67"/>
  <c r="AW67"/>
  <c r="AY67"/>
  <c r="BA67"/>
  <c r="BC67"/>
  <c r="BE67"/>
  <c r="BG67"/>
  <c r="M68"/>
  <c r="O68"/>
  <c r="Q68"/>
  <c r="Y68"/>
  <c r="AG68"/>
  <c r="AI68"/>
  <c r="AK68"/>
  <c r="AM68"/>
  <c r="AO68"/>
  <c r="AQ68"/>
  <c r="AS68"/>
  <c r="AU68"/>
  <c r="AW68"/>
  <c r="AY68"/>
  <c r="BA68"/>
  <c r="BC68"/>
  <c r="BE68"/>
  <c r="BG68"/>
  <c r="M69"/>
  <c r="O69"/>
  <c r="Q69"/>
  <c r="Y69"/>
  <c r="AG69"/>
  <c r="AI69"/>
  <c r="AK69"/>
  <c r="AM69"/>
  <c r="AO69"/>
  <c r="AQ69"/>
  <c r="AS69"/>
  <c r="AU69"/>
  <c r="AW69"/>
  <c r="AY69"/>
  <c r="BA69"/>
  <c r="BC69"/>
  <c r="BE69"/>
  <c r="BG69"/>
  <c r="M70"/>
  <c r="O70"/>
  <c r="Q70"/>
  <c r="Y70"/>
  <c r="AG70"/>
  <c r="AI70"/>
  <c r="AK70"/>
  <c r="AM70"/>
  <c r="AO70"/>
  <c r="AQ70"/>
  <c r="AS70"/>
  <c r="AU70"/>
  <c r="AW70"/>
  <c r="AY70"/>
  <c r="BA70"/>
  <c r="BC70"/>
  <c r="BE70"/>
  <c r="BG70"/>
  <c r="M71"/>
  <c r="O71"/>
  <c r="Q71"/>
  <c r="Y71"/>
  <c r="AG71"/>
  <c r="AI71"/>
  <c r="AK71"/>
  <c r="AM71"/>
  <c r="AO71"/>
  <c r="AQ71"/>
  <c r="AS71"/>
  <c r="AU71"/>
  <c r="AW71"/>
  <c r="AY71"/>
  <c r="BA71"/>
  <c r="BC71"/>
  <c r="BE71"/>
  <c r="BG71"/>
  <c r="M72"/>
  <c r="O72"/>
  <c r="Q72"/>
  <c r="Y72"/>
  <c r="AG72"/>
  <c r="AI72"/>
  <c r="AK72"/>
  <c r="AM72"/>
  <c r="AO72"/>
  <c r="AQ72"/>
  <c r="AS72"/>
  <c r="AU72"/>
  <c r="AW72"/>
  <c r="AY72"/>
  <c r="BA72"/>
  <c r="BC72"/>
  <c r="BE72"/>
  <c r="BG72"/>
  <c r="M73"/>
  <c r="O73"/>
  <c r="Q73"/>
  <c r="Y73"/>
  <c r="AG73"/>
  <c r="AI73"/>
  <c r="AK73"/>
  <c r="AM73"/>
  <c r="AO73"/>
  <c r="AQ73"/>
  <c r="AS73"/>
  <c r="AU73"/>
  <c r="AW73"/>
  <c r="AY73"/>
  <c r="BA73"/>
  <c r="BC73"/>
  <c r="BE73"/>
  <c r="BG73"/>
  <c r="M74"/>
  <c r="O74"/>
  <c r="Q74"/>
  <c r="Y74"/>
  <c r="AG74"/>
  <c r="AI74"/>
  <c r="AK74"/>
  <c r="AM74"/>
  <c r="AO74"/>
  <c r="AQ74"/>
  <c r="AS74"/>
  <c r="AU74"/>
  <c r="AW74"/>
  <c r="AY74"/>
  <c r="BA74"/>
  <c r="BC74"/>
  <c r="BE74"/>
  <c r="BG74"/>
  <c r="M75"/>
  <c r="O75"/>
  <c r="Q75"/>
  <c r="Y75"/>
  <c r="AG75"/>
  <c r="AI75"/>
  <c r="AK75"/>
  <c r="AM75"/>
  <c r="AO75"/>
  <c r="AQ75"/>
  <c r="AS75"/>
  <c r="AU75"/>
  <c r="AW75"/>
  <c r="AY75"/>
  <c r="BA75"/>
  <c r="BC75"/>
  <c r="BE75"/>
  <c r="BG75"/>
  <c r="M76"/>
  <c r="O76"/>
  <c r="Q76"/>
  <c r="Y76"/>
  <c r="AG76"/>
  <c r="AI76"/>
  <c r="AK76"/>
  <c r="AM76"/>
  <c r="AO76"/>
  <c r="AQ76"/>
  <c r="AS76"/>
  <c r="AU76"/>
  <c r="AW76"/>
  <c r="AY76"/>
  <c r="BA76"/>
  <c r="BC76"/>
  <c r="BE76"/>
  <c r="BG76"/>
  <c r="M77"/>
  <c r="O77"/>
  <c r="Q77"/>
  <c r="Y77"/>
  <c r="AG77"/>
  <c r="AI77"/>
  <c r="AK77"/>
  <c r="AM77"/>
  <c r="AO77"/>
  <c r="AQ77"/>
  <c r="AS77"/>
  <c r="AU77"/>
  <c r="AW77"/>
  <c r="AY77"/>
  <c r="BA77"/>
  <c r="BC77"/>
  <c r="BE77"/>
  <c r="BG77"/>
  <c r="M78"/>
  <c r="O78"/>
  <c r="Q78"/>
  <c r="Y78"/>
  <c r="AG78"/>
  <c r="AI78"/>
  <c r="AK78"/>
  <c r="AM78"/>
  <c r="AO78"/>
  <c r="AQ78"/>
  <c r="AS78"/>
  <c r="AU78"/>
  <c r="AW78"/>
  <c r="AY78"/>
  <c r="BA78"/>
  <c r="BC78"/>
  <c r="BE78"/>
  <c r="BG78"/>
  <c r="M79"/>
  <c r="O79"/>
  <c r="Q79"/>
  <c r="Y79"/>
  <c r="AG79"/>
  <c r="AI79"/>
  <c r="AK79"/>
  <c r="AM79"/>
  <c r="AO79"/>
  <c r="AQ79"/>
  <c r="AS79"/>
  <c r="AU79"/>
  <c r="AW79"/>
  <c r="AY79"/>
  <c r="BA79"/>
  <c r="BC79"/>
  <c r="BE79"/>
  <c r="BG79"/>
  <c r="M80"/>
  <c r="O80"/>
  <c r="Q80"/>
  <c r="Y80"/>
  <c r="AG80"/>
  <c r="AI80"/>
  <c r="AK80"/>
  <c r="AM80"/>
  <c r="AO80"/>
  <c r="AQ80"/>
  <c r="AS80"/>
  <c r="AU80"/>
  <c r="AW80"/>
  <c r="AY80"/>
  <c r="BA80"/>
  <c r="BC80"/>
  <c r="BE80"/>
  <c r="BG80"/>
  <c r="M81"/>
  <c r="O81"/>
  <c r="Q81"/>
  <c r="Y81"/>
  <c r="AG81"/>
  <c r="AI81"/>
  <c r="AK81"/>
  <c r="AM81"/>
  <c r="AO81"/>
  <c r="AQ81"/>
  <c r="AS81"/>
  <c r="AU81"/>
  <c r="AW81"/>
  <c r="AY81"/>
  <c r="BA81"/>
  <c r="BC81"/>
  <c r="BE81"/>
  <c r="BG81"/>
  <c r="M82"/>
  <c r="O82"/>
  <c r="Q82"/>
  <c r="Y82"/>
  <c r="AG82"/>
  <c r="AI82"/>
  <c r="AK82"/>
  <c r="AM82"/>
  <c r="AO82"/>
  <c r="AQ82"/>
  <c r="AS82"/>
  <c r="AU82"/>
  <c r="AW82"/>
  <c r="AY82"/>
  <c r="BA82"/>
  <c r="BC82"/>
  <c r="BE82"/>
  <c r="BG82"/>
  <c r="M83"/>
  <c r="O83"/>
  <c r="Q83"/>
  <c r="Y83"/>
  <c r="AG83"/>
  <c r="AI83"/>
  <c r="AK83"/>
  <c r="AM83"/>
  <c r="AO83"/>
  <c r="AQ83"/>
  <c r="AS83"/>
  <c r="AU83"/>
  <c r="AW83"/>
  <c r="AY83"/>
  <c r="BA83"/>
  <c r="BC83"/>
  <c r="BE83"/>
  <c r="BG83"/>
  <c r="M84"/>
  <c r="O84"/>
  <c r="Q84"/>
  <c r="Y84"/>
  <c r="AG84"/>
  <c r="AI84"/>
  <c r="AK84"/>
  <c r="AM84"/>
  <c r="AO84"/>
  <c r="AQ84"/>
  <c r="AS84"/>
  <c r="AU84"/>
  <c r="AW84"/>
  <c r="AY84"/>
  <c r="BA84"/>
  <c r="BC84"/>
  <c r="BE84"/>
  <c r="BG84"/>
  <c r="M85"/>
  <c r="O85"/>
  <c r="Q85"/>
  <c r="Y85"/>
  <c r="AG85"/>
  <c r="AI85"/>
  <c r="AK85"/>
  <c r="AM85"/>
  <c r="AO85"/>
  <c r="AQ85"/>
  <c r="AS85"/>
  <c r="AU85"/>
  <c r="AW85"/>
  <c r="AY85"/>
  <c r="BA85"/>
  <c r="BC85"/>
  <c r="BE85"/>
  <c r="BG85"/>
  <c r="M86"/>
  <c r="O86"/>
  <c r="Q86"/>
  <c r="Y86"/>
  <c r="AG86"/>
  <c r="AI86"/>
  <c r="AK86"/>
  <c r="AM86"/>
  <c r="AO86"/>
  <c r="AQ86"/>
  <c r="AS86"/>
  <c r="AU86"/>
  <c r="AW86"/>
  <c r="AY86"/>
  <c r="BA86"/>
  <c r="BC86"/>
  <c r="BE86"/>
  <c r="BG86"/>
  <c r="M87"/>
  <c r="O87"/>
  <c r="Q87"/>
  <c r="Y87"/>
  <c r="AG87"/>
  <c r="AI87"/>
  <c r="AK87"/>
  <c r="AM87"/>
  <c r="AO87"/>
  <c r="AQ87"/>
  <c r="AS87"/>
  <c r="AU87"/>
  <c r="AW87"/>
  <c r="AY87"/>
  <c r="BA87"/>
  <c r="BC87"/>
  <c r="BE87"/>
  <c r="BG87"/>
  <c r="M88"/>
  <c r="O88"/>
  <c r="Q88"/>
  <c r="Y88"/>
  <c r="AG88"/>
  <c r="AI88"/>
  <c r="AK88"/>
  <c r="AM88"/>
  <c r="AO88"/>
  <c r="AQ88"/>
  <c r="AS88"/>
  <c r="AU88"/>
  <c r="AW88"/>
  <c r="AY88"/>
  <c r="BA88"/>
  <c r="BC88"/>
  <c r="BE88"/>
  <c r="BG88"/>
  <c r="M89"/>
  <c r="O89"/>
  <c r="Q89"/>
  <c r="Y89"/>
  <c r="AG89"/>
  <c r="AI89"/>
  <c r="AK89"/>
  <c r="AM89"/>
  <c r="AO89"/>
  <c r="AQ89"/>
  <c r="AS89"/>
  <c r="AU89"/>
  <c r="AW89"/>
  <c r="AY89"/>
  <c r="BA89"/>
  <c r="BC89"/>
  <c r="BE89"/>
  <c r="BG89"/>
  <c r="M90"/>
  <c r="O90"/>
  <c r="Q90"/>
  <c r="Y90"/>
  <c r="AG90"/>
  <c r="AI90"/>
  <c r="AK90"/>
  <c r="AM90"/>
  <c r="AO90"/>
  <c r="AQ90"/>
  <c r="AS90"/>
  <c r="AU90"/>
  <c r="AW90"/>
  <c r="AY90"/>
  <c r="BA90"/>
  <c r="BC90"/>
  <c r="BE90"/>
  <c r="BG90"/>
  <c r="M91"/>
  <c r="O91"/>
  <c r="Q91"/>
  <c r="Y91"/>
  <c r="AG91"/>
  <c r="AI91"/>
  <c r="AK91"/>
  <c r="AM91"/>
  <c r="AO91"/>
  <c r="AQ91"/>
  <c r="AS91"/>
  <c r="AU91"/>
  <c r="AW91"/>
  <c r="AY91"/>
  <c r="BA91"/>
  <c r="BC91"/>
  <c r="BE91"/>
  <c r="BG91"/>
  <c r="M92"/>
  <c r="O92"/>
  <c r="Q92"/>
  <c r="Y92"/>
  <c r="AG92"/>
  <c r="AI92"/>
  <c r="AK92"/>
  <c r="AM92"/>
  <c r="AO92"/>
  <c r="AQ92"/>
  <c r="AS92"/>
  <c r="AU92"/>
  <c r="AW92"/>
  <c r="AY92"/>
  <c r="BA92"/>
  <c r="BC92"/>
  <c r="BE92"/>
  <c r="BG92"/>
  <c r="M93"/>
  <c r="O93"/>
  <c r="Q93"/>
  <c r="Y93"/>
  <c r="AG93"/>
  <c r="AI93"/>
  <c r="AK93"/>
  <c r="AM93"/>
  <c r="AO93"/>
  <c r="AQ93"/>
  <c r="AS93"/>
  <c r="AU93"/>
  <c r="AW93"/>
  <c r="AY93"/>
  <c r="BA93"/>
  <c r="BC93"/>
  <c r="BE93"/>
  <c r="BG93"/>
  <c r="M94"/>
  <c r="O94"/>
  <c r="Q94"/>
  <c r="Y94"/>
  <c r="AG94"/>
  <c r="AI94"/>
  <c r="AK94"/>
  <c r="AM94"/>
  <c r="AO94"/>
  <c r="AQ94"/>
  <c r="AS94"/>
  <c r="AU94"/>
  <c r="AW94"/>
  <c r="AY94"/>
  <c r="BA94"/>
  <c r="BC94"/>
  <c r="BE94"/>
  <c r="BG94"/>
  <c r="M95"/>
  <c r="O95"/>
  <c r="Q95"/>
  <c r="Y95"/>
  <c r="AG95"/>
  <c r="AI95"/>
  <c r="AK95"/>
  <c r="AM95"/>
  <c r="AO95"/>
  <c r="AQ95"/>
  <c r="AS95"/>
  <c r="AU95"/>
  <c r="AW95"/>
  <c r="AY95"/>
  <c r="BA95"/>
  <c r="BC95"/>
  <c r="BE95"/>
  <c r="BG95"/>
  <c r="M96"/>
  <c r="O96"/>
  <c r="Q96"/>
  <c r="Y96"/>
  <c r="AG96"/>
  <c r="AI96"/>
  <c r="AK96"/>
  <c r="AM96"/>
  <c r="AO96"/>
  <c r="AQ96"/>
  <c r="AS96"/>
  <c r="AU96"/>
  <c r="AW96"/>
  <c r="AY96"/>
  <c r="BA96"/>
  <c r="BC96"/>
  <c r="BE96"/>
  <c r="BG96"/>
  <c r="M97"/>
  <c r="O97"/>
  <c r="Q97"/>
  <c r="Y97"/>
  <c r="AG97"/>
  <c r="AI97"/>
  <c r="AK97"/>
  <c r="AM97"/>
  <c r="AO97"/>
  <c r="AQ97"/>
  <c r="AS97"/>
  <c r="AU97"/>
  <c r="AW97"/>
  <c r="AY97"/>
  <c r="BA97"/>
  <c r="BC97"/>
  <c r="BE97"/>
  <c r="BG97"/>
  <c r="M98"/>
  <c r="O98"/>
  <c r="Y98"/>
  <c r="AG98"/>
  <c r="AI98"/>
  <c r="AK98"/>
  <c r="AM98"/>
  <c r="AO98"/>
  <c r="AQ98"/>
  <c r="AS98"/>
  <c r="AU98"/>
  <c r="AW98"/>
  <c r="AY98"/>
  <c r="BA98"/>
  <c r="BC98"/>
  <c r="BE98"/>
  <c r="BG98"/>
  <c r="M99"/>
  <c r="O99"/>
  <c r="Q99"/>
  <c r="X99"/>
  <c r="AG99"/>
  <c r="AI99"/>
  <c r="AK99"/>
  <c r="AM99"/>
  <c r="AO99"/>
  <c r="AQ99"/>
  <c r="AS99"/>
  <c r="AU99"/>
  <c r="AW99"/>
  <c r="AY99"/>
  <c r="BA99"/>
  <c r="BC99"/>
  <c r="BE99"/>
  <c r="BG99"/>
  <c r="M100"/>
  <c r="O100"/>
  <c r="Q100"/>
  <c r="Y100"/>
  <c r="AG100"/>
  <c r="AI100"/>
  <c r="AK100"/>
  <c r="AM100"/>
  <c r="AO100"/>
  <c r="AQ100"/>
  <c r="AS100"/>
  <c r="AU100"/>
  <c r="AW100"/>
  <c r="AY100"/>
  <c r="BA100"/>
  <c r="BC100"/>
  <c r="BE100"/>
  <c r="BG100"/>
  <c r="M101"/>
  <c r="O101"/>
  <c r="Q101"/>
  <c r="Y101"/>
  <c r="AG101"/>
  <c r="AI101"/>
  <c r="AK101"/>
  <c r="AM101"/>
  <c r="AO101"/>
  <c r="AQ101"/>
  <c r="AS101"/>
  <c r="AU101"/>
  <c r="AW101"/>
  <c r="AY101"/>
  <c r="BA101"/>
  <c r="BC101"/>
  <c r="BE101"/>
  <c r="BG101"/>
  <c r="M102"/>
  <c r="O102"/>
  <c r="Q102"/>
  <c r="Y102"/>
  <c r="AG102"/>
  <c r="AI102"/>
  <c r="AK102"/>
  <c r="AM102"/>
  <c r="AO102"/>
  <c r="AQ102"/>
  <c r="AS102"/>
  <c r="AU102"/>
  <c r="AW102"/>
  <c r="AY102"/>
  <c r="BA102"/>
  <c r="BC102"/>
  <c r="BE102"/>
  <c r="BG102"/>
  <c r="L103"/>
  <c r="N103"/>
  <c r="P103"/>
  <c r="X103"/>
  <c r="AH103"/>
  <c r="AJ103"/>
  <c r="AL103"/>
  <c r="L104"/>
  <c r="N104"/>
  <c r="P104"/>
  <c r="X104"/>
  <c r="AH104"/>
  <c r="AJ104"/>
  <c r="AL104"/>
  <c r="M105"/>
  <c r="O105"/>
  <c r="Q105"/>
  <c r="S105"/>
  <c r="U105"/>
  <c r="W105"/>
  <c r="Y105"/>
  <c r="AI105"/>
  <c r="AK105"/>
  <c r="AM105"/>
  <c r="M106"/>
  <c r="O106"/>
  <c r="S106"/>
  <c r="Y106"/>
  <c r="AI106"/>
  <c r="AK106"/>
  <c r="AM106"/>
  <c r="M107"/>
  <c r="O107"/>
  <c r="S107"/>
  <c r="Y107"/>
  <c r="AI107"/>
  <c r="AK107"/>
  <c r="AM107"/>
  <c r="M118"/>
  <c r="O118"/>
  <c r="Q118"/>
  <c r="Y118"/>
  <c r="AG118"/>
  <c r="AI118"/>
  <c r="AK118"/>
  <c r="AM118"/>
  <c r="AO118"/>
  <c r="AQ118"/>
  <c r="AS118"/>
  <c r="AU118"/>
  <c r="AW118"/>
  <c r="AY118"/>
  <c r="BA118"/>
  <c r="BC118"/>
  <c r="BE118"/>
  <c r="BG118"/>
  <c r="M119"/>
  <c r="O119"/>
  <c r="Q119"/>
  <c r="Y119"/>
  <c r="AG119"/>
  <c r="AI119"/>
  <c r="AK119"/>
  <c r="AM119"/>
  <c r="AO119"/>
  <c r="AQ119"/>
  <c r="AS119"/>
  <c r="AU119"/>
  <c r="AW119"/>
  <c r="AY119"/>
  <c r="BA119"/>
  <c r="BC119"/>
  <c r="BE119"/>
  <c r="BG119"/>
  <c r="M120"/>
  <c r="O120"/>
  <c r="Q120"/>
  <c r="Y120"/>
  <c r="AG120"/>
  <c r="AI120"/>
  <c r="AK120"/>
  <c r="AM120"/>
  <c r="AO120"/>
  <c r="AQ120"/>
  <c r="AS120"/>
  <c r="AU120"/>
  <c r="AW120"/>
  <c r="AY120"/>
  <c r="BA120"/>
  <c r="BC120"/>
  <c r="BE120"/>
  <c r="BG120"/>
  <c r="M121"/>
  <c r="O121"/>
  <c r="Q121"/>
  <c r="Y121"/>
  <c r="AG121"/>
  <c r="AI121"/>
  <c r="AK121"/>
  <c r="AM121"/>
  <c r="AO121"/>
  <c r="AQ121"/>
  <c r="AS121"/>
  <c r="AU121"/>
  <c r="AW121"/>
  <c r="AY121"/>
  <c r="BA121"/>
  <c r="BC121"/>
  <c r="BE121"/>
  <c r="BG121"/>
  <c r="M122"/>
  <c r="O122"/>
  <c r="Q122"/>
  <c r="Y122"/>
  <c r="AG122"/>
  <c r="AI122"/>
  <c r="AK122"/>
  <c r="AM122"/>
  <c r="AO122"/>
  <c r="AQ122"/>
  <c r="AS122"/>
  <c r="AU122"/>
  <c r="AW122"/>
  <c r="AY122"/>
  <c r="BA122"/>
  <c r="BC122"/>
  <c r="BE122"/>
  <c r="BG122"/>
  <c r="M123"/>
  <c r="O123"/>
  <c r="Q123"/>
  <c r="Y123"/>
  <c r="AG123"/>
  <c r="AI123"/>
  <c r="AK123"/>
  <c r="AM123"/>
  <c r="AO123"/>
  <c r="AQ123"/>
  <c r="AS123"/>
  <c r="AU123"/>
  <c r="AW123"/>
  <c r="AY123"/>
  <c r="BA123"/>
  <c r="BC123"/>
  <c r="BE123"/>
  <c r="BG123"/>
  <c r="M124"/>
  <c r="O124"/>
  <c r="Q124"/>
  <c r="Y124"/>
  <c r="AG124"/>
  <c r="AI124"/>
  <c r="AK124"/>
  <c r="AM124"/>
  <c r="AO124"/>
  <c r="AQ124"/>
  <c r="AS124"/>
  <c r="AU124"/>
  <c r="AW124"/>
  <c r="AY124"/>
  <c r="BA124"/>
  <c r="BC124"/>
  <c r="BE124"/>
  <c r="BG124"/>
  <c r="M125"/>
  <c r="O125"/>
  <c r="Q125"/>
  <c r="Y125"/>
  <c r="AG125"/>
  <c r="AI125"/>
  <c r="AK125"/>
  <c r="AM125"/>
  <c r="AO125"/>
  <c r="AQ125"/>
  <c r="AS125"/>
  <c r="AU125"/>
  <c r="AW125"/>
  <c r="AY125"/>
  <c r="BA125"/>
  <c r="BC125"/>
  <c r="BE125"/>
  <c r="BG125"/>
  <c r="M126"/>
  <c r="O126"/>
  <c r="Q126"/>
  <c r="Y126"/>
  <c r="AG126"/>
  <c r="AI126"/>
  <c r="AK126"/>
  <c r="AM126"/>
  <c r="AO126"/>
  <c r="AQ126"/>
  <c r="AS126"/>
  <c r="AU126"/>
  <c r="AW126"/>
  <c r="AY126"/>
  <c r="BA126"/>
  <c r="BC126"/>
  <c r="BE126"/>
  <c r="BG126"/>
  <c r="M127"/>
  <c r="O127"/>
  <c r="Q127"/>
  <c r="Y127"/>
  <c r="AG127"/>
  <c r="AI127"/>
  <c r="AK127"/>
  <c r="AM127"/>
  <c r="AO127"/>
  <c r="AQ127"/>
  <c r="AS127"/>
  <c r="AU127"/>
  <c r="AW127"/>
  <c r="AY127"/>
  <c r="BA127"/>
  <c r="BC127"/>
  <c r="BE127"/>
  <c r="BG127"/>
  <c r="M128"/>
  <c r="O128"/>
  <c r="Q128"/>
  <c r="Y128"/>
  <c r="AG128"/>
  <c r="AI128"/>
  <c r="AK128"/>
  <c r="AM128"/>
  <c r="AO128"/>
  <c r="AQ128"/>
  <c r="AS128"/>
  <c r="AU128"/>
  <c r="AW128"/>
  <c r="AY128"/>
  <c r="BA128"/>
  <c r="BC128"/>
  <c r="BE128"/>
  <c r="BG128"/>
  <c r="M129"/>
  <c r="O129"/>
  <c r="Q129"/>
  <c r="Y129"/>
  <c r="AG129"/>
  <c r="AI129"/>
  <c r="AK129"/>
  <c r="AM129"/>
  <c r="AO129"/>
  <c r="AQ129"/>
  <c r="AS129"/>
  <c r="AU129"/>
  <c r="AW129"/>
  <c r="AY129"/>
  <c r="BA129"/>
  <c r="BC129"/>
  <c r="BE129"/>
  <c r="BG129"/>
  <c r="M130"/>
  <c r="O130"/>
  <c r="Q130"/>
  <c r="Y130"/>
  <c r="AG130"/>
  <c r="AI130"/>
  <c r="AK130"/>
  <c r="AM130"/>
  <c r="AO130"/>
  <c r="AQ130"/>
  <c r="AS130"/>
  <c r="AU130"/>
  <c r="AW130"/>
  <c r="AY130"/>
  <c r="BA130"/>
  <c r="BC130"/>
  <c r="BE130"/>
  <c r="BG130"/>
  <c r="M131"/>
  <c r="O131"/>
  <c r="Q131"/>
  <c r="Y131"/>
  <c r="AG131"/>
  <c r="AI131"/>
  <c r="AK131"/>
  <c r="AM131"/>
  <c r="AO131"/>
  <c r="AQ131"/>
  <c r="AS131"/>
  <c r="AU131"/>
  <c r="AW131"/>
  <c r="AY131"/>
  <c r="BA131"/>
  <c r="BC131"/>
  <c r="BE131"/>
  <c r="BG131"/>
  <c r="M132"/>
  <c r="O132"/>
  <c r="Q132"/>
  <c r="Y132"/>
  <c r="AG132"/>
  <c r="AI132"/>
  <c r="AK132"/>
  <c r="AM132"/>
  <c r="AO132"/>
  <c r="AQ132"/>
  <c r="AS132"/>
  <c r="AU132"/>
  <c r="AW132"/>
  <c r="AY132"/>
  <c r="BA132"/>
  <c r="BC132"/>
  <c r="BE132"/>
  <c r="BG132"/>
  <c r="M133"/>
  <c r="O133"/>
  <c r="Q133"/>
  <c r="Y133"/>
  <c r="AG133"/>
  <c r="AI133"/>
  <c r="AK133"/>
  <c r="AM133"/>
  <c r="AO133"/>
  <c r="AQ133"/>
  <c r="AS133"/>
  <c r="AU133"/>
  <c r="AW133"/>
  <c r="AY133"/>
  <c r="BA133"/>
  <c r="BC133"/>
  <c r="BE133"/>
  <c r="BG133"/>
  <c r="M134"/>
  <c r="O134"/>
  <c r="Q134"/>
  <c r="Y134"/>
  <c r="AG134"/>
  <c r="AI134"/>
  <c r="AK134"/>
  <c r="AM134"/>
  <c r="AO134"/>
  <c r="AQ134"/>
  <c r="AS134"/>
  <c r="AU134"/>
  <c r="AW134"/>
  <c r="AY134"/>
  <c r="BA134"/>
  <c r="BC134"/>
  <c r="BE134"/>
  <c r="BG134"/>
  <c r="M135"/>
  <c r="O135"/>
  <c r="Q135"/>
  <c r="Y135"/>
  <c r="AG135"/>
  <c r="AI135"/>
  <c r="AK135"/>
  <c r="AM135"/>
  <c r="AO135"/>
  <c r="AQ135"/>
  <c r="AS135"/>
  <c r="AU135"/>
  <c r="AW135"/>
  <c r="AY135"/>
  <c r="BA135"/>
  <c r="BC135"/>
  <c r="BE135"/>
  <c r="BG135"/>
  <c r="M136"/>
  <c r="O136"/>
  <c r="Q136"/>
  <c r="Y136"/>
  <c r="AG136"/>
  <c r="AI136"/>
  <c r="AK136"/>
  <c r="AM136"/>
  <c r="AO136"/>
  <c r="AQ136"/>
  <c r="AS136"/>
  <c r="AU136"/>
  <c r="AW136"/>
  <c r="AY136"/>
  <c r="BA136"/>
  <c r="BC136"/>
  <c r="BE136"/>
  <c r="BG136"/>
  <c r="M137"/>
  <c r="O137"/>
  <c r="Q137"/>
  <c r="Y137"/>
  <c r="AG137"/>
  <c r="AI137"/>
  <c r="AK137"/>
  <c r="AM137"/>
  <c r="AO137"/>
  <c r="AQ137"/>
  <c r="AS137"/>
  <c r="AU137"/>
  <c r="AW137"/>
  <c r="AY137"/>
  <c r="BA137"/>
  <c r="BC137"/>
  <c r="BE137"/>
  <c r="BG137"/>
  <c r="M138"/>
  <c r="O138"/>
  <c r="Q138"/>
  <c r="Y138"/>
  <c r="AG138"/>
  <c r="AI138"/>
  <c r="AK138"/>
  <c r="AM138"/>
  <c r="AO138"/>
  <c r="AQ138"/>
  <c r="AS138"/>
  <c r="AU138"/>
  <c r="AW138"/>
  <c r="AY138"/>
  <c r="BA138"/>
  <c r="BC138"/>
  <c r="BE138"/>
  <c r="BG138"/>
  <c r="M139"/>
  <c r="O139"/>
  <c r="Q139"/>
  <c r="Y139"/>
  <c r="AG139"/>
  <c r="AI139"/>
  <c r="AK139"/>
  <c r="AM139"/>
  <c r="AO139"/>
  <c r="AQ139"/>
  <c r="AS139"/>
  <c r="AU139"/>
  <c r="AW139"/>
  <c r="AY139"/>
  <c r="BA139"/>
  <c r="BC139"/>
  <c r="BE139"/>
  <c r="BG139"/>
  <c r="M140"/>
  <c r="O140"/>
  <c r="Q140"/>
  <c r="Y140"/>
  <c r="AG140"/>
  <c r="AI140"/>
  <c r="AK140"/>
  <c r="AM140"/>
  <c r="AO140"/>
  <c r="AQ140"/>
  <c r="AS140"/>
  <c r="AU140"/>
  <c r="AW140"/>
  <c r="AY140"/>
  <c r="BA140"/>
  <c r="BC140"/>
  <c r="BE140"/>
  <c r="BG140"/>
  <c r="M141"/>
  <c r="O141"/>
  <c r="Q141"/>
  <c r="Y141"/>
  <c r="AG141"/>
  <c r="AI141"/>
  <c r="AK141"/>
  <c r="AM141"/>
  <c r="AO141"/>
  <c r="AQ141"/>
  <c r="AS141"/>
  <c r="AU141"/>
  <c r="AW141"/>
  <c r="AY141"/>
  <c r="BA141"/>
  <c r="BC141"/>
  <c r="BE141"/>
  <c r="BG141"/>
  <c r="M142"/>
  <c r="O142"/>
  <c r="Q142"/>
  <c r="Y142"/>
  <c r="AG142"/>
  <c r="AI142"/>
  <c r="AK142"/>
  <c r="AM142"/>
  <c r="AO142"/>
  <c r="AQ142"/>
  <c r="AS142"/>
  <c r="AU142"/>
  <c r="AW142"/>
  <c r="AY142"/>
  <c r="BA142"/>
  <c r="BC142"/>
  <c r="BE142"/>
  <c r="BG142"/>
  <c r="M143"/>
  <c r="O143"/>
  <c r="Q143"/>
  <c r="Y143"/>
  <c r="AG143"/>
  <c r="AI143"/>
  <c r="AK143"/>
  <c r="AM143"/>
  <c r="AO143"/>
  <c r="AQ143"/>
  <c r="AS143"/>
  <c r="AU143"/>
  <c r="AW143"/>
  <c r="AY143"/>
  <c r="BA143"/>
  <c r="BC143"/>
  <c r="BE143"/>
  <c r="BG143"/>
  <c r="M144"/>
  <c r="O144"/>
  <c r="Q144"/>
  <c r="Y144"/>
  <c r="AG144"/>
  <c r="AI144"/>
  <c r="AK144"/>
  <c r="AM144"/>
  <c r="AO144"/>
  <c r="AQ144"/>
  <c r="AS144"/>
  <c r="AU144"/>
  <c r="AW144"/>
  <c r="AY144"/>
  <c r="BA144"/>
  <c r="BC144"/>
  <c r="BE144"/>
  <c r="BG144"/>
  <c r="M145"/>
  <c r="O145"/>
  <c r="Q145"/>
  <c r="Y145"/>
  <c r="AG145"/>
  <c r="AI145"/>
  <c r="AK145"/>
  <c r="AM145"/>
  <c r="AO145"/>
  <c r="AQ145"/>
  <c r="AS145"/>
  <c r="AU145"/>
  <c r="AW145"/>
  <c r="AY145"/>
  <c r="BA145"/>
  <c r="BC145"/>
  <c r="BE145"/>
  <c r="BG145"/>
  <c r="M146"/>
  <c r="O146"/>
  <c r="Q146"/>
  <c r="Y146"/>
  <c r="AG146"/>
  <c r="AI146"/>
  <c r="AK146"/>
  <c r="AM146"/>
  <c r="AO146"/>
  <c r="AQ146"/>
  <c r="AS146"/>
  <c r="AU146"/>
  <c r="AW146"/>
  <c r="AY146"/>
  <c r="BA146"/>
  <c r="BC146"/>
  <c r="BE146"/>
  <c r="BG146"/>
  <c r="M147"/>
  <c r="O147"/>
  <c r="Q147"/>
  <c r="Y147"/>
  <c r="AG147"/>
  <c r="AI147"/>
  <c r="AK147"/>
  <c r="AM147"/>
  <c r="AO147"/>
  <c r="AQ147"/>
  <c r="AS147"/>
  <c r="AU147"/>
  <c r="AW147"/>
  <c r="AY147"/>
  <c r="BA147"/>
  <c r="BC147"/>
  <c r="BE147"/>
  <c r="BG147"/>
  <c r="M148"/>
  <c r="O148"/>
  <c r="Q148"/>
  <c r="Y148"/>
  <c r="AG148"/>
  <c r="AI148"/>
  <c r="AK148"/>
  <c r="AM148"/>
  <c r="AO148"/>
  <c r="AQ148"/>
  <c r="AS148"/>
  <c r="AU148"/>
  <c r="AW148"/>
  <c r="AY148"/>
  <c r="BA148"/>
  <c r="BC148"/>
  <c r="BE148"/>
  <c r="BG148"/>
  <c r="M149"/>
  <c r="O149"/>
  <c r="Q149"/>
  <c r="Y149"/>
  <c r="AG149"/>
  <c r="AI149"/>
  <c r="AK149"/>
  <c r="AM149"/>
  <c r="AO149"/>
  <c r="AQ149"/>
  <c r="AS149"/>
  <c r="AU149"/>
  <c r="AW149"/>
  <c r="AY149"/>
  <c r="BA149"/>
  <c r="BC149"/>
  <c r="BE149"/>
  <c r="BG149"/>
  <c r="M150"/>
  <c r="O150"/>
  <c r="Q150"/>
  <c r="Y150"/>
  <c r="AG150"/>
  <c r="AI150"/>
  <c r="AK150"/>
  <c r="AM150"/>
  <c r="AO150"/>
  <c r="AQ150"/>
  <c r="AS150"/>
  <c r="AU150"/>
  <c r="AW150"/>
  <c r="AY150"/>
  <c r="BA150"/>
  <c r="BC150"/>
  <c r="BE150"/>
  <c r="BG150"/>
  <c r="M151"/>
  <c r="O151"/>
  <c r="Q151"/>
  <c r="X151"/>
  <c r="AG151"/>
  <c r="AI151"/>
  <c r="AK151"/>
  <c r="AM151"/>
  <c r="AO151"/>
  <c r="AQ151"/>
  <c r="AS151"/>
  <c r="AU151"/>
  <c r="AW151"/>
  <c r="AY151"/>
  <c r="BA151"/>
  <c r="BC151"/>
  <c r="BE151"/>
  <c r="BG151"/>
  <c r="M152"/>
  <c r="O152"/>
  <c r="Q152"/>
  <c r="Y152"/>
  <c r="AG152"/>
  <c r="AI152"/>
  <c r="AK152"/>
  <c r="AM152"/>
  <c r="AO152"/>
  <c r="AQ152"/>
  <c r="AS152"/>
  <c r="AU152"/>
  <c r="AW152"/>
  <c r="AY152"/>
  <c r="BA152"/>
  <c r="BC152"/>
  <c r="BE152"/>
  <c r="BG152"/>
  <c r="M153"/>
  <c r="O153"/>
  <c r="Q153"/>
  <c r="Y153"/>
  <c r="AG153"/>
  <c r="AI153"/>
  <c r="AK153"/>
  <c r="AM153"/>
  <c r="AO153"/>
  <c r="AQ153"/>
  <c r="AS153"/>
  <c r="AU153"/>
  <c r="AW153"/>
  <c r="AY153"/>
  <c r="BA153"/>
  <c r="BC153"/>
  <c r="BE153"/>
  <c r="BG153"/>
  <c r="M154"/>
  <c r="O154"/>
  <c r="Q154"/>
  <c r="Y154"/>
  <c r="AG154"/>
  <c r="AI154"/>
  <c r="AK154"/>
  <c r="AM154"/>
  <c r="AO154"/>
  <c r="AQ154"/>
  <c r="AS154"/>
  <c r="AU154"/>
  <c r="AW154"/>
  <c r="AY154"/>
  <c r="BA154"/>
  <c r="BC154"/>
  <c r="BE154"/>
  <c r="BG154"/>
  <c r="O155"/>
  <c r="Q155"/>
  <c r="Y155"/>
  <c r="AK155"/>
  <c r="AM155"/>
  <c r="AQ155"/>
  <c r="BA155"/>
  <c r="BC155"/>
  <c r="BE155"/>
  <c r="BG155"/>
  <c r="M156"/>
  <c r="O156"/>
  <c r="X156"/>
  <c r="AG156"/>
  <c r="AI156"/>
  <c r="AK156"/>
  <c r="AM156"/>
  <c r="AO156"/>
  <c r="AQ156"/>
  <c r="AS156"/>
  <c r="AU156"/>
  <c r="AW156"/>
  <c r="AY156"/>
  <c r="BA156"/>
  <c r="BC156"/>
  <c r="BE156"/>
  <c r="BG156"/>
  <c r="M157"/>
  <c r="O157"/>
  <c r="Q157"/>
  <c r="Y157"/>
  <c r="AG157"/>
  <c r="AI157"/>
  <c r="AK157"/>
  <c r="AM157"/>
  <c r="AO157"/>
  <c r="AQ157"/>
  <c r="AS157"/>
  <c r="AU157"/>
  <c r="AW157"/>
  <c r="AY157"/>
  <c r="BA157"/>
  <c r="BC157"/>
  <c r="BE157"/>
  <c r="BG157"/>
  <c r="O158"/>
  <c r="Q158"/>
  <c r="X158"/>
  <c r="AG158"/>
  <c r="AI158"/>
  <c r="AM158"/>
  <c r="AO158"/>
  <c r="AQ158"/>
  <c r="AS158"/>
  <c r="AU158"/>
  <c r="AW158"/>
  <c r="AY158"/>
  <c r="BA158"/>
  <c r="BC158"/>
  <c r="BE158"/>
  <c r="BG158"/>
  <c r="O159"/>
  <c r="P159"/>
  <c r="X159"/>
  <c r="AG159"/>
  <c r="AI159"/>
  <c r="AM159"/>
  <c r="AO159"/>
  <c r="AQ159"/>
  <c r="AS159"/>
  <c r="AU159"/>
  <c r="AW159"/>
  <c r="AY159"/>
  <c r="BA159"/>
  <c r="BC159"/>
  <c r="BE159"/>
  <c r="BG159"/>
  <c r="O160"/>
  <c r="P160"/>
  <c r="X160"/>
  <c r="AG160"/>
  <c r="AI160"/>
  <c r="AM160"/>
  <c r="AO160"/>
  <c r="AQ160"/>
  <c r="AS160"/>
  <c r="AU160"/>
  <c r="AW160"/>
  <c r="AY160"/>
  <c r="BA160"/>
  <c r="BC160"/>
  <c r="BE160"/>
  <c r="BG160"/>
  <c r="L161"/>
  <c r="N161"/>
  <c r="P161"/>
  <c r="X161"/>
  <c r="AB161"/>
  <c r="AN161"/>
  <c r="L162"/>
  <c r="N162"/>
  <c r="P162"/>
  <c r="X162"/>
  <c r="Z162"/>
  <c r="AN162"/>
  <c r="AP162"/>
  <c r="L163"/>
  <c r="N163"/>
  <c r="P163"/>
  <c r="X163"/>
  <c r="Z163"/>
  <c r="AN163"/>
  <c r="AP163"/>
  <c r="L165"/>
  <c r="N165"/>
  <c r="P165"/>
  <c r="X165"/>
  <c r="AP165"/>
  <c r="M176"/>
  <c r="O176"/>
  <c r="Q176"/>
  <c r="Y176"/>
  <c r="AG176"/>
  <c r="AI176"/>
  <c r="AK176"/>
  <c r="AM176"/>
  <c r="AO176"/>
  <c r="AQ176"/>
  <c r="AS176"/>
  <c r="AU176"/>
  <c r="AW176"/>
  <c r="AY176"/>
  <c r="BA176"/>
  <c r="BC176"/>
  <c r="BE176"/>
  <c r="BG176"/>
  <c r="M177"/>
  <c r="O177"/>
  <c r="Q177"/>
  <c r="Y177"/>
  <c r="AG177"/>
  <c r="AI177"/>
  <c r="AK177"/>
  <c r="AM177"/>
  <c r="AO177"/>
  <c r="AQ177"/>
  <c r="AS177"/>
  <c r="AU177"/>
  <c r="AW177"/>
  <c r="AY177"/>
  <c r="BA177"/>
  <c r="BC177"/>
  <c r="BE177"/>
  <c r="BG177"/>
  <c r="M178"/>
  <c r="O178"/>
  <c r="Q178"/>
  <c r="Y178"/>
  <c r="AG178"/>
  <c r="AI178"/>
  <c r="AK178"/>
  <c r="AM178"/>
  <c r="AO178"/>
  <c r="AQ178"/>
  <c r="AS178"/>
  <c r="AU178"/>
  <c r="AW178"/>
  <c r="AY178"/>
  <c r="BA178"/>
  <c r="BC178"/>
  <c r="BE178"/>
  <c r="BG178"/>
  <c r="M179"/>
  <c r="O179"/>
  <c r="Q179"/>
  <c r="Y179"/>
  <c r="AG179"/>
  <c r="AI179"/>
  <c r="AK179"/>
  <c r="AM179"/>
  <c r="AO179"/>
  <c r="AQ179"/>
  <c r="AS179"/>
  <c r="AU179"/>
  <c r="AW179"/>
  <c r="AY179"/>
  <c r="BA179"/>
  <c r="BC179"/>
  <c r="BE179"/>
  <c r="BG179"/>
  <c r="M180"/>
  <c r="O180"/>
  <c r="Q180"/>
  <c r="Y180"/>
  <c r="AG180"/>
  <c r="AI180"/>
  <c r="AK180"/>
  <c r="AM180"/>
  <c r="AO180"/>
  <c r="AQ180"/>
  <c r="AS180"/>
  <c r="AU180"/>
  <c r="AW180"/>
  <c r="AY180"/>
  <c r="BA180"/>
  <c r="BC180"/>
  <c r="BE180"/>
  <c r="BG180"/>
  <c r="M181"/>
  <c r="O181"/>
  <c r="Q181"/>
  <c r="Y181"/>
  <c r="AG181"/>
  <c r="AI181"/>
  <c r="AK181"/>
  <c r="AM181"/>
  <c r="AO181"/>
  <c r="AQ181"/>
  <c r="AS181"/>
  <c r="AU181"/>
  <c r="AW181"/>
  <c r="AY181"/>
  <c r="BA181"/>
  <c r="BC181"/>
  <c r="BE181"/>
  <c r="BG181"/>
  <c r="M182"/>
  <c r="O182"/>
  <c r="Q182"/>
  <c r="Y182"/>
  <c r="AG182"/>
  <c r="AI182"/>
  <c r="AK182"/>
  <c r="AM182"/>
  <c r="AO182"/>
  <c r="AQ182"/>
  <c r="AS182"/>
  <c r="AU182"/>
  <c r="AW182"/>
  <c r="AY182"/>
  <c r="BA182"/>
  <c r="BC182"/>
  <c r="BE182"/>
  <c r="BG182"/>
  <c r="M183"/>
  <c r="O183"/>
  <c r="Q183"/>
  <c r="Y183"/>
  <c r="AG183"/>
  <c r="AI183"/>
  <c r="AK183"/>
  <c r="AM183"/>
  <c r="AO183"/>
  <c r="AQ183"/>
  <c r="AS183"/>
  <c r="AU183"/>
  <c r="AW183"/>
  <c r="AY183"/>
  <c r="BA183"/>
  <c r="BC183"/>
  <c r="BE183"/>
  <c r="BG183"/>
  <c r="M184"/>
  <c r="O184"/>
  <c r="Q184"/>
  <c r="Y184"/>
  <c r="AG184"/>
  <c r="AI184"/>
  <c r="AK184"/>
  <c r="AM184"/>
  <c r="AO184"/>
  <c r="AQ184"/>
  <c r="AS184"/>
  <c r="AU184"/>
  <c r="AW184"/>
  <c r="AY184"/>
  <c r="BA184"/>
  <c r="BC184"/>
  <c r="BE184"/>
  <c r="BG184"/>
  <c r="M185"/>
  <c r="O185"/>
  <c r="Q185"/>
  <c r="Y185"/>
  <c r="AG185"/>
  <c r="AI185"/>
  <c r="AK185"/>
  <c r="AM185"/>
  <c r="AO185"/>
  <c r="AQ185"/>
  <c r="AS185"/>
  <c r="AU185"/>
  <c r="AW185"/>
  <c r="AY185"/>
  <c r="BA185"/>
  <c r="BC185"/>
  <c r="BE185"/>
  <c r="BG185"/>
  <c r="M186"/>
  <c r="O186"/>
  <c r="Q186"/>
  <c r="Y186"/>
  <c r="AG186"/>
  <c r="AI186"/>
  <c r="AK186"/>
  <c r="AM186"/>
  <c r="AO186"/>
  <c r="AQ186"/>
  <c r="AS186"/>
  <c r="AU186"/>
  <c r="AW186"/>
  <c r="AY186"/>
  <c r="BA186"/>
  <c r="BC186"/>
  <c r="BE186"/>
  <c r="BG186"/>
  <c r="M187"/>
  <c r="O187"/>
  <c r="Q187"/>
  <c r="Y187"/>
  <c r="AG187"/>
  <c r="AI187"/>
  <c r="AK187"/>
  <c r="AM187"/>
  <c r="AO187"/>
  <c r="AQ187"/>
  <c r="AS187"/>
  <c r="AU187"/>
  <c r="AW187"/>
  <c r="AY187"/>
  <c r="BA187"/>
  <c r="BC187"/>
  <c r="BE187"/>
  <c r="BG187"/>
  <c r="M188"/>
  <c r="O188"/>
  <c r="Q188"/>
  <c r="Y188"/>
  <c r="AG188"/>
  <c r="AI188"/>
  <c r="AK188"/>
  <c r="AM188"/>
  <c r="AO188"/>
  <c r="AQ188"/>
  <c r="AS188"/>
  <c r="AU188"/>
  <c r="AW188"/>
  <c r="AY188"/>
  <c r="BA188"/>
  <c r="BC188"/>
  <c r="BE188"/>
  <c r="BG188"/>
  <c r="M189"/>
  <c r="O189"/>
  <c r="Q189"/>
  <c r="Y189"/>
  <c r="AG189"/>
  <c r="AI189"/>
  <c r="AK189"/>
  <c r="AM189"/>
  <c r="AO189"/>
  <c r="AQ189"/>
  <c r="AS189"/>
  <c r="AU189"/>
  <c r="AW189"/>
  <c r="AY189"/>
  <c r="BA189"/>
  <c r="BC189"/>
  <c r="BE189"/>
  <c r="BG189"/>
  <c r="M190"/>
  <c r="O190"/>
  <c r="Q190"/>
  <c r="Y190"/>
  <c r="AG190"/>
  <c r="AI190"/>
  <c r="AK190"/>
  <c r="AM190"/>
  <c r="AO190"/>
  <c r="AQ190"/>
  <c r="AS190"/>
  <c r="AU190"/>
  <c r="AW190"/>
  <c r="AY190"/>
  <c r="BA190"/>
  <c r="BC190"/>
  <c r="BE190"/>
  <c r="BG190"/>
  <c r="M191"/>
  <c r="O191"/>
  <c r="Q191"/>
  <c r="Y191"/>
  <c r="AG191"/>
  <c r="AI191"/>
  <c r="AK191"/>
  <c r="AM191"/>
  <c r="AO191"/>
  <c r="AQ191"/>
  <c r="AS191"/>
  <c r="AU191"/>
  <c r="AW191"/>
  <c r="AY191"/>
  <c r="BA191"/>
  <c r="BC191"/>
  <c r="BE191"/>
  <c r="BG191"/>
  <c r="M192"/>
  <c r="O192"/>
  <c r="Q192"/>
  <c r="Y192"/>
  <c r="AG192"/>
  <c r="AI192"/>
  <c r="AK192"/>
  <c r="AM192"/>
  <c r="AO192"/>
  <c r="AQ192"/>
  <c r="AS192"/>
  <c r="AU192"/>
  <c r="AW192"/>
  <c r="AY192"/>
  <c r="BA192"/>
  <c r="BC192"/>
  <c r="BE192"/>
  <c r="BG192"/>
  <c r="M193"/>
  <c r="O193"/>
  <c r="Q193"/>
  <c r="Y193"/>
  <c r="AG193"/>
  <c r="AI193"/>
  <c r="AK193"/>
  <c r="AM193"/>
  <c r="AO193"/>
  <c r="AQ193"/>
  <c r="AS193"/>
  <c r="AU193"/>
  <c r="AW193"/>
  <c r="AY193"/>
  <c r="BA193"/>
  <c r="BC193"/>
  <c r="BE193"/>
  <c r="BG193"/>
  <c r="M194"/>
  <c r="O194"/>
  <c r="Q194"/>
  <c r="Y194"/>
  <c r="AG194"/>
  <c r="AI194"/>
  <c r="AK194"/>
  <c r="AM194"/>
  <c r="AO194"/>
  <c r="AQ194"/>
  <c r="AS194"/>
  <c r="AU194"/>
  <c r="AW194"/>
  <c r="AY194"/>
  <c r="BA194"/>
  <c r="BC194"/>
  <c r="BE194"/>
  <c r="BG194"/>
  <c r="M195"/>
  <c r="O195"/>
  <c r="Q195"/>
  <c r="Y195"/>
  <c r="AG195"/>
  <c r="AI195"/>
  <c r="AK195"/>
  <c r="AM195"/>
  <c r="AO195"/>
  <c r="AQ195"/>
  <c r="AS195"/>
  <c r="AU195"/>
  <c r="AW195"/>
  <c r="AY195"/>
  <c r="BA195"/>
  <c r="BC195"/>
  <c r="BE195"/>
  <c r="BG195"/>
  <c r="M196"/>
  <c r="O196"/>
  <c r="Q196"/>
  <c r="Y196"/>
  <c r="AG196"/>
  <c r="AI196"/>
  <c r="AK196"/>
  <c r="AM196"/>
  <c r="AO196"/>
  <c r="AQ196"/>
  <c r="AS196"/>
  <c r="AU196"/>
  <c r="AW196"/>
  <c r="AY196"/>
  <c r="BA196"/>
  <c r="BC196"/>
  <c r="BE196"/>
  <c r="BG196"/>
  <c r="M197"/>
  <c r="O197"/>
  <c r="Q197"/>
  <c r="Y197"/>
  <c r="AG197"/>
  <c r="AI197"/>
  <c r="AK197"/>
  <c r="AM197"/>
  <c r="AO197"/>
  <c r="AQ197"/>
  <c r="AS197"/>
  <c r="AU197"/>
  <c r="AW197"/>
  <c r="AY197"/>
  <c r="BA197"/>
  <c r="BC197"/>
  <c r="BE197"/>
  <c r="BG197"/>
  <c r="M198"/>
  <c r="O198"/>
  <c r="Q198"/>
  <c r="Y198"/>
  <c r="AG198"/>
  <c r="AI198"/>
  <c r="AK198"/>
  <c r="AM198"/>
  <c r="AO198"/>
  <c r="AQ198"/>
  <c r="AS198"/>
  <c r="AU198"/>
  <c r="AW198"/>
  <c r="AY198"/>
  <c r="BA198"/>
  <c r="BC198"/>
  <c r="BE198"/>
  <c r="BG198"/>
  <c r="M199"/>
  <c r="O199"/>
  <c r="Q199"/>
  <c r="Y199"/>
  <c r="AG199"/>
  <c r="AI199"/>
  <c r="AK199"/>
  <c r="AM199"/>
  <c r="AO199"/>
  <c r="AQ199"/>
  <c r="AS199"/>
  <c r="AU199"/>
  <c r="AW199"/>
  <c r="AY199"/>
  <c r="BA199"/>
  <c r="BC199"/>
  <c r="BE199"/>
  <c r="BG199"/>
  <c r="M200"/>
  <c r="O200"/>
  <c r="Q200"/>
  <c r="Y200"/>
  <c r="AG200"/>
  <c r="AI200"/>
  <c r="AK200"/>
  <c r="AM200"/>
  <c r="AO200"/>
  <c r="AQ200"/>
  <c r="AS200"/>
  <c r="AU200"/>
  <c r="AW200"/>
  <c r="AY200"/>
  <c r="BA200"/>
  <c r="BC200"/>
  <c r="BE200"/>
  <c r="BG200"/>
  <c r="M201"/>
  <c r="O201"/>
  <c r="Q201"/>
  <c r="Y201"/>
  <c r="AG201"/>
  <c r="AI201"/>
  <c r="AK201"/>
  <c r="AM201"/>
  <c r="AO201"/>
  <c r="AQ201"/>
  <c r="AS201"/>
  <c r="AU201"/>
  <c r="AW201"/>
  <c r="AY201"/>
  <c r="BA201"/>
  <c r="BC201"/>
  <c r="BE201"/>
  <c r="BG201"/>
  <c r="M202"/>
  <c r="O202"/>
  <c r="Q202"/>
  <c r="Y202"/>
  <c r="AG202"/>
  <c r="AI202"/>
  <c r="AK202"/>
  <c r="AM202"/>
  <c r="AO202"/>
  <c r="AQ202"/>
  <c r="AS202"/>
  <c r="AU202"/>
  <c r="AW202"/>
  <c r="AY202"/>
  <c r="BA202"/>
  <c r="BC202"/>
  <c r="BE202"/>
  <c r="BG202"/>
  <c r="M203"/>
  <c r="O203"/>
  <c r="Q203"/>
  <c r="Y203"/>
  <c r="AG203"/>
  <c r="AI203"/>
  <c r="AK203"/>
  <c r="AM203"/>
  <c r="AO203"/>
  <c r="AQ203"/>
  <c r="AS203"/>
  <c r="AU203"/>
  <c r="AW203"/>
  <c r="AY203"/>
  <c r="BA203"/>
  <c r="BC203"/>
  <c r="BE203"/>
  <c r="BG203"/>
  <c r="M204"/>
  <c r="O204"/>
  <c r="Q204"/>
  <c r="Y204"/>
  <c r="AG204"/>
  <c r="AI204"/>
  <c r="AK204"/>
  <c r="AM204"/>
  <c r="AO204"/>
  <c r="AQ204"/>
  <c r="AS204"/>
  <c r="AU204"/>
  <c r="AW204"/>
  <c r="AY204"/>
  <c r="BA204"/>
  <c r="BC204"/>
  <c r="BE204"/>
  <c r="BG204"/>
  <c r="M205"/>
  <c r="O205"/>
  <c r="Q205"/>
  <c r="Y205"/>
  <c r="AG205"/>
  <c r="AI205"/>
  <c r="AK205"/>
  <c r="AM205"/>
  <c r="AO205"/>
  <c r="AQ205"/>
  <c r="AS205"/>
  <c r="AU205"/>
  <c r="AW205"/>
  <c r="AY205"/>
  <c r="BA205"/>
  <c r="BC205"/>
  <c r="BE205"/>
  <c r="BG205"/>
  <c r="M206"/>
  <c r="O206"/>
  <c r="Q206"/>
  <c r="Y206"/>
  <c r="AG206"/>
  <c r="AI206"/>
  <c r="AK206"/>
  <c r="AM206"/>
  <c r="AO206"/>
  <c r="AQ206"/>
  <c r="AS206"/>
  <c r="AU206"/>
  <c r="AW206"/>
  <c r="AY206"/>
  <c r="BA206"/>
  <c r="BC206"/>
  <c r="BE206"/>
  <c r="BG206"/>
  <c r="M207"/>
  <c r="O207"/>
  <c r="Q207"/>
  <c r="Y207"/>
  <c r="AG207"/>
  <c r="AI207"/>
  <c r="AK207"/>
  <c r="AM207"/>
  <c r="AO207"/>
  <c r="AQ207"/>
  <c r="AS207"/>
  <c r="AU207"/>
  <c r="AW207"/>
  <c r="AY207"/>
  <c r="BA207"/>
  <c r="BC207"/>
  <c r="BE207"/>
  <c r="BG207"/>
  <c r="M208"/>
  <c r="O208"/>
  <c r="Q208"/>
  <c r="Y208"/>
  <c r="AG208"/>
  <c r="AI208"/>
  <c r="AK208"/>
  <c r="AM208"/>
  <c r="AO208"/>
  <c r="AQ208"/>
  <c r="AS208"/>
  <c r="AU208"/>
  <c r="AW208"/>
  <c r="AY208"/>
  <c r="BA208"/>
  <c r="BC208"/>
  <c r="BE208"/>
  <c r="BG208"/>
  <c r="M209"/>
  <c r="O209"/>
  <c r="Q209"/>
  <c r="Y209"/>
  <c r="AG209"/>
  <c r="AI209"/>
  <c r="AK209"/>
  <c r="AM209"/>
  <c r="AO209"/>
  <c r="AQ209"/>
  <c r="AS209"/>
  <c r="AU209"/>
  <c r="AW209"/>
  <c r="AY209"/>
  <c r="BA209"/>
  <c r="BC209"/>
  <c r="BE209"/>
  <c r="BG209"/>
  <c r="M210"/>
  <c r="O210"/>
  <c r="Q210"/>
  <c r="Y210"/>
  <c r="AG210"/>
  <c r="AI210"/>
  <c r="AK210"/>
  <c r="AM210"/>
  <c r="AO210"/>
  <c r="AQ210"/>
  <c r="AS210"/>
  <c r="AU210"/>
  <c r="AW210"/>
  <c r="AY210"/>
  <c r="BA210"/>
  <c r="BC210"/>
  <c r="BE210"/>
  <c r="BG210"/>
  <c r="M211"/>
  <c r="O211"/>
  <c r="Q211"/>
  <c r="Y211"/>
  <c r="AG211"/>
  <c r="AI211"/>
  <c r="AK211"/>
  <c r="AM211"/>
  <c r="AO211"/>
  <c r="AQ211"/>
  <c r="AS211"/>
  <c r="AU211"/>
  <c r="AW211"/>
  <c r="AY211"/>
  <c r="BA211"/>
  <c r="BC211"/>
  <c r="BE211"/>
  <c r="BG211"/>
  <c r="M212"/>
  <c r="O212"/>
  <c r="Q212"/>
  <c r="Y212"/>
  <c r="AG212"/>
  <c r="AI212"/>
  <c r="AK212"/>
  <c r="AM212"/>
  <c r="AO212"/>
  <c r="AQ212"/>
  <c r="AS212"/>
  <c r="AU212"/>
  <c r="AW212"/>
  <c r="AY212"/>
  <c r="BA212"/>
  <c r="BC212"/>
  <c r="BE212"/>
  <c r="BG212"/>
  <c r="M213"/>
  <c r="O213"/>
  <c r="Q213"/>
  <c r="Y213"/>
  <c r="AG213"/>
  <c r="AI213"/>
  <c r="AK213"/>
  <c r="AM213"/>
  <c r="AO213"/>
  <c r="AQ213"/>
  <c r="AS213"/>
  <c r="AU213"/>
  <c r="AW213"/>
  <c r="AY213"/>
  <c r="BA213"/>
  <c r="BC213"/>
  <c r="BE213"/>
  <c r="BG213"/>
  <c r="M214"/>
  <c r="O214"/>
  <c r="Y214"/>
  <c r="AG214"/>
  <c r="AI214"/>
  <c r="AK214"/>
  <c r="AM214"/>
  <c r="AO214"/>
  <c r="AQ214"/>
  <c r="AS214"/>
  <c r="AU214"/>
  <c r="AW214"/>
  <c r="AY214"/>
  <c r="BA214"/>
  <c r="BC214"/>
  <c r="BE214"/>
  <c r="BG214"/>
  <c r="M215"/>
  <c r="O215"/>
  <c r="P215"/>
  <c r="X215"/>
  <c r="AG215"/>
  <c r="AI215"/>
  <c r="AK215"/>
  <c r="AM215"/>
  <c r="AO215"/>
  <c r="AQ215"/>
  <c r="AS215"/>
  <c r="AU215"/>
  <c r="AW215"/>
  <c r="AY215"/>
  <c r="BA215"/>
  <c r="BC215"/>
  <c r="BE215"/>
  <c r="BG215"/>
  <c r="M216"/>
  <c r="O216"/>
  <c r="P216"/>
  <c r="X216"/>
  <c r="AI216"/>
  <c r="AK216"/>
  <c r="AM216"/>
  <c r="AO216"/>
  <c r="AQ216"/>
  <c r="AS216"/>
  <c r="AU216"/>
  <c r="AW216"/>
  <c r="AY216"/>
  <c r="BA216"/>
  <c r="BC216"/>
  <c r="BE216"/>
  <c r="BG216"/>
  <c r="M217"/>
  <c r="O217"/>
  <c r="P217"/>
  <c r="X217"/>
  <c r="AI217"/>
  <c r="AK217"/>
  <c r="AM217"/>
  <c r="AO217"/>
  <c r="AQ217"/>
  <c r="AS217"/>
  <c r="AU217"/>
  <c r="AW217"/>
  <c r="AY217"/>
  <c r="BA217"/>
  <c r="BC217"/>
  <c r="BE217"/>
  <c r="BG217"/>
  <c r="M218"/>
  <c r="O218"/>
  <c r="Q218"/>
  <c r="X218"/>
  <c r="AI218"/>
  <c r="AK218"/>
  <c r="AM218"/>
  <c r="AO218"/>
  <c r="AQ218"/>
  <c r="AS218"/>
  <c r="AU218"/>
  <c r="AW218"/>
  <c r="AY218"/>
  <c r="BA218"/>
  <c r="BC218"/>
  <c r="BE218"/>
  <c r="BG218"/>
  <c r="M219"/>
  <c r="O219"/>
  <c r="S219"/>
  <c r="U219"/>
  <c r="W219"/>
  <c r="Y219"/>
  <c r="AI219"/>
  <c r="AK219"/>
  <c r="AM219"/>
  <c r="AS219"/>
  <c r="AU219"/>
  <c r="BA219"/>
  <c r="BC219"/>
  <c r="I220"/>
  <c r="L220"/>
  <c r="N220"/>
  <c r="P220"/>
  <c r="R220"/>
  <c r="T220"/>
  <c r="V220"/>
  <c r="X220"/>
  <c r="Z220"/>
  <c r="AB220"/>
  <c r="AD220"/>
  <c r="AH220"/>
  <c r="AJ220"/>
  <c r="AL220"/>
  <c r="AN220"/>
  <c r="AR220"/>
  <c r="AT220"/>
  <c r="AZ220"/>
  <c r="M234"/>
  <c r="O234"/>
  <c r="Q234"/>
  <c r="Y234"/>
  <c r="AG234"/>
  <c r="AI234"/>
  <c r="AK234"/>
  <c r="AM234"/>
  <c r="AO234"/>
  <c r="AQ234"/>
  <c r="AS234"/>
  <c r="AU234"/>
  <c r="AW234"/>
  <c r="AY234"/>
  <c r="BA234"/>
  <c r="BC234"/>
  <c r="BE234"/>
  <c r="BG234"/>
  <c r="M235"/>
  <c r="O235"/>
  <c r="Q235"/>
  <c r="Y235"/>
  <c r="AG235"/>
  <c r="AI235"/>
  <c r="AK235"/>
  <c r="AM235"/>
  <c r="AO235"/>
  <c r="AQ235"/>
  <c r="AS235"/>
  <c r="AU235"/>
  <c r="AW235"/>
  <c r="AY235"/>
  <c r="BA235"/>
  <c r="BC235"/>
  <c r="BE235"/>
  <c r="BG235"/>
  <c r="M236"/>
  <c r="O236"/>
  <c r="Q236"/>
  <c r="Y236"/>
  <c r="AG236"/>
  <c r="AI236"/>
  <c r="AK236"/>
  <c r="AM236"/>
  <c r="AO236"/>
  <c r="AQ236"/>
  <c r="AS236"/>
  <c r="AU236"/>
  <c r="AW236"/>
  <c r="AY236"/>
  <c r="BA236"/>
  <c r="BC236"/>
  <c r="BE236"/>
  <c r="BG236"/>
  <c r="M237"/>
  <c r="O237"/>
  <c r="Q237"/>
  <c r="Y237"/>
  <c r="AG237"/>
  <c r="AI237"/>
  <c r="AK237"/>
  <c r="AM237"/>
  <c r="AO237"/>
  <c r="AQ237"/>
  <c r="AS237"/>
  <c r="AU237"/>
  <c r="AW237"/>
  <c r="AY237"/>
  <c r="BA237"/>
  <c r="BC237"/>
  <c r="BE237"/>
  <c r="BG237"/>
  <c r="M238"/>
  <c r="O238"/>
  <c r="Q238"/>
  <c r="Y238"/>
  <c r="AG238"/>
  <c r="AI238"/>
  <c r="AK238"/>
  <c r="AM238"/>
  <c r="AO238"/>
  <c r="AQ238"/>
  <c r="AS238"/>
  <c r="AU238"/>
  <c r="AW238"/>
  <c r="AY238"/>
  <c r="BA238"/>
  <c r="BC238"/>
  <c r="BE238"/>
  <c r="BG238"/>
  <c r="M239"/>
  <c r="O239"/>
  <c r="Q239"/>
  <c r="Y239"/>
  <c r="AG239"/>
  <c r="AI239"/>
  <c r="AK239"/>
  <c r="AM239"/>
  <c r="AO239"/>
  <c r="AQ239"/>
  <c r="AS239"/>
  <c r="AU239"/>
  <c r="AW239"/>
  <c r="AY239"/>
  <c r="BA239"/>
  <c r="BC239"/>
  <c r="BE239"/>
  <c r="BG239"/>
  <c r="M240"/>
  <c r="O240"/>
  <c r="Q240"/>
  <c r="Y240"/>
  <c r="AG240"/>
  <c r="AI240"/>
  <c r="AK240"/>
  <c r="AM240"/>
  <c r="AO240"/>
  <c r="AQ240"/>
  <c r="AS240"/>
  <c r="AU240"/>
  <c r="AW240"/>
  <c r="AY240"/>
  <c r="BA240"/>
  <c r="BC240"/>
  <c r="BE240"/>
  <c r="BG240"/>
  <c r="M241"/>
  <c r="O241"/>
  <c r="Q241"/>
  <c r="Y241"/>
  <c r="AG241"/>
  <c r="AI241"/>
  <c r="AK241"/>
  <c r="AM241"/>
  <c r="AO241"/>
  <c r="AQ241"/>
  <c r="AS241"/>
  <c r="AU241"/>
  <c r="AW241"/>
  <c r="AY241"/>
  <c r="BA241"/>
  <c r="BC241"/>
  <c r="BE241"/>
  <c r="BG241"/>
  <c r="M242"/>
  <c r="O242"/>
  <c r="Q242"/>
  <c r="Y242"/>
  <c r="AG242"/>
  <c r="AI242"/>
  <c r="AK242"/>
  <c r="AM242"/>
  <c r="AO242"/>
  <c r="AQ242"/>
  <c r="AS242"/>
  <c r="AU242"/>
  <c r="AW242"/>
  <c r="AY242"/>
  <c r="BA242"/>
  <c r="BC242"/>
  <c r="BE242"/>
  <c r="BG242"/>
  <c r="M243"/>
  <c r="O243"/>
  <c r="Q243"/>
  <c r="Y243"/>
  <c r="AG243"/>
  <c r="AI243"/>
  <c r="AK243"/>
  <c r="AM243"/>
  <c r="AO243"/>
  <c r="AQ243"/>
  <c r="AS243"/>
  <c r="AU243"/>
  <c r="AW243"/>
  <c r="AY243"/>
  <c r="BA243"/>
  <c r="BC243"/>
  <c r="BE243"/>
  <c r="BG243"/>
  <c r="M244"/>
  <c r="O244"/>
  <c r="Q244"/>
  <c r="Y244"/>
  <c r="AG244"/>
  <c r="AI244"/>
  <c r="AK244"/>
  <c r="AM244"/>
  <c r="AO244"/>
  <c r="AQ244"/>
  <c r="AS244"/>
  <c r="AU244"/>
  <c r="AW244"/>
  <c r="AY244"/>
  <c r="BA244"/>
  <c r="BC244"/>
  <c r="BE244"/>
  <c r="BG244"/>
  <c r="M245"/>
  <c r="O245"/>
  <c r="Q245"/>
  <c r="Y245"/>
  <c r="AG245"/>
  <c r="AI245"/>
  <c r="AK245"/>
  <c r="AM245"/>
  <c r="AO245"/>
  <c r="AQ245"/>
  <c r="AS245"/>
  <c r="AU245"/>
  <c r="AW245"/>
  <c r="AY245"/>
  <c r="BA245"/>
  <c r="BC245"/>
  <c r="BE245"/>
  <c r="BG245"/>
  <c r="M246"/>
  <c r="O246"/>
  <c r="Q246"/>
  <c r="Y246"/>
  <c r="AG246"/>
  <c r="AI246"/>
  <c r="AK246"/>
  <c r="AM246"/>
  <c r="AO246"/>
  <c r="AQ246"/>
  <c r="AS246"/>
  <c r="AU246"/>
  <c r="AW246"/>
  <c r="AY246"/>
  <c r="BA246"/>
  <c r="BC246"/>
  <c r="BE246"/>
  <c r="BG246"/>
  <c r="M247"/>
  <c r="O247"/>
  <c r="Q247"/>
  <c r="Y247"/>
  <c r="AG247"/>
  <c r="AI247"/>
  <c r="AK247"/>
  <c r="AM247"/>
  <c r="AO247"/>
  <c r="AQ247"/>
  <c r="AS247"/>
  <c r="AU247"/>
  <c r="AW247"/>
  <c r="AY247"/>
  <c r="BA247"/>
  <c r="BC247"/>
  <c r="BE247"/>
  <c r="BG247"/>
  <c r="M248"/>
  <c r="O248"/>
  <c r="Q248"/>
  <c r="Y248"/>
  <c r="AG248"/>
  <c r="AI248"/>
  <c r="AK248"/>
  <c r="AM248"/>
  <c r="AO248"/>
  <c r="AQ248"/>
  <c r="AS248"/>
  <c r="AU248"/>
  <c r="AW248"/>
  <c r="AY248"/>
  <c r="BA248"/>
  <c r="BC248"/>
  <c r="BE248"/>
  <c r="BG248"/>
  <c r="M249"/>
  <c r="O249"/>
  <c r="Q249"/>
  <c r="Y249"/>
  <c r="AG249"/>
  <c r="AI249"/>
  <c r="AK249"/>
  <c r="AM249"/>
  <c r="AO249"/>
  <c r="AQ249"/>
  <c r="AS249"/>
  <c r="AU249"/>
  <c r="AW249"/>
  <c r="AY249"/>
  <c r="BA249"/>
  <c r="BC249"/>
  <c r="BE249"/>
  <c r="BG249"/>
  <c r="M250"/>
  <c r="O250"/>
  <c r="Q250"/>
  <c r="Y250"/>
  <c r="AG250"/>
  <c r="AI250"/>
  <c r="AK250"/>
  <c r="AM250"/>
  <c r="AO250"/>
  <c r="AQ250"/>
  <c r="AS250"/>
  <c r="AU250"/>
  <c r="AW250"/>
  <c r="AY250"/>
  <c r="BA250"/>
  <c r="BC250"/>
  <c r="BE250"/>
  <c r="BG250"/>
  <c r="M251"/>
  <c r="O251"/>
  <c r="Q251"/>
  <c r="Y251"/>
  <c r="AG251"/>
  <c r="AI251"/>
  <c r="AK251"/>
  <c r="AM251"/>
  <c r="AO251"/>
  <c r="AQ251"/>
  <c r="AS251"/>
  <c r="AU251"/>
  <c r="AW251"/>
  <c r="AY251"/>
  <c r="BA251"/>
  <c r="BC251"/>
  <c r="BE251"/>
  <c r="BG251"/>
  <c r="M252"/>
  <c r="O252"/>
  <c r="Q252"/>
  <c r="Y252"/>
  <c r="AG252"/>
  <c r="AI252"/>
  <c r="AK252"/>
  <c r="AM252"/>
  <c r="AO252"/>
  <c r="AQ252"/>
  <c r="AS252"/>
  <c r="AU252"/>
  <c r="AW252"/>
  <c r="AY252"/>
  <c r="BA252"/>
  <c r="BC252"/>
  <c r="BE252"/>
  <c r="BG252"/>
  <c r="M253"/>
  <c r="O253"/>
  <c r="Q253"/>
  <c r="Y253"/>
  <c r="AG253"/>
  <c r="AI253"/>
  <c r="AK253"/>
  <c r="AM253"/>
  <c r="AO253"/>
  <c r="AQ253"/>
  <c r="AS253"/>
  <c r="AU253"/>
  <c r="AW253"/>
  <c r="AY253"/>
  <c r="BA253"/>
  <c r="BC253"/>
  <c r="BE253"/>
  <c r="BG253"/>
  <c r="M254"/>
  <c r="O254"/>
  <c r="Q254"/>
  <c r="Y254"/>
  <c r="AG254"/>
  <c r="AI254"/>
  <c r="AK254"/>
  <c r="AM254"/>
  <c r="AO254"/>
  <c r="AQ254"/>
  <c r="AS254"/>
  <c r="AU254"/>
  <c r="AW254"/>
  <c r="AY254"/>
  <c r="BA254"/>
  <c r="BC254"/>
  <c r="BE254"/>
  <c r="BG254"/>
  <c r="M255"/>
  <c r="O255"/>
  <c r="Q255"/>
  <c r="Y255"/>
  <c r="AG255"/>
  <c r="AI255"/>
  <c r="AK255"/>
  <c r="AM255"/>
  <c r="AO255"/>
  <c r="AQ255"/>
  <c r="AS255"/>
  <c r="AU255"/>
  <c r="AW255"/>
  <c r="AY255"/>
  <c r="BA255"/>
  <c r="BC255"/>
  <c r="BE255"/>
  <c r="BG255"/>
  <c r="M256"/>
  <c r="O256"/>
  <c r="Q256"/>
  <c r="Y256"/>
  <c r="AG256"/>
  <c r="AI256"/>
  <c r="AK256"/>
  <c r="AM256"/>
  <c r="AN256"/>
  <c r="AQ256"/>
  <c r="AS256"/>
  <c r="AU256"/>
  <c r="AW256"/>
  <c r="AY256"/>
  <c r="BA256"/>
  <c r="BC256"/>
  <c r="BE256"/>
  <c r="BG256"/>
  <c r="M257"/>
  <c r="O257"/>
  <c r="Q257"/>
  <c r="Y257"/>
  <c r="AG257"/>
  <c r="AI257"/>
  <c r="AK257"/>
  <c r="AM257"/>
  <c r="AO257"/>
  <c r="AQ257"/>
  <c r="AS257"/>
  <c r="AU257"/>
  <c r="AW257"/>
  <c r="AY257"/>
  <c r="BA257"/>
  <c r="BC257"/>
  <c r="BE257"/>
  <c r="BG257"/>
  <c r="M258"/>
  <c r="O258"/>
  <c r="Q258"/>
  <c r="Y258"/>
  <c r="AG258"/>
  <c r="AI258"/>
  <c r="AK258"/>
  <c r="AM258"/>
  <c r="AO258"/>
  <c r="AQ258"/>
  <c r="AS258"/>
  <c r="AU258"/>
  <c r="AW258"/>
  <c r="AY258"/>
  <c r="BA258"/>
  <c r="BC258"/>
  <c r="BE258"/>
  <c r="BG258"/>
  <c r="M259"/>
  <c r="O259"/>
  <c r="Q259"/>
  <c r="Y259"/>
  <c r="AG259"/>
  <c r="AI259"/>
  <c r="AK259"/>
  <c r="AM259"/>
  <c r="AO259"/>
  <c r="AQ259"/>
  <c r="AS259"/>
  <c r="AU259"/>
  <c r="AW259"/>
  <c r="AY259"/>
  <c r="BA259"/>
  <c r="BC259"/>
  <c r="BE259"/>
  <c r="BG259"/>
  <c r="M260"/>
  <c r="O260"/>
  <c r="Q260"/>
  <c r="Y260"/>
  <c r="AG260"/>
  <c r="AI260"/>
  <c r="AK260"/>
  <c r="AM260"/>
  <c r="AO260"/>
  <c r="AQ260"/>
  <c r="AS260"/>
  <c r="AU260"/>
  <c r="AW260"/>
  <c r="AY260"/>
  <c r="BA260"/>
  <c r="BC260"/>
  <c r="BE260"/>
  <c r="BG260"/>
  <c r="M261"/>
  <c r="O261"/>
  <c r="Q261"/>
  <c r="Y261"/>
  <c r="AG261"/>
  <c r="AI261"/>
  <c r="AK261"/>
  <c r="AM261"/>
  <c r="AO261"/>
  <c r="AQ261"/>
  <c r="AS261"/>
  <c r="AU261"/>
  <c r="AW261"/>
  <c r="AY261"/>
  <c r="BA261"/>
  <c r="BC261"/>
  <c r="BE261"/>
  <c r="BG261"/>
  <c r="M262"/>
  <c r="O262"/>
  <c r="P262"/>
  <c r="X262"/>
  <c r="AG262"/>
  <c r="AI262"/>
  <c r="AK262"/>
  <c r="AM262"/>
  <c r="AO262"/>
  <c r="AQ262"/>
  <c r="AS262"/>
  <c r="AU262"/>
  <c r="AW262"/>
  <c r="AY262"/>
  <c r="BA262"/>
  <c r="BC262"/>
  <c r="BE262"/>
  <c r="BG262"/>
  <c r="M263"/>
  <c r="O263"/>
  <c r="Q263"/>
  <c r="Y263"/>
  <c r="AG263"/>
  <c r="AI263"/>
  <c r="AK263"/>
  <c r="AM263"/>
  <c r="AO263"/>
  <c r="AQ263"/>
  <c r="AS263"/>
  <c r="AU263"/>
  <c r="AW263"/>
  <c r="AY263"/>
  <c r="BA263"/>
  <c r="BC263"/>
  <c r="BE263"/>
  <c r="BG263"/>
  <c r="M264"/>
  <c r="O264"/>
  <c r="Q264"/>
  <c r="Y264"/>
  <c r="AG264"/>
  <c r="AI264"/>
  <c r="AK264"/>
  <c r="AM264"/>
  <c r="AO264"/>
  <c r="AQ264"/>
  <c r="AS264"/>
  <c r="AU264"/>
  <c r="AW264"/>
  <c r="AY264"/>
  <c r="BA264"/>
  <c r="BC264"/>
  <c r="BE264"/>
  <c r="BG264"/>
  <c r="M265"/>
  <c r="O265"/>
  <c r="Q265"/>
  <c r="Y265"/>
  <c r="AG265"/>
  <c r="AI265"/>
  <c r="AK265"/>
  <c r="AM265"/>
  <c r="AO265"/>
  <c r="AQ265"/>
  <c r="AS265"/>
  <c r="AU265"/>
  <c r="AW265"/>
  <c r="AY265"/>
  <c r="BA265"/>
  <c r="BC265"/>
  <c r="BE265"/>
  <c r="BG265"/>
  <c r="M266"/>
  <c r="O266"/>
  <c r="Q266"/>
  <c r="Y266"/>
  <c r="AG266"/>
  <c r="AI266"/>
  <c r="AK266"/>
  <c r="AM266"/>
  <c r="AO266"/>
  <c r="AQ266"/>
  <c r="AS266"/>
  <c r="AU266"/>
  <c r="AW266"/>
  <c r="AY266"/>
  <c r="BA266"/>
  <c r="BC266"/>
  <c r="BE266"/>
  <c r="BG266"/>
  <c r="M267"/>
  <c r="O267"/>
  <c r="Q267"/>
  <c r="Y267"/>
  <c r="AG267"/>
  <c r="AI267"/>
  <c r="AK267"/>
  <c r="AM267"/>
  <c r="AO267"/>
  <c r="AQ267"/>
  <c r="AS267"/>
  <c r="AU267"/>
  <c r="AW267"/>
  <c r="AY267"/>
  <c r="BA267"/>
  <c r="BC267"/>
  <c r="BE267"/>
  <c r="BG267"/>
  <c r="M268"/>
  <c r="O268"/>
  <c r="Q268"/>
  <c r="Y268"/>
  <c r="AG268"/>
  <c r="AI268"/>
  <c r="AK268"/>
  <c r="AM268"/>
  <c r="AO268"/>
  <c r="AQ268"/>
  <c r="AS268"/>
  <c r="AU268"/>
  <c r="AW268"/>
  <c r="AY268"/>
  <c r="BA268"/>
  <c r="BC268"/>
  <c r="BE268"/>
  <c r="BG268"/>
  <c r="M269"/>
  <c r="O269"/>
  <c r="Q269"/>
  <c r="Y269"/>
  <c r="AG269"/>
  <c r="AI269"/>
  <c r="AK269"/>
  <c r="AM269"/>
  <c r="AO269"/>
  <c r="AQ269"/>
  <c r="AS269"/>
  <c r="AU269"/>
  <c r="AW269"/>
  <c r="AY269"/>
  <c r="BA269"/>
  <c r="BC269"/>
  <c r="BE269"/>
  <c r="BG269"/>
  <c r="M270"/>
  <c r="O270"/>
  <c r="Q270"/>
  <c r="Y270"/>
  <c r="AG270"/>
  <c r="AI270"/>
  <c r="AK270"/>
  <c r="AM270"/>
  <c r="AO270"/>
  <c r="AQ270"/>
  <c r="AS270"/>
  <c r="AU270"/>
  <c r="AW270"/>
  <c r="AY270"/>
  <c r="BA270"/>
  <c r="BC270"/>
  <c r="BE270"/>
  <c r="BG270"/>
  <c r="M271"/>
  <c r="O271"/>
  <c r="Q271"/>
  <c r="Y271"/>
  <c r="AG271"/>
  <c r="AI271"/>
  <c r="AK271"/>
  <c r="AM271"/>
  <c r="AO271"/>
  <c r="AQ271"/>
  <c r="AS271"/>
  <c r="AU271"/>
  <c r="AW271"/>
  <c r="AY271"/>
  <c r="BA271"/>
  <c r="BC271"/>
  <c r="BE271"/>
  <c r="BG271"/>
  <c r="M272"/>
  <c r="O272"/>
  <c r="Y272"/>
  <c r="AG272"/>
  <c r="AI272"/>
  <c r="AK272"/>
  <c r="AM272"/>
  <c r="AO272"/>
  <c r="AQ272"/>
  <c r="AS272"/>
  <c r="AU272"/>
  <c r="AW272"/>
  <c r="AY272"/>
  <c r="BA272"/>
  <c r="BC272"/>
  <c r="BE272"/>
  <c r="BG272"/>
  <c r="M273"/>
  <c r="O273"/>
  <c r="Q273"/>
  <c r="Y273"/>
  <c r="AG273"/>
  <c r="AI273"/>
  <c r="AK273"/>
  <c r="AM273"/>
  <c r="AO273"/>
  <c r="AQ273"/>
  <c r="AS273"/>
  <c r="AU273"/>
  <c r="AW273"/>
  <c r="AY273"/>
  <c r="BA273"/>
  <c r="BC273"/>
  <c r="BE273"/>
  <c r="BG273"/>
  <c r="M274"/>
  <c r="O274"/>
  <c r="Q274"/>
  <c r="Y274"/>
  <c r="AG274"/>
  <c r="AI274"/>
  <c r="AK274"/>
  <c r="AM274"/>
  <c r="AO274"/>
  <c r="AQ274"/>
  <c r="AS274"/>
  <c r="AU274"/>
  <c r="AW274"/>
  <c r="AY274"/>
  <c r="BA274"/>
  <c r="BC274"/>
  <c r="BE274"/>
  <c r="BG274"/>
  <c r="M275"/>
  <c r="O275"/>
  <c r="P275"/>
  <c r="Y275"/>
  <c r="AG275"/>
  <c r="AI275"/>
  <c r="AK275"/>
  <c r="AM275"/>
  <c r="AO275"/>
  <c r="AQ275"/>
  <c r="AS275"/>
  <c r="AU275"/>
  <c r="AW275"/>
  <c r="AY275"/>
  <c r="BA275"/>
  <c r="BC275"/>
  <c r="BE275"/>
  <c r="BG275"/>
  <c r="M276"/>
  <c r="O276"/>
  <c r="P276"/>
  <c r="Y276"/>
  <c r="AG276"/>
  <c r="AI276"/>
  <c r="AK276"/>
  <c r="AM276"/>
  <c r="AO276"/>
  <c r="AQ276"/>
  <c r="AS276"/>
  <c r="AU276"/>
  <c r="AW276"/>
  <c r="AY276"/>
  <c r="BA276"/>
  <c r="BC276"/>
  <c r="BE276"/>
  <c r="BG276"/>
  <c r="P277"/>
  <c r="X277"/>
  <c r="AF277"/>
  <c r="AH277"/>
  <c r="AJ277"/>
  <c r="AL277"/>
  <c r="P278"/>
  <c r="X278"/>
  <c r="AF278"/>
  <c r="AH278"/>
  <c r="P279"/>
  <c r="AF279"/>
  <c r="Q280"/>
  <c r="Y280"/>
  <c r="AI280"/>
  <c r="AJ280"/>
  <c r="BN280" s="1"/>
  <c r="P281"/>
  <c r="X281"/>
  <c r="AJ281"/>
  <c r="AL281"/>
  <c r="M292"/>
  <c r="O292"/>
  <c r="Q292"/>
  <c r="Y292"/>
  <c r="AG292"/>
  <c r="AI292"/>
  <c r="AK292"/>
  <c r="AM292"/>
  <c r="AO292"/>
  <c r="AQ292"/>
  <c r="AS292"/>
  <c r="AU292"/>
  <c r="AW292"/>
  <c r="AY292"/>
  <c r="BA292"/>
  <c r="BC292"/>
  <c r="BE292"/>
  <c r="BG292"/>
  <c r="M293"/>
  <c r="O293"/>
  <c r="Q293"/>
  <c r="Y293"/>
  <c r="AG293"/>
  <c r="AI293"/>
  <c r="AK293"/>
  <c r="AM293"/>
  <c r="AO293"/>
  <c r="AQ293"/>
  <c r="AS293"/>
  <c r="AU293"/>
  <c r="AW293"/>
  <c r="AY293"/>
  <c r="BA293"/>
  <c r="BC293"/>
  <c r="BE293"/>
  <c r="BG293"/>
  <c r="M294"/>
  <c r="O294"/>
  <c r="Q294"/>
  <c r="Y294"/>
  <c r="AG294"/>
  <c r="AI294"/>
  <c r="AK294"/>
  <c r="AM294"/>
  <c r="AO294"/>
  <c r="AQ294"/>
  <c r="AS294"/>
  <c r="AU294"/>
  <c r="AW294"/>
  <c r="AY294"/>
  <c r="BA294"/>
  <c r="BC294"/>
  <c r="BE294"/>
  <c r="BG294"/>
  <c r="M295"/>
  <c r="O295"/>
  <c r="Q295"/>
  <c r="Y295"/>
  <c r="AG295"/>
  <c r="AI295"/>
  <c r="AK295"/>
  <c r="AM295"/>
  <c r="AO295"/>
  <c r="AQ295"/>
  <c r="AS295"/>
  <c r="AU295"/>
  <c r="AW295"/>
  <c r="AY295"/>
  <c r="BA295"/>
  <c r="BC295"/>
  <c r="BE295"/>
  <c r="BG295"/>
  <c r="M296"/>
  <c r="O296"/>
  <c r="Q296"/>
  <c r="Y296"/>
  <c r="AG296"/>
  <c r="AI296"/>
  <c r="AK296"/>
  <c r="AM296"/>
  <c r="AO296"/>
  <c r="AQ296"/>
  <c r="AS296"/>
  <c r="AU296"/>
  <c r="AW296"/>
  <c r="AY296"/>
  <c r="BA296"/>
  <c r="BC296"/>
  <c r="BE296"/>
  <c r="BG296"/>
  <c r="M297"/>
  <c r="O297"/>
  <c r="Q297"/>
  <c r="Y297"/>
  <c r="AG297"/>
  <c r="AI297"/>
  <c r="AK297"/>
  <c r="AM297"/>
  <c r="AO297"/>
  <c r="AQ297"/>
  <c r="AS297"/>
  <c r="AU297"/>
  <c r="AW297"/>
  <c r="AY297"/>
  <c r="BA297"/>
  <c r="BC297"/>
  <c r="BE297"/>
  <c r="BG297"/>
  <c r="M298"/>
  <c r="O298"/>
  <c r="Q298"/>
  <c r="Y298"/>
  <c r="AG298"/>
  <c r="AI298"/>
  <c r="AK298"/>
  <c r="AM298"/>
  <c r="AO298"/>
  <c r="AQ298"/>
  <c r="AS298"/>
  <c r="AU298"/>
  <c r="AW298"/>
  <c r="AY298"/>
  <c r="BA298"/>
  <c r="BC298"/>
  <c r="BE298"/>
  <c r="BG298"/>
  <c r="M299"/>
  <c r="O299"/>
  <c r="Q299"/>
  <c r="Y299"/>
  <c r="AG299"/>
  <c r="AI299"/>
  <c r="AK299"/>
  <c r="AM299"/>
  <c r="AO299"/>
  <c r="AQ299"/>
  <c r="AS299"/>
  <c r="AU299"/>
  <c r="AW299"/>
  <c r="AY299"/>
  <c r="BA299"/>
  <c r="BC299"/>
  <c r="BE299"/>
  <c r="BG299"/>
  <c r="M300"/>
  <c r="O300"/>
  <c r="Q300"/>
  <c r="Y300"/>
  <c r="AG300"/>
  <c r="AI300"/>
  <c r="AK300"/>
  <c r="AM300"/>
  <c r="AO300"/>
  <c r="AQ300"/>
  <c r="AS300"/>
  <c r="AU300"/>
  <c r="AW300"/>
  <c r="AY300"/>
  <c r="BA300"/>
  <c r="BC300"/>
  <c r="BE300"/>
  <c r="BG300"/>
  <c r="M301"/>
  <c r="O301"/>
  <c r="Q301"/>
  <c r="Y301"/>
  <c r="AG301"/>
  <c r="AI301"/>
  <c r="AK301"/>
  <c r="AM301"/>
  <c r="AO301"/>
  <c r="AQ301"/>
  <c r="AS301"/>
  <c r="AU301"/>
  <c r="AW301"/>
  <c r="AY301"/>
  <c r="BA301"/>
  <c r="BC301"/>
  <c r="BE301"/>
  <c r="BG301"/>
  <c r="M302"/>
  <c r="O302"/>
  <c r="Q302"/>
  <c r="Y302"/>
  <c r="AG302"/>
  <c r="AI302"/>
  <c r="AK302"/>
  <c r="AM302"/>
  <c r="AO302"/>
  <c r="AQ302"/>
  <c r="AS302"/>
  <c r="AU302"/>
  <c r="AW302"/>
  <c r="AY302"/>
  <c r="BA302"/>
  <c r="BC302"/>
  <c r="BE302"/>
  <c r="BG302"/>
  <c r="M303"/>
  <c r="O303"/>
  <c r="Q303"/>
  <c r="Y303"/>
  <c r="AG303"/>
  <c r="AI303"/>
  <c r="AK303"/>
  <c r="AM303"/>
  <c r="AO303"/>
  <c r="AQ303"/>
  <c r="AS303"/>
  <c r="AU303"/>
  <c r="AW303"/>
  <c r="AY303"/>
  <c r="BA303"/>
  <c r="BC303"/>
  <c r="BE303"/>
  <c r="BG303"/>
  <c r="M304"/>
  <c r="O304"/>
  <c r="Q304"/>
  <c r="Y304"/>
  <c r="AG304"/>
  <c r="AI304"/>
  <c r="AK304"/>
  <c r="AM304"/>
  <c r="AO304"/>
  <c r="AQ304"/>
  <c r="AS304"/>
  <c r="AU304"/>
  <c r="AW304"/>
  <c r="AY304"/>
  <c r="BA304"/>
  <c r="BC304"/>
  <c r="BE304"/>
  <c r="BG304"/>
  <c r="M305"/>
  <c r="O305"/>
  <c r="Q305"/>
  <c r="Y305"/>
  <c r="AG305"/>
  <c r="AI305"/>
  <c r="AK305"/>
  <c r="AM305"/>
  <c r="AO305"/>
  <c r="AQ305"/>
  <c r="AS305"/>
  <c r="AU305"/>
  <c r="AW305"/>
  <c r="AY305"/>
  <c r="BA305"/>
  <c r="BC305"/>
  <c r="BE305"/>
  <c r="BG305"/>
  <c r="M306"/>
  <c r="O306"/>
  <c r="Q306"/>
  <c r="Y306"/>
  <c r="AG306"/>
  <c r="AI306"/>
  <c r="AK306"/>
  <c r="AM306"/>
  <c r="AO306"/>
  <c r="AQ306"/>
  <c r="AS306"/>
  <c r="AU306"/>
  <c r="AW306"/>
  <c r="AY306"/>
  <c r="BA306"/>
  <c r="BC306"/>
  <c r="BE306"/>
  <c r="BG306"/>
  <c r="M307"/>
  <c r="O307"/>
  <c r="Q307"/>
  <c r="Y307"/>
  <c r="AG307"/>
  <c r="AI307"/>
  <c r="AK307"/>
  <c r="AM307"/>
  <c r="AO307"/>
  <c r="AQ307"/>
  <c r="AS307"/>
  <c r="AU307"/>
  <c r="AW307"/>
  <c r="AY307"/>
  <c r="BA307"/>
  <c r="BC307"/>
  <c r="BE307"/>
  <c r="BG307"/>
  <c r="M308"/>
  <c r="O308"/>
  <c r="Q308"/>
  <c r="Y308"/>
  <c r="AG308"/>
  <c r="AI308"/>
  <c r="AK308"/>
  <c r="AM308"/>
  <c r="AO308"/>
  <c r="AQ308"/>
  <c r="AS308"/>
  <c r="AU308"/>
  <c r="AW308"/>
  <c r="AY308"/>
  <c r="BA308"/>
  <c r="BC308"/>
  <c r="BE308"/>
  <c r="BG308"/>
  <c r="M309"/>
  <c r="O309"/>
  <c r="Q309"/>
  <c r="Y309"/>
  <c r="AG309"/>
  <c r="AI309"/>
  <c r="AK309"/>
  <c r="AM309"/>
  <c r="AO309"/>
  <c r="AQ309"/>
  <c r="AS309"/>
  <c r="AU309"/>
  <c r="AW309"/>
  <c r="AY309"/>
  <c r="BA309"/>
  <c r="BC309"/>
  <c r="BE309"/>
  <c r="BG309"/>
  <c r="M310"/>
  <c r="O310"/>
  <c r="Q310"/>
  <c r="Y310"/>
  <c r="AG310"/>
  <c r="AI310"/>
  <c r="AK310"/>
  <c r="AM310"/>
  <c r="AO310"/>
  <c r="AQ310"/>
  <c r="AS310"/>
  <c r="AU310"/>
  <c r="AW310"/>
  <c r="AY310"/>
  <c r="BA310"/>
  <c r="BC310"/>
  <c r="BE310"/>
  <c r="BG310"/>
  <c r="M311"/>
  <c r="O311"/>
  <c r="Q311"/>
  <c r="Y311"/>
  <c r="AG311"/>
  <c r="AI311"/>
  <c r="AK311"/>
  <c r="AM311"/>
  <c r="AO311"/>
  <c r="AQ311"/>
  <c r="AS311"/>
  <c r="AU311"/>
  <c r="AW311"/>
  <c r="AY311"/>
  <c r="BA311"/>
  <c r="BC311"/>
  <c r="BE311"/>
  <c r="BG311"/>
  <c r="M312"/>
  <c r="O312"/>
  <c r="Q312"/>
  <c r="Y312"/>
  <c r="AG312"/>
  <c r="AI312"/>
  <c r="AK312"/>
  <c r="AM312"/>
  <c r="AO312"/>
  <c r="AQ312"/>
  <c r="AS312"/>
  <c r="AU312"/>
  <c r="AW312"/>
  <c r="AY312"/>
  <c r="BA312"/>
  <c r="BC312"/>
  <c r="BE312"/>
  <c r="BG312"/>
  <c r="M313"/>
  <c r="O313"/>
  <c r="Q313"/>
  <c r="Y313"/>
  <c r="AG313"/>
  <c r="AI313"/>
  <c r="AK313"/>
  <c r="AM313"/>
  <c r="AO313"/>
  <c r="AQ313"/>
  <c r="AS313"/>
  <c r="AU313"/>
  <c r="AW313"/>
  <c r="AY313"/>
  <c r="BA313"/>
  <c r="BC313"/>
  <c r="BE313"/>
  <c r="BG313"/>
  <c r="M314"/>
  <c r="O314"/>
  <c r="Q314"/>
  <c r="Y314"/>
  <c r="AG314"/>
  <c r="AI314"/>
  <c r="AK314"/>
  <c r="AM314"/>
  <c r="AO314"/>
  <c r="AQ314"/>
  <c r="AS314"/>
  <c r="AU314"/>
  <c r="AW314"/>
  <c r="AY314"/>
  <c r="BA314"/>
  <c r="BC314"/>
  <c r="BE314"/>
  <c r="BG314"/>
  <c r="M315"/>
  <c r="O315"/>
  <c r="Q315"/>
  <c r="Y315"/>
  <c r="AG315"/>
  <c r="AI315"/>
  <c r="AK315"/>
  <c r="AM315"/>
  <c r="AO315"/>
  <c r="AQ315"/>
  <c r="AS315"/>
  <c r="AU315"/>
  <c r="AW315"/>
  <c r="AY315"/>
  <c r="BA315"/>
  <c r="BC315"/>
  <c r="BE315"/>
  <c r="BG315"/>
  <c r="M316"/>
  <c r="O316"/>
  <c r="Q316"/>
  <c r="Y316"/>
  <c r="AG316"/>
  <c r="AI316"/>
  <c r="AK316"/>
  <c r="AM316"/>
  <c r="AO316"/>
  <c r="AQ316"/>
  <c r="AS316"/>
  <c r="AU316"/>
  <c r="AW316"/>
  <c r="AY316"/>
  <c r="BA316"/>
  <c r="BC316"/>
  <c r="BE316"/>
  <c r="BG316"/>
  <c r="M317"/>
  <c r="O317"/>
  <c r="Q317"/>
  <c r="Y317"/>
  <c r="AG317"/>
  <c r="AI317"/>
  <c r="AK317"/>
  <c r="AM317"/>
  <c r="AO317"/>
  <c r="AQ317"/>
  <c r="AS317"/>
  <c r="AU317"/>
  <c r="AW317"/>
  <c r="AY317"/>
  <c r="BA317"/>
  <c r="BC317"/>
  <c r="BE317"/>
  <c r="BG317"/>
  <c r="M318"/>
  <c r="O318"/>
  <c r="Q318"/>
  <c r="Y318"/>
  <c r="AG318"/>
  <c r="AI318"/>
  <c r="AK318"/>
  <c r="AM318"/>
  <c r="AO318"/>
  <c r="AQ318"/>
  <c r="AS318"/>
  <c r="AU318"/>
  <c r="AW318"/>
  <c r="AY318"/>
  <c r="BA318"/>
  <c r="BC318"/>
  <c r="BE318"/>
  <c r="BG318"/>
  <c r="M319"/>
  <c r="O319"/>
  <c r="Q319"/>
  <c r="Y319"/>
  <c r="AG319"/>
  <c r="AI319"/>
  <c r="AK319"/>
  <c r="AM319"/>
  <c r="AO319"/>
  <c r="AQ319"/>
  <c r="AS319"/>
  <c r="AU319"/>
  <c r="AW319"/>
  <c r="AY319"/>
  <c r="BA319"/>
  <c r="BC319"/>
  <c r="BE319"/>
  <c r="BG319"/>
  <c r="M320"/>
  <c r="O320"/>
  <c r="Q320"/>
  <c r="Y320"/>
  <c r="AG320"/>
  <c r="AI320"/>
  <c r="AK320"/>
  <c r="AM320"/>
  <c r="AO320"/>
  <c r="AQ320"/>
  <c r="AS320"/>
  <c r="AU320"/>
  <c r="AW320"/>
  <c r="AY320"/>
  <c r="BA320"/>
  <c r="BC320"/>
  <c r="BE320"/>
  <c r="BG320"/>
  <c r="M321"/>
  <c r="O321"/>
  <c r="Q321"/>
  <c r="Y321"/>
  <c r="AG321"/>
  <c r="AI321"/>
  <c r="AK321"/>
  <c r="AM321"/>
  <c r="AO321"/>
  <c r="AQ321"/>
  <c r="AS321"/>
  <c r="AU321"/>
  <c r="AW321"/>
  <c r="AY321"/>
  <c r="BA321"/>
  <c r="BC321"/>
  <c r="BE321"/>
  <c r="BG321"/>
  <c r="M322"/>
  <c r="O322"/>
  <c r="Q322"/>
  <c r="Y322"/>
  <c r="AG322"/>
  <c r="AI322"/>
  <c r="AK322"/>
  <c r="AM322"/>
  <c r="AO322"/>
  <c r="AQ322"/>
  <c r="AS322"/>
  <c r="AU322"/>
  <c r="AW322"/>
  <c r="AY322"/>
  <c r="BA322"/>
  <c r="BC322"/>
  <c r="BE322"/>
  <c r="BG322"/>
  <c r="M323"/>
  <c r="O323"/>
  <c r="Q323"/>
  <c r="Y323"/>
  <c r="AG323"/>
  <c r="AI323"/>
  <c r="AK323"/>
  <c r="AM323"/>
  <c r="AO323"/>
  <c r="AQ323"/>
  <c r="AS323"/>
  <c r="AU323"/>
  <c r="AW323"/>
  <c r="AY323"/>
  <c r="BA323"/>
  <c r="BC323"/>
  <c r="BE323"/>
  <c r="BG323"/>
  <c r="M324"/>
  <c r="O324"/>
  <c r="Q324"/>
  <c r="Y324"/>
  <c r="AG324"/>
  <c r="AI324"/>
  <c r="AK324"/>
  <c r="AM324"/>
  <c r="AO324"/>
  <c r="AQ324"/>
  <c r="AS324"/>
  <c r="AU324"/>
  <c r="AW324"/>
  <c r="AY324"/>
  <c r="BA324"/>
  <c r="BC324"/>
  <c r="BE324"/>
  <c r="BG324"/>
  <c r="M325"/>
  <c r="O325"/>
  <c r="Q325"/>
  <c r="Y325"/>
  <c r="AG325"/>
  <c r="AI325"/>
  <c r="AK325"/>
  <c r="AM325"/>
  <c r="AO325"/>
  <c r="AQ325"/>
  <c r="AS325"/>
  <c r="AU325"/>
  <c r="AW325"/>
  <c r="AY325"/>
  <c r="BA325"/>
  <c r="BC325"/>
  <c r="BE325"/>
  <c r="BG325"/>
  <c r="M326"/>
  <c r="O326"/>
  <c r="Q326"/>
  <c r="Y326"/>
  <c r="AG326"/>
  <c r="AI326"/>
  <c r="AK326"/>
  <c r="AM326"/>
  <c r="AO326"/>
  <c r="AQ326"/>
  <c r="AS326"/>
  <c r="AU326"/>
  <c r="AW326"/>
  <c r="AY326"/>
  <c r="BA326"/>
  <c r="BC326"/>
  <c r="BE326"/>
  <c r="BG326"/>
  <c r="M327"/>
  <c r="O327"/>
  <c r="Q327"/>
  <c r="Y327"/>
  <c r="AG327"/>
  <c r="AI327"/>
  <c r="AK327"/>
  <c r="AM327"/>
  <c r="AO327"/>
  <c r="AQ327"/>
  <c r="AS327"/>
  <c r="AU327"/>
  <c r="AW327"/>
  <c r="AY327"/>
  <c r="BA327"/>
  <c r="BC327"/>
  <c r="BE327"/>
  <c r="BG327"/>
  <c r="M328"/>
  <c r="O328"/>
  <c r="Q328"/>
  <c r="Y328"/>
  <c r="AG328"/>
  <c r="AI328"/>
  <c r="AK328"/>
  <c r="AM328"/>
  <c r="AO328"/>
  <c r="AQ328"/>
  <c r="AS328"/>
  <c r="AU328"/>
  <c r="AW328"/>
  <c r="AY328"/>
  <c r="BA328"/>
  <c r="BC328"/>
  <c r="BE328"/>
  <c r="BG328"/>
  <c r="M329"/>
  <c r="O329"/>
  <c r="Q329"/>
  <c r="Y329"/>
  <c r="AG329"/>
  <c r="AI329"/>
  <c r="AK329"/>
  <c r="AM329"/>
  <c r="AO329"/>
  <c r="AQ329"/>
  <c r="AS329"/>
  <c r="AU329"/>
  <c r="AW329"/>
  <c r="AY329"/>
  <c r="BA329"/>
  <c r="BC329"/>
  <c r="BE329"/>
  <c r="BG329"/>
  <c r="M330"/>
  <c r="O330"/>
  <c r="Y330"/>
  <c r="AG330"/>
  <c r="AI330"/>
  <c r="AK330"/>
  <c r="AM330"/>
  <c r="AO330"/>
  <c r="AQ330"/>
  <c r="AS330"/>
  <c r="AU330"/>
  <c r="AW330"/>
  <c r="AY330"/>
  <c r="BA330"/>
  <c r="BC330"/>
  <c r="BE330"/>
  <c r="BG330"/>
  <c r="M331"/>
  <c r="O331"/>
  <c r="Q331"/>
  <c r="Y331"/>
  <c r="AG331"/>
  <c r="AI331"/>
  <c r="AK331"/>
  <c r="AM331"/>
  <c r="AO331"/>
  <c r="AQ331"/>
  <c r="AS331"/>
  <c r="AU331"/>
  <c r="AW331"/>
  <c r="AY331"/>
  <c r="BA331"/>
  <c r="BC331"/>
  <c r="BE331"/>
  <c r="BG331"/>
  <c r="M332"/>
  <c r="O332"/>
  <c r="Q332"/>
  <c r="Y332"/>
  <c r="AG332"/>
  <c r="AI332"/>
  <c r="AK332"/>
  <c r="AM332"/>
  <c r="AO332"/>
  <c r="AQ332"/>
  <c r="AS332"/>
  <c r="AU332"/>
  <c r="AW332"/>
  <c r="AY332"/>
  <c r="BA332"/>
  <c r="BC332"/>
  <c r="BE332"/>
  <c r="BG332"/>
  <c r="M333"/>
  <c r="O333"/>
  <c r="Q333"/>
  <c r="Y333"/>
  <c r="AG333"/>
  <c r="AI333"/>
  <c r="AK333"/>
  <c r="AM333"/>
  <c r="AO333"/>
  <c r="AQ333"/>
  <c r="AS333"/>
  <c r="AU333"/>
  <c r="AW333"/>
  <c r="AY333"/>
  <c r="BA333"/>
  <c r="BC333"/>
  <c r="BE333"/>
  <c r="BG333"/>
  <c r="M334"/>
  <c r="O334"/>
  <c r="Q334"/>
  <c r="Y334"/>
  <c r="AG334"/>
  <c r="AI334"/>
  <c r="AK334"/>
  <c r="AM334"/>
  <c r="AO334"/>
  <c r="AQ334"/>
  <c r="AS334"/>
  <c r="AU334"/>
  <c r="AW334"/>
  <c r="AY334"/>
  <c r="BA334"/>
  <c r="BC334"/>
  <c r="BE334"/>
  <c r="BG334"/>
  <c r="M350"/>
  <c r="O350"/>
  <c r="Q350"/>
  <c r="Y350"/>
  <c r="AG350"/>
  <c r="AI350"/>
  <c r="AK350"/>
  <c r="AM350"/>
  <c r="AO350"/>
  <c r="AQ350"/>
  <c r="AS350"/>
  <c r="AU350"/>
  <c r="AW350"/>
  <c r="AY350"/>
  <c r="BA350"/>
  <c r="BC350"/>
  <c r="BE350"/>
  <c r="BG350"/>
  <c r="M351"/>
  <c r="O351"/>
  <c r="Q351"/>
  <c r="Y351"/>
  <c r="AG351"/>
  <c r="AI351"/>
  <c r="AK351"/>
  <c r="AM351"/>
  <c r="AO351"/>
  <c r="AQ351"/>
  <c r="AS351"/>
  <c r="AU351"/>
  <c r="AW351"/>
  <c r="AY351"/>
  <c r="BA351"/>
  <c r="BC351"/>
  <c r="BE351"/>
  <c r="BG351"/>
  <c r="M352"/>
  <c r="O352"/>
  <c r="Q352"/>
  <c r="Y352"/>
  <c r="AG352"/>
  <c r="AI352"/>
  <c r="AK352"/>
  <c r="AM352"/>
  <c r="AO352"/>
  <c r="AQ352"/>
  <c r="AS352"/>
  <c r="AU352"/>
  <c r="AW352"/>
  <c r="AY352"/>
  <c r="BA352"/>
  <c r="BC352"/>
  <c r="BE352"/>
  <c r="BG352"/>
  <c r="M353"/>
  <c r="O353"/>
  <c r="Q353"/>
  <c r="Y353"/>
  <c r="AG353"/>
  <c r="AI353"/>
  <c r="AK353"/>
  <c r="AM353"/>
  <c r="AO353"/>
  <c r="AQ353"/>
  <c r="AS353"/>
  <c r="AU353"/>
  <c r="AW353"/>
  <c r="AY353"/>
  <c r="BA353"/>
  <c r="BC353"/>
  <c r="BE353"/>
  <c r="BG353"/>
  <c r="M354"/>
  <c r="O354"/>
  <c r="Q354"/>
  <c r="Y354"/>
  <c r="AG354"/>
  <c r="AI354"/>
  <c r="AK354"/>
  <c r="AM354"/>
  <c r="AO354"/>
  <c r="AQ354"/>
  <c r="AS354"/>
  <c r="AU354"/>
  <c r="AW354"/>
  <c r="AY354"/>
  <c r="BA354"/>
  <c r="BC354"/>
  <c r="BE354"/>
  <c r="BG354"/>
  <c r="M355"/>
  <c r="O355"/>
  <c r="Q355"/>
  <c r="Y355"/>
  <c r="AG355"/>
  <c r="AI355"/>
  <c r="AK355"/>
  <c r="AM355"/>
  <c r="AO355"/>
  <c r="AQ355"/>
  <c r="AS355"/>
  <c r="AU355"/>
  <c r="AW355"/>
  <c r="AY355"/>
  <c r="BA355"/>
  <c r="BC355"/>
  <c r="BE355"/>
  <c r="BG355"/>
  <c r="M356"/>
  <c r="O356"/>
  <c r="Q356"/>
  <c r="Y356"/>
  <c r="AG356"/>
  <c r="AI356"/>
  <c r="AK356"/>
  <c r="AM356"/>
  <c r="AO356"/>
  <c r="AQ356"/>
  <c r="AS356"/>
  <c r="AU356"/>
  <c r="AW356"/>
  <c r="AY356"/>
  <c r="BA356"/>
  <c r="BC356"/>
  <c r="BE356"/>
  <c r="BG356"/>
  <c r="M357"/>
  <c r="O357"/>
  <c r="Q357"/>
  <c r="Y357"/>
  <c r="AG357"/>
  <c r="AI357"/>
  <c r="AK357"/>
  <c r="AM357"/>
  <c r="AO357"/>
  <c r="AQ357"/>
  <c r="AS357"/>
  <c r="AU357"/>
  <c r="AW357"/>
  <c r="AY357"/>
  <c r="BA357"/>
  <c r="BC357"/>
  <c r="BE357"/>
  <c r="BG357"/>
  <c r="M358"/>
  <c r="O358"/>
  <c r="Q358"/>
  <c r="Y358"/>
  <c r="AG358"/>
  <c r="AI358"/>
  <c r="AK358"/>
  <c r="AM358"/>
  <c r="AO358"/>
  <c r="AQ358"/>
  <c r="AS358"/>
  <c r="AU358"/>
  <c r="AW358"/>
  <c r="AY358"/>
  <c r="BA358"/>
  <c r="BC358"/>
  <c r="BE358"/>
  <c r="BG358"/>
  <c r="M359"/>
  <c r="O359"/>
  <c r="Q359"/>
  <c r="Y359"/>
  <c r="AG359"/>
  <c r="AI359"/>
  <c r="AK359"/>
  <c r="AM359"/>
  <c r="AO359"/>
  <c r="AQ359"/>
  <c r="AS359"/>
  <c r="AU359"/>
  <c r="AW359"/>
  <c r="AY359"/>
  <c r="BA359"/>
  <c r="BC359"/>
  <c r="BE359"/>
  <c r="BG359"/>
  <c r="M360"/>
  <c r="O360"/>
  <c r="Q360"/>
  <c r="Y360"/>
  <c r="AG360"/>
  <c r="AI360"/>
  <c r="AK360"/>
  <c r="AM360"/>
  <c r="AO360"/>
  <c r="AQ360"/>
  <c r="AS360"/>
  <c r="AU360"/>
  <c r="AW360"/>
  <c r="AY360"/>
  <c r="BA360"/>
  <c r="BC360"/>
  <c r="BE360"/>
  <c r="BG360"/>
  <c r="M361"/>
  <c r="O361"/>
  <c r="Q361"/>
  <c r="Y361"/>
  <c r="AG361"/>
  <c r="AI361"/>
  <c r="AK361"/>
  <c r="AM361"/>
  <c r="AO361"/>
  <c r="AQ361"/>
  <c r="AS361"/>
  <c r="AU361"/>
  <c r="AW361"/>
  <c r="AY361"/>
  <c r="BA361"/>
  <c r="BC361"/>
  <c r="BE361"/>
  <c r="BG361"/>
  <c r="M362"/>
  <c r="O362"/>
  <c r="Q362"/>
  <c r="Y362"/>
  <c r="AG362"/>
  <c r="AI362"/>
  <c r="AK362"/>
  <c r="AM362"/>
  <c r="AO362"/>
  <c r="AQ362"/>
  <c r="AS362"/>
  <c r="AU362"/>
  <c r="AW362"/>
  <c r="AY362"/>
  <c r="BA362"/>
  <c r="BC362"/>
  <c r="BE362"/>
  <c r="BG362"/>
  <c r="M363"/>
  <c r="O363"/>
  <c r="Q363"/>
  <c r="Y363"/>
  <c r="AG363"/>
  <c r="AI363"/>
  <c r="AK363"/>
  <c r="AM363"/>
  <c r="AO363"/>
  <c r="AQ363"/>
  <c r="AS363"/>
  <c r="AU363"/>
  <c r="AW363"/>
  <c r="AY363"/>
  <c r="BA363"/>
  <c r="BC363"/>
  <c r="BE363"/>
  <c r="BG363"/>
  <c r="M364"/>
  <c r="O364"/>
  <c r="Q364"/>
  <c r="Y364"/>
  <c r="AG364"/>
  <c r="AI364"/>
  <c r="AK364"/>
  <c r="AM364"/>
  <c r="AO364"/>
  <c r="AQ364"/>
  <c r="AS364"/>
  <c r="AU364"/>
  <c r="AW364"/>
  <c r="AY364"/>
  <c r="BA364"/>
  <c r="BC364"/>
  <c r="BE364"/>
  <c r="BG364"/>
  <c r="M365"/>
  <c r="O365"/>
  <c r="Q365"/>
  <c r="Y365"/>
  <c r="AG365"/>
  <c r="AI365"/>
  <c r="AK365"/>
  <c r="AM365"/>
  <c r="AO365"/>
  <c r="AQ365"/>
  <c r="AS365"/>
  <c r="AU365"/>
  <c r="AW365"/>
  <c r="AY365"/>
  <c r="BA365"/>
  <c r="BC365"/>
  <c r="BE365"/>
  <c r="BG365"/>
  <c r="M366"/>
  <c r="O366"/>
  <c r="Q366"/>
  <c r="Y366"/>
  <c r="AG366"/>
  <c r="AI366"/>
  <c r="AK366"/>
  <c r="AM366"/>
  <c r="AO366"/>
  <c r="AQ366"/>
  <c r="AS366"/>
  <c r="AU366"/>
  <c r="AW366"/>
  <c r="AY366"/>
  <c r="BA366"/>
  <c r="BC366"/>
  <c r="BE366"/>
  <c r="BG366"/>
  <c r="M367"/>
  <c r="O367"/>
  <c r="Q367"/>
  <c r="Y367"/>
  <c r="AG367"/>
  <c r="AI367"/>
  <c r="AK367"/>
  <c r="AM367"/>
  <c r="AO367"/>
  <c r="AQ367"/>
  <c r="AS367"/>
  <c r="AU367"/>
  <c r="AW367"/>
  <c r="AY367"/>
  <c r="BA367"/>
  <c r="BC367"/>
  <c r="BE367"/>
  <c r="BG367"/>
  <c r="M368"/>
  <c r="O368"/>
  <c r="Q368"/>
  <c r="Y368"/>
  <c r="AG368"/>
  <c r="AI368"/>
  <c r="AK368"/>
  <c r="AM368"/>
  <c r="AO368"/>
  <c r="AQ368"/>
  <c r="AS368"/>
  <c r="AU368"/>
  <c r="AW368"/>
  <c r="AY368"/>
  <c r="BA368"/>
  <c r="BC368"/>
  <c r="BE368"/>
  <c r="BG368"/>
  <c r="M369"/>
  <c r="O369"/>
  <c r="Q369"/>
  <c r="Y369"/>
  <c r="AG369"/>
  <c r="AI369"/>
  <c r="AK369"/>
  <c r="AM369"/>
  <c r="AO369"/>
  <c r="AQ369"/>
  <c r="AS369"/>
  <c r="AU369"/>
  <c r="AW369"/>
  <c r="AY369"/>
  <c r="BA369"/>
  <c r="BC369"/>
  <c r="BE369"/>
  <c r="BG369"/>
  <c r="M370"/>
  <c r="O370"/>
  <c r="Q370"/>
  <c r="Y370"/>
  <c r="AG370"/>
  <c r="AI370"/>
  <c r="AK370"/>
  <c r="AM370"/>
  <c r="AO370"/>
  <c r="AQ370"/>
  <c r="AS370"/>
  <c r="AU370"/>
  <c r="AW370"/>
  <c r="AY370"/>
  <c r="BA370"/>
  <c r="BC370"/>
  <c r="BE370"/>
  <c r="BG370"/>
  <c r="M371"/>
  <c r="O371"/>
  <c r="Q371"/>
  <c r="Y371"/>
  <c r="AG371"/>
  <c r="AI371"/>
  <c r="AK371"/>
  <c r="AM371"/>
  <c r="AO371"/>
  <c r="AQ371"/>
  <c r="AS371"/>
  <c r="AU371"/>
  <c r="AW371"/>
  <c r="AY371"/>
  <c r="BA371"/>
  <c r="BC371"/>
  <c r="BE371"/>
  <c r="BG371"/>
  <c r="M372"/>
  <c r="O372"/>
  <c r="Q372"/>
  <c r="Y372"/>
  <c r="AG372"/>
  <c r="AI372"/>
  <c r="AK372"/>
  <c r="AM372"/>
  <c r="AO372"/>
  <c r="AQ372"/>
  <c r="AS372"/>
  <c r="AU372"/>
  <c r="AW372"/>
  <c r="AY372"/>
  <c r="BA372"/>
  <c r="BC372"/>
  <c r="BE372"/>
  <c r="BG372"/>
  <c r="M373"/>
  <c r="O373"/>
  <c r="Q373"/>
  <c r="Y373"/>
  <c r="AG373"/>
  <c r="AI373"/>
  <c r="AK373"/>
  <c r="AM373"/>
  <c r="AO373"/>
  <c r="AQ373"/>
  <c r="AS373"/>
  <c r="AU373"/>
  <c r="AW373"/>
  <c r="AY373"/>
  <c r="BA373"/>
  <c r="BC373"/>
  <c r="BE373"/>
  <c r="BG373"/>
  <c r="M374"/>
  <c r="O374"/>
  <c r="Q374"/>
  <c r="Y374"/>
  <c r="AG374"/>
  <c r="AI374"/>
  <c r="AK374"/>
  <c r="AM374"/>
  <c r="AO374"/>
  <c r="AQ374"/>
  <c r="AS374"/>
  <c r="AU374"/>
  <c r="AW374"/>
  <c r="AY374"/>
  <c r="BA374"/>
  <c r="BC374"/>
  <c r="BE374"/>
  <c r="BG374"/>
  <c r="M375"/>
  <c r="O375"/>
  <c r="Q375"/>
  <c r="Y375"/>
  <c r="AG375"/>
  <c r="AI375"/>
  <c r="AK375"/>
  <c r="AM375"/>
  <c r="AO375"/>
  <c r="AQ375"/>
  <c r="AS375"/>
  <c r="AU375"/>
  <c r="AW375"/>
  <c r="AY375"/>
  <c r="BA375"/>
  <c r="BC375"/>
  <c r="BE375"/>
  <c r="BG375"/>
  <c r="M376"/>
  <c r="O376"/>
  <c r="Q376"/>
  <c r="Y376"/>
  <c r="AG376"/>
  <c r="AI376"/>
  <c r="AK376"/>
  <c r="AM376"/>
  <c r="AO376"/>
  <c r="AQ376"/>
  <c r="AS376"/>
  <c r="AU376"/>
  <c r="AW376"/>
  <c r="AY376"/>
  <c r="BA376"/>
  <c r="BC376"/>
  <c r="BE376"/>
  <c r="BG376"/>
  <c r="M377"/>
  <c r="O377"/>
  <c r="Q377"/>
  <c r="Y377"/>
  <c r="AG377"/>
  <c r="AI377"/>
  <c r="AK377"/>
  <c r="AM377"/>
  <c r="AO377"/>
  <c r="AQ377"/>
  <c r="AS377"/>
  <c r="AU377"/>
  <c r="AW377"/>
  <c r="AY377"/>
  <c r="BA377"/>
  <c r="BC377"/>
  <c r="BE377"/>
  <c r="BG377"/>
  <c r="M378"/>
  <c r="O378"/>
  <c r="Q378"/>
  <c r="Y378"/>
  <c r="AG378"/>
  <c r="AI378"/>
  <c r="AK378"/>
  <c r="AM378"/>
  <c r="AO378"/>
  <c r="AQ378"/>
  <c r="AS378"/>
  <c r="AU378"/>
  <c r="AW378"/>
  <c r="AY378"/>
  <c r="BA378"/>
  <c r="BC378"/>
  <c r="BE378"/>
  <c r="BG378"/>
  <c r="M379"/>
  <c r="O379"/>
  <c r="Q379"/>
  <c r="Y379"/>
  <c r="AG379"/>
  <c r="AI379"/>
  <c r="AK379"/>
  <c r="AM379"/>
  <c r="AO379"/>
  <c r="AQ379"/>
  <c r="AS379"/>
  <c r="AU379"/>
  <c r="AW379"/>
  <c r="AY379"/>
  <c r="BA379"/>
  <c r="BC379"/>
  <c r="BE379"/>
  <c r="BG379"/>
  <c r="M380"/>
  <c r="O380"/>
  <c r="Q380"/>
  <c r="Y380"/>
  <c r="AG380"/>
  <c r="AI380"/>
  <c r="AK380"/>
  <c r="AM380"/>
  <c r="AO380"/>
  <c r="AQ380"/>
  <c r="AS380"/>
  <c r="AU380"/>
  <c r="AW380"/>
  <c r="AY380"/>
  <c r="BA380"/>
  <c r="BC380"/>
  <c r="BE380"/>
  <c r="BG380"/>
  <c r="M381"/>
  <c r="O381"/>
  <c r="Q381"/>
  <c r="Y381"/>
  <c r="AG381"/>
  <c r="AI381"/>
  <c r="AK381"/>
  <c r="AM381"/>
  <c r="AO381"/>
  <c r="AQ381"/>
  <c r="AS381"/>
  <c r="AU381"/>
  <c r="AW381"/>
  <c r="AY381"/>
  <c r="BA381"/>
  <c r="BC381"/>
  <c r="BE381"/>
  <c r="BG381"/>
  <c r="M382"/>
  <c r="O382"/>
  <c r="Q382"/>
  <c r="Y382"/>
  <c r="AG382"/>
  <c r="AI382"/>
  <c r="AK382"/>
  <c r="AM382"/>
  <c r="AO382"/>
  <c r="AQ382"/>
  <c r="AS382"/>
  <c r="AU382"/>
  <c r="AW382"/>
  <c r="AY382"/>
  <c r="BA382"/>
  <c r="BC382"/>
  <c r="BE382"/>
  <c r="BG382"/>
  <c r="M383"/>
  <c r="O383"/>
  <c r="Q383"/>
  <c r="Y383"/>
  <c r="AG383"/>
  <c r="AI383"/>
  <c r="AK383"/>
  <c r="AM383"/>
  <c r="AO383"/>
  <c r="AQ383"/>
  <c r="AS383"/>
  <c r="AU383"/>
  <c r="AW383"/>
  <c r="AY383"/>
  <c r="BA383"/>
  <c r="BC383"/>
  <c r="BE383"/>
  <c r="BG383"/>
  <c r="M384"/>
  <c r="O384"/>
  <c r="Q384"/>
  <c r="Y384"/>
  <c r="AG384"/>
  <c r="AI384"/>
  <c r="AK384"/>
  <c r="AM384"/>
  <c r="AO384"/>
  <c r="AQ384"/>
  <c r="AS384"/>
  <c r="AU384"/>
  <c r="AW384"/>
  <c r="AY384"/>
  <c r="BA384"/>
  <c r="BC384"/>
  <c r="BE384"/>
  <c r="BG384"/>
  <c r="M385"/>
  <c r="O385"/>
  <c r="Q385"/>
  <c r="Y385"/>
  <c r="AG385"/>
  <c r="AI385"/>
  <c r="AK385"/>
  <c r="AM385"/>
  <c r="AO385"/>
  <c r="AQ385"/>
  <c r="AS385"/>
  <c r="AU385"/>
  <c r="AW385"/>
  <c r="AY385"/>
  <c r="BA385"/>
  <c r="BC385"/>
  <c r="BE385"/>
  <c r="BG385"/>
  <c r="M386"/>
  <c r="O386"/>
  <c r="P386"/>
  <c r="Y386"/>
  <c r="AG386"/>
  <c r="AI386"/>
  <c r="AK386"/>
  <c r="AM386"/>
  <c r="AO386"/>
  <c r="AQ386"/>
  <c r="AS386"/>
  <c r="AU386"/>
  <c r="AW386"/>
  <c r="AY386"/>
  <c r="BA386"/>
  <c r="BC386"/>
  <c r="BE386"/>
  <c r="BG386"/>
  <c r="M387"/>
  <c r="O387"/>
  <c r="P387"/>
  <c r="Y387"/>
  <c r="AG387"/>
  <c r="AI387"/>
  <c r="AK387"/>
  <c r="AM387"/>
  <c r="AO387"/>
  <c r="AQ387"/>
  <c r="AS387"/>
  <c r="AU387"/>
  <c r="AW387"/>
  <c r="AY387"/>
  <c r="BA387"/>
  <c r="BC387"/>
  <c r="BE387"/>
  <c r="BG387"/>
  <c r="M388"/>
  <c r="O388"/>
  <c r="X388"/>
  <c r="AG388"/>
  <c r="AI388"/>
  <c r="AK388"/>
  <c r="AM388"/>
  <c r="AO388"/>
  <c r="AQ388"/>
  <c r="AS388"/>
  <c r="AU388"/>
  <c r="AW388"/>
  <c r="AY388"/>
  <c r="BA388"/>
  <c r="BC388"/>
  <c r="BE388"/>
  <c r="BG388"/>
  <c r="M389"/>
  <c r="O389"/>
  <c r="P389"/>
  <c r="X389"/>
  <c r="AG389"/>
  <c r="AI389"/>
  <c r="AK389"/>
  <c r="AM389"/>
  <c r="AO389"/>
  <c r="AQ389"/>
  <c r="AS389"/>
  <c r="AU389"/>
  <c r="AW389"/>
  <c r="AY389"/>
  <c r="BA389"/>
  <c r="BC389"/>
  <c r="BE389"/>
  <c r="BG389"/>
  <c r="M390"/>
  <c r="O390"/>
  <c r="P390"/>
  <c r="X390"/>
  <c r="AG390"/>
  <c r="AI390"/>
  <c r="AK390"/>
  <c r="AM390"/>
  <c r="AO390"/>
  <c r="AQ390"/>
  <c r="AS390"/>
  <c r="AU390"/>
  <c r="AW390"/>
  <c r="AY390"/>
  <c r="BA390"/>
  <c r="BC390"/>
  <c r="BE390"/>
  <c r="BG390"/>
  <c r="M391"/>
  <c r="O391"/>
  <c r="P391"/>
  <c r="X391"/>
  <c r="AG391"/>
  <c r="AI391"/>
  <c r="AK391"/>
  <c r="AM391"/>
  <c r="AO391"/>
  <c r="AQ391"/>
  <c r="AS391"/>
  <c r="AU391"/>
  <c r="AW391"/>
  <c r="AY391"/>
  <c r="BA391"/>
  <c r="BC391"/>
  <c r="BE391"/>
  <c r="BG391"/>
  <c r="M392"/>
  <c r="O392"/>
  <c r="P392"/>
  <c r="X392"/>
  <c r="AG392"/>
  <c r="AI392"/>
  <c r="AK392"/>
  <c r="AM392"/>
  <c r="AO392"/>
  <c r="AQ392"/>
  <c r="AS392"/>
  <c r="AU392"/>
  <c r="AW392"/>
  <c r="AY392"/>
  <c r="BA392"/>
  <c r="BC392"/>
  <c r="BE392"/>
  <c r="BG392"/>
  <c r="N393"/>
  <c r="P393"/>
  <c r="R393"/>
  <c r="V393"/>
  <c r="X393"/>
  <c r="Z393"/>
  <c r="AF393"/>
  <c r="AH393"/>
  <c r="N394"/>
  <c r="P394"/>
  <c r="R394"/>
  <c r="V394"/>
  <c r="X394"/>
  <c r="Z394"/>
  <c r="AF394"/>
  <c r="AH394"/>
  <c r="N395"/>
  <c r="P395"/>
  <c r="R395"/>
  <c r="X395"/>
  <c r="Z395"/>
  <c r="AF395"/>
  <c r="AH395"/>
  <c r="N396"/>
  <c r="P396"/>
  <c r="R396"/>
  <c r="X396"/>
  <c r="Z396"/>
  <c r="AF396"/>
  <c r="AH396"/>
  <c r="N397"/>
  <c r="P397"/>
  <c r="R397"/>
  <c r="X397"/>
  <c r="Z397"/>
  <c r="AF397"/>
  <c r="AH397"/>
  <c r="M408"/>
  <c r="O408"/>
  <c r="Q408"/>
  <c r="Y408"/>
  <c r="AG408"/>
  <c r="AI408"/>
  <c r="AK408"/>
  <c r="AM408"/>
  <c r="AO408"/>
  <c r="AQ408"/>
  <c r="AS408"/>
  <c r="AU408"/>
  <c r="AW408"/>
  <c r="AY408"/>
  <c r="BA408"/>
  <c r="BC408"/>
  <c r="BE408"/>
  <c r="BG408"/>
  <c r="M409"/>
  <c r="O409"/>
  <c r="Q409"/>
  <c r="Y409"/>
  <c r="AG409"/>
  <c r="AI409"/>
  <c r="AK409"/>
  <c r="AM409"/>
  <c r="AO409"/>
  <c r="AQ409"/>
  <c r="AS409"/>
  <c r="AU409"/>
  <c r="AW409"/>
  <c r="AY409"/>
  <c r="BA409"/>
  <c r="BC409"/>
  <c r="BE409"/>
  <c r="BG409"/>
  <c r="M410"/>
  <c r="O410"/>
  <c r="Q410"/>
  <c r="Y410"/>
  <c r="AG410"/>
  <c r="AI410"/>
  <c r="AK410"/>
  <c r="AM410"/>
  <c r="AO410"/>
  <c r="AQ410"/>
  <c r="AS410"/>
  <c r="AU410"/>
  <c r="AW410"/>
  <c r="AY410"/>
  <c r="BA410"/>
  <c r="BC410"/>
  <c r="BE410"/>
  <c r="BG410"/>
  <c r="M411"/>
  <c r="O411"/>
  <c r="Q411"/>
  <c r="Y411"/>
  <c r="AG411"/>
  <c r="AI411"/>
  <c r="AK411"/>
  <c r="AM411"/>
  <c r="AO411"/>
  <c r="AQ411"/>
  <c r="AS411"/>
  <c r="AU411"/>
  <c r="AW411"/>
  <c r="AY411"/>
  <c r="BA411"/>
  <c r="BC411"/>
  <c r="BE411"/>
  <c r="BG411"/>
  <c r="M412"/>
  <c r="O412"/>
  <c r="Q412"/>
  <c r="Y412"/>
  <c r="AG412"/>
  <c r="AI412"/>
  <c r="AK412"/>
  <c r="AM412"/>
  <c r="AO412"/>
  <c r="AQ412"/>
  <c r="AS412"/>
  <c r="AU412"/>
  <c r="AW412"/>
  <c r="AY412"/>
  <c r="BA412"/>
  <c r="BC412"/>
  <c r="BE412"/>
  <c r="BG412"/>
  <c r="M413"/>
  <c r="O413"/>
  <c r="Q413"/>
  <c r="Y413"/>
  <c r="AG413"/>
  <c r="AI413"/>
  <c r="AK413"/>
  <c r="AM413"/>
  <c r="AO413"/>
  <c r="AQ413"/>
  <c r="AS413"/>
  <c r="AU413"/>
  <c r="AW413"/>
  <c r="AY413"/>
  <c r="BA413"/>
  <c r="BC413"/>
  <c r="BE413"/>
  <c r="BG413"/>
  <c r="M414"/>
  <c r="O414"/>
  <c r="Q414"/>
  <c r="Y414"/>
  <c r="AG414"/>
  <c r="AI414"/>
  <c r="AK414"/>
  <c r="AM414"/>
  <c r="AO414"/>
  <c r="AQ414"/>
  <c r="AS414"/>
  <c r="AU414"/>
  <c r="AW414"/>
  <c r="AY414"/>
  <c r="BA414"/>
  <c r="BC414"/>
  <c r="BE414"/>
  <c r="BG414"/>
  <c r="M415"/>
  <c r="O415"/>
  <c r="Q415"/>
  <c r="Y415"/>
  <c r="AG415"/>
  <c r="AI415"/>
  <c r="AK415"/>
  <c r="AM415"/>
  <c r="AO415"/>
  <c r="AQ415"/>
  <c r="AS415"/>
  <c r="AU415"/>
  <c r="AW415"/>
  <c r="AY415"/>
  <c r="BA415"/>
  <c r="BC415"/>
  <c r="BE415"/>
  <c r="BG415"/>
  <c r="M416"/>
  <c r="O416"/>
  <c r="Q416"/>
  <c r="Y416"/>
  <c r="AG416"/>
  <c r="AI416"/>
  <c r="AK416"/>
  <c r="AM416"/>
  <c r="AO416"/>
  <c r="AQ416"/>
  <c r="AS416"/>
  <c r="AU416"/>
  <c r="AW416"/>
  <c r="AY416"/>
  <c r="BA416"/>
  <c r="BC416"/>
  <c r="BE416"/>
  <c r="BG416"/>
  <c r="M417"/>
  <c r="O417"/>
  <c r="Q417"/>
  <c r="Y417"/>
  <c r="AG417"/>
  <c r="AI417"/>
  <c r="AK417"/>
  <c r="AM417"/>
  <c r="AO417"/>
  <c r="AQ417"/>
  <c r="AS417"/>
  <c r="AU417"/>
  <c r="AW417"/>
  <c r="AY417"/>
  <c r="BA417"/>
  <c r="BC417"/>
  <c r="BE417"/>
  <c r="BG417"/>
  <c r="M418"/>
  <c r="O418"/>
  <c r="Q418"/>
  <c r="Y418"/>
  <c r="AG418"/>
  <c r="AI418"/>
  <c r="AK418"/>
  <c r="AM418"/>
  <c r="AO418"/>
  <c r="AQ418"/>
  <c r="AS418"/>
  <c r="AU418"/>
  <c r="AW418"/>
  <c r="AY418"/>
  <c r="BA418"/>
  <c r="BC418"/>
  <c r="BE418"/>
  <c r="BG418"/>
  <c r="M419"/>
  <c r="O419"/>
  <c r="Q419"/>
  <c r="Y419"/>
  <c r="AG419"/>
  <c r="AI419"/>
  <c r="AK419"/>
  <c r="AM419"/>
  <c r="AO419"/>
  <c r="AQ419"/>
  <c r="AS419"/>
  <c r="AU419"/>
  <c r="AW419"/>
  <c r="AY419"/>
  <c r="BA419"/>
  <c r="BC419"/>
  <c r="BE419"/>
  <c r="BG419"/>
  <c r="M420"/>
  <c r="O420"/>
  <c r="Q420"/>
  <c r="Y420"/>
  <c r="AG420"/>
  <c r="AI420"/>
  <c r="AK420"/>
  <c r="AM420"/>
  <c r="AO420"/>
  <c r="AQ420"/>
  <c r="AS420"/>
  <c r="AU420"/>
  <c r="AW420"/>
  <c r="AY420"/>
  <c r="BA420"/>
  <c r="BC420"/>
  <c r="BE420"/>
  <c r="BG420"/>
  <c r="M421"/>
  <c r="O421"/>
  <c r="Q421"/>
  <c r="Y421"/>
  <c r="AG421"/>
  <c r="AI421"/>
  <c r="AK421"/>
  <c r="AM421"/>
  <c r="AO421"/>
  <c r="AQ421"/>
  <c r="AS421"/>
  <c r="AU421"/>
  <c r="AW421"/>
  <c r="AY421"/>
  <c r="BA421"/>
  <c r="BC421"/>
  <c r="BE421"/>
  <c r="BG421"/>
  <c r="M422"/>
  <c r="O422"/>
  <c r="Q422"/>
  <c r="Y422"/>
  <c r="AG422"/>
  <c r="AI422"/>
  <c r="AK422"/>
  <c r="AM422"/>
  <c r="AO422"/>
  <c r="AQ422"/>
  <c r="AS422"/>
  <c r="AU422"/>
  <c r="AW422"/>
  <c r="AY422"/>
  <c r="BA422"/>
  <c r="BC422"/>
  <c r="BE422"/>
  <c r="BG422"/>
  <c r="M423"/>
  <c r="O423"/>
  <c r="Q423"/>
  <c r="Y423"/>
  <c r="AG423"/>
  <c r="AI423"/>
  <c r="AK423"/>
  <c r="AM423"/>
  <c r="AO423"/>
  <c r="AQ423"/>
  <c r="AS423"/>
  <c r="AU423"/>
  <c r="AW423"/>
  <c r="AY423"/>
  <c r="BA423"/>
  <c r="BC423"/>
  <c r="BE423"/>
  <c r="BG423"/>
  <c r="M424"/>
  <c r="O424"/>
  <c r="Q424"/>
  <c r="Y424"/>
  <c r="AG424"/>
  <c r="AI424"/>
  <c r="AK424"/>
  <c r="AM424"/>
  <c r="AO424"/>
  <c r="AQ424"/>
  <c r="AS424"/>
  <c r="AU424"/>
  <c r="AW424"/>
  <c r="AY424"/>
  <c r="BA424"/>
  <c r="BC424"/>
  <c r="BE424"/>
  <c r="BG424"/>
  <c r="M425"/>
  <c r="O425"/>
  <c r="Q425"/>
  <c r="Y425"/>
  <c r="AG425"/>
  <c r="AI425"/>
  <c r="AK425"/>
  <c r="AM425"/>
  <c r="AO425"/>
  <c r="AQ425"/>
  <c r="AS425"/>
  <c r="AU425"/>
  <c r="AW425"/>
  <c r="AY425"/>
  <c r="BA425"/>
  <c r="BC425"/>
  <c r="BE425"/>
  <c r="BG425"/>
  <c r="M426"/>
  <c r="O426"/>
  <c r="Q426"/>
  <c r="Y426"/>
  <c r="AG426"/>
  <c r="AI426"/>
  <c r="AK426"/>
  <c r="AM426"/>
  <c r="AO426"/>
  <c r="AQ426"/>
  <c r="AS426"/>
  <c r="AU426"/>
  <c r="AW426"/>
  <c r="AY426"/>
  <c r="BA426"/>
  <c r="BC426"/>
  <c r="BE426"/>
  <c r="BG426"/>
  <c r="M427"/>
  <c r="O427"/>
  <c r="Q427"/>
  <c r="Y427"/>
  <c r="AG427"/>
  <c r="AI427"/>
  <c r="AK427"/>
  <c r="AM427"/>
  <c r="AO427"/>
  <c r="AQ427"/>
  <c r="AS427"/>
  <c r="AU427"/>
  <c r="AW427"/>
  <c r="AY427"/>
  <c r="BA427"/>
  <c r="BC427"/>
  <c r="BE427"/>
  <c r="BG427"/>
  <c r="M428"/>
  <c r="O428"/>
  <c r="Q428"/>
  <c r="Y428"/>
  <c r="AG428"/>
  <c r="AI428"/>
  <c r="AK428"/>
  <c r="AM428"/>
  <c r="AO428"/>
  <c r="AQ428"/>
  <c r="AS428"/>
  <c r="AU428"/>
  <c r="AW428"/>
  <c r="AY428"/>
  <c r="BA428"/>
  <c r="BC428"/>
  <c r="BE428"/>
  <c r="BG428"/>
  <c r="M429"/>
  <c r="O429"/>
  <c r="Q429"/>
  <c r="Y429"/>
  <c r="AG429"/>
  <c r="AI429"/>
  <c r="AK429"/>
  <c r="AM429"/>
  <c r="AO429"/>
  <c r="AQ429"/>
  <c r="AS429"/>
  <c r="AU429"/>
  <c r="AW429"/>
  <c r="AY429"/>
  <c r="BA429"/>
  <c r="BC429"/>
  <c r="BE429"/>
  <c r="BG429"/>
  <c r="M430"/>
  <c r="O430"/>
  <c r="Q430"/>
  <c r="Y430"/>
  <c r="AG430"/>
  <c r="AI430"/>
  <c r="AK430"/>
  <c r="AM430"/>
  <c r="AO430"/>
  <c r="AQ430"/>
  <c r="AS430"/>
  <c r="AU430"/>
  <c r="AW430"/>
  <c r="AY430"/>
  <c r="BA430"/>
  <c r="BC430"/>
  <c r="BE430"/>
  <c r="BG430"/>
  <c r="M431"/>
  <c r="O431"/>
  <c r="Q431"/>
  <c r="Y431"/>
  <c r="AG431"/>
  <c r="AI431"/>
  <c r="AK431"/>
  <c r="AM431"/>
  <c r="AO431"/>
  <c r="AQ431"/>
  <c r="AS431"/>
  <c r="AU431"/>
  <c r="AW431"/>
  <c r="AY431"/>
  <c r="BA431"/>
  <c r="BC431"/>
  <c r="BE431"/>
  <c r="BG431"/>
  <c r="M432"/>
  <c r="O432"/>
  <c r="Q432"/>
  <c r="Y432"/>
  <c r="AG432"/>
  <c r="AI432"/>
  <c r="AK432"/>
  <c r="AM432"/>
  <c r="AO432"/>
  <c r="AQ432"/>
  <c r="AS432"/>
  <c r="AU432"/>
  <c r="AW432"/>
  <c r="AY432"/>
  <c r="BA432"/>
  <c r="BC432"/>
  <c r="BE432"/>
  <c r="BG432"/>
  <c r="M433"/>
  <c r="O433"/>
  <c r="Q433"/>
  <c r="Y433"/>
  <c r="AG433"/>
  <c r="AI433"/>
  <c r="AK433"/>
  <c r="AM433"/>
  <c r="AO433"/>
  <c r="AQ433"/>
  <c r="AS433"/>
  <c r="AU433"/>
  <c r="AW433"/>
  <c r="AY433"/>
  <c r="BA433"/>
  <c r="BC433"/>
  <c r="BE433"/>
  <c r="BG433"/>
  <c r="M434"/>
  <c r="O434"/>
  <c r="Q434"/>
  <c r="Y434"/>
  <c r="AG434"/>
  <c r="AI434"/>
  <c r="AK434"/>
  <c r="AM434"/>
  <c r="AO434"/>
  <c r="AQ434"/>
  <c r="AS434"/>
  <c r="AU434"/>
  <c r="AW434"/>
  <c r="AY434"/>
  <c r="BA434"/>
  <c r="BC434"/>
  <c r="BE434"/>
  <c r="BG434"/>
  <c r="M435"/>
  <c r="O435"/>
  <c r="Q435"/>
  <c r="Y435"/>
  <c r="AG435"/>
  <c r="AI435"/>
  <c r="AK435"/>
  <c r="AM435"/>
  <c r="AO435"/>
  <c r="AQ435"/>
  <c r="AS435"/>
  <c r="AU435"/>
  <c r="AW435"/>
  <c r="AY435"/>
  <c r="BA435"/>
  <c r="BC435"/>
  <c r="BE435"/>
  <c r="BG435"/>
  <c r="M436"/>
  <c r="O436"/>
  <c r="Q436"/>
  <c r="Y436"/>
  <c r="AG436"/>
  <c r="AI436"/>
  <c r="AK436"/>
  <c r="AM436"/>
  <c r="AO436"/>
  <c r="AQ436"/>
  <c r="AS436"/>
  <c r="AU436"/>
  <c r="AW436"/>
  <c r="AY436"/>
  <c r="BA436"/>
  <c r="BC436"/>
  <c r="BE436"/>
  <c r="BG436"/>
  <c r="M437"/>
  <c r="O437"/>
  <c r="Q437"/>
  <c r="Y437"/>
  <c r="AG437"/>
  <c r="AI437"/>
  <c r="AK437"/>
  <c r="AM437"/>
  <c r="AO437"/>
  <c r="AQ437"/>
  <c r="AS437"/>
  <c r="AU437"/>
  <c r="AW437"/>
  <c r="AY437"/>
  <c r="BA437"/>
  <c r="BC437"/>
  <c r="BE437"/>
  <c r="BG437"/>
  <c r="M438"/>
  <c r="O438"/>
  <c r="Q438"/>
  <c r="Y438"/>
  <c r="AG438"/>
  <c r="AI438"/>
  <c r="AK438"/>
  <c r="AM438"/>
  <c r="AO438"/>
  <c r="AQ438"/>
  <c r="AS438"/>
  <c r="AU438"/>
  <c r="AW438"/>
  <c r="AY438"/>
  <c r="BA438"/>
  <c r="BC438"/>
  <c r="BE438"/>
  <c r="BG438"/>
  <c r="M439"/>
  <c r="O439"/>
  <c r="Q439"/>
  <c r="Y439"/>
  <c r="AG439"/>
  <c r="AI439"/>
  <c r="AK439"/>
  <c r="AM439"/>
  <c r="AO439"/>
  <c r="AQ439"/>
  <c r="AS439"/>
  <c r="AU439"/>
  <c r="AW439"/>
  <c r="AY439"/>
  <c r="BA439"/>
  <c r="BC439"/>
  <c r="BE439"/>
  <c r="BG439"/>
  <c r="M440"/>
  <c r="O440"/>
  <c r="Q440"/>
  <c r="Y440"/>
  <c r="AG440"/>
  <c r="AI440"/>
  <c r="AK440"/>
  <c r="AM440"/>
  <c r="AO440"/>
  <c r="AQ440"/>
  <c r="AS440"/>
  <c r="AU440"/>
  <c r="AW440"/>
  <c r="AY440"/>
  <c r="BA440"/>
  <c r="BC440"/>
  <c r="BE440"/>
  <c r="BG440"/>
  <c r="M441"/>
  <c r="O441"/>
  <c r="Q441"/>
  <c r="Y441"/>
  <c r="AG441"/>
  <c r="AI441"/>
  <c r="AK441"/>
  <c r="AM441"/>
  <c r="AO441"/>
  <c r="AQ441"/>
  <c r="AS441"/>
  <c r="AU441"/>
  <c r="AW441"/>
  <c r="AY441"/>
  <c r="BA441"/>
  <c r="BC441"/>
  <c r="BE441"/>
  <c r="BG441"/>
  <c r="M442"/>
  <c r="O442"/>
  <c r="Q442"/>
  <c r="Y442"/>
  <c r="AG442"/>
  <c r="AI442"/>
  <c r="AK442"/>
  <c r="AM442"/>
  <c r="AO442"/>
  <c r="AQ442"/>
  <c r="AS442"/>
  <c r="AU442"/>
  <c r="AW442"/>
  <c r="AY442"/>
  <c r="BA442"/>
  <c r="BC442"/>
  <c r="BE442"/>
  <c r="BG442"/>
  <c r="M443"/>
  <c r="O443"/>
  <c r="Q443"/>
  <c r="Y443"/>
  <c r="AG443"/>
  <c r="AI443"/>
  <c r="AK443"/>
  <c r="AM443"/>
  <c r="AO443"/>
  <c r="AQ443"/>
  <c r="AS443"/>
  <c r="AU443"/>
  <c r="AW443"/>
  <c r="AY443"/>
  <c r="BA443"/>
  <c r="BC443"/>
  <c r="BE443"/>
  <c r="BG443"/>
  <c r="M444"/>
  <c r="O444"/>
  <c r="Q444"/>
  <c r="Y444"/>
  <c r="AG444"/>
  <c r="AI444"/>
  <c r="AK444"/>
  <c r="AM444"/>
  <c r="AO444"/>
  <c r="AQ444"/>
  <c r="AS444"/>
  <c r="AU444"/>
  <c r="AW444"/>
  <c r="AY444"/>
  <c r="BA444"/>
  <c r="BC444"/>
  <c r="BE444"/>
  <c r="BG444"/>
  <c r="M445"/>
  <c r="O445"/>
  <c r="Q445"/>
  <c r="Y445"/>
  <c r="AG445"/>
  <c r="AI445"/>
  <c r="AK445"/>
  <c r="AM445"/>
  <c r="AO445"/>
  <c r="AQ445"/>
  <c r="AS445"/>
  <c r="AU445"/>
  <c r="AW445"/>
  <c r="AY445"/>
  <c r="BA445"/>
  <c r="BC445"/>
  <c r="BE445"/>
  <c r="BG445"/>
  <c r="M446"/>
  <c r="O446"/>
  <c r="Y446"/>
  <c r="AG446"/>
  <c r="AI446"/>
  <c r="AK446"/>
  <c r="AM446"/>
  <c r="AO446"/>
  <c r="AQ446"/>
  <c r="AS446"/>
  <c r="AU446"/>
  <c r="AW446"/>
  <c r="AY446"/>
  <c r="BA446"/>
  <c r="BC446"/>
  <c r="BE446"/>
  <c r="BG446"/>
  <c r="M447"/>
  <c r="O447"/>
  <c r="Q447"/>
  <c r="Y447"/>
  <c r="AG447"/>
  <c r="AI447"/>
  <c r="AK447"/>
  <c r="AM447"/>
  <c r="AO447"/>
  <c r="AQ447"/>
  <c r="AS447"/>
  <c r="AU447"/>
  <c r="AW447"/>
  <c r="AY447"/>
  <c r="BA447"/>
  <c r="BC447"/>
  <c r="BE447"/>
  <c r="BG447"/>
  <c r="M448"/>
  <c r="O448"/>
  <c r="Q448"/>
  <c r="Y448"/>
  <c r="AI448"/>
  <c r="AK448"/>
  <c r="AM448"/>
  <c r="AO448"/>
  <c r="AQ448"/>
  <c r="AS448"/>
  <c r="AU448"/>
  <c r="AW448"/>
  <c r="AY448"/>
  <c r="BA448"/>
  <c r="BC448"/>
  <c r="BE448"/>
  <c r="BG448"/>
  <c r="M449"/>
  <c r="O449"/>
  <c r="P449"/>
  <c r="Y449"/>
  <c r="AI449"/>
  <c r="AK449"/>
  <c r="AM449"/>
  <c r="AO449"/>
  <c r="AQ449"/>
  <c r="AS449"/>
  <c r="AU449"/>
  <c r="AW449"/>
  <c r="AY449"/>
  <c r="BA449"/>
  <c r="BC449"/>
  <c r="BE449"/>
  <c r="BG449"/>
  <c r="M450"/>
  <c r="O450"/>
  <c r="P450"/>
  <c r="Y450"/>
  <c r="AI450"/>
  <c r="AK450"/>
  <c r="AM450"/>
  <c r="AO450"/>
  <c r="AQ450"/>
  <c r="AS450"/>
  <c r="AU450"/>
  <c r="AW450"/>
  <c r="AY450"/>
  <c r="BA450"/>
  <c r="BC450"/>
  <c r="BE450"/>
  <c r="BG450"/>
  <c r="L451"/>
  <c r="N451"/>
  <c r="S451"/>
  <c r="U451"/>
  <c r="W451"/>
  <c r="AA451"/>
  <c r="AC451"/>
  <c r="AB451" s="1"/>
  <c r="AE451"/>
  <c r="AD451" s="1"/>
  <c r="AH451"/>
  <c r="AL451"/>
  <c r="AP451"/>
  <c r="AR451"/>
  <c r="AT451"/>
  <c r="AX451"/>
  <c r="BB451"/>
  <c r="L452"/>
  <c r="N452"/>
  <c r="R452"/>
  <c r="T452"/>
  <c r="V452"/>
  <c r="AA452"/>
  <c r="AC452"/>
  <c r="AB452" s="1"/>
  <c r="AE452"/>
  <c r="AD452" s="1"/>
  <c r="AH452"/>
  <c r="AJ452"/>
  <c r="AL452"/>
  <c r="AP452"/>
  <c r="AT452"/>
  <c r="BB452"/>
  <c r="L453"/>
  <c r="N453"/>
  <c r="S453"/>
  <c r="U453"/>
  <c r="W453"/>
  <c r="AA453"/>
  <c r="AC453"/>
  <c r="AE453"/>
  <c r="AH453"/>
  <c r="AJ453"/>
  <c r="AL453"/>
  <c r="AP453"/>
  <c r="AR453"/>
  <c r="AT453"/>
  <c r="L454"/>
  <c r="N454"/>
  <c r="R454"/>
  <c r="T454"/>
  <c r="V454"/>
  <c r="Z454"/>
  <c r="AB454"/>
  <c r="AD454"/>
  <c r="AH454"/>
  <c r="AJ454"/>
  <c r="AL454"/>
  <c r="AP454"/>
  <c r="AT454"/>
  <c r="BB454"/>
  <c r="L455"/>
  <c r="N455"/>
  <c r="R455"/>
  <c r="T455"/>
  <c r="V455"/>
  <c r="Y455"/>
  <c r="Z455"/>
  <c r="AB455"/>
  <c r="AD455"/>
  <c r="AH455"/>
  <c r="AJ455"/>
  <c r="AL455"/>
  <c r="AP455"/>
  <c r="AR455"/>
  <c r="AT455"/>
  <c r="M466"/>
  <c r="O466"/>
  <c r="Q466"/>
  <c r="Y466"/>
  <c r="AG466"/>
  <c r="AI466"/>
  <c r="AK466"/>
  <c r="AM466"/>
  <c r="AO466"/>
  <c r="AQ466"/>
  <c r="AS466"/>
  <c r="AU466"/>
  <c r="AW466"/>
  <c r="AY466"/>
  <c r="BA466"/>
  <c r="BC466"/>
  <c r="BE466"/>
  <c r="BG466"/>
  <c r="M467"/>
  <c r="O467"/>
  <c r="Q467"/>
  <c r="Y467"/>
  <c r="AG467"/>
  <c r="AI467"/>
  <c r="AK467"/>
  <c r="AM467"/>
  <c r="AO467"/>
  <c r="AQ467"/>
  <c r="AS467"/>
  <c r="AU467"/>
  <c r="AW467"/>
  <c r="AY467"/>
  <c r="BA467"/>
  <c r="BC467"/>
  <c r="BE467"/>
  <c r="BG467"/>
  <c r="M468"/>
  <c r="O468"/>
  <c r="Q468"/>
  <c r="Y468"/>
  <c r="AG468"/>
  <c r="AI468"/>
  <c r="AK468"/>
  <c r="AM468"/>
  <c r="AO468"/>
  <c r="AQ468"/>
  <c r="AS468"/>
  <c r="AU468"/>
  <c r="AW468"/>
  <c r="AY468"/>
  <c r="BA468"/>
  <c r="BC468"/>
  <c r="BE468"/>
  <c r="BG468"/>
  <c r="M469"/>
  <c r="O469"/>
  <c r="Q469"/>
  <c r="Y469"/>
  <c r="AG469"/>
  <c r="AI469"/>
  <c r="AK469"/>
  <c r="AM469"/>
  <c r="AO469"/>
  <c r="AQ469"/>
  <c r="AS469"/>
  <c r="AU469"/>
  <c r="AW469"/>
  <c r="AY469"/>
  <c r="BA469"/>
  <c r="BC469"/>
  <c r="BE469"/>
  <c r="BG469"/>
  <c r="M470"/>
  <c r="O470"/>
  <c r="Q470"/>
  <c r="Y470"/>
  <c r="AG470"/>
  <c r="AI470"/>
  <c r="AK470"/>
  <c r="AM470"/>
  <c r="AO470"/>
  <c r="AQ470"/>
  <c r="AS470"/>
  <c r="AU470"/>
  <c r="AW470"/>
  <c r="AY470"/>
  <c r="BA470"/>
  <c r="BC470"/>
  <c r="BE470"/>
  <c r="BG470"/>
  <c r="M471"/>
  <c r="O471"/>
  <c r="Q471"/>
  <c r="Y471"/>
  <c r="AG471"/>
  <c r="AI471"/>
  <c r="AK471"/>
  <c r="AM471"/>
  <c r="AO471"/>
  <c r="AQ471"/>
  <c r="AS471"/>
  <c r="AU471"/>
  <c r="AW471"/>
  <c r="AY471"/>
  <c r="BA471"/>
  <c r="BC471"/>
  <c r="BE471"/>
  <c r="BG471"/>
  <c r="M472"/>
  <c r="O472"/>
  <c r="Q472"/>
  <c r="Y472"/>
  <c r="AG472"/>
  <c r="AI472"/>
  <c r="AK472"/>
  <c r="AM472"/>
  <c r="AO472"/>
  <c r="AQ472"/>
  <c r="AS472"/>
  <c r="AU472"/>
  <c r="AW472"/>
  <c r="AY472"/>
  <c r="BA472"/>
  <c r="BC472"/>
  <c r="BE472"/>
  <c r="BG472"/>
  <c r="M473"/>
  <c r="O473"/>
  <c r="Q473"/>
  <c r="Y473"/>
  <c r="AG473"/>
  <c r="AI473"/>
  <c r="AK473"/>
  <c r="AM473"/>
  <c r="AO473"/>
  <c r="AQ473"/>
  <c r="AS473"/>
  <c r="AU473"/>
  <c r="AW473"/>
  <c r="AY473"/>
  <c r="BA473"/>
  <c r="BC473"/>
  <c r="BE473"/>
  <c r="BG473"/>
  <c r="M474"/>
  <c r="O474"/>
  <c r="Q474"/>
  <c r="Y474"/>
  <c r="AG474"/>
  <c r="AI474"/>
  <c r="AK474"/>
  <c r="AM474"/>
  <c r="AO474"/>
  <c r="AQ474"/>
  <c r="AS474"/>
  <c r="AU474"/>
  <c r="AW474"/>
  <c r="AY474"/>
  <c r="BA474"/>
  <c r="BC474"/>
  <c r="BE474"/>
  <c r="BG474"/>
  <c r="M475"/>
  <c r="O475"/>
  <c r="Q475"/>
  <c r="Y475"/>
  <c r="AG475"/>
  <c r="AI475"/>
  <c r="AK475"/>
  <c r="AM475"/>
  <c r="AO475"/>
  <c r="AQ475"/>
  <c r="AS475"/>
  <c r="AU475"/>
  <c r="AW475"/>
  <c r="AY475"/>
  <c r="BA475"/>
  <c r="BC475"/>
  <c r="BE475"/>
  <c r="BG475"/>
  <c r="M476"/>
  <c r="O476"/>
  <c r="Q476"/>
  <c r="Y476"/>
  <c r="AG476"/>
  <c r="AI476"/>
  <c r="AK476"/>
  <c r="AM476"/>
  <c r="AO476"/>
  <c r="AQ476"/>
  <c r="AS476"/>
  <c r="AU476"/>
  <c r="AW476"/>
  <c r="AY476"/>
  <c r="BA476"/>
  <c r="BC476"/>
  <c r="BE476"/>
  <c r="BG476"/>
  <c r="M477"/>
  <c r="O477"/>
  <c r="Q477"/>
  <c r="Y477"/>
  <c r="AG477"/>
  <c r="AI477"/>
  <c r="AK477"/>
  <c r="AM477"/>
  <c r="AO477"/>
  <c r="AQ477"/>
  <c r="AS477"/>
  <c r="AU477"/>
  <c r="AW477"/>
  <c r="AY477"/>
  <c r="BA477"/>
  <c r="BC477"/>
  <c r="BE477"/>
  <c r="BG477"/>
  <c r="M478"/>
  <c r="O478"/>
  <c r="Q478"/>
  <c r="Y478"/>
  <c r="AG478"/>
  <c r="AI478"/>
  <c r="AK478"/>
  <c r="AM478"/>
  <c r="AO478"/>
  <c r="AQ478"/>
  <c r="AS478"/>
  <c r="AU478"/>
  <c r="AW478"/>
  <c r="AY478"/>
  <c r="BA478"/>
  <c r="BC478"/>
  <c r="BE478"/>
  <c r="BG478"/>
  <c r="M479"/>
  <c r="O479"/>
  <c r="Q479"/>
  <c r="Y479"/>
  <c r="AG479"/>
  <c r="AI479"/>
  <c r="AK479"/>
  <c r="AM479"/>
  <c r="AO479"/>
  <c r="AQ479"/>
  <c r="AS479"/>
  <c r="AU479"/>
  <c r="AW479"/>
  <c r="AY479"/>
  <c r="BA479"/>
  <c r="BC479"/>
  <c r="BE479"/>
  <c r="BG479"/>
  <c r="M480"/>
  <c r="O480"/>
  <c r="Q480"/>
  <c r="Y480"/>
  <c r="AG480"/>
  <c r="AI480"/>
  <c r="AK480"/>
  <c r="AM480"/>
  <c r="AO480"/>
  <c r="AQ480"/>
  <c r="AS480"/>
  <c r="AU480"/>
  <c r="AW480"/>
  <c r="AY480"/>
  <c r="BA480"/>
  <c r="BC480"/>
  <c r="BE480"/>
  <c r="BG480"/>
  <c r="M481"/>
  <c r="O481"/>
  <c r="Q481"/>
  <c r="Y481"/>
  <c r="AG481"/>
  <c r="AI481"/>
  <c r="AK481"/>
  <c r="AM481"/>
  <c r="AO481"/>
  <c r="AQ481"/>
  <c r="AS481"/>
  <c r="AU481"/>
  <c r="AW481"/>
  <c r="AY481"/>
  <c r="BA481"/>
  <c r="BC481"/>
  <c r="BE481"/>
  <c r="BG481"/>
  <c r="M482"/>
  <c r="O482"/>
  <c r="Q482"/>
  <c r="Y482"/>
  <c r="AG482"/>
  <c r="AI482"/>
  <c r="AK482"/>
  <c r="AM482"/>
  <c r="AO482"/>
  <c r="AQ482"/>
  <c r="AS482"/>
  <c r="AU482"/>
  <c r="AW482"/>
  <c r="AY482"/>
  <c r="BA482"/>
  <c r="BC482"/>
  <c r="BE482"/>
  <c r="BG482"/>
  <c r="M483"/>
  <c r="O483"/>
  <c r="Q483"/>
  <c r="Y483"/>
  <c r="AG483"/>
  <c r="AI483"/>
  <c r="AK483"/>
  <c r="AM483"/>
  <c r="AO483"/>
  <c r="AQ483"/>
  <c r="AS483"/>
  <c r="AU483"/>
  <c r="AW483"/>
  <c r="AY483"/>
  <c r="BA483"/>
  <c r="BC483"/>
  <c r="BE483"/>
  <c r="BG483"/>
  <c r="M484"/>
  <c r="O484"/>
  <c r="Q484"/>
  <c r="Y484"/>
  <c r="AG484"/>
  <c r="AI484"/>
  <c r="AK484"/>
  <c r="AM484"/>
  <c r="AO484"/>
  <c r="AQ484"/>
  <c r="AS484"/>
  <c r="AU484"/>
  <c r="AW484"/>
  <c r="AY484"/>
  <c r="BA484"/>
  <c r="BC484"/>
  <c r="BE484"/>
  <c r="BG484"/>
  <c r="M485"/>
  <c r="O485"/>
  <c r="Q485"/>
  <c r="Y485"/>
  <c r="AG485"/>
  <c r="AI485"/>
  <c r="AK485"/>
  <c r="AM485"/>
  <c r="AO485"/>
  <c r="AQ485"/>
  <c r="AS485"/>
  <c r="AU485"/>
  <c r="AW485"/>
  <c r="AY485"/>
  <c r="BA485"/>
  <c r="BC485"/>
  <c r="BE485"/>
  <c r="BG485"/>
  <c r="M486"/>
  <c r="O486"/>
  <c r="Q486"/>
  <c r="Y486"/>
  <c r="AG486"/>
  <c r="AI486"/>
  <c r="AK486"/>
  <c r="AM486"/>
  <c r="AO486"/>
  <c r="AQ486"/>
  <c r="AS486"/>
  <c r="AU486"/>
  <c r="AW486"/>
  <c r="AY486"/>
  <c r="BA486"/>
  <c r="BC486"/>
  <c r="BE486"/>
  <c r="BG486"/>
  <c r="M487"/>
  <c r="O487"/>
  <c r="Q487"/>
  <c r="Y487"/>
  <c r="AG487"/>
  <c r="AI487"/>
  <c r="AK487"/>
  <c r="AM487"/>
  <c r="AO487"/>
  <c r="AQ487"/>
  <c r="AS487"/>
  <c r="AU487"/>
  <c r="AW487"/>
  <c r="AY487"/>
  <c r="BA487"/>
  <c r="BC487"/>
  <c r="BE487"/>
  <c r="BG487"/>
  <c r="M488"/>
  <c r="O488"/>
  <c r="Q488"/>
  <c r="Y488"/>
  <c r="AG488"/>
  <c r="AI488"/>
  <c r="AK488"/>
  <c r="AM488"/>
  <c r="AO488"/>
  <c r="AQ488"/>
  <c r="AS488"/>
  <c r="AU488"/>
  <c r="AW488"/>
  <c r="AY488"/>
  <c r="BA488"/>
  <c r="BC488"/>
  <c r="BE488"/>
  <c r="BG488"/>
  <c r="M489"/>
  <c r="O489"/>
  <c r="Q489"/>
  <c r="Y489"/>
  <c r="AG489"/>
  <c r="AI489"/>
  <c r="AK489"/>
  <c r="AM489"/>
  <c r="AO489"/>
  <c r="AQ489"/>
  <c r="AS489"/>
  <c r="AU489"/>
  <c r="AW489"/>
  <c r="AY489"/>
  <c r="BA489"/>
  <c r="BC489"/>
  <c r="BE489"/>
  <c r="BG489"/>
  <c r="M490"/>
  <c r="O490"/>
  <c r="Q490"/>
  <c r="Y490"/>
  <c r="AG490"/>
  <c r="AI490"/>
  <c r="AK490"/>
  <c r="AM490"/>
  <c r="AO490"/>
  <c r="AQ490"/>
  <c r="AS490"/>
  <c r="AU490"/>
  <c r="AW490"/>
  <c r="AY490"/>
  <c r="BA490"/>
  <c r="BC490"/>
  <c r="BE490"/>
  <c r="BG490"/>
  <c r="M491"/>
  <c r="O491"/>
  <c r="Q491"/>
  <c r="Y491"/>
  <c r="AG491"/>
  <c r="AI491"/>
  <c r="AK491"/>
  <c r="AM491"/>
  <c r="AO491"/>
  <c r="AQ491"/>
  <c r="AS491"/>
  <c r="AU491"/>
  <c r="AW491"/>
  <c r="AY491"/>
  <c r="BA491"/>
  <c r="BC491"/>
  <c r="BE491"/>
  <c r="BG491"/>
  <c r="M492"/>
  <c r="O492"/>
  <c r="Q492"/>
  <c r="Y492"/>
  <c r="AG492"/>
  <c r="AI492"/>
  <c r="AK492"/>
  <c r="AM492"/>
  <c r="AO492"/>
  <c r="AQ492"/>
  <c r="AS492"/>
  <c r="AU492"/>
  <c r="AW492"/>
  <c r="AY492"/>
  <c r="BA492"/>
  <c r="BC492"/>
  <c r="BE492"/>
  <c r="BG492"/>
  <c r="M493"/>
  <c r="O493"/>
  <c r="Q493"/>
  <c r="Y493"/>
  <c r="AG493"/>
  <c r="AI493"/>
  <c r="AK493"/>
  <c r="AM493"/>
  <c r="AO493"/>
  <c r="AQ493"/>
  <c r="AS493"/>
  <c r="AU493"/>
  <c r="AW493"/>
  <c r="AY493"/>
  <c r="BA493"/>
  <c r="BC493"/>
  <c r="BE493"/>
  <c r="BG493"/>
  <c r="M494"/>
  <c r="O494"/>
  <c r="Q494"/>
  <c r="Y494"/>
  <c r="AG494"/>
  <c r="AI494"/>
  <c r="AK494"/>
  <c r="AM494"/>
  <c r="AO494"/>
  <c r="AQ494"/>
  <c r="AS494"/>
  <c r="AU494"/>
  <c r="AW494"/>
  <c r="AY494"/>
  <c r="BA494"/>
  <c r="BC494"/>
  <c r="BE494"/>
  <c r="BG494"/>
  <c r="M495"/>
  <c r="O495"/>
  <c r="Q495"/>
  <c r="Y495"/>
  <c r="AG495"/>
  <c r="AI495"/>
  <c r="AK495"/>
  <c r="AM495"/>
  <c r="AO495"/>
  <c r="AQ495"/>
  <c r="AS495"/>
  <c r="AU495"/>
  <c r="AW495"/>
  <c r="AY495"/>
  <c r="BA495"/>
  <c r="BC495"/>
  <c r="BE495"/>
  <c r="BG495"/>
  <c r="M496"/>
  <c r="O496"/>
  <c r="Q496"/>
  <c r="Y496"/>
  <c r="AG496"/>
  <c r="AI496"/>
  <c r="AK496"/>
  <c r="AM496"/>
  <c r="AO496"/>
  <c r="AQ496"/>
  <c r="AS496"/>
  <c r="AU496"/>
  <c r="AW496"/>
  <c r="AY496"/>
  <c r="BA496"/>
  <c r="BC496"/>
  <c r="BE496"/>
  <c r="BG496"/>
  <c r="M497"/>
  <c r="O497"/>
  <c r="Q497"/>
  <c r="Y497"/>
  <c r="AG497"/>
  <c r="AI497"/>
  <c r="AK497"/>
  <c r="AM497"/>
  <c r="AO497"/>
  <c r="AQ497"/>
  <c r="AS497"/>
  <c r="AU497"/>
  <c r="AW497"/>
  <c r="AY497"/>
  <c r="BA497"/>
  <c r="BC497"/>
  <c r="BE497"/>
  <c r="BG497"/>
  <c r="M498"/>
  <c r="O498"/>
  <c r="Q498"/>
  <c r="X498"/>
  <c r="AG498"/>
  <c r="AI498"/>
  <c r="AK498"/>
  <c r="AM498"/>
  <c r="AO498"/>
  <c r="AQ498"/>
  <c r="AS498"/>
  <c r="AU498"/>
  <c r="AW498"/>
  <c r="AY498"/>
  <c r="BA498"/>
  <c r="BC498"/>
  <c r="BE498"/>
  <c r="BG498"/>
  <c r="M499"/>
  <c r="O499"/>
  <c r="Q499"/>
  <c r="Y499"/>
  <c r="AG499"/>
  <c r="AI499"/>
  <c r="AK499"/>
  <c r="AM499"/>
  <c r="AO499"/>
  <c r="AQ499"/>
  <c r="AS499"/>
  <c r="AU499"/>
  <c r="AW499"/>
  <c r="AY499"/>
  <c r="BA499"/>
  <c r="BC499"/>
  <c r="BE499"/>
  <c r="BG499"/>
  <c r="M500"/>
  <c r="O500"/>
  <c r="Q500"/>
  <c r="Y500"/>
  <c r="AG500"/>
  <c r="AI500"/>
  <c r="AK500"/>
  <c r="AM500"/>
  <c r="AO500"/>
  <c r="AQ500"/>
  <c r="AS500"/>
  <c r="AU500"/>
  <c r="AW500"/>
  <c r="AY500"/>
  <c r="BA500"/>
  <c r="BC500"/>
  <c r="BE500"/>
  <c r="BG500"/>
  <c r="M501"/>
  <c r="O501"/>
  <c r="Q501"/>
  <c r="X501"/>
  <c r="AG501"/>
  <c r="AI501"/>
  <c r="AK501"/>
  <c r="AM501"/>
  <c r="AO501"/>
  <c r="AQ501"/>
  <c r="AS501"/>
  <c r="AU501"/>
  <c r="AW501"/>
  <c r="AY501"/>
  <c r="BA501"/>
  <c r="BC501"/>
  <c r="BE501"/>
  <c r="BG501"/>
  <c r="J502"/>
  <c r="K502" s="1"/>
  <c r="M502"/>
  <c r="O502"/>
  <c r="Q502"/>
  <c r="X502"/>
  <c r="AG502"/>
  <c r="AI502"/>
  <c r="AK502"/>
  <c r="AM502"/>
  <c r="AO502"/>
  <c r="AQ502"/>
  <c r="AS502"/>
  <c r="AU502"/>
  <c r="AW502"/>
  <c r="AY502"/>
  <c r="BA502"/>
  <c r="BC502"/>
  <c r="BE502"/>
  <c r="BG502"/>
  <c r="M503"/>
  <c r="O503"/>
  <c r="P503"/>
  <c r="X503"/>
  <c r="AG503"/>
  <c r="AI503"/>
  <c r="AK503"/>
  <c r="AM503"/>
  <c r="AO503"/>
  <c r="AQ503"/>
  <c r="AS503"/>
  <c r="AU503"/>
  <c r="AW503"/>
  <c r="AY503"/>
  <c r="BA503"/>
  <c r="BC503"/>
  <c r="BE503"/>
  <c r="BG503"/>
  <c r="M504"/>
  <c r="O504"/>
  <c r="Y504"/>
  <c r="AG504"/>
  <c r="AI504"/>
  <c r="AK504"/>
  <c r="AM504"/>
  <c r="AO504"/>
  <c r="AQ504"/>
  <c r="AS504"/>
  <c r="AU504"/>
  <c r="AW504"/>
  <c r="AY504"/>
  <c r="BA504"/>
  <c r="BC504"/>
  <c r="BE504"/>
  <c r="BG504"/>
  <c r="M505"/>
  <c r="O505"/>
  <c r="Q505"/>
  <c r="Y505"/>
  <c r="AG505"/>
  <c r="AI505"/>
  <c r="AK505"/>
  <c r="AM505"/>
  <c r="AO505"/>
  <c r="AQ505"/>
  <c r="AS505"/>
  <c r="AU505"/>
  <c r="AW505"/>
  <c r="AY505"/>
  <c r="BA505"/>
  <c r="BC505"/>
  <c r="BE505"/>
  <c r="BG505"/>
  <c r="M506"/>
  <c r="O506"/>
  <c r="Q506"/>
  <c r="X506"/>
  <c r="AG506"/>
  <c r="AI506"/>
  <c r="AK506"/>
  <c r="AM506"/>
  <c r="AO506"/>
  <c r="AQ506"/>
  <c r="AS506"/>
  <c r="AU506"/>
  <c r="AW506"/>
  <c r="AY506"/>
  <c r="BA506"/>
  <c r="BC506"/>
  <c r="BE506"/>
  <c r="BG506"/>
  <c r="M507"/>
  <c r="O507"/>
  <c r="Q507"/>
  <c r="Y507"/>
  <c r="AG507"/>
  <c r="AI507"/>
  <c r="AK507"/>
  <c r="AM507"/>
  <c r="AO507"/>
  <c r="AQ507"/>
  <c r="AS507"/>
  <c r="AU507"/>
  <c r="AW507"/>
  <c r="AY507"/>
  <c r="BA507"/>
  <c r="BC507"/>
  <c r="BE507"/>
  <c r="BG507"/>
  <c r="M508"/>
  <c r="O508"/>
  <c r="Q508"/>
  <c r="Y508"/>
  <c r="AG508"/>
  <c r="AI508"/>
  <c r="AK508"/>
  <c r="AM508"/>
  <c r="AO508"/>
  <c r="AQ508"/>
  <c r="AS508"/>
  <c r="AU508"/>
  <c r="AW508"/>
  <c r="AY508"/>
  <c r="BA508"/>
  <c r="BC508"/>
  <c r="BE508"/>
  <c r="BG508"/>
  <c r="M511"/>
  <c r="Q511"/>
  <c r="BC511"/>
  <c r="BQ511" s="1"/>
  <c r="J512"/>
  <c r="K512" s="1"/>
  <c r="M512"/>
  <c r="BO512" s="1"/>
  <c r="M513"/>
  <c r="BO513" s="1"/>
  <c r="M524"/>
  <c r="O524"/>
  <c r="Q524"/>
  <c r="Y524"/>
  <c r="AG524"/>
  <c r="AI524"/>
  <c r="AK524"/>
  <c r="AM524"/>
  <c r="AO524"/>
  <c r="AQ524"/>
  <c r="AS524"/>
  <c r="AU524"/>
  <c r="AW524"/>
  <c r="AY524"/>
  <c r="BA524"/>
  <c r="BC524"/>
  <c r="BE524"/>
  <c r="BG524"/>
  <c r="M525"/>
  <c r="O525"/>
  <c r="Q525"/>
  <c r="Y525"/>
  <c r="AG525"/>
  <c r="AI525"/>
  <c r="AK525"/>
  <c r="AM525"/>
  <c r="AO525"/>
  <c r="AQ525"/>
  <c r="AS525"/>
  <c r="AU525"/>
  <c r="AW525"/>
  <c r="AY525"/>
  <c r="BA525"/>
  <c r="BC525"/>
  <c r="BE525"/>
  <c r="BG525"/>
  <c r="M526"/>
  <c r="O526"/>
  <c r="Q526"/>
  <c r="Y526"/>
  <c r="AG526"/>
  <c r="AI526"/>
  <c r="AK526"/>
  <c r="AM526"/>
  <c r="AO526"/>
  <c r="AQ526"/>
  <c r="AS526"/>
  <c r="AU526"/>
  <c r="AW526"/>
  <c r="AY526"/>
  <c r="BA526"/>
  <c r="BC526"/>
  <c r="BE526"/>
  <c r="BG526"/>
  <c r="M527"/>
  <c r="O527"/>
  <c r="Q527"/>
  <c r="Y527"/>
  <c r="AG527"/>
  <c r="AI527"/>
  <c r="AK527"/>
  <c r="AM527"/>
  <c r="AO527"/>
  <c r="AQ527"/>
  <c r="AS527"/>
  <c r="AU527"/>
  <c r="AW527"/>
  <c r="AY527"/>
  <c r="BA527"/>
  <c r="BC527"/>
  <c r="BE527"/>
  <c r="BG527"/>
  <c r="M528"/>
  <c r="O528"/>
  <c r="Q528"/>
  <c r="Y528"/>
  <c r="AG528"/>
  <c r="AI528"/>
  <c r="AK528"/>
  <c r="AM528"/>
  <c r="AO528"/>
  <c r="AQ528"/>
  <c r="AS528"/>
  <c r="AU528"/>
  <c r="AW528"/>
  <c r="AY528"/>
  <c r="BA528"/>
  <c r="BC528"/>
  <c r="BE528"/>
  <c r="BG528"/>
  <c r="M529"/>
  <c r="O529"/>
  <c r="Q529"/>
  <c r="Y529"/>
  <c r="AG529"/>
  <c r="AI529"/>
  <c r="AK529"/>
  <c r="AM529"/>
  <c r="AO529"/>
  <c r="AQ529"/>
  <c r="AS529"/>
  <c r="AU529"/>
  <c r="AW529"/>
  <c r="AY529"/>
  <c r="BA529"/>
  <c r="BC529"/>
  <c r="BE529"/>
  <c r="BG529"/>
  <c r="M530"/>
  <c r="O530"/>
  <c r="Q530"/>
  <c r="Y530"/>
  <c r="AG530"/>
  <c r="AI530"/>
  <c r="AK530"/>
  <c r="AM530"/>
  <c r="AO530"/>
  <c r="AQ530"/>
  <c r="AS530"/>
  <c r="AU530"/>
  <c r="AW530"/>
  <c r="AY530"/>
  <c r="BA530"/>
  <c r="BC530"/>
  <c r="BE530"/>
  <c r="BG530"/>
  <c r="M531"/>
  <c r="O531"/>
  <c r="Q531"/>
  <c r="Y531"/>
  <c r="AG531"/>
  <c r="AI531"/>
  <c r="AK531"/>
  <c r="AM531"/>
  <c r="AO531"/>
  <c r="AQ531"/>
  <c r="AS531"/>
  <c r="AU531"/>
  <c r="AW531"/>
  <c r="AY531"/>
  <c r="BA531"/>
  <c r="BC531"/>
  <c r="BE531"/>
  <c r="BG531"/>
  <c r="M532"/>
  <c r="O532"/>
  <c r="Q532"/>
  <c r="Y532"/>
  <c r="AG532"/>
  <c r="AI532"/>
  <c r="AK532"/>
  <c r="AM532"/>
  <c r="AO532"/>
  <c r="AQ532"/>
  <c r="AS532"/>
  <c r="AU532"/>
  <c r="AW532"/>
  <c r="AY532"/>
  <c r="BA532"/>
  <c r="BC532"/>
  <c r="BE532"/>
  <c r="BG532"/>
  <c r="M533"/>
  <c r="O533"/>
  <c r="Q533"/>
  <c r="Y533"/>
  <c r="AG533"/>
  <c r="AI533"/>
  <c r="AK533"/>
  <c r="AM533"/>
  <c r="AO533"/>
  <c r="AQ533"/>
  <c r="AS533"/>
  <c r="AU533"/>
  <c r="AW533"/>
  <c r="AY533"/>
  <c r="BA533"/>
  <c r="BC533"/>
  <c r="BE533"/>
  <c r="BG533"/>
  <c r="M534"/>
  <c r="O534"/>
  <c r="Q534"/>
  <c r="Y534"/>
  <c r="AG534"/>
  <c r="AI534"/>
  <c r="AK534"/>
  <c r="AM534"/>
  <c r="AO534"/>
  <c r="AQ534"/>
  <c r="AS534"/>
  <c r="AU534"/>
  <c r="AW534"/>
  <c r="AY534"/>
  <c r="BA534"/>
  <c r="BC534"/>
  <c r="BE534"/>
  <c r="BG534"/>
  <c r="M535"/>
  <c r="O535"/>
  <c r="Q535"/>
  <c r="Y535"/>
  <c r="AG535"/>
  <c r="AI535"/>
  <c r="AK535"/>
  <c r="AM535"/>
  <c r="AO535"/>
  <c r="AQ535"/>
  <c r="AS535"/>
  <c r="AU535"/>
  <c r="AW535"/>
  <c r="AY535"/>
  <c r="BA535"/>
  <c r="BC535"/>
  <c r="BE535"/>
  <c r="BG535"/>
  <c r="M536"/>
  <c r="O536"/>
  <c r="Q536"/>
  <c r="Y536"/>
  <c r="AG536"/>
  <c r="AI536"/>
  <c r="AK536"/>
  <c r="AM536"/>
  <c r="AO536"/>
  <c r="AQ536"/>
  <c r="AS536"/>
  <c r="AU536"/>
  <c r="AW536"/>
  <c r="AY536"/>
  <c r="BA536"/>
  <c r="BC536"/>
  <c r="BE536"/>
  <c r="BG536"/>
  <c r="M537"/>
  <c r="O537"/>
  <c r="Q537"/>
  <c r="Y537"/>
  <c r="AG537"/>
  <c r="AI537"/>
  <c r="AK537"/>
  <c r="AM537"/>
  <c r="AO537"/>
  <c r="AQ537"/>
  <c r="AS537"/>
  <c r="AU537"/>
  <c r="AW537"/>
  <c r="AY537"/>
  <c r="BA537"/>
  <c r="BC537"/>
  <c r="BE537"/>
  <c r="BG537"/>
  <c r="M538"/>
  <c r="O538"/>
  <c r="Q538"/>
  <c r="Y538"/>
  <c r="AG538"/>
  <c r="AI538"/>
  <c r="AK538"/>
  <c r="AM538"/>
  <c r="AO538"/>
  <c r="AQ538"/>
  <c r="AS538"/>
  <c r="AU538"/>
  <c r="AW538"/>
  <c r="AY538"/>
  <c r="BA538"/>
  <c r="BC538"/>
  <c r="BE538"/>
  <c r="BG538"/>
  <c r="M539"/>
  <c r="O539"/>
  <c r="Q539"/>
  <c r="Y539"/>
  <c r="AG539"/>
  <c r="AI539"/>
  <c r="AK539"/>
  <c r="AM539"/>
  <c r="AO539"/>
  <c r="AQ539"/>
  <c r="AS539"/>
  <c r="AU539"/>
  <c r="AW539"/>
  <c r="AY539"/>
  <c r="BA539"/>
  <c r="BC539"/>
  <c r="BE539"/>
  <c r="BG539"/>
  <c r="M540"/>
  <c r="O540"/>
  <c r="Q540"/>
  <c r="Y540"/>
  <c r="AG540"/>
  <c r="AI540"/>
  <c r="AK540"/>
  <c r="AM540"/>
  <c r="AO540"/>
  <c r="AQ540"/>
  <c r="AS540"/>
  <c r="AU540"/>
  <c r="AW540"/>
  <c r="AY540"/>
  <c r="BA540"/>
  <c r="BC540"/>
  <c r="BE540"/>
  <c r="BG540"/>
  <c r="M541"/>
  <c r="O541"/>
  <c r="Q541"/>
  <c r="Y541"/>
  <c r="AG541"/>
  <c r="AI541"/>
  <c r="AK541"/>
  <c r="AM541"/>
  <c r="AO541"/>
  <c r="AQ541"/>
  <c r="AS541"/>
  <c r="AU541"/>
  <c r="AW541"/>
  <c r="AY541"/>
  <c r="BA541"/>
  <c r="BC541"/>
  <c r="BE541"/>
  <c r="BG541"/>
  <c r="M542"/>
  <c r="O542"/>
  <c r="Q542"/>
  <c r="Y542"/>
  <c r="AG542"/>
  <c r="AI542"/>
  <c r="AK542"/>
  <c r="AM542"/>
  <c r="AO542"/>
  <c r="AQ542"/>
  <c r="AS542"/>
  <c r="AU542"/>
  <c r="AW542"/>
  <c r="AY542"/>
  <c r="BA542"/>
  <c r="BC542"/>
  <c r="BE542"/>
  <c r="BG542"/>
  <c r="H543"/>
  <c r="J543"/>
  <c r="M543"/>
  <c r="O543"/>
  <c r="Q543"/>
  <c r="Y543"/>
  <c r="AG543"/>
  <c r="AI543"/>
  <c r="AK543"/>
  <c r="AM543"/>
  <c r="AO543"/>
  <c r="AQ543"/>
  <c r="AS543"/>
  <c r="AU543"/>
  <c r="AW543"/>
  <c r="AY543"/>
  <c r="BA543"/>
  <c r="BC543"/>
  <c r="BE543"/>
  <c r="BG543"/>
  <c r="M544"/>
  <c r="O544"/>
  <c r="Q544"/>
  <c r="Y544"/>
  <c r="AG544"/>
  <c r="AI544"/>
  <c r="AK544"/>
  <c r="AM544"/>
  <c r="AO544"/>
  <c r="AQ544"/>
  <c r="AS544"/>
  <c r="AU544"/>
  <c r="AW544"/>
  <c r="AY544"/>
  <c r="BA544"/>
  <c r="BC544"/>
  <c r="BE544"/>
  <c r="BG544"/>
  <c r="M545"/>
  <c r="O545"/>
  <c r="Q545"/>
  <c r="Y545"/>
  <c r="AG545"/>
  <c r="AI545"/>
  <c r="AK545"/>
  <c r="AM545"/>
  <c r="AO545"/>
  <c r="AQ545"/>
  <c r="AS545"/>
  <c r="AU545"/>
  <c r="AW545"/>
  <c r="AY545"/>
  <c r="BA545"/>
  <c r="BC545"/>
  <c r="BE545"/>
  <c r="BG545"/>
  <c r="M546"/>
  <c r="O546"/>
  <c r="Q546"/>
  <c r="Y546"/>
  <c r="AG546"/>
  <c r="AI546"/>
  <c r="AK546"/>
  <c r="AM546"/>
  <c r="AO546"/>
  <c r="AQ546"/>
  <c r="AS546"/>
  <c r="AU546"/>
  <c r="AW546"/>
  <c r="AY546"/>
  <c r="BA546"/>
  <c r="BC546"/>
  <c r="BE546"/>
  <c r="BG546"/>
  <c r="M547"/>
  <c r="O547"/>
  <c r="Q547"/>
  <c r="Y547"/>
  <c r="AG547"/>
  <c r="AI547"/>
  <c r="AK547"/>
  <c r="AM547"/>
  <c r="AO547"/>
  <c r="AQ547"/>
  <c r="AS547"/>
  <c r="AU547"/>
  <c r="AW547"/>
  <c r="AY547"/>
  <c r="BA547"/>
  <c r="BC547"/>
  <c r="BE547"/>
  <c r="BG547"/>
  <c r="M548"/>
  <c r="O548"/>
  <c r="Q548"/>
  <c r="Y548"/>
  <c r="AG548"/>
  <c r="AI548"/>
  <c r="AK548"/>
  <c r="AM548"/>
  <c r="AO548"/>
  <c r="AQ548"/>
  <c r="AS548"/>
  <c r="AU548"/>
  <c r="AW548"/>
  <c r="AY548"/>
  <c r="BA548"/>
  <c r="BC548"/>
  <c r="BE548"/>
  <c r="BG548"/>
  <c r="M549"/>
  <c r="O549"/>
  <c r="Q549"/>
  <c r="Y549"/>
  <c r="AG549"/>
  <c r="AI549"/>
  <c r="AK549"/>
  <c r="AM549"/>
  <c r="AO549"/>
  <c r="AQ549"/>
  <c r="AS549"/>
  <c r="AU549"/>
  <c r="AW549"/>
  <c r="AY549"/>
  <c r="BA549"/>
  <c r="BC549"/>
  <c r="BE549"/>
  <c r="BG549"/>
  <c r="M550"/>
  <c r="O550"/>
  <c r="Q550"/>
  <c r="Y550"/>
  <c r="AG550"/>
  <c r="AI550"/>
  <c r="AK550"/>
  <c r="AM550"/>
  <c r="AO550"/>
  <c r="AQ550"/>
  <c r="AS550"/>
  <c r="AU550"/>
  <c r="AW550"/>
  <c r="AY550"/>
  <c r="BA550"/>
  <c r="BC550"/>
  <c r="BE550"/>
  <c r="BG550"/>
  <c r="M551"/>
  <c r="O551"/>
  <c r="Q551"/>
  <c r="Y551"/>
  <c r="AG551"/>
  <c r="AI551"/>
  <c r="AK551"/>
  <c r="AM551"/>
  <c r="AO551"/>
  <c r="AQ551"/>
  <c r="AS551"/>
  <c r="AU551"/>
  <c r="AW551"/>
  <c r="AY551"/>
  <c r="BA551"/>
  <c r="BC551"/>
  <c r="BE551"/>
  <c r="BG551"/>
  <c r="M552"/>
  <c r="O552"/>
  <c r="Q552"/>
  <c r="Y552"/>
  <c r="AG552"/>
  <c r="AI552"/>
  <c r="AK552"/>
  <c r="AM552"/>
  <c r="AO552"/>
  <c r="AQ552"/>
  <c r="AS552"/>
  <c r="AU552"/>
  <c r="AW552"/>
  <c r="AY552"/>
  <c r="BA552"/>
  <c r="BC552"/>
  <c r="BE552"/>
  <c r="BG552"/>
  <c r="M553"/>
  <c r="O553"/>
  <c r="Q553"/>
  <c r="Y553"/>
  <c r="AG553"/>
  <c r="AI553"/>
  <c r="AK553"/>
  <c r="AM553"/>
  <c r="AO553"/>
  <c r="AQ553"/>
  <c r="AS553"/>
  <c r="AU553"/>
  <c r="AW553"/>
  <c r="AY553"/>
  <c r="BA553"/>
  <c r="BC553"/>
  <c r="BE553"/>
  <c r="BG553"/>
  <c r="M554"/>
  <c r="O554"/>
  <c r="Q554"/>
  <c r="Y554"/>
  <c r="AG554"/>
  <c r="AI554"/>
  <c r="AK554"/>
  <c r="AM554"/>
  <c r="AO554"/>
  <c r="AQ554"/>
  <c r="AS554"/>
  <c r="AU554"/>
  <c r="AW554"/>
  <c r="AY554"/>
  <c r="BA554"/>
  <c r="BC554"/>
  <c r="BE554"/>
  <c r="BG554"/>
  <c r="M555"/>
  <c r="O555"/>
  <c r="Q555"/>
  <c r="Y555"/>
  <c r="AG555"/>
  <c r="AI555"/>
  <c r="AK555"/>
  <c r="AM555"/>
  <c r="AO555"/>
  <c r="AQ555"/>
  <c r="AS555"/>
  <c r="AU555"/>
  <c r="AW555"/>
  <c r="AY555"/>
  <c r="BA555"/>
  <c r="BC555"/>
  <c r="BE555"/>
  <c r="BG555"/>
  <c r="M556"/>
  <c r="O556"/>
  <c r="Q556"/>
  <c r="Y556"/>
  <c r="AG556"/>
  <c r="AI556"/>
  <c r="AK556"/>
  <c r="AM556"/>
  <c r="AO556"/>
  <c r="AQ556"/>
  <c r="AS556"/>
  <c r="AU556"/>
  <c r="AW556"/>
  <c r="AY556"/>
  <c r="BA556"/>
  <c r="BC556"/>
  <c r="BE556"/>
  <c r="BG556"/>
  <c r="M557"/>
  <c r="O557"/>
  <c r="P557"/>
  <c r="Y557"/>
  <c r="AG557"/>
  <c r="AI557"/>
  <c r="AK557"/>
  <c r="AM557"/>
  <c r="AO557"/>
  <c r="AQ557"/>
  <c r="AS557"/>
  <c r="AU557"/>
  <c r="AW557"/>
  <c r="AY557"/>
  <c r="BA557"/>
  <c r="BC557"/>
  <c r="BE557"/>
  <c r="BG557"/>
  <c r="M558"/>
  <c r="O558"/>
  <c r="Q558"/>
  <c r="Y558"/>
  <c r="AG558"/>
  <c r="AI558"/>
  <c r="AK558"/>
  <c r="AM558"/>
  <c r="AO558"/>
  <c r="AQ558"/>
  <c r="AS558"/>
  <c r="AU558"/>
  <c r="AW558"/>
  <c r="AY558"/>
  <c r="BA558"/>
  <c r="BC558"/>
  <c r="BE558"/>
  <c r="BG558"/>
  <c r="M559"/>
  <c r="O559"/>
  <c r="Q559"/>
  <c r="Y559"/>
  <c r="AG559"/>
  <c r="AI559"/>
  <c r="AK559"/>
  <c r="AM559"/>
  <c r="AO559"/>
  <c r="AQ559"/>
  <c r="AS559"/>
  <c r="AU559"/>
  <c r="AW559"/>
  <c r="AY559"/>
  <c r="BA559"/>
  <c r="BC559"/>
  <c r="BE559"/>
  <c r="BG559"/>
  <c r="M560"/>
  <c r="O560"/>
  <c r="P560"/>
  <c r="X560"/>
  <c r="AG560"/>
  <c r="AI560"/>
  <c r="AK560"/>
  <c r="AM560"/>
  <c r="AO560"/>
  <c r="AQ560"/>
  <c r="AS560"/>
  <c r="AU560"/>
  <c r="AW560"/>
  <c r="AY560"/>
  <c r="BA560"/>
  <c r="BC560"/>
  <c r="BE560"/>
  <c r="BG560"/>
  <c r="M561"/>
  <c r="O561"/>
  <c r="P561"/>
  <c r="X561"/>
  <c r="AG561"/>
  <c r="AI561"/>
  <c r="AK561"/>
  <c r="AM561"/>
  <c r="AO561"/>
  <c r="AQ561"/>
  <c r="AS561"/>
  <c r="AU561"/>
  <c r="AW561"/>
  <c r="AY561"/>
  <c r="BA561"/>
  <c r="BC561"/>
  <c r="BE561"/>
  <c r="BG561"/>
  <c r="M562"/>
  <c r="O562"/>
  <c r="X562"/>
  <c r="AG562"/>
  <c r="AI562"/>
  <c r="AK562"/>
  <c r="AM562"/>
  <c r="AO562"/>
  <c r="AQ562"/>
  <c r="AS562"/>
  <c r="AU562"/>
  <c r="AW562"/>
  <c r="AY562"/>
  <c r="BA562"/>
  <c r="BC562"/>
  <c r="BE562"/>
  <c r="BG562"/>
  <c r="M563"/>
  <c r="O563"/>
  <c r="P563"/>
  <c r="X563"/>
  <c r="AG563"/>
  <c r="AI563"/>
  <c r="AK563"/>
  <c r="AM563"/>
  <c r="AO563"/>
  <c r="AQ563"/>
  <c r="AS563"/>
  <c r="AU563"/>
  <c r="AW563"/>
  <c r="AY563"/>
  <c r="BA563"/>
  <c r="BC563"/>
  <c r="BE563"/>
  <c r="BG563"/>
  <c r="M564"/>
  <c r="O564"/>
  <c r="P564"/>
  <c r="X564"/>
  <c r="AG564"/>
  <c r="AI564"/>
  <c r="AK564"/>
  <c r="AM564"/>
  <c r="AO564"/>
  <c r="AQ564"/>
  <c r="AS564"/>
  <c r="AU564"/>
  <c r="AW564"/>
  <c r="AY564"/>
  <c r="BA564"/>
  <c r="BC564"/>
  <c r="BE564"/>
  <c r="BG564"/>
  <c r="M565"/>
  <c r="O565"/>
  <c r="P565"/>
  <c r="X565"/>
  <c r="AG565"/>
  <c r="AQ565"/>
  <c r="AS565"/>
  <c r="AU565"/>
  <c r="BA565"/>
  <c r="BC565"/>
  <c r="M566"/>
  <c r="O566"/>
  <c r="P566"/>
  <c r="X566"/>
  <c r="AG566"/>
  <c r="AQ566"/>
  <c r="AS566"/>
  <c r="AU566"/>
  <c r="BA566"/>
  <c r="BC566"/>
  <c r="L567"/>
  <c r="N567"/>
  <c r="R567"/>
  <c r="T567"/>
  <c r="V567"/>
  <c r="Z567"/>
  <c r="AB567"/>
  <c r="AD567"/>
  <c r="AP567"/>
  <c r="AR567"/>
  <c r="AT567"/>
  <c r="AZ567"/>
  <c r="BB567"/>
  <c r="L568"/>
  <c r="N568"/>
  <c r="R568"/>
  <c r="T568"/>
  <c r="V568"/>
  <c r="Z568"/>
  <c r="AB568"/>
  <c r="AD568"/>
  <c r="AJ568"/>
  <c r="AP568"/>
  <c r="AR568"/>
  <c r="AT568"/>
  <c r="AZ568"/>
  <c r="BB568"/>
  <c r="L569"/>
  <c r="N569"/>
  <c r="R569"/>
  <c r="T569"/>
  <c r="V569"/>
  <c r="Z569"/>
  <c r="AB569"/>
  <c r="AD569"/>
  <c r="AH569"/>
  <c r="AJ569"/>
  <c r="AP569"/>
  <c r="AR569"/>
  <c r="AT569"/>
  <c r="AZ569"/>
  <c r="BB569"/>
  <c r="L570"/>
  <c r="N570"/>
  <c r="R570"/>
  <c r="T570"/>
  <c r="V570"/>
  <c r="Z570"/>
  <c r="AB570"/>
  <c r="AD570"/>
  <c r="AH570"/>
  <c r="AJ570"/>
  <c r="AP570"/>
  <c r="AR570"/>
  <c r="AT570"/>
  <c r="AZ570"/>
  <c r="BB570"/>
  <c r="L571"/>
  <c r="N571"/>
  <c r="R571"/>
  <c r="T571"/>
  <c r="V571"/>
  <c r="Z571"/>
  <c r="AB571"/>
  <c r="AD571"/>
  <c r="AH571"/>
  <c r="AJ571"/>
  <c r="AP571"/>
  <c r="AR571"/>
  <c r="AZ571"/>
  <c r="BB571"/>
  <c r="M582"/>
  <c r="O582"/>
  <c r="Q582"/>
  <c r="Y582"/>
  <c r="AG582"/>
  <c r="AI582"/>
  <c r="AK582"/>
  <c r="AM582"/>
  <c r="AO582"/>
  <c r="AQ582"/>
  <c r="AS582"/>
  <c r="AU582"/>
  <c r="AW582"/>
  <c r="AY582"/>
  <c r="BA582"/>
  <c r="BC582"/>
  <c r="BE582"/>
  <c r="BG582"/>
  <c r="M583"/>
  <c r="O583"/>
  <c r="Q583"/>
  <c r="Y583"/>
  <c r="AG583"/>
  <c r="AI583"/>
  <c r="AK583"/>
  <c r="AM583"/>
  <c r="AO583"/>
  <c r="AQ583"/>
  <c r="AS583"/>
  <c r="AU583"/>
  <c r="AW583"/>
  <c r="AY583"/>
  <c r="BA583"/>
  <c r="BC583"/>
  <c r="BE583"/>
  <c r="BG583"/>
  <c r="M584"/>
  <c r="O584"/>
  <c r="Q584"/>
  <c r="Y584"/>
  <c r="AG584"/>
  <c r="AI584"/>
  <c r="AK584"/>
  <c r="AM584"/>
  <c r="AO584"/>
  <c r="AQ584"/>
  <c r="AS584"/>
  <c r="AU584"/>
  <c r="AW584"/>
  <c r="AY584"/>
  <c r="BA584"/>
  <c r="BC584"/>
  <c r="BE584"/>
  <c r="BG584"/>
  <c r="M585"/>
  <c r="O585"/>
  <c r="Q585"/>
  <c r="Y585"/>
  <c r="AG585"/>
  <c r="AI585"/>
  <c r="AK585"/>
  <c r="AM585"/>
  <c r="AO585"/>
  <c r="AQ585"/>
  <c r="AS585"/>
  <c r="AU585"/>
  <c r="AW585"/>
  <c r="AY585"/>
  <c r="BA585"/>
  <c r="BC585"/>
  <c r="BE585"/>
  <c r="BG585"/>
  <c r="M586"/>
  <c r="O586"/>
  <c r="Q586"/>
  <c r="Y586"/>
  <c r="AG586"/>
  <c r="AI586"/>
  <c r="AK586"/>
  <c r="AM586"/>
  <c r="AO586"/>
  <c r="AQ586"/>
  <c r="AS586"/>
  <c r="AU586"/>
  <c r="AW586"/>
  <c r="AY586"/>
  <c r="BA586"/>
  <c r="BC586"/>
  <c r="BE586"/>
  <c r="BG586"/>
  <c r="M587"/>
  <c r="O587"/>
  <c r="Q587"/>
  <c r="Y587"/>
  <c r="AG587"/>
  <c r="AI587"/>
  <c r="AK587"/>
  <c r="AM587"/>
  <c r="AO587"/>
  <c r="AQ587"/>
  <c r="AS587"/>
  <c r="AU587"/>
  <c r="AW587"/>
  <c r="AY587"/>
  <c r="BA587"/>
  <c r="BC587"/>
  <c r="BE587"/>
  <c r="BG587"/>
  <c r="M588"/>
  <c r="O588"/>
  <c r="Q588"/>
  <c r="Y588"/>
  <c r="AG588"/>
  <c r="AI588"/>
  <c r="AK588"/>
  <c r="AM588"/>
  <c r="AO588"/>
  <c r="AQ588"/>
  <c r="AS588"/>
  <c r="AU588"/>
  <c r="AW588"/>
  <c r="AY588"/>
  <c r="BA588"/>
  <c r="BC588"/>
  <c r="BE588"/>
  <c r="BG588"/>
  <c r="M589"/>
  <c r="O589"/>
  <c r="Q589"/>
  <c r="Y589"/>
  <c r="AG589"/>
  <c r="AI589"/>
  <c r="AK589"/>
  <c r="AM589"/>
  <c r="AO589"/>
  <c r="AQ589"/>
  <c r="AS589"/>
  <c r="AU589"/>
  <c r="AW589"/>
  <c r="AY589"/>
  <c r="BA589"/>
  <c r="BC589"/>
  <c r="BE589"/>
  <c r="BG589"/>
  <c r="M590"/>
  <c r="O590"/>
  <c r="Q590"/>
  <c r="Y590"/>
  <c r="AG590"/>
  <c r="AI590"/>
  <c r="AK590"/>
  <c r="AM590"/>
  <c r="AO590"/>
  <c r="AQ590"/>
  <c r="AS590"/>
  <c r="AU590"/>
  <c r="AW590"/>
  <c r="AY590"/>
  <c r="BA590"/>
  <c r="BC590"/>
  <c r="BE590"/>
  <c r="BG590"/>
  <c r="M591"/>
  <c r="O591"/>
  <c r="Q591"/>
  <c r="Y591"/>
  <c r="AG591"/>
  <c r="AI591"/>
  <c r="AK591"/>
  <c r="AM591"/>
  <c r="AO591"/>
  <c r="AQ591"/>
  <c r="AS591"/>
  <c r="AU591"/>
  <c r="AW591"/>
  <c r="AY591"/>
  <c r="BA591"/>
  <c r="BC591"/>
  <c r="BE591"/>
  <c r="BG591"/>
  <c r="M592"/>
  <c r="O592"/>
  <c r="Q592"/>
  <c r="Y592"/>
  <c r="AG592"/>
  <c r="AI592"/>
  <c r="AK592"/>
  <c r="AM592"/>
  <c r="AO592"/>
  <c r="AQ592"/>
  <c r="AS592"/>
  <c r="AU592"/>
  <c r="AW592"/>
  <c r="AY592"/>
  <c r="BA592"/>
  <c r="BC592"/>
  <c r="BE592"/>
  <c r="BG592"/>
  <c r="M593"/>
  <c r="O593"/>
  <c r="Q593"/>
  <c r="Y593"/>
  <c r="AG593"/>
  <c r="AI593"/>
  <c r="AK593"/>
  <c r="AM593"/>
  <c r="AO593"/>
  <c r="AQ593"/>
  <c r="AS593"/>
  <c r="AU593"/>
  <c r="AW593"/>
  <c r="AY593"/>
  <c r="BA593"/>
  <c r="BC593"/>
  <c r="BE593"/>
  <c r="BG593"/>
  <c r="M594"/>
  <c r="O594"/>
  <c r="Q594"/>
  <c r="Y594"/>
  <c r="AG594"/>
  <c r="AI594"/>
  <c r="AK594"/>
  <c r="AM594"/>
  <c r="AO594"/>
  <c r="AQ594"/>
  <c r="AS594"/>
  <c r="AU594"/>
  <c r="AW594"/>
  <c r="AY594"/>
  <c r="BA594"/>
  <c r="BC594"/>
  <c r="BE594"/>
  <c r="BG594"/>
  <c r="M595"/>
  <c r="O595"/>
  <c r="Q595"/>
  <c r="Y595"/>
  <c r="AG595"/>
  <c r="AI595"/>
  <c r="AK595"/>
  <c r="AM595"/>
  <c r="AO595"/>
  <c r="AQ595"/>
  <c r="AS595"/>
  <c r="AU595"/>
  <c r="AW595"/>
  <c r="AY595"/>
  <c r="BA595"/>
  <c r="BC595"/>
  <c r="BE595"/>
  <c r="BG595"/>
  <c r="M596"/>
  <c r="O596"/>
  <c r="Q596"/>
  <c r="Y596"/>
  <c r="AG596"/>
  <c r="AI596"/>
  <c r="AK596"/>
  <c r="AM596"/>
  <c r="AO596"/>
  <c r="AQ596"/>
  <c r="AS596"/>
  <c r="AU596"/>
  <c r="AW596"/>
  <c r="AY596"/>
  <c r="BA596"/>
  <c r="BC596"/>
  <c r="BE596"/>
  <c r="BG596"/>
  <c r="M597"/>
  <c r="O597"/>
  <c r="Q597"/>
  <c r="Y597"/>
  <c r="AG597"/>
  <c r="AI597"/>
  <c r="AK597"/>
  <c r="AM597"/>
  <c r="AO597"/>
  <c r="AQ597"/>
  <c r="AS597"/>
  <c r="AU597"/>
  <c r="AW597"/>
  <c r="AY597"/>
  <c r="BA597"/>
  <c r="BC597"/>
  <c r="BE597"/>
  <c r="BG597"/>
  <c r="M598"/>
  <c r="O598"/>
  <c r="Q598"/>
  <c r="Y598"/>
  <c r="AG598"/>
  <c r="AI598"/>
  <c r="AK598"/>
  <c r="AM598"/>
  <c r="AO598"/>
  <c r="AQ598"/>
  <c r="AS598"/>
  <c r="AU598"/>
  <c r="AW598"/>
  <c r="AY598"/>
  <c r="BA598"/>
  <c r="BC598"/>
  <c r="BE598"/>
  <c r="BG598"/>
  <c r="M599"/>
  <c r="O599"/>
  <c r="Q599"/>
  <c r="Y599"/>
  <c r="AG599"/>
  <c r="AI599"/>
  <c r="AK599"/>
  <c r="AM599"/>
  <c r="AO599"/>
  <c r="AQ599"/>
  <c r="AS599"/>
  <c r="AU599"/>
  <c r="AW599"/>
  <c r="AY599"/>
  <c r="BA599"/>
  <c r="BC599"/>
  <c r="BE599"/>
  <c r="BG599"/>
  <c r="M600"/>
  <c r="O600"/>
  <c r="Q600"/>
  <c r="Y600"/>
  <c r="AG600"/>
  <c r="AI600"/>
  <c r="AK600"/>
  <c r="AM600"/>
  <c r="AO600"/>
  <c r="AQ600"/>
  <c r="AS600"/>
  <c r="AU600"/>
  <c r="AW600"/>
  <c r="AY600"/>
  <c r="BA600"/>
  <c r="BC600"/>
  <c r="BE600"/>
  <c r="BG600"/>
  <c r="M601"/>
  <c r="O601"/>
  <c r="Q601"/>
  <c r="Y601"/>
  <c r="AG601"/>
  <c r="AI601"/>
  <c r="AK601"/>
  <c r="AM601"/>
  <c r="AO601"/>
  <c r="AQ601"/>
  <c r="AS601"/>
  <c r="AU601"/>
  <c r="AW601"/>
  <c r="AY601"/>
  <c r="BA601"/>
  <c r="BC601"/>
  <c r="BE601"/>
  <c r="BG601"/>
  <c r="M602"/>
  <c r="O602"/>
  <c r="Q602"/>
  <c r="Y602"/>
  <c r="AG602"/>
  <c r="AI602"/>
  <c r="AK602"/>
  <c r="AM602"/>
  <c r="AO602"/>
  <c r="AQ602"/>
  <c r="AS602"/>
  <c r="AU602"/>
  <c r="AW602"/>
  <c r="AY602"/>
  <c r="BA602"/>
  <c r="BC602"/>
  <c r="BE602"/>
  <c r="BG602"/>
  <c r="M603"/>
  <c r="O603"/>
  <c r="Q603"/>
  <c r="Y603"/>
  <c r="AG603"/>
  <c r="AI603"/>
  <c r="AK603"/>
  <c r="AM603"/>
  <c r="AO603"/>
  <c r="AQ603"/>
  <c r="AS603"/>
  <c r="AU603"/>
  <c r="AW603"/>
  <c r="AY603"/>
  <c r="BA603"/>
  <c r="BC603"/>
  <c r="BE603"/>
  <c r="BG603"/>
  <c r="M604"/>
  <c r="O604"/>
  <c r="Q604"/>
  <c r="Y604"/>
  <c r="AG604"/>
  <c r="AI604"/>
  <c r="AK604"/>
  <c r="AM604"/>
  <c r="AO604"/>
  <c r="AQ604"/>
  <c r="AS604"/>
  <c r="AU604"/>
  <c r="AW604"/>
  <c r="AY604"/>
  <c r="BA604"/>
  <c r="BC604"/>
  <c r="BE604"/>
  <c r="BG604"/>
  <c r="M605"/>
  <c r="O605"/>
  <c r="Q605"/>
  <c r="Y605"/>
  <c r="AG605"/>
  <c r="AI605"/>
  <c r="AK605"/>
  <c r="AM605"/>
  <c r="AO605"/>
  <c r="AQ605"/>
  <c r="AS605"/>
  <c r="AU605"/>
  <c r="AW605"/>
  <c r="AY605"/>
  <c r="BA605"/>
  <c r="BC605"/>
  <c r="BE605"/>
  <c r="BG605"/>
  <c r="M606"/>
  <c r="O606"/>
  <c r="Q606"/>
  <c r="Y606"/>
  <c r="AG606"/>
  <c r="AI606"/>
  <c r="AK606"/>
  <c r="AM606"/>
  <c r="AO606"/>
  <c r="AQ606"/>
  <c r="AS606"/>
  <c r="AU606"/>
  <c r="AW606"/>
  <c r="AY606"/>
  <c r="BA606"/>
  <c r="BC606"/>
  <c r="BE606"/>
  <c r="BG606"/>
  <c r="M607"/>
  <c r="O607"/>
  <c r="Q607"/>
  <c r="Y607"/>
  <c r="AG607"/>
  <c r="AI607"/>
  <c r="AK607"/>
  <c r="AM607"/>
  <c r="AO607"/>
  <c r="AQ607"/>
  <c r="AS607"/>
  <c r="AU607"/>
  <c r="AV607"/>
  <c r="AY607"/>
  <c r="BA607"/>
  <c r="BC607"/>
  <c r="BE607"/>
  <c r="BG607"/>
  <c r="M608"/>
  <c r="O608"/>
  <c r="Q608"/>
  <c r="Y608"/>
  <c r="AG608"/>
  <c r="AI608"/>
  <c r="AK608"/>
  <c r="AM608"/>
  <c r="AO608"/>
  <c r="AQ608"/>
  <c r="AS608"/>
  <c r="AU608"/>
  <c r="AV608"/>
  <c r="AY608"/>
  <c r="BA608"/>
  <c r="BC608"/>
  <c r="BE608"/>
  <c r="BG608"/>
  <c r="M609"/>
  <c r="O609"/>
  <c r="Q609"/>
  <c r="Y609"/>
  <c r="AG609"/>
  <c r="AI609"/>
  <c r="AK609"/>
  <c r="AM609"/>
  <c r="AO609"/>
  <c r="AQ609"/>
  <c r="AS609"/>
  <c r="AU609"/>
  <c r="AV609"/>
  <c r="AY609"/>
  <c r="BA609"/>
  <c r="BC609"/>
  <c r="BE609"/>
  <c r="BG609"/>
  <c r="M610"/>
  <c r="O610"/>
  <c r="Q610"/>
  <c r="Y610"/>
  <c r="AG610"/>
  <c r="AI610"/>
  <c r="AK610"/>
  <c r="AM610"/>
  <c r="AO610"/>
  <c r="AQ610"/>
  <c r="AS610"/>
  <c r="AU610"/>
  <c r="AV610"/>
  <c r="AY610"/>
  <c r="BA610"/>
  <c r="BC610"/>
  <c r="BE610"/>
  <c r="BG610"/>
  <c r="M611"/>
  <c r="O611"/>
  <c r="Q611"/>
  <c r="Y611"/>
  <c r="AG611"/>
  <c r="AI611"/>
  <c r="AK611"/>
  <c r="AM611"/>
  <c r="AO611"/>
  <c r="AQ611"/>
  <c r="AS611"/>
  <c r="AU611"/>
  <c r="AV611"/>
  <c r="AY611"/>
  <c r="BA611"/>
  <c r="BC611"/>
  <c r="BE611"/>
  <c r="BG611"/>
  <c r="M612"/>
  <c r="O612"/>
  <c r="Q612"/>
  <c r="Y612"/>
  <c r="AG612"/>
  <c r="AI612"/>
  <c r="AK612"/>
  <c r="AM612"/>
  <c r="AO612"/>
  <c r="AQ612"/>
  <c r="AS612"/>
  <c r="AU612"/>
  <c r="AV612"/>
  <c r="AY612"/>
  <c r="BA612"/>
  <c r="BC612"/>
  <c r="BE612"/>
  <c r="BG612"/>
  <c r="M613"/>
  <c r="O613"/>
  <c r="Q613"/>
  <c r="Y613"/>
  <c r="AG613"/>
  <c r="AI613"/>
  <c r="AK613"/>
  <c r="AM613"/>
  <c r="AO613"/>
  <c r="AQ613"/>
  <c r="AS613"/>
  <c r="AU613"/>
  <c r="AW613"/>
  <c r="AY613"/>
  <c r="BA613"/>
  <c r="BC613"/>
  <c r="BE613"/>
  <c r="BG613"/>
  <c r="M614"/>
  <c r="O614"/>
  <c r="Q614"/>
  <c r="Y614"/>
  <c r="AG614"/>
  <c r="AI614"/>
  <c r="AK614"/>
  <c r="AM614"/>
  <c r="AO614"/>
  <c r="AQ614"/>
  <c r="AS614"/>
  <c r="AU614"/>
  <c r="AW614"/>
  <c r="AY614"/>
  <c r="BA614"/>
  <c r="BC614"/>
  <c r="BE614"/>
  <c r="BG614"/>
  <c r="M615"/>
  <c r="O615"/>
  <c r="Q615"/>
  <c r="Y615"/>
  <c r="AG615"/>
  <c r="AI615"/>
  <c r="AK615"/>
  <c r="AM615"/>
  <c r="AO615"/>
  <c r="AQ615"/>
  <c r="AS615"/>
  <c r="AU615"/>
  <c r="AW615"/>
  <c r="AY615"/>
  <c r="BA615"/>
  <c r="BC615"/>
  <c r="BE615"/>
  <c r="BG615"/>
  <c r="M616"/>
  <c r="O616"/>
  <c r="Q616"/>
  <c r="Y616"/>
  <c r="AG616"/>
  <c r="AI616"/>
  <c r="AK616"/>
  <c r="AM616"/>
  <c r="AO616"/>
  <c r="AQ616"/>
  <c r="AS616"/>
  <c r="AU616"/>
  <c r="AW616"/>
  <c r="AY616"/>
  <c r="BA616"/>
  <c r="BC616"/>
  <c r="BE616"/>
  <c r="BG616"/>
  <c r="M617"/>
  <c r="O617"/>
  <c r="Q617"/>
  <c r="Y617"/>
  <c r="AG617"/>
  <c r="AI617"/>
  <c r="AK617"/>
  <c r="AM617"/>
  <c r="AO617"/>
  <c r="AQ617"/>
  <c r="AS617"/>
  <c r="AU617"/>
  <c r="AV617"/>
  <c r="AY617"/>
  <c r="BA617"/>
  <c r="BC617"/>
  <c r="BE617"/>
  <c r="BG617"/>
  <c r="I618"/>
  <c r="M618"/>
  <c r="O618"/>
  <c r="Q618"/>
  <c r="Y618"/>
  <c r="AG618"/>
  <c r="AI618"/>
  <c r="AK618"/>
  <c r="AM618"/>
  <c r="AO618"/>
  <c r="AQ618"/>
  <c r="AS618"/>
  <c r="AU618"/>
  <c r="AW618"/>
  <c r="AY618"/>
  <c r="BA618"/>
  <c r="BC618"/>
  <c r="BE618"/>
  <c r="BG618"/>
  <c r="I619"/>
  <c r="M619"/>
  <c r="O619"/>
  <c r="Q619"/>
  <c r="Y619"/>
  <c r="AG619"/>
  <c r="AI619"/>
  <c r="AK619"/>
  <c r="AM619"/>
  <c r="AO619"/>
  <c r="AQ619"/>
  <c r="AS619"/>
  <c r="AU619"/>
  <c r="AW619"/>
  <c r="AY619"/>
  <c r="BA619"/>
  <c r="BC619"/>
  <c r="BE619"/>
  <c r="BG619"/>
  <c r="I620"/>
  <c r="M620"/>
  <c r="O620"/>
  <c r="Y620"/>
  <c r="AG620"/>
  <c r="AI620"/>
  <c r="AK620"/>
  <c r="AM620"/>
  <c r="AO620"/>
  <c r="AQ620"/>
  <c r="AS620"/>
  <c r="AU620"/>
  <c r="AW620"/>
  <c r="AY620"/>
  <c r="BA620"/>
  <c r="BC620"/>
  <c r="BE620"/>
  <c r="BG620"/>
  <c r="I621"/>
  <c r="J621"/>
  <c r="K621" s="1"/>
  <c r="M621"/>
  <c r="O621"/>
  <c r="Q621"/>
  <c r="Y621"/>
  <c r="AG621"/>
  <c r="AI621"/>
  <c r="AK621"/>
  <c r="AM621"/>
  <c r="AO621"/>
  <c r="AQ621"/>
  <c r="AS621"/>
  <c r="AU621"/>
  <c r="AW621"/>
  <c r="AY621"/>
  <c r="BA621"/>
  <c r="BC621"/>
  <c r="BE621"/>
  <c r="BG621"/>
  <c r="I622"/>
  <c r="M622"/>
  <c r="O622"/>
  <c r="Q622"/>
  <c r="Y622"/>
  <c r="AG622"/>
  <c r="AI622"/>
  <c r="AK622"/>
  <c r="AM622"/>
  <c r="AO622"/>
  <c r="AQ622"/>
  <c r="AS622"/>
  <c r="AU622"/>
  <c r="AW622"/>
  <c r="AY622"/>
  <c r="BA622"/>
  <c r="BC622"/>
  <c r="BE622"/>
  <c r="BG622"/>
  <c r="I623"/>
  <c r="M623"/>
  <c r="O623"/>
  <c r="Q623"/>
  <c r="Y623"/>
  <c r="AG623"/>
  <c r="AI623"/>
  <c r="AK623"/>
  <c r="AM623"/>
  <c r="AO623"/>
  <c r="AQ623"/>
  <c r="AS623"/>
  <c r="AU623"/>
  <c r="AW623"/>
  <c r="AY623"/>
  <c r="BA623"/>
  <c r="BC623"/>
  <c r="BE623"/>
  <c r="BG623"/>
  <c r="M624"/>
  <c r="O624"/>
  <c r="Q624"/>
  <c r="Y624"/>
  <c r="AG624"/>
  <c r="AI624"/>
  <c r="AK624"/>
  <c r="AM624"/>
  <c r="AO624"/>
  <c r="AQ624"/>
  <c r="AS624"/>
  <c r="AU624"/>
  <c r="AW624"/>
  <c r="AY624"/>
  <c r="BA624"/>
  <c r="BC624"/>
  <c r="BE624"/>
  <c r="BG624"/>
  <c r="M625"/>
  <c r="O625"/>
  <c r="Q625"/>
  <c r="Y625"/>
  <c r="AG625"/>
  <c r="AI625"/>
  <c r="AK625"/>
  <c r="AM625"/>
  <c r="BE625"/>
  <c r="L626"/>
  <c r="N626"/>
  <c r="P626"/>
  <c r="X626"/>
  <c r="AF626"/>
  <c r="AJ626"/>
  <c r="AL626"/>
  <c r="I627"/>
  <c r="L627"/>
  <c r="N627"/>
  <c r="P627"/>
  <c r="Q627" s="1"/>
  <c r="X627"/>
  <c r="Y627" s="1"/>
  <c r="AF627"/>
  <c r="AG627" s="1"/>
  <c r="AH627"/>
  <c r="AI627" s="1"/>
  <c r="AJ627"/>
  <c r="AK627" s="1"/>
  <c r="AL627"/>
  <c r="AM627" s="1"/>
  <c r="H628"/>
  <c r="K628" s="1"/>
  <c r="I628"/>
  <c r="L628"/>
  <c r="N628"/>
  <c r="P628"/>
  <c r="Q628" s="1"/>
  <c r="X628"/>
  <c r="Y628" s="1"/>
  <c r="AF628"/>
  <c r="AG628" s="1"/>
  <c r="AH628"/>
  <c r="AI628" s="1"/>
  <c r="AJ628"/>
  <c r="AK628" s="1"/>
  <c r="AL628"/>
  <c r="AM628" s="1"/>
  <c r="H629"/>
  <c r="K629" s="1"/>
  <c r="I629"/>
  <c r="L629"/>
  <c r="N629"/>
  <c r="P629"/>
  <c r="Q629" s="1"/>
  <c r="X629"/>
  <c r="Y629" s="1"/>
  <c r="AF629"/>
  <c r="AG629" s="1"/>
  <c r="AH629"/>
  <c r="AI629" s="1"/>
  <c r="AJ629"/>
  <c r="AK629" s="1"/>
  <c r="AL629"/>
  <c r="AM629" s="1"/>
  <c r="M640"/>
  <c r="O640"/>
  <c r="Q640"/>
  <c r="Y640"/>
  <c r="AG640"/>
  <c r="AI640"/>
  <c r="AK640"/>
  <c r="AM640"/>
  <c r="AO640"/>
  <c r="AQ640"/>
  <c r="AS640"/>
  <c r="AU640"/>
  <c r="AW640"/>
  <c r="AY640"/>
  <c r="BA640"/>
  <c r="BC640"/>
  <c r="BE640"/>
  <c r="BG640"/>
  <c r="M641"/>
  <c r="O641"/>
  <c r="Q641"/>
  <c r="Y641"/>
  <c r="AG641"/>
  <c r="AI641"/>
  <c r="AK641"/>
  <c r="AM641"/>
  <c r="AO641"/>
  <c r="AQ641"/>
  <c r="AS641"/>
  <c r="AU641"/>
  <c r="AW641"/>
  <c r="AY641"/>
  <c r="BA641"/>
  <c r="BC641"/>
  <c r="BE641"/>
  <c r="BG641"/>
  <c r="M642"/>
  <c r="O642"/>
  <c r="Q642"/>
  <c r="Y642"/>
  <c r="AG642"/>
  <c r="AI642"/>
  <c r="AK642"/>
  <c r="AM642"/>
  <c r="AO642"/>
  <c r="AQ642"/>
  <c r="AS642"/>
  <c r="AU642"/>
  <c r="AW642"/>
  <c r="AY642"/>
  <c r="BA642"/>
  <c r="BC642"/>
  <c r="BE642"/>
  <c r="BG642"/>
  <c r="M643"/>
  <c r="O643"/>
  <c r="Q643"/>
  <c r="Y643"/>
  <c r="AG643"/>
  <c r="AI643"/>
  <c r="AK643"/>
  <c r="AM643"/>
  <c r="AO643"/>
  <c r="AQ643"/>
  <c r="AS643"/>
  <c r="AU643"/>
  <c r="AW643"/>
  <c r="AY643"/>
  <c r="BA643"/>
  <c r="BC643"/>
  <c r="BE643"/>
  <c r="BG643"/>
  <c r="M644"/>
  <c r="O644"/>
  <c r="Q644"/>
  <c r="Y644"/>
  <c r="AG644"/>
  <c r="AI644"/>
  <c r="AK644"/>
  <c r="AM644"/>
  <c r="AO644"/>
  <c r="AQ644"/>
  <c r="AS644"/>
  <c r="AU644"/>
  <c r="AW644"/>
  <c r="AY644"/>
  <c r="BA644"/>
  <c r="BC644"/>
  <c r="BE644"/>
  <c r="BG644"/>
  <c r="M645"/>
  <c r="O645"/>
  <c r="Q645"/>
  <c r="Y645"/>
  <c r="AG645"/>
  <c r="AI645"/>
  <c r="AK645"/>
  <c r="AM645"/>
  <c r="AO645"/>
  <c r="AQ645"/>
  <c r="AS645"/>
  <c r="AU645"/>
  <c r="AW645"/>
  <c r="AY645"/>
  <c r="BA645"/>
  <c r="BC645"/>
  <c r="BE645"/>
  <c r="BG645"/>
  <c r="M646"/>
  <c r="O646"/>
  <c r="Q646"/>
  <c r="Y646"/>
  <c r="AG646"/>
  <c r="AI646"/>
  <c r="AK646"/>
  <c r="AM646"/>
  <c r="AO646"/>
  <c r="AQ646"/>
  <c r="AS646"/>
  <c r="AU646"/>
  <c r="AW646"/>
  <c r="AY646"/>
  <c r="BA646"/>
  <c r="BC646"/>
  <c r="BE646"/>
  <c r="BG646"/>
  <c r="M647"/>
  <c r="O647"/>
  <c r="Q647"/>
  <c r="Y647"/>
  <c r="AG647"/>
  <c r="AI647"/>
  <c r="AK647"/>
  <c r="AM647"/>
  <c r="AO647"/>
  <c r="AQ647"/>
  <c r="AS647"/>
  <c r="AU647"/>
  <c r="AW647"/>
  <c r="AY647"/>
  <c r="BA647"/>
  <c r="BC647"/>
  <c r="BE647"/>
  <c r="BG647"/>
  <c r="M648"/>
  <c r="O648"/>
  <c r="Q648"/>
  <c r="Y648"/>
  <c r="AG648"/>
  <c r="AI648"/>
  <c r="AK648"/>
  <c r="AM648"/>
  <c r="AO648"/>
  <c r="AQ648"/>
  <c r="AS648"/>
  <c r="AU648"/>
  <c r="AW648"/>
  <c r="AY648"/>
  <c r="BA648"/>
  <c r="BC648"/>
  <c r="BE648"/>
  <c r="BG648"/>
  <c r="M649"/>
  <c r="O649"/>
  <c r="Q649"/>
  <c r="Y649"/>
  <c r="AG649"/>
  <c r="AI649"/>
  <c r="AK649"/>
  <c r="AM649"/>
  <c r="AO649"/>
  <c r="AQ649"/>
  <c r="AS649"/>
  <c r="AU649"/>
  <c r="AW649"/>
  <c r="AY649"/>
  <c r="BA649"/>
  <c r="BC649"/>
  <c r="BE649"/>
  <c r="BG649"/>
  <c r="M650"/>
  <c r="O650"/>
  <c r="Q650"/>
  <c r="Y650"/>
  <c r="AG650"/>
  <c r="AI650"/>
  <c r="AK650"/>
  <c r="AM650"/>
  <c r="AO650"/>
  <c r="AQ650"/>
  <c r="AS650"/>
  <c r="AU650"/>
  <c r="AW650"/>
  <c r="AY650"/>
  <c r="BA650"/>
  <c r="BC650"/>
  <c r="BE650"/>
  <c r="BG650"/>
  <c r="M651"/>
  <c r="O651"/>
  <c r="Q651"/>
  <c r="Y651"/>
  <c r="AG651"/>
  <c r="AI651"/>
  <c r="AK651"/>
  <c r="AM651"/>
  <c r="AO651"/>
  <c r="AQ651"/>
  <c r="AS651"/>
  <c r="AU651"/>
  <c r="AW651"/>
  <c r="AY651"/>
  <c r="BA651"/>
  <c r="BC651"/>
  <c r="BE651"/>
  <c r="BG651"/>
  <c r="M652"/>
  <c r="O652"/>
  <c r="Q652"/>
  <c r="Y652"/>
  <c r="AG652"/>
  <c r="AI652"/>
  <c r="AK652"/>
  <c r="AM652"/>
  <c r="AO652"/>
  <c r="AQ652"/>
  <c r="AS652"/>
  <c r="AU652"/>
  <c r="AW652"/>
  <c r="AY652"/>
  <c r="BA652"/>
  <c r="BC652"/>
  <c r="BE652"/>
  <c r="BG652"/>
  <c r="M653"/>
  <c r="O653"/>
  <c r="Q653"/>
  <c r="Y653"/>
  <c r="AG653"/>
  <c r="AI653"/>
  <c r="AK653"/>
  <c r="AM653"/>
  <c r="AO653"/>
  <c r="AQ653"/>
  <c r="AS653"/>
  <c r="AU653"/>
  <c r="AW653"/>
  <c r="AY653"/>
  <c r="BA653"/>
  <c r="BC653"/>
  <c r="BE653"/>
  <c r="BG653"/>
  <c r="M654"/>
  <c r="O654"/>
  <c r="Q654"/>
  <c r="Y654"/>
  <c r="AG654"/>
  <c r="AI654"/>
  <c r="AK654"/>
  <c r="AM654"/>
  <c r="AO654"/>
  <c r="AQ654"/>
  <c r="AS654"/>
  <c r="AU654"/>
  <c r="AW654"/>
  <c r="AY654"/>
  <c r="BA654"/>
  <c r="BC654"/>
  <c r="BE654"/>
  <c r="BG654"/>
  <c r="M655"/>
  <c r="O655"/>
  <c r="Q655"/>
  <c r="Y655"/>
  <c r="AG655"/>
  <c r="AI655"/>
  <c r="AK655"/>
  <c r="AM655"/>
  <c r="AO655"/>
  <c r="AQ655"/>
  <c r="AS655"/>
  <c r="AU655"/>
  <c r="AW655"/>
  <c r="AY655"/>
  <c r="BA655"/>
  <c r="BC655"/>
  <c r="BE655"/>
  <c r="BG655"/>
  <c r="M656"/>
  <c r="O656"/>
  <c r="Q656"/>
  <c r="Y656"/>
  <c r="AG656"/>
  <c r="AI656"/>
  <c r="AK656"/>
  <c r="AM656"/>
  <c r="AO656"/>
  <c r="AQ656"/>
  <c r="AS656"/>
  <c r="AU656"/>
  <c r="AW656"/>
  <c r="AY656"/>
  <c r="BA656"/>
  <c r="BC656"/>
  <c r="BE656"/>
  <c r="BG656"/>
  <c r="M657"/>
  <c r="O657"/>
  <c r="Q657"/>
  <c r="Y657"/>
  <c r="AG657"/>
  <c r="AI657"/>
  <c r="AK657"/>
  <c r="AM657"/>
  <c r="AO657"/>
  <c r="AQ657"/>
  <c r="AS657"/>
  <c r="AU657"/>
  <c r="AW657"/>
  <c r="AY657"/>
  <c r="BA657"/>
  <c r="BC657"/>
  <c r="BE657"/>
  <c r="BG657"/>
  <c r="M658"/>
  <c r="O658"/>
  <c r="Q658"/>
  <c r="Y658"/>
  <c r="AG658"/>
  <c r="AI658"/>
  <c r="AK658"/>
  <c r="AM658"/>
  <c r="AO658"/>
  <c r="AQ658"/>
  <c r="AS658"/>
  <c r="AU658"/>
  <c r="AW658"/>
  <c r="AY658"/>
  <c r="BA658"/>
  <c r="BC658"/>
  <c r="BE658"/>
  <c r="BG658"/>
  <c r="M659"/>
  <c r="O659"/>
  <c r="Q659"/>
  <c r="Y659"/>
  <c r="AG659"/>
  <c r="AI659"/>
  <c r="AK659"/>
  <c r="AM659"/>
  <c r="AO659"/>
  <c r="AQ659"/>
  <c r="AS659"/>
  <c r="AU659"/>
  <c r="AW659"/>
  <c r="AY659"/>
  <c r="BA659"/>
  <c r="BC659"/>
  <c r="BE659"/>
  <c r="BG659"/>
  <c r="M660"/>
  <c r="O660"/>
  <c r="Q660"/>
  <c r="Y660"/>
  <c r="AG660"/>
  <c r="AI660"/>
  <c r="AK660"/>
  <c r="AM660"/>
  <c r="AO660"/>
  <c r="AQ660"/>
  <c r="AS660"/>
  <c r="AU660"/>
  <c r="AW660"/>
  <c r="AY660"/>
  <c r="BA660"/>
  <c r="BC660"/>
  <c r="BE660"/>
  <c r="BG660"/>
  <c r="M661"/>
  <c r="O661"/>
  <c r="Q661"/>
  <c r="Y661"/>
  <c r="AG661"/>
  <c r="AI661"/>
  <c r="AK661"/>
  <c r="AM661"/>
  <c r="AO661"/>
  <c r="AQ661"/>
  <c r="AS661"/>
  <c r="AU661"/>
  <c r="AW661"/>
  <c r="AY661"/>
  <c r="BA661"/>
  <c r="BC661"/>
  <c r="BE661"/>
  <c r="BG661"/>
  <c r="M662"/>
  <c r="O662"/>
  <c r="Q662"/>
  <c r="Y662"/>
  <c r="AG662"/>
  <c r="AI662"/>
  <c r="AK662"/>
  <c r="AM662"/>
  <c r="AO662"/>
  <c r="AQ662"/>
  <c r="AS662"/>
  <c r="AU662"/>
  <c r="AW662"/>
  <c r="AY662"/>
  <c r="BA662"/>
  <c r="BC662"/>
  <c r="BE662"/>
  <c r="BG662"/>
  <c r="M663"/>
  <c r="O663"/>
  <c r="Q663"/>
  <c r="Y663"/>
  <c r="AG663"/>
  <c r="AI663"/>
  <c r="AK663"/>
  <c r="AM663"/>
  <c r="AO663"/>
  <c r="AQ663"/>
  <c r="AS663"/>
  <c r="AU663"/>
  <c r="AW663"/>
  <c r="AY663"/>
  <c r="BA663"/>
  <c r="BC663"/>
  <c r="BE663"/>
  <c r="BG663"/>
  <c r="M664"/>
  <c r="O664"/>
  <c r="Q664"/>
  <c r="Y664"/>
  <c r="AG664"/>
  <c r="AI664"/>
  <c r="AK664"/>
  <c r="AM664"/>
  <c r="AO664"/>
  <c r="AQ664"/>
  <c r="AS664"/>
  <c r="AU664"/>
  <c r="AW664"/>
  <c r="AY664"/>
  <c r="BA664"/>
  <c r="BC664"/>
  <c r="BE664"/>
  <c r="BG664"/>
  <c r="M665"/>
  <c r="O665"/>
  <c r="Q665"/>
  <c r="Y665"/>
  <c r="AG665"/>
  <c r="AI665"/>
  <c r="AK665"/>
  <c r="AM665"/>
  <c r="AO665"/>
  <c r="AQ665"/>
  <c r="AS665"/>
  <c r="AU665"/>
  <c r="AW665"/>
  <c r="AY665"/>
  <c r="BA665"/>
  <c r="BC665"/>
  <c r="BE665"/>
  <c r="BG665"/>
  <c r="M666"/>
  <c r="O666"/>
  <c r="Q666"/>
  <c r="Y666"/>
  <c r="AG666"/>
  <c r="AI666"/>
  <c r="AK666"/>
  <c r="AM666"/>
  <c r="AO666"/>
  <c r="AQ666"/>
  <c r="AS666"/>
  <c r="AU666"/>
  <c r="AW666"/>
  <c r="AY666"/>
  <c r="BA666"/>
  <c r="BC666"/>
  <c r="BE666"/>
  <c r="BG666"/>
  <c r="M667"/>
  <c r="O667"/>
  <c r="Q667"/>
  <c r="Y667"/>
  <c r="AG667"/>
  <c r="AI667"/>
  <c r="AK667"/>
  <c r="AM667"/>
  <c r="AO667"/>
  <c r="AQ667"/>
  <c r="AS667"/>
  <c r="AU667"/>
  <c r="AW667"/>
  <c r="AY667"/>
  <c r="BA667"/>
  <c r="BC667"/>
  <c r="BE667"/>
  <c r="BG667"/>
  <c r="M668"/>
  <c r="O668"/>
  <c r="Q668"/>
  <c r="Y668"/>
  <c r="AG668"/>
  <c r="AI668"/>
  <c r="AK668"/>
  <c r="AM668"/>
  <c r="AO668"/>
  <c r="AQ668"/>
  <c r="AS668"/>
  <c r="AU668"/>
  <c r="AW668"/>
  <c r="AY668"/>
  <c r="BA668"/>
  <c r="BC668"/>
  <c r="BE668"/>
  <c r="BG668"/>
  <c r="M669"/>
  <c r="O669"/>
  <c r="Q669"/>
  <c r="Y669"/>
  <c r="AG669"/>
  <c r="AI669"/>
  <c r="AK669"/>
  <c r="AM669"/>
  <c r="AO669"/>
  <c r="AQ669"/>
  <c r="AS669"/>
  <c r="AU669"/>
  <c r="AW669"/>
  <c r="AY669"/>
  <c r="BA669"/>
  <c r="BC669"/>
  <c r="BE669"/>
  <c r="BG669"/>
  <c r="M670"/>
  <c r="O670"/>
  <c r="Q670"/>
  <c r="Y670"/>
  <c r="AG670"/>
  <c r="AI670"/>
  <c r="AK670"/>
  <c r="AM670"/>
  <c r="AO670"/>
  <c r="AQ670"/>
  <c r="AS670"/>
  <c r="AU670"/>
  <c r="AW670"/>
  <c r="AY670"/>
  <c r="BA670"/>
  <c r="BC670"/>
  <c r="BE670"/>
  <c r="BG670"/>
  <c r="M671"/>
  <c r="O671"/>
  <c r="Q671"/>
  <c r="Y671"/>
  <c r="AG671"/>
  <c r="AI671"/>
  <c r="AK671"/>
  <c r="AM671"/>
  <c r="AO671"/>
  <c r="AQ671"/>
  <c r="AS671"/>
  <c r="AU671"/>
  <c r="AW671"/>
  <c r="AY671"/>
  <c r="BA671"/>
  <c r="BC671"/>
  <c r="BE671"/>
  <c r="BG671"/>
  <c r="M672"/>
  <c r="O672"/>
  <c r="Q672"/>
  <c r="Y672"/>
  <c r="AG672"/>
  <c r="AI672"/>
  <c r="AK672"/>
  <c r="AM672"/>
  <c r="AO672"/>
  <c r="AQ672"/>
  <c r="AS672"/>
  <c r="AU672"/>
  <c r="AW672"/>
  <c r="AY672"/>
  <c r="BA672"/>
  <c r="BC672"/>
  <c r="BE672"/>
  <c r="BG672"/>
  <c r="M673"/>
  <c r="O673"/>
  <c r="Q673"/>
  <c r="Y673"/>
  <c r="AG673"/>
  <c r="AI673"/>
  <c r="AK673"/>
  <c r="AM673"/>
  <c r="AO673"/>
  <c r="AQ673"/>
  <c r="AS673"/>
  <c r="AU673"/>
  <c r="AW673"/>
  <c r="AY673"/>
  <c r="BA673"/>
  <c r="BC673"/>
  <c r="BE673"/>
  <c r="BG673"/>
  <c r="M674"/>
  <c r="O674"/>
  <c r="Q674"/>
  <c r="Y674"/>
  <c r="AG674"/>
  <c r="AI674"/>
  <c r="AK674"/>
  <c r="AM674"/>
  <c r="AO674"/>
  <c r="AQ674"/>
  <c r="AS674"/>
  <c r="AU674"/>
  <c r="AW674"/>
  <c r="AY674"/>
  <c r="BA674"/>
  <c r="BC674"/>
  <c r="BE674"/>
  <c r="BG674"/>
  <c r="M675"/>
  <c r="O675"/>
  <c r="Q675"/>
  <c r="Y675"/>
  <c r="AG675"/>
  <c r="AI675"/>
  <c r="AK675"/>
  <c r="AM675"/>
  <c r="AO675"/>
  <c r="AQ675"/>
  <c r="AS675"/>
  <c r="AU675"/>
  <c r="AW675"/>
  <c r="AY675"/>
  <c r="BA675"/>
  <c r="BC675"/>
  <c r="BE675"/>
  <c r="BG675"/>
  <c r="M676"/>
  <c r="O676"/>
  <c r="Q676"/>
  <c r="Y676"/>
  <c r="AG676"/>
  <c r="AI676"/>
  <c r="AK676"/>
  <c r="AM676"/>
  <c r="AO676"/>
  <c r="AQ676"/>
  <c r="AS676"/>
  <c r="AU676"/>
  <c r="AW676"/>
  <c r="AY676"/>
  <c r="BA676"/>
  <c r="BC676"/>
  <c r="BE676"/>
  <c r="BG676"/>
  <c r="M677"/>
  <c r="O677"/>
  <c r="Q677"/>
  <c r="Y677"/>
  <c r="AG677"/>
  <c r="AI677"/>
  <c r="AK677"/>
  <c r="AM677"/>
  <c r="AO677"/>
  <c r="AQ677"/>
  <c r="AS677"/>
  <c r="AU677"/>
  <c r="AW677"/>
  <c r="AY677"/>
  <c r="BA677"/>
  <c r="BC677"/>
  <c r="BE677"/>
  <c r="BG677"/>
  <c r="M678"/>
  <c r="O678"/>
  <c r="Y678"/>
  <c r="AG678"/>
  <c r="AI678"/>
  <c r="AK678"/>
  <c r="AM678"/>
  <c r="AO678"/>
  <c r="AQ678"/>
  <c r="AS678"/>
  <c r="AU678"/>
  <c r="AW678"/>
  <c r="AY678"/>
  <c r="BA678"/>
  <c r="BC678"/>
  <c r="BE678"/>
  <c r="BG678"/>
  <c r="M679"/>
  <c r="O679"/>
  <c r="Q679"/>
  <c r="Y679"/>
  <c r="AG679"/>
  <c r="AI679"/>
  <c r="AK679"/>
  <c r="AM679"/>
  <c r="AO679"/>
  <c r="AQ679"/>
  <c r="AS679"/>
  <c r="AU679"/>
  <c r="AW679"/>
  <c r="AY679"/>
  <c r="BA679"/>
  <c r="BC679"/>
  <c r="BE679"/>
  <c r="BG679"/>
  <c r="M680"/>
  <c r="O680"/>
  <c r="Q680"/>
  <c r="Y680"/>
  <c r="AG680"/>
  <c r="AI680"/>
  <c r="AK680"/>
  <c r="AM680"/>
  <c r="AO680"/>
  <c r="AQ680"/>
  <c r="AS680"/>
  <c r="AU680"/>
  <c r="AW680"/>
  <c r="AY680"/>
  <c r="BA680"/>
  <c r="BC680"/>
  <c r="BE680"/>
  <c r="BG680"/>
  <c r="M681"/>
  <c r="O681"/>
  <c r="Q681"/>
  <c r="Y681"/>
  <c r="AG681"/>
  <c r="AI681"/>
  <c r="AK681"/>
  <c r="AM681"/>
  <c r="AO681"/>
  <c r="AQ681"/>
  <c r="AS681"/>
  <c r="AU681"/>
  <c r="AW681"/>
  <c r="AY681"/>
  <c r="BA681"/>
  <c r="BC681"/>
  <c r="BE681"/>
  <c r="BG681"/>
  <c r="M682"/>
  <c r="O682"/>
  <c r="Q682"/>
  <c r="Y682"/>
  <c r="AG682"/>
  <c r="AI682"/>
  <c r="AK682"/>
  <c r="AM682"/>
  <c r="AO682"/>
  <c r="AQ682"/>
  <c r="AS682"/>
  <c r="AU682"/>
  <c r="AW682"/>
  <c r="AY682"/>
  <c r="BA682"/>
  <c r="BC682"/>
  <c r="BE682"/>
  <c r="BG682"/>
  <c r="L683"/>
  <c r="N683"/>
  <c r="AT683"/>
  <c r="AZ683"/>
  <c r="L684"/>
  <c r="N684"/>
  <c r="BP684" s="1"/>
  <c r="AZ684"/>
  <c r="L685"/>
  <c r="N685"/>
  <c r="AR685"/>
  <c r="AT685"/>
  <c r="M698"/>
  <c r="O698"/>
  <c r="Q698"/>
  <c r="Y698"/>
  <c r="AG698"/>
  <c r="AI698"/>
  <c r="AK698"/>
  <c r="AM698"/>
  <c r="AO698"/>
  <c r="AQ698"/>
  <c r="AS698"/>
  <c r="AU698"/>
  <c r="AW698"/>
  <c r="AY698"/>
  <c r="BA698"/>
  <c r="BC698"/>
  <c r="BE698"/>
  <c r="BG698"/>
  <c r="M699"/>
  <c r="O699"/>
  <c r="Q699"/>
  <c r="Y699"/>
  <c r="AG699"/>
  <c r="AI699"/>
  <c r="AK699"/>
  <c r="AM699"/>
  <c r="AO699"/>
  <c r="AQ699"/>
  <c r="AS699"/>
  <c r="AU699"/>
  <c r="AW699"/>
  <c r="AY699"/>
  <c r="BA699"/>
  <c r="BC699"/>
  <c r="BE699"/>
  <c r="BG699"/>
  <c r="M700"/>
  <c r="O700"/>
  <c r="Q700"/>
  <c r="Y700"/>
  <c r="AG700"/>
  <c r="AI700"/>
  <c r="AK700"/>
  <c r="AM700"/>
  <c r="AO700"/>
  <c r="AQ700"/>
  <c r="AS700"/>
  <c r="AU700"/>
  <c r="AW700"/>
  <c r="AY700"/>
  <c r="BA700"/>
  <c r="BC700"/>
  <c r="BE700"/>
  <c r="BG700"/>
  <c r="M701"/>
  <c r="O701"/>
  <c r="Q701"/>
  <c r="Y701"/>
  <c r="AG701"/>
  <c r="AI701"/>
  <c r="AK701"/>
  <c r="AM701"/>
  <c r="AO701"/>
  <c r="AQ701"/>
  <c r="AS701"/>
  <c r="AU701"/>
  <c r="AW701"/>
  <c r="AY701"/>
  <c r="BA701"/>
  <c r="BC701"/>
  <c r="BE701"/>
  <c r="BG701"/>
  <c r="M702"/>
  <c r="O702"/>
  <c r="Q702"/>
  <c r="Y702"/>
  <c r="AG702"/>
  <c r="AI702"/>
  <c r="AK702"/>
  <c r="AM702"/>
  <c r="AO702"/>
  <c r="AQ702"/>
  <c r="AS702"/>
  <c r="AU702"/>
  <c r="AW702"/>
  <c r="AY702"/>
  <c r="BA702"/>
  <c r="BC702"/>
  <c r="BE702"/>
  <c r="BG702"/>
  <c r="M703"/>
  <c r="O703"/>
  <c r="Q703"/>
  <c r="Y703"/>
  <c r="AG703"/>
  <c r="AI703"/>
  <c r="AK703"/>
  <c r="AM703"/>
  <c r="AO703"/>
  <c r="AQ703"/>
  <c r="AS703"/>
  <c r="AU703"/>
  <c r="AW703"/>
  <c r="AY703"/>
  <c r="BA703"/>
  <c r="BC703"/>
  <c r="BE703"/>
  <c r="BG703"/>
  <c r="M704"/>
  <c r="O704"/>
  <c r="Q704"/>
  <c r="Y704"/>
  <c r="AG704"/>
  <c r="AI704"/>
  <c r="AK704"/>
  <c r="AM704"/>
  <c r="AO704"/>
  <c r="AQ704"/>
  <c r="AS704"/>
  <c r="AU704"/>
  <c r="AW704"/>
  <c r="AY704"/>
  <c r="BA704"/>
  <c r="BC704"/>
  <c r="BE704"/>
  <c r="BG704"/>
  <c r="M705"/>
  <c r="O705"/>
  <c r="Q705"/>
  <c r="Y705"/>
  <c r="AG705"/>
  <c r="AI705"/>
  <c r="AK705"/>
  <c r="AM705"/>
  <c r="AO705"/>
  <c r="AQ705"/>
  <c r="AS705"/>
  <c r="AU705"/>
  <c r="AW705"/>
  <c r="AY705"/>
  <c r="BA705"/>
  <c r="BC705"/>
  <c r="BE705"/>
  <c r="BG705"/>
  <c r="M706"/>
  <c r="O706"/>
  <c r="Q706"/>
  <c r="Y706"/>
  <c r="AG706"/>
  <c r="AI706"/>
  <c r="AK706"/>
  <c r="AM706"/>
  <c r="AO706"/>
  <c r="AQ706"/>
  <c r="AS706"/>
  <c r="AU706"/>
  <c r="AW706"/>
  <c r="AY706"/>
  <c r="BA706"/>
  <c r="BC706"/>
  <c r="BE706"/>
  <c r="BG706"/>
  <c r="M707"/>
  <c r="O707"/>
  <c r="Q707"/>
  <c r="Y707"/>
  <c r="AG707"/>
  <c r="AI707"/>
  <c r="AK707"/>
  <c r="AM707"/>
  <c r="AO707"/>
  <c r="AQ707"/>
  <c r="AS707"/>
  <c r="AU707"/>
  <c r="AW707"/>
  <c r="AY707"/>
  <c r="BA707"/>
  <c r="BC707"/>
  <c r="BE707"/>
  <c r="BG707"/>
  <c r="M708"/>
  <c r="O708"/>
  <c r="Q708"/>
  <c r="Y708"/>
  <c r="AG708"/>
  <c r="AI708"/>
  <c r="AK708"/>
  <c r="AM708"/>
  <c r="AO708"/>
  <c r="AQ708"/>
  <c r="AS708"/>
  <c r="AU708"/>
  <c r="AW708"/>
  <c r="AY708"/>
  <c r="BA708"/>
  <c r="BC708"/>
  <c r="BE708"/>
  <c r="BG708"/>
  <c r="M709"/>
  <c r="O709"/>
  <c r="Q709"/>
  <c r="Y709"/>
  <c r="AG709"/>
  <c r="AI709"/>
  <c r="AK709"/>
  <c r="AM709"/>
  <c r="AO709"/>
  <c r="AQ709"/>
  <c r="AS709"/>
  <c r="AU709"/>
  <c r="AW709"/>
  <c r="AY709"/>
  <c r="BA709"/>
  <c r="BC709"/>
  <c r="BE709"/>
  <c r="BG709"/>
  <c r="M710"/>
  <c r="O710"/>
  <c r="Q710"/>
  <c r="Y710"/>
  <c r="AG710"/>
  <c r="AI710"/>
  <c r="AK710"/>
  <c r="AM710"/>
  <c r="AO710"/>
  <c r="AQ710"/>
  <c r="AS710"/>
  <c r="AU710"/>
  <c r="AW710"/>
  <c r="AY710"/>
  <c r="BA710"/>
  <c r="BC710"/>
  <c r="BE710"/>
  <c r="BG710"/>
  <c r="M711"/>
  <c r="O711"/>
  <c r="Q711"/>
  <c r="Y711"/>
  <c r="AG711"/>
  <c r="AI711"/>
  <c r="AK711"/>
  <c r="AM711"/>
  <c r="AO711"/>
  <c r="AQ711"/>
  <c r="AS711"/>
  <c r="AU711"/>
  <c r="AW711"/>
  <c r="AY711"/>
  <c r="BA711"/>
  <c r="BC711"/>
  <c r="BE711"/>
  <c r="BG711"/>
  <c r="M712"/>
  <c r="O712"/>
  <c r="Q712"/>
  <c r="Y712"/>
  <c r="AG712"/>
  <c r="AI712"/>
  <c r="AK712"/>
  <c r="AM712"/>
  <c r="AO712"/>
  <c r="AQ712"/>
  <c r="AS712"/>
  <c r="AU712"/>
  <c r="AW712"/>
  <c r="AY712"/>
  <c r="BA712"/>
  <c r="BC712"/>
  <c r="BE712"/>
  <c r="BG712"/>
  <c r="M713"/>
  <c r="O713"/>
  <c r="Q713"/>
  <c r="Y713"/>
  <c r="AG713"/>
  <c r="AI713"/>
  <c r="AK713"/>
  <c r="AM713"/>
  <c r="AO713"/>
  <c r="AQ713"/>
  <c r="AS713"/>
  <c r="AU713"/>
  <c r="AW713"/>
  <c r="AY713"/>
  <c r="BA713"/>
  <c r="BC713"/>
  <c r="BE713"/>
  <c r="BG713"/>
  <c r="M714"/>
  <c r="O714"/>
  <c r="Q714"/>
  <c r="Y714"/>
  <c r="AG714"/>
  <c r="AI714"/>
  <c r="AK714"/>
  <c r="AM714"/>
  <c r="AO714"/>
  <c r="AQ714"/>
  <c r="AS714"/>
  <c r="AU714"/>
  <c r="AW714"/>
  <c r="AY714"/>
  <c r="BA714"/>
  <c r="BC714"/>
  <c r="BE714"/>
  <c r="BG714"/>
  <c r="M715"/>
  <c r="O715"/>
  <c r="Q715"/>
  <c r="Y715"/>
  <c r="AG715"/>
  <c r="AI715"/>
  <c r="AK715"/>
  <c r="AM715"/>
  <c r="AO715"/>
  <c r="AQ715"/>
  <c r="AS715"/>
  <c r="AU715"/>
  <c r="AW715"/>
  <c r="AY715"/>
  <c r="BA715"/>
  <c r="BC715"/>
  <c r="BE715"/>
  <c r="BG715"/>
  <c r="M716"/>
  <c r="O716"/>
  <c r="Q716"/>
  <c r="Y716"/>
  <c r="AG716"/>
  <c r="AI716"/>
  <c r="AK716"/>
  <c r="AM716"/>
  <c r="AO716"/>
  <c r="AQ716"/>
  <c r="AS716"/>
  <c r="AU716"/>
  <c r="AW716"/>
  <c r="AY716"/>
  <c r="BA716"/>
  <c r="BC716"/>
  <c r="BE716"/>
  <c r="BG716"/>
  <c r="M717"/>
  <c r="O717"/>
  <c r="Q717"/>
  <c r="Y717"/>
  <c r="AG717"/>
  <c r="AI717"/>
  <c r="AK717"/>
  <c r="AM717"/>
  <c r="AO717"/>
  <c r="AQ717"/>
  <c r="AS717"/>
  <c r="AU717"/>
  <c r="AW717"/>
  <c r="AY717"/>
  <c r="BA717"/>
  <c r="BC717"/>
  <c r="BE717"/>
  <c r="BG717"/>
  <c r="M718"/>
  <c r="O718"/>
  <c r="Q718"/>
  <c r="Y718"/>
  <c r="AG718"/>
  <c r="AI718"/>
  <c r="AK718"/>
  <c r="AM718"/>
  <c r="AO718"/>
  <c r="AQ718"/>
  <c r="AS718"/>
  <c r="AU718"/>
  <c r="AW718"/>
  <c r="AY718"/>
  <c r="BA718"/>
  <c r="BC718"/>
  <c r="BE718"/>
  <c r="BG718"/>
  <c r="M719"/>
  <c r="O719"/>
  <c r="Q719"/>
  <c r="Y719"/>
  <c r="AG719"/>
  <c r="AI719"/>
  <c r="AK719"/>
  <c r="AM719"/>
  <c r="AO719"/>
  <c r="AQ719"/>
  <c r="AS719"/>
  <c r="AU719"/>
  <c r="AW719"/>
  <c r="AY719"/>
  <c r="BA719"/>
  <c r="BC719"/>
  <c r="BE719"/>
  <c r="BG719"/>
  <c r="M720"/>
  <c r="O720"/>
  <c r="Q720"/>
  <c r="Y720"/>
  <c r="AG720"/>
  <c r="AI720"/>
  <c r="AK720"/>
  <c r="AM720"/>
  <c r="AO720"/>
  <c r="AQ720"/>
  <c r="AS720"/>
  <c r="AU720"/>
  <c r="AW720"/>
  <c r="AY720"/>
  <c r="BA720"/>
  <c r="BC720"/>
  <c r="BE720"/>
  <c r="BG720"/>
  <c r="M721"/>
  <c r="O721"/>
  <c r="Q721"/>
  <c r="Y721"/>
  <c r="AG721"/>
  <c r="AI721"/>
  <c r="AK721"/>
  <c r="AM721"/>
  <c r="AO721"/>
  <c r="AQ721"/>
  <c r="AS721"/>
  <c r="AU721"/>
  <c r="AW721"/>
  <c r="AY721"/>
  <c r="BA721"/>
  <c r="BC721"/>
  <c r="BE721"/>
  <c r="BG721"/>
  <c r="M722"/>
  <c r="O722"/>
  <c r="Q722"/>
  <c r="Y722"/>
  <c r="AG722"/>
  <c r="AI722"/>
  <c r="AK722"/>
  <c r="AM722"/>
  <c r="AO722"/>
  <c r="AQ722"/>
  <c r="AS722"/>
  <c r="AU722"/>
  <c r="AW722"/>
  <c r="AY722"/>
  <c r="BA722"/>
  <c r="BC722"/>
  <c r="BE722"/>
  <c r="BG722"/>
  <c r="M723"/>
  <c r="O723"/>
  <c r="Q723"/>
  <c r="Y723"/>
  <c r="AG723"/>
  <c r="AI723"/>
  <c r="AK723"/>
  <c r="AM723"/>
  <c r="AO723"/>
  <c r="AQ723"/>
  <c r="AS723"/>
  <c r="AU723"/>
  <c r="AW723"/>
  <c r="AY723"/>
  <c r="BA723"/>
  <c r="BC723"/>
  <c r="BE723"/>
  <c r="BG723"/>
  <c r="M724"/>
  <c r="O724"/>
  <c r="Q724"/>
  <c r="Y724"/>
  <c r="AG724"/>
  <c r="AI724"/>
  <c r="AK724"/>
  <c r="AM724"/>
  <c r="AO724"/>
  <c r="AQ724"/>
  <c r="AS724"/>
  <c r="AU724"/>
  <c r="AW724"/>
  <c r="AY724"/>
  <c r="BA724"/>
  <c r="BC724"/>
  <c r="BE724"/>
  <c r="BG724"/>
  <c r="M725"/>
  <c r="O725"/>
  <c r="P725"/>
  <c r="X725"/>
  <c r="AG725"/>
  <c r="AI725"/>
  <c r="AK725"/>
  <c r="AM725"/>
  <c r="AO725"/>
  <c r="AQ725"/>
  <c r="AS725"/>
  <c r="AU725"/>
  <c r="AW725"/>
  <c r="AY725"/>
  <c r="BA725"/>
  <c r="BC725"/>
  <c r="BE725"/>
  <c r="BG725"/>
  <c r="M726"/>
  <c r="O726"/>
  <c r="P726"/>
  <c r="Y726"/>
  <c r="AG726"/>
  <c r="AI726"/>
  <c r="AK726"/>
  <c r="AM726"/>
  <c r="AO726"/>
  <c r="AQ726"/>
  <c r="AS726"/>
  <c r="AU726"/>
  <c r="AW726"/>
  <c r="AY726"/>
  <c r="BA726"/>
  <c r="BC726"/>
  <c r="BE726"/>
  <c r="BG726"/>
  <c r="M727"/>
  <c r="O727"/>
  <c r="P727"/>
  <c r="X727"/>
  <c r="AG727"/>
  <c r="AI727"/>
  <c r="AK727"/>
  <c r="AM727"/>
  <c r="AO727"/>
  <c r="AQ727"/>
  <c r="AS727"/>
  <c r="AU727"/>
  <c r="AW727"/>
  <c r="AY727"/>
  <c r="BA727"/>
  <c r="BC727"/>
  <c r="BE727"/>
  <c r="BG727"/>
  <c r="M728"/>
  <c r="O728"/>
  <c r="P728"/>
  <c r="X728"/>
  <c r="AG728"/>
  <c r="AI728"/>
  <c r="AK728"/>
  <c r="AM728"/>
  <c r="AO728"/>
  <c r="AQ728"/>
  <c r="AS728"/>
  <c r="AU728"/>
  <c r="AW728"/>
  <c r="AY728"/>
  <c r="BA728"/>
  <c r="BC728"/>
  <c r="BE728"/>
  <c r="BG728"/>
  <c r="M729"/>
  <c r="O729"/>
  <c r="Q729"/>
  <c r="Y729"/>
  <c r="AG729"/>
  <c r="AI729"/>
  <c r="AK729"/>
  <c r="AM729"/>
  <c r="AO729"/>
  <c r="AQ729"/>
  <c r="AS729"/>
  <c r="AU729"/>
  <c r="AW729"/>
  <c r="AY729"/>
  <c r="BA729"/>
  <c r="BC729"/>
  <c r="BE729"/>
  <c r="BG729"/>
  <c r="M730"/>
  <c r="O730"/>
  <c r="P730"/>
  <c r="X730"/>
  <c r="AG730"/>
  <c r="AI730"/>
  <c r="AK730"/>
  <c r="AM730"/>
  <c r="AO730"/>
  <c r="AQ730"/>
  <c r="AS730"/>
  <c r="AU730"/>
  <c r="AW730"/>
  <c r="AY730"/>
  <c r="BA730"/>
  <c r="BC730"/>
  <c r="BE730"/>
  <c r="BG730"/>
  <c r="M731"/>
  <c r="O731"/>
  <c r="Q731"/>
  <c r="Y731"/>
  <c r="AG731"/>
  <c r="AI731"/>
  <c r="AK731"/>
  <c r="AM731"/>
  <c r="AO731"/>
  <c r="AQ731"/>
  <c r="AS731"/>
  <c r="AU731"/>
  <c r="AW731"/>
  <c r="AY731"/>
  <c r="BA731"/>
  <c r="BC731"/>
  <c r="BE731"/>
  <c r="BG731"/>
  <c r="M732"/>
  <c r="O732"/>
  <c r="P732"/>
  <c r="X732"/>
  <c r="AG732"/>
  <c r="AI732"/>
  <c r="AK732"/>
  <c r="AM732"/>
  <c r="AO732"/>
  <c r="AQ732"/>
  <c r="AS732"/>
  <c r="AU732"/>
  <c r="AW732"/>
  <c r="AY732"/>
  <c r="BA732"/>
  <c r="BC732"/>
  <c r="BE732"/>
  <c r="BG732"/>
  <c r="M733"/>
  <c r="O733"/>
  <c r="Q733"/>
  <c r="X733"/>
  <c r="AG733"/>
  <c r="AI733"/>
  <c r="AK733"/>
  <c r="AM733"/>
  <c r="AO733"/>
  <c r="AQ733"/>
  <c r="AS733"/>
  <c r="AU733"/>
  <c r="AW733"/>
  <c r="AY733"/>
  <c r="BA733"/>
  <c r="BC733"/>
  <c r="BE733"/>
  <c r="BG733"/>
  <c r="M734"/>
  <c r="O734"/>
  <c r="P734"/>
  <c r="X734"/>
  <c r="AG734"/>
  <c r="AI734"/>
  <c r="AK734"/>
  <c r="AM734"/>
  <c r="AO734"/>
  <c r="AQ734"/>
  <c r="AS734"/>
  <c r="AU734"/>
  <c r="AW734"/>
  <c r="AY734"/>
  <c r="BA734"/>
  <c r="BC734"/>
  <c r="BE734"/>
  <c r="BG734"/>
  <c r="M735"/>
  <c r="O735"/>
  <c r="P735"/>
  <c r="Y735"/>
  <c r="AG735"/>
  <c r="AI735"/>
  <c r="AK735"/>
  <c r="AM735"/>
  <c r="AO735"/>
  <c r="AQ735"/>
  <c r="AS735"/>
  <c r="AU735"/>
  <c r="AW735"/>
  <c r="AY735"/>
  <c r="BA735"/>
  <c r="BC735"/>
  <c r="BE735"/>
  <c r="BG735"/>
  <c r="M736"/>
  <c r="O736"/>
  <c r="X736"/>
  <c r="AG736"/>
  <c r="AI736"/>
  <c r="AK736"/>
  <c r="AM736"/>
  <c r="AO736"/>
  <c r="AQ736"/>
  <c r="AS736"/>
  <c r="AU736"/>
  <c r="AW736"/>
  <c r="AY736"/>
  <c r="BA736"/>
  <c r="BC736"/>
  <c r="BE736"/>
  <c r="BG736"/>
  <c r="M737"/>
  <c r="O737"/>
  <c r="Q737"/>
  <c r="X737"/>
  <c r="AG737"/>
  <c r="AI737"/>
  <c r="AK737"/>
  <c r="AM737"/>
  <c r="AO737"/>
  <c r="AQ737"/>
  <c r="AS737"/>
  <c r="AU737"/>
  <c r="AW737"/>
  <c r="AY737"/>
  <c r="BA737"/>
  <c r="BC737"/>
  <c r="BE737"/>
  <c r="BG737"/>
  <c r="M738"/>
  <c r="O738"/>
  <c r="P738"/>
  <c r="X738"/>
  <c r="AG738"/>
  <c r="AI738"/>
  <c r="AK738"/>
  <c r="AM738"/>
  <c r="AO738"/>
  <c r="AQ738"/>
  <c r="AS738"/>
  <c r="AU738"/>
  <c r="AW738"/>
  <c r="AY738"/>
  <c r="BA738"/>
  <c r="BC738"/>
  <c r="BE738"/>
  <c r="BG738"/>
  <c r="M739"/>
  <c r="O739"/>
  <c r="P739"/>
  <c r="X739"/>
  <c r="AG739"/>
  <c r="AI739"/>
  <c r="AK739"/>
  <c r="AM739"/>
  <c r="AO739"/>
  <c r="AQ739"/>
  <c r="AS739"/>
  <c r="AU739"/>
  <c r="AW739"/>
  <c r="AY739"/>
  <c r="BA739"/>
  <c r="BC739"/>
  <c r="BE739"/>
  <c r="BG739"/>
  <c r="M740"/>
  <c r="O740"/>
  <c r="P740"/>
  <c r="X740"/>
  <c r="AG740"/>
  <c r="AI740"/>
  <c r="AK740"/>
  <c r="AM740"/>
  <c r="AO740"/>
  <c r="AQ740"/>
  <c r="AS740"/>
  <c r="AU740"/>
  <c r="AW740"/>
  <c r="AY740"/>
  <c r="BA740"/>
  <c r="BC740"/>
  <c r="BE740"/>
  <c r="BG740"/>
  <c r="N741"/>
  <c r="P741"/>
  <c r="R741"/>
  <c r="T741"/>
  <c r="V741"/>
  <c r="X741"/>
  <c r="Z741"/>
  <c r="AD741"/>
  <c r="AH741"/>
  <c r="AJ741"/>
  <c r="AL741"/>
  <c r="AV741"/>
  <c r="N742"/>
  <c r="P742"/>
  <c r="R742"/>
  <c r="T742"/>
  <c r="V742"/>
  <c r="Z742"/>
  <c r="AB742"/>
  <c r="AD742"/>
  <c r="AH742"/>
  <c r="AL742"/>
  <c r="AV742"/>
  <c r="M756"/>
  <c r="O756"/>
  <c r="Q756"/>
  <c r="Y756"/>
  <c r="AG756"/>
  <c r="AI756"/>
  <c r="AK756"/>
  <c r="AM756"/>
  <c r="AO756"/>
  <c r="AQ756"/>
  <c r="AS756"/>
  <c r="AU756"/>
  <c r="AW756"/>
  <c r="AY756"/>
  <c r="BA756"/>
  <c r="BC756"/>
  <c r="BE756"/>
  <c r="BG756"/>
  <c r="M757"/>
  <c r="O757"/>
  <c r="Q757"/>
  <c r="Y757"/>
  <c r="AG757"/>
  <c r="AI757"/>
  <c r="AK757"/>
  <c r="AM757"/>
  <c r="AO757"/>
  <c r="AQ757"/>
  <c r="AS757"/>
  <c r="AU757"/>
  <c r="AW757"/>
  <c r="AY757"/>
  <c r="BA757"/>
  <c r="BC757"/>
  <c r="BE757"/>
  <c r="BG757"/>
  <c r="M758"/>
  <c r="O758"/>
  <c r="Q758"/>
  <c r="Y758"/>
  <c r="AG758"/>
  <c r="AI758"/>
  <c r="AK758"/>
  <c r="AM758"/>
  <c r="AO758"/>
  <c r="AQ758"/>
  <c r="AS758"/>
  <c r="AU758"/>
  <c r="AW758"/>
  <c r="AY758"/>
  <c r="BA758"/>
  <c r="BC758"/>
  <c r="BE758"/>
  <c r="BG758"/>
  <c r="M759"/>
  <c r="O759"/>
  <c r="Q759"/>
  <c r="Y759"/>
  <c r="AG759"/>
  <c r="AI759"/>
  <c r="AK759"/>
  <c r="AM759"/>
  <c r="AO759"/>
  <c r="AQ759"/>
  <c r="AS759"/>
  <c r="AU759"/>
  <c r="AW759"/>
  <c r="AY759"/>
  <c r="BA759"/>
  <c r="BC759"/>
  <c r="BE759"/>
  <c r="BG759"/>
  <c r="M760"/>
  <c r="O760"/>
  <c r="Q760"/>
  <c r="Y760"/>
  <c r="AG760"/>
  <c r="AI760"/>
  <c r="AK760"/>
  <c r="AM760"/>
  <c r="AO760"/>
  <c r="AQ760"/>
  <c r="AS760"/>
  <c r="AU760"/>
  <c r="AW760"/>
  <c r="AY760"/>
  <c r="BA760"/>
  <c r="BC760"/>
  <c r="BE760"/>
  <c r="BG760"/>
  <c r="M761"/>
  <c r="O761"/>
  <c r="Q761"/>
  <c r="Y761"/>
  <c r="AG761"/>
  <c r="AI761"/>
  <c r="AK761"/>
  <c r="AM761"/>
  <c r="AO761"/>
  <c r="AQ761"/>
  <c r="AS761"/>
  <c r="AU761"/>
  <c r="AW761"/>
  <c r="AY761"/>
  <c r="BA761"/>
  <c r="BC761"/>
  <c r="BE761"/>
  <c r="BG761"/>
  <c r="M762"/>
  <c r="O762"/>
  <c r="Q762"/>
  <c r="Y762"/>
  <c r="AG762"/>
  <c r="AI762"/>
  <c r="AK762"/>
  <c r="AM762"/>
  <c r="AO762"/>
  <c r="AQ762"/>
  <c r="AS762"/>
  <c r="AU762"/>
  <c r="AW762"/>
  <c r="AY762"/>
  <c r="BA762"/>
  <c r="BC762"/>
  <c r="BE762"/>
  <c r="BG762"/>
  <c r="M763"/>
  <c r="O763"/>
  <c r="Q763"/>
  <c r="Y763"/>
  <c r="AG763"/>
  <c r="AI763"/>
  <c r="AK763"/>
  <c r="AM763"/>
  <c r="AO763"/>
  <c r="AQ763"/>
  <c r="AS763"/>
  <c r="AU763"/>
  <c r="AW763"/>
  <c r="AY763"/>
  <c r="BA763"/>
  <c r="BC763"/>
  <c r="BE763"/>
  <c r="BG763"/>
  <c r="M764"/>
  <c r="O764"/>
  <c r="Q764"/>
  <c r="Y764"/>
  <c r="AG764"/>
  <c r="AI764"/>
  <c r="AK764"/>
  <c r="AM764"/>
  <c r="AO764"/>
  <c r="AQ764"/>
  <c r="AS764"/>
  <c r="AU764"/>
  <c r="AW764"/>
  <c r="AY764"/>
  <c r="BA764"/>
  <c r="BC764"/>
  <c r="BE764"/>
  <c r="BG764"/>
  <c r="M765"/>
  <c r="O765"/>
  <c r="Q765"/>
  <c r="Y765"/>
  <c r="AG765"/>
  <c r="AI765"/>
  <c r="AK765"/>
  <c r="AM765"/>
  <c r="AO765"/>
  <c r="AQ765"/>
  <c r="AS765"/>
  <c r="AU765"/>
  <c r="AW765"/>
  <c r="AY765"/>
  <c r="BA765"/>
  <c r="BC765"/>
  <c r="BE765"/>
  <c r="BG765"/>
  <c r="M766"/>
  <c r="O766"/>
  <c r="Q766"/>
  <c r="Y766"/>
  <c r="AG766"/>
  <c r="AI766"/>
  <c r="AK766"/>
  <c r="AM766"/>
  <c r="AO766"/>
  <c r="AQ766"/>
  <c r="AS766"/>
  <c r="AU766"/>
  <c r="AW766"/>
  <c r="AY766"/>
  <c r="BA766"/>
  <c r="BC766"/>
  <c r="BE766"/>
  <c r="BG766"/>
  <c r="M767"/>
  <c r="O767"/>
  <c r="Q767"/>
  <c r="Y767"/>
  <c r="AG767"/>
  <c r="AI767"/>
  <c r="AK767"/>
  <c r="AM767"/>
  <c r="AO767"/>
  <c r="AQ767"/>
  <c r="AS767"/>
  <c r="AU767"/>
  <c r="AW767"/>
  <c r="AY767"/>
  <c r="BA767"/>
  <c r="BC767"/>
  <c r="BE767"/>
  <c r="BG767"/>
  <c r="M768"/>
  <c r="O768"/>
  <c r="Q768"/>
  <c r="Y768"/>
  <c r="AG768"/>
  <c r="AI768"/>
  <c r="AK768"/>
  <c r="AM768"/>
  <c r="AO768"/>
  <c r="AQ768"/>
  <c r="AS768"/>
  <c r="AU768"/>
  <c r="AW768"/>
  <c r="AY768"/>
  <c r="BA768"/>
  <c r="BC768"/>
  <c r="BE768"/>
  <c r="BG768"/>
  <c r="M769"/>
  <c r="O769"/>
  <c r="Q769"/>
  <c r="Y769"/>
  <c r="AG769"/>
  <c r="AI769"/>
  <c r="AK769"/>
  <c r="AM769"/>
  <c r="AO769"/>
  <c r="AQ769"/>
  <c r="AS769"/>
  <c r="AU769"/>
  <c r="AW769"/>
  <c r="AY769"/>
  <c r="BA769"/>
  <c r="BC769"/>
  <c r="BE769"/>
  <c r="BG769"/>
  <c r="M770"/>
  <c r="O770"/>
  <c r="Q770"/>
  <c r="Y770"/>
  <c r="AG770"/>
  <c r="AI770"/>
  <c r="AK770"/>
  <c r="AM770"/>
  <c r="AO770"/>
  <c r="AQ770"/>
  <c r="AS770"/>
  <c r="AU770"/>
  <c r="AW770"/>
  <c r="AY770"/>
  <c r="BA770"/>
  <c r="BC770"/>
  <c r="BE770"/>
  <c r="BG770"/>
  <c r="M771"/>
  <c r="O771"/>
  <c r="Q771"/>
  <c r="Y771"/>
  <c r="AG771"/>
  <c r="AI771"/>
  <c r="AK771"/>
  <c r="AM771"/>
  <c r="AO771"/>
  <c r="AQ771"/>
  <c r="AS771"/>
  <c r="AU771"/>
  <c r="AW771"/>
  <c r="AY771"/>
  <c r="BA771"/>
  <c r="BC771"/>
  <c r="BE771"/>
  <c r="BG771"/>
  <c r="M772"/>
  <c r="O772"/>
  <c r="Q772"/>
  <c r="Y772"/>
  <c r="AG772"/>
  <c r="AI772"/>
  <c r="AK772"/>
  <c r="AM772"/>
  <c r="AO772"/>
  <c r="AQ772"/>
  <c r="AS772"/>
  <c r="AU772"/>
  <c r="AW772"/>
  <c r="AY772"/>
  <c r="BA772"/>
  <c r="BC772"/>
  <c r="BE772"/>
  <c r="BG772"/>
  <c r="M773"/>
  <c r="O773"/>
  <c r="Q773"/>
  <c r="Y773"/>
  <c r="AG773"/>
  <c r="AI773"/>
  <c r="AK773"/>
  <c r="AM773"/>
  <c r="AO773"/>
  <c r="AQ773"/>
  <c r="AS773"/>
  <c r="AU773"/>
  <c r="AW773"/>
  <c r="AY773"/>
  <c r="BA773"/>
  <c r="BC773"/>
  <c r="BE773"/>
  <c r="BG773"/>
  <c r="M774"/>
  <c r="O774"/>
  <c r="Q774"/>
  <c r="Y774"/>
  <c r="AG774"/>
  <c r="AI774"/>
  <c r="AK774"/>
  <c r="AM774"/>
  <c r="AO774"/>
  <c r="AQ774"/>
  <c r="AS774"/>
  <c r="AU774"/>
  <c r="AW774"/>
  <c r="AY774"/>
  <c r="BA774"/>
  <c r="BC774"/>
  <c r="BE774"/>
  <c r="BG774"/>
  <c r="M775"/>
  <c r="O775"/>
  <c r="Q775"/>
  <c r="Y775"/>
  <c r="AG775"/>
  <c r="AI775"/>
  <c r="AK775"/>
  <c r="AM775"/>
  <c r="AO775"/>
  <c r="AQ775"/>
  <c r="AS775"/>
  <c r="AU775"/>
  <c r="AW775"/>
  <c r="AY775"/>
  <c r="BA775"/>
  <c r="BC775"/>
  <c r="BE775"/>
  <c r="BG775"/>
  <c r="M776"/>
  <c r="O776"/>
  <c r="Q776"/>
  <c r="Y776"/>
  <c r="AG776"/>
  <c r="AI776"/>
  <c r="AK776"/>
  <c r="AM776"/>
  <c r="AO776"/>
  <c r="AQ776"/>
  <c r="AS776"/>
  <c r="AU776"/>
  <c r="AW776"/>
  <c r="AY776"/>
  <c r="BA776"/>
  <c r="BC776"/>
  <c r="BE776"/>
  <c r="BG776"/>
  <c r="M777"/>
  <c r="O777"/>
  <c r="Q777"/>
  <c r="Y777"/>
  <c r="AG777"/>
  <c r="AI777"/>
  <c r="AK777"/>
  <c r="AM777"/>
  <c r="AO777"/>
  <c r="AQ777"/>
  <c r="AS777"/>
  <c r="AU777"/>
  <c r="AW777"/>
  <c r="AY777"/>
  <c r="BA777"/>
  <c r="BC777"/>
  <c r="BE777"/>
  <c r="BG777"/>
  <c r="M778"/>
  <c r="O778"/>
  <c r="Q778"/>
  <c r="Y778"/>
  <c r="AG778"/>
  <c r="AI778"/>
  <c r="AK778"/>
  <c r="AM778"/>
  <c r="AO778"/>
  <c r="AQ778"/>
  <c r="AS778"/>
  <c r="AU778"/>
  <c r="AW778"/>
  <c r="AY778"/>
  <c r="BA778"/>
  <c r="BC778"/>
  <c r="BE778"/>
  <c r="BG778"/>
  <c r="M779"/>
  <c r="O779"/>
  <c r="Q779"/>
  <c r="Y779"/>
  <c r="AG779"/>
  <c r="AI779"/>
  <c r="AK779"/>
  <c r="AM779"/>
  <c r="AO779"/>
  <c r="AQ779"/>
  <c r="AS779"/>
  <c r="AU779"/>
  <c r="AW779"/>
  <c r="AY779"/>
  <c r="BA779"/>
  <c r="BC779"/>
  <c r="BE779"/>
  <c r="BG779"/>
  <c r="M780"/>
  <c r="O780"/>
  <c r="Q780"/>
  <c r="Y780"/>
  <c r="AG780"/>
  <c r="AI780"/>
  <c r="AK780"/>
  <c r="AM780"/>
  <c r="AO780"/>
  <c r="AQ780"/>
  <c r="AS780"/>
  <c r="AU780"/>
  <c r="AW780"/>
  <c r="AY780"/>
  <c r="BA780"/>
  <c r="BC780"/>
  <c r="BE780"/>
  <c r="BG780"/>
  <c r="H781"/>
  <c r="K781" s="1"/>
  <c r="M781"/>
  <c r="O781"/>
  <c r="Q781"/>
  <c r="Y781"/>
  <c r="AG781"/>
  <c r="AI781"/>
  <c r="AK781"/>
  <c r="AM781"/>
  <c r="AO781"/>
  <c r="AQ781"/>
  <c r="AS781"/>
  <c r="AU781"/>
  <c r="AW781"/>
  <c r="AY781"/>
  <c r="BA781"/>
  <c r="BC781"/>
  <c r="BE781"/>
  <c r="BG781"/>
  <c r="M782"/>
  <c r="O782"/>
  <c r="Q782"/>
  <c r="Y782"/>
  <c r="AG782"/>
  <c r="AI782"/>
  <c r="AK782"/>
  <c r="AM782"/>
  <c r="AO782"/>
  <c r="AQ782"/>
  <c r="AS782"/>
  <c r="AU782"/>
  <c r="AW782"/>
  <c r="AY782"/>
  <c r="BA782"/>
  <c r="BC782"/>
  <c r="BE782"/>
  <c r="BG782"/>
  <c r="M783"/>
  <c r="O783"/>
  <c r="Q783"/>
  <c r="Y783"/>
  <c r="AG783"/>
  <c r="AI783"/>
  <c r="AK783"/>
  <c r="AM783"/>
  <c r="AO783"/>
  <c r="AQ783"/>
  <c r="AS783"/>
  <c r="AU783"/>
  <c r="AW783"/>
  <c r="AY783"/>
  <c r="BA783"/>
  <c r="BC783"/>
  <c r="BE783"/>
  <c r="BG783"/>
  <c r="M784"/>
  <c r="O784"/>
  <c r="Q784"/>
  <c r="Y784"/>
  <c r="AG784"/>
  <c r="AI784"/>
  <c r="AK784"/>
  <c r="AM784"/>
  <c r="AO784"/>
  <c r="AQ784"/>
  <c r="AS784"/>
  <c r="AU784"/>
  <c r="AW784"/>
  <c r="AY784"/>
  <c r="BA784"/>
  <c r="BC784"/>
  <c r="BE784"/>
  <c r="BG784"/>
  <c r="M785"/>
  <c r="O785"/>
  <c r="Q785"/>
  <c r="Y785"/>
  <c r="AG785"/>
  <c r="AI785"/>
  <c r="AK785"/>
  <c r="AM785"/>
  <c r="AO785"/>
  <c r="AQ785"/>
  <c r="AS785"/>
  <c r="AU785"/>
  <c r="AW785"/>
  <c r="AY785"/>
  <c r="BA785"/>
  <c r="BC785"/>
  <c r="BE785"/>
  <c r="BG785"/>
  <c r="M786"/>
  <c r="O786"/>
  <c r="Q786"/>
  <c r="Y786"/>
  <c r="AG786"/>
  <c r="AI786"/>
  <c r="AK786"/>
  <c r="AM786"/>
  <c r="AO786"/>
  <c r="AQ786"/>
  <c r="AS786"/>
  <c r="AU786"/>
  <c r="AW786"/>
  <c r="AY786"/>
  <c r="BA786"/>
  <c r="BC786"/>
  <c r="BE786"/>
  <c r="BG786"/>
  <c r="M787"/>
  <c r="O787"/>
  <c r="Q787"/>
  <c r="Y787"/>
  <c r="AG787"/>
  <c r="AI787"/>
  <c r="AK787"/>
  <c r="AM787"/>
  <c r="AO787"/>
  <c r="AQ787"/>
  <c r="AS787"/>
  <c r="AU787"/>
  <c r="AW787"/>
  <c r="AY787"/>
  <c r="BA787"/>
  <c r="BC787"/>
  <c r="BE787"/>
  <c r="BG787"/>
  <c r="M788"/>
  <c r="O788"/>
  <c r="Q788"/>
  <c r="Y788"/>
  <c r="AG788"/>
  <c r="AI788"/>
  <c r="AK788"/>
  <c r="AM788"/>
  <c r="AO788"/>
  <c r="AQ788"/>
  <c r="AS788"/>
  <c r="AU788"/>
  <c r="AW788"/>
  <c r="AY788"/>
  <c r="BA788"/>
  <c r="BC788"/>
  <c r="BE788"/>
  <c r="BG788"/>
  <c r="M789"/>
  <c r="O789"/>
  <c r="Q789"/>
  <c r="Y789"/>
  <c r="AG789"/>
  <c r="AI789"/>
  <c r="AK789"/>
  <c r="AM789"/>
  <c r="AO789"/>
  <c r="AQ789"/>
  <c r="AS789"/>
  <c r="AU789"/>
  <c r="AW789"/>
  <c r="AY789"/>
  <c r="BA789"/>
  <c r="BC789"/>
  <c r="BE789"/>
  <c r="BG789"/>
  <c r="M790"/>
  <c r="O790"/>
  <c r="Q790"/>
  <c r="Y790"/>
  <c r="AG790"/>
  <c r="AI790"/>
  <c r="AK790"/>
  <c r="AM790"/>
  <c r="AO790"/>
  <c r="AQ790"/>
  <c r="AS790"/>
  <c r="AU790"/>
  <c r="AW790"/>
  <c r="AY790"/>
  <c r="BA790"/>
  <c r="BC790"/>
  <c r="BE790"/>
  <c r="BG790"/>
  <c r="M791"/>
  <c r="O791"/>
  <c r="Q791"/>
  <c r="Y791"/>
  <c r="AG791"/>
  <c r="AI791"/>
  <c r="AK791"/>
  <c r="AM791"/>
  <c r="AO791"/>
  <c r="AQ791"/>
  <c r="AS791"/>
  <c r="AU791"/>
  <c r="AW791"/>
  <c r="AY791"/>
  <c r="BA791"/>
  <c r="BC791"/>
  <c r="BE791"/>
  <c r="BG791"/>
  <c r="M792"/>
  <c r="O792"/>
  <c r="Q792"/>
  <c r="Y792"/>
  <c r="AG792"/>
  <c r="AI792"/>
  <c r="AK792"/>
  <c r="AM792"/>
  <c r="AO792"/>
  <c r="AQ792"/>
  <c r="AS792"/>
  <c r="AU792"/>
  <c r="AW792"/>
  <c r="AY792"/>
  <c r="BA792"/>
  <c r="BC792"/>
  <c r="BE792"/>
  <c r="BG792"/>
  <c r="M793"/>
  <c r="O793"/>
  <c r="Q793"/>
  <c r="Y793"/>
  <c r="AG793"/>
  <c r="AI793"/>
  <c r="AK793"/>
  <c r="AM793"/>
  <c r="AO793"/>
  <c r="AQ793"/>
  <c r="AS793"/>
  <c r="AU793"/>
  <c r="AW793"/>
  <c r="AY793"/>
  <c r="BA793"/>
  <c r="BC793"/>
  <c r="BE793"/>
  <c r="BG793"/>
  <c r="M794"/>
  <c r="O794"/>
  <c r="Y794"/>
  <c r="AG794"/>
  <c r="AI794"/>
  <c r="AK794"/>
  <c r="AM794"/>
  <c r="AO794"/>
  <c r="AQ794"/>
  <c r="AS794"/>
  <c r="AU794"/>
  <c r="AW794"/>
  <c r="AY794"/>
  <c r="BA794"/>
  <c r="BC794"/>
  <c r="BE794"/>
  <c r="BG794"/>
  <c r="M795"/>
  <c r="O795"/>
  <c r="Q795"/>
  <c r="Y795"/>
  <c r="AG795"/>
  <c r="AI795"/>
  <c r="AK795"/>
  <c r="AM795"/>
  <c r="AO795"/>
  <c r="AQ795"/>
  <c r="AS795"/>
  <c r="AU795"/>
  <c r="AW795"/>
  <c r="AY795"/>
  <c r="BA795"/>
  <c r="BC795"/>
  <c r="BE795"/>
  <c r="BG795"/>
  <c r="M796"/>
  <c r="O796"/>
  <c r="Q796"/>
  <c r="Y796"/>
  <c r="AG796"/>
  <c r="AI796"/>
  <c r="AK796"/>
  <c r="AM796"/>
  <c r="AO796"/>
  <c r="AQ796"/>
  <c r="AS796"/>
  <c r="AU796"/>
  <c r="AW796"/>
  <c r="AY796"/>
  <c r="BA796"/>
  <c r="BC796"/>
  <c r="BE796"/>
  <c r="BG796"/>
  <c r="M797"/>
  <c r="O797"/>
  <c r="Q797"/>
  <c r="Y797"/>
  <c r="AG797"/>
  <c r="AI797"/>
  <c r="AK797"/>
  <c r="AM797"/>
  <c r="AO797"/>
  <c r="AQ797"/>
  <c r="AS797"/>
  <c r="AU797"/>
  <c r="AW797"/>
  <c r="AY797"/>
  <c r="BA797"/>
  <c r="BC797"/>
  <c r="BE797"/>
  <c r="BG797"/>
  <c r="M798"/>
  <c r="O798"/>
  <c r="P798"/>
  <c r="Y798"/>
  <c r="AG798"/>
  <c r="AI798"/>
  <c r="AK798"/>
  <c r="AM798"/>
  <c r="AO798"/>
  <c r="AQ798"/>
  <c r="AS798"/>
  <c r="AU798"/>
  <c r="AW798"/>
  <c r="AY798"/>
  <c r="BA798"/>
  <c r="BC798"/>
  <c r="BE798"/>
  <c r="BG798"/>
  <c r="L799"/>
  <c r="N799"/>
  <c r="P799"/>
  <c r="X799"/>
  <c r="AF799"/>
  <c r="AH799"/>
  <c r="AJ799"/>
  <c r="AL799"/>
  <c r="AO799"/>
  <c r="AQ799"/>
  <c r="AS799"/>
  <c r="AU799"/>
  <c r="AW799"/>
  <c r="AY799"/>
  <c r="BA799"/>
  <c r="BC799"/>
  <c r="BE799"/>
  <c r="BG799"/>
  <c r="L800"/>
  <c r="N800"/>
  <c r="S800"/>
  <c r="U800"/>
  <c r="T800" s="1"/>
  <c r="W800"/>
  <c r="V800" s="1"/>
  <c r="X800"/>
  <c r="AF800"/>
  <c r="AH800"/>
  <c r="AJ800"/>
  <c r="AL800"/>
  <c r="L801"/>
  <c r="N801"/>
  <c r="R801"/>
  <c r="T801"/>
  <c r="V801"/>
  <c r="X801"/>
  <c r="AF801"/>
  <c r="AH801"/>
  <c r="AJ801"/>
  <c r="AL801"/>
  <c r="L802"/>
  <c r="N802"/>
  <c r="R802"/>
  <c r="T802"/>
  <c r="V802"/>
  <c r="Z802"/>
  <c r="AB802"/>
  <c r="AD802"/>
  <c r="AF802"/>
  <c r="AH802"/>
  <c r="AJ802"/>
  <c r="AL802"/>
  <c r="L803"/>
  <c r="N803"/>
  <c r="R803"/>
  <c r="T803"/>
  <c r="V803"/>
  <c r="Z803"/>
  <c r="AB803"/>
  <c r="AD803"/>
  <c r="AF803"/>
  <c r="AH803"/>
  <c r="AJ803"/>
  <c r="AL803"/>
  <c r="M814"/>
  <c r="O814"/>
  <c r="Q814"/>
  <c r="Y814"/>
  <c r="AG814"/>
  <c r="AI814"/>
  <c r="AK814"/>
  <c r="AM814"/>
  <c r="AO814"/>
  <c r="AQ814"/>
  <c r="AS814"/>
  <c r="AU814"/>
  <c r="AW814"/>
  <c r="AY814"/>
  <c r="BA814"/>
  <c r="BC814"/>
  <c r="BE814"/>
  <c r="BG814"/>
  <c r="M815"/>
  <c r="O815"/>
  <c r="Q815"/>
  <c r="Y815"/>
  <c r="AG815"/>
  <c r="AI815"/>
  <c r="AK815"/>
  <c r="AM815"/>
  <c r="AO815"/>
  <c r="AQ815"/>
  <c r="AS815"/>
  <c r="AU815"/>
  <c r="AW815"/>
  <c r="AY815"/>
  <c r="BA815"/>
  <c r="BC815"/>
  <c r="BE815"/>
  <c r="BG815"/>
  <c r="M816"/>
  <c r="O816"/>
  <c r="Q816"/>
  <c r="Y816"/>
  <c r="AG816"/>
  <c r="AI816"/>
  <c r="AK816"/>
  <c r="AM816"/>
  <c r="AO816"/>
  <c r="AQ816"/>
  <c r="AS816"/>
  <c r="AU816"/>
  <c r="AW816"/>
  <c r="AY816"/>
  <c r="BA816"/>
  <c r="BC816"/>
  <c r="BE816"/>
  <c r="BG816"/>
  <c r="M817"/>
  <c r="O817"/>
  <c r="Q817"/>
  <c r="Y817"/>
  <c r="AG817"/>
  <c r="AI817"/>
  <c r="AK817"/>
  <c r="AM817"/>
  <c r="AO817"/>
  <c r="AQ817"/>
  <c r="AS817"/>
  <c r="AU817"/>
  <c r="AW817"/>
  <c r="AY817"/>
  <c r="BA817"/>
  <c r="BC817"/>
  <c r="BE817"/>
  <c r="BG817"/>
  <c r="M818"/>
  <c r="O818"/>
  <c r="Q818"/>
  <c r="Y818"/>
  <c r="AG818"/>
  <c r="AI818"/>
  <c r="AK818"/>
  <c r="AM818"/>
  <c r="AO818"/>
  <c r="AQ818"/>
  <c r="AS818"/>
  <c r="AU818"/>
  <c r="AW818"/>
  <c r="AY818"/>
  <c r="BA818"/>
  <c r="BC818"/>
  <c r="BE818"/>
  <c r="BG818"/>
  <c r="M819"/>
  <c r="O819"/>
  <c r="Q819"/>
  <c r="Y819"/>
  <c r="AG819"/>
  <c r="AI819"/>
  <c r="AK819"/>
  <c r="AM819"/>
  <c r="AO819"/>
  <c r="AQ819"/>
  <c r="AS819"/>
  <c r="AU819"/>
  <c r="AW819"/>
  <c r="AY819"/>
  <c r="BA819"/>
  <c r="BC819"/>
  <c r="BE819"/>
  <c r="BG819"/>
  <c r="M820"/>
  <c r="O820"/>
  <c r="Q820"/>
  <c r="Y820"/>
  <c r="AG820"/>
  <c r="AI820"/>
  <c r="AK820"/>
  <c r="AM820"/>
  <c r="AO820"/>
  <c r="AQ820"/>
  <c r="AS820"/>
  <c r="AU820"/>
  <c r="AW820"/>
  <c r="AY820"/>
  <c r="BA820"/>
  <c r="BC820"/>
  <c r="BE820"/>
  <c r="BG820"/>
  <c r="M821"/>
  <c r="O821"/>
  <c r="Q821"/>
  <c r="Y821"/>
  <c r="AG821"/>
  <c r="AI821"/>
  <c r="AK821"/>
  <c r="AM821"/>
  <c r="AO821"/>
  <c r="AQ821"/>
  <c r="AS821"/>
  <c r="AU821"/>
  <c r="AW821"/>
  <c r="AY821"/>
  <c r="BA821"/>
  <c r="BC821"/>
  <c r="BE821"/>
  <c r="BG821"/>
  <c r="M822"/>
  <c r="O822"/>
  <c r="Q822"/>
  <c r="Y822"/>
  <c r="AG822"/>
  <c r="AI822"/>
  <c r="AK822"/>
  <c r="AM822"/>
  <c r="AO822"/>
  <c r="AQ822"/>
  <c r="AS822"/>
  <c r="AU822"/>
  <c r="AW822"/>
  <c r="AY822"/>
  <c r="BA822"/>
  <c r="BC822"/>
  <c r="BE822"/>
  <c r="BG822"/>
  <c r="M823"/>
  <c r="O823"/>
  <c r="Q823"/>
  <c r="Y823"/>
  <c r="AG823"/>
  <c r="AI823"/>
  <c r="AK823"/>
  <c r="AM823"/>
  <c r="AO823"/>
  <c r="AQ823"/>
  <c r="AS823"/>
  <c r="AU823"/>
  <c r="AW823"/>
  <c r="AY823"/>
  <c r="BA823"/>
  <c r="BC823"/>
  <c r="BE823"/>
  <c r="BG823"/>
  <c r="M824"/>
  <c r="O824"/>
  <c r="Q824"/>
  <c r="Y824"/>
  <c r="AG824"/>
  <c r="AI824"/>
  <c r="AK824"/>
  <c r="AM824"/>
  <c r="AO824"/>
  <c r="AQ824"/>
  <c r="AS824"/>
  <c r="AU824"/>
  <c r="AW824"/>
  <c r="AY824"/>
  <c r="BA824"/>
  <c r="BC824"/>
  <c r="BE824"/>
  <c r="BG824"/>
  <c r="M825"/>
  <c r="O825"/>
  <c r="Q825"/>
  <c r="Y825"/>
  <c r="AG825"/>
  <c r="AI825"/>
  <c r="AK825"/>
  <c r="AM825"/>
  <c r="AO825"/>
  <c r="AQ825"/>
  <c r="AS825"/>
  <c r="AU825"/>
  <c r="AW825"/>
  <c r="AY825"/>
  <c r="BA825"/>
  <c r="BC825"/>
  <c r="BE825"/>
  <c r="BG825"/>
  <c r="M826"/>
  <c r="O826"/>
  <c r="Q826"/>
  <c r="Y826"/>
  <c r="AG826"/>
  <c r="AI826"/>
  <c r="AK826"/>
  <c r="AM826"/>
  <c r="AO826"/>
  <c r="AQ826"/>
  <c r="AS826"/>
  <c r="AU826"/>
  <c r="AW826"/>
  <c r="AY826"/>
  <c r="BA826"/>
  <c r="BC826"/>
  <c r="BE826"/>
  <c r="BG826"/>
  <c r="M827"/>
  <c r="O827"/>
  <c r="Q827"/>
  <c r="Y827"/>
  <c r="AG827"/>
  <c r="AI827"/>
  <c r="AK827"/>
  <c r="AM827"/>
  <c r="AO827"/>
  <c r="AQ827"/>
  <c r="AS827"/>
  <c r="AU827"/>
  <c r="AW827"/>
  <c r="AY827"/>
  <c r="BA827"/>
  <c r="BC827"/>
  <c r="BE827"/>
  <c r="BG827"/>
  <c r="M828"/>
  <c r="O828"/>
  <c r="Q828"/>
  <c r="Y828"/>
  <c r="AG828"/>
  <c r="AI828"/>
  <c r="AK828"/>
  <c r="AM828"/>
  <c r="AO828"/>
  <c r="AQ828"/>
  <c r="AS828"/>
  <c r="AU828"/>
  <c r="AW828"/>
  <c r="AY828"/>
  <c r="BA828"/>
  <c r="BC828"/>
  <c r="BE828"/>
  <c r="BG828"/>
  <c r="M829"/>
  <c r="O829"/>
  <c r="Q829"/>
  <c r="Y829"/>
  <c r="AG829"/>
  <c r="AI829"/>
  <c r="AK829"/>
  <c r="AM829"/>
  <c r="AO829"/>
  <c r="AQ829"/>
  <c r="AS829"/>
  <c r="AU829"/>
  <c r="AW829"/>
  <c r="AY829"/>
  <c r="BA829"/>
  <c r="BC829"/>
  <c r="BE829"/>
  <c r="BG829"/>
  <c r="M830"/>
  <c r="O830"/>
  <c r="Q830"/>
  <c r="Y830"/>
  <c r="AG830"/>
  <c r="AI830"/>
  <c r="AK830"/>
  <c r="AM830"/>
  <c r="AO830"/>
  <c r="AQ830"/>
  <c r="AS830"/>
  <c r="AU830"/>
  <c r="AW830"/>
  <c r="AY830"/>
  <c r="BA830"/>
  <c r="BC830"/>
  <c r="BE830"/>
  <c r="BG830"/>
  <c r="M831"/>
  <c r="O831"/>
  <c r="Q831"/>
  <c r="Y831"/>
  <c r="AG831"/>
  <c r="AI831"/>
  <c r="AK831"/>
  <c r="AM831"/>
  <c r="AO831"/>
  <c r="AQ831"/>
  <c r="AS831"/>
  <c r="AU831"/>
  <c r="AW831"/>
  <c r="AY831"/>
  <c r="BA831"/>
  <c r="BC831"/>
  <c r="BE831"/>
  <c r="BG831"/>
  <c r="M832"/>
  <c r="O832"/>
  <c r="Q832"/>
  <c r="Y832"/>
  <c r="AG832"/>
  <c r="AI832"/>
  <c r="AK832"/>
  <c r="AM832"/>
  <c r="AO832"/>
  <c r="AQ832"/>
  <c r="AS832"/>
  <c r="AU832"/>
  <c r="AW832"/>
  <c r="AY832"/>
  <c r="BA832"/>
  <c r="BC832"/>
  <c r="BE832"/>
  <c r="BG832"/>
  <c r="M833"/>
  <c r="O833"/>
  <c r="Q833"/>
  <c r="Y833"/>
  <c r="AG833"/>
  <c r="AI833"/>
  <c r="AK833"/>
  <c r="AM833"/>
  <c r="AO833"/>
  <c r="AQ833"/>
  <c r="AS833"/>
  <c r="AU833"/>
  <c r="AW833"/>
  <c r="AY833"/>
  <c r="BA833"/>
  <c r="BC833"/>
  <c r="BE833"/>
  <c r="BG833"/>
  <c r="M834"/>
  <c r="O834"/>
  <c r="Q834"/>
  <c r="Y834"/>
  <c r="AG834"/>
  <c r="AI834"/>
  <c r="AK834"/>
  <c r="AM834"/>
  <c r="AO834"/>
  <c r="AQ834"/>
  <c r="AS834"/>
  <c r="AU834"/>
  <c r="AW834"/>
  <c r="AY834"/>
  <c r="BA834"/>
  <c r="BC834"/>
  <c r="BE834"/>
  <c r="BG834"/>
  <c r="M835"/>
  <c r="O835"/>
  <c r="Q835"/>
  <c r="Y835"/>
  <c r="AG835"/>
  <c r="AI835"/>
  <c r="AK835"/>
  <c r="AM835"/>
  <c r="AO835"/>
  <c r="AQ835"/>
  <c r="AS835"/>
  <c r="AU835"/>
  <c r="AW835"/>
  <c r="AY835"/>
  <c r="BA835"/>
  <c r="BC835"/>
  <c r="BE835"/>
  <c r="BG835"/>
  <c r="M836"/>
  <c r="O836"/>
  <c r="Q836"/>
  <c r="Y836"/>
  <c r="AG836"/>
  <c r="AI836"/>
  <c r="AK836"/>
  <c r="AM836"/>
  <c r="AO836"/>
  <c r="AQ836"/>
  <c r="AS836"/>
  <c r="AU836"/>
  <c r="AW836"/>
  <c r="AY836"/>
  <c r="BA836"/>
  <c r="BC836"/>
  <c r="BE836"/>
  <c r="BG836"/>
  <c r="M837"/>
  <c r="O837"/>
  <c r="Q837"/>
  <c r="Y837"/>
  <c r="AG837"/>
  <c r="AI837"/>
  <c r="AK837"/>
  <c r="AM837"/>
  <c r="AO837"/>
  <c r="AQ837"/>
  <c r="AS837"/>
  <c r="AU837"/>
  <c r="AW837"/>
  <c r="AY837"/>
  <c r="BA837"/>
  <c r="BC837"/>
  <c r="BE837"/>
  <c r="BG837"/>
  <c r="M838"/>
  <c r="O838"/>
  <c r="Q838"/>
  <c r="Y838"/>
  <c r="AG838"/>
  <c r="AI838"/>
  <c r="AK838"/>
  <c r="AM838"/>
  <c r="AO838"/>
  <c r="AQ838"/>
  <c r="AS838"/>
  <c r="AU838"/>
  <c r="AW838"/>
  <c r="AY838"/>
  <c r="BA838"/>
  <c r="BC838"/>
  <c r="BE838"/>
  <c r="BG838"/>
  <c r="M839"/>
  <c r="O839"/>
  <c r="Q839"/>
  <c r="Y839"/>
  <c r="AG839"/>
  <c r="AI839"/>
  <c r="AK839"/>
  <c r="AM839"/>
  <c r="AO839"/>
  <c r="AQ839"/>
  <c r="AS839"/>
  <c r="AU839"/>
  <c r="AW839"/>
  <c r="AY839"/>
  <c r="BA839"/>
  <c r="BC839"/>
  <c r="BE839"/>
  <c r="BG839"/>
  <c r="M840"/>
  <c r="O840"/>
  <c r="Q840"/>
  <c r="Y840"/>
  <c r="AG840"/>
  <c r="AI840"/>
  <c r="AK840"/>
  <c r="AM840"/>
  <c r="AO840"/>
  <c r="AQ840"/>
  <c r="AS840"/>
  <c r="AU840"/>
  <c r="AW840"/>
  <c r="AY840"/>
  <c r="BA840"/>
  <c r="BC840"/>
  <c r="BE840"/>
  <c r="BG840"/>
  <c r="M841"/>
  <c r="O841"/>
  <c r="Q841"/>
  <c r="Y841"/>
  <c r="AG841"/>
  <c r="AI841"/>
  <c r="AK841"/>
  <c r="AM841"/>
  <c r="AO841"/>
  <c r="AQ841"/>
  <c r="AS841"/>
  <c r="AU841"/>
  <c r="AW841"/>
  <c r="AY841"/>
  <c r="BA841"/>
  <c r="BC841"/>
  <c r="BE841"/>
  <c r="BG841"/>
  <c r="M842"/>
  <c r="O842"/>
  <c r="Q842"/>
  <c r="Y842"/>
  <c r="AG842"/>
  <c r="AI842"/>
  <c r="AK842"/>
  <c r="AM842"/>
  <c r="AO842"/>
  <c r="AQ842"/>
  <c r="AS842"/>
  <c r="AU842"/>
  <c r="AW842"/>
  <c r="AY842"/>
  <c r="BA842"/>
  <c r="BC842"/>
  <c r="BE842"/>
  <c r="BG842"/>
  <c r="M843"/>
  <c r="O843"/>
  <c r="Q843"/>
  <c r="Y843"/>
  <c r="AG843"/>
  <c r="AI843"/>
  <c r="AK843"/>
  <c r="AM843"/>
  <c r="AO843"/>
  <c r="AQ843"/>
  <c r="AS843"/>
  <c r="AU843"/>
  <c r="AW843"/>
  <c r="AY843"/>
  <c r="BA843"/>
  <c r="BC843"/>
  <c r="BE843"/>
  <c r="BG843"/>
  <c r="M844"/>
  <c r="O844"/>
  <c r="Q844"/>
  <c r="Y844"/>
  <c r="AG844"/>
  <c r="AI844"/>
  <c r="AK844"/>
  <c r="AM844"/>
  <c r="AO844"/>
  <c r="AQ844"/>
  <c r="AS844"/>
  <c r="AU844"/>
  <c r="AW844"/>
  <c r="AY844"/>
  <c r="BA844"/>
  <c r="BC844"/>
  <c r="BE844"/>
  <c r="BG844"/>
  <c r="M845"/>
  <c r="O845"/>
  <c r="Q845"/>
  <c r="Y845"/>
  <c r="AG845"/>
  <c r="AI845"/>
  <c r="AK845"/>
  <c r="AM845"/>
  <c r="AO845"/>
  <c r="AQ845"/>
  <c r="AS845"/>
  <c r="AU845"/>
  <c r="AW845"/>
  <c r="AY845"/>
  <c r="BA845"/>
  <c r="BC845"/>
  <c r="BE845"/>
  <c r="BG845"/>
  <c r="M846"/>
  <c r="O846"/>
  <c r="Q846"/>
  <c r="Y846"/>
  <c r="AG846"/>
  <c r="AI846"/>
  <c r="AK846"/>
  <c r="AM846"/>
  <c r="AO846"/>
  <c r="AQ846"/>
  <c r="AS846"/>
  <c r="AU846"/>
  <c r="AW846"/>
  <c r="AY846"/>
  <c r="BA846"/>
  <c r="BC846"/>
  <c r="BE846"/>
  <c r="BG846"/>
  <c r="M847"/>
  <c r="O847"/>
  <c r="Q847"/>
  <c r="Y847"/>
  <c r="AG847"/>
  <c r="AI847"/>
  <c r="AK847"/>
  <c r="AM847"/>
  <c r="AO847"/>
  <c r="AQ847"/>
  <c r="AS847"/>
  <c r="AU847"/>
  <c r="AW847"/>
  <c r="AY847"/>
  <c r="BA847"/>
  <c r="BC847"/>
  <c r="BE847"/>
  <c r="BG847"/>
  <c r="M848"/>
  <c r="O848"/>
  <c r="Q848"/>
  <c r="Y848"/>
  <c r="AG848"/>
  <c r="AI848"/>
  <c r="AK848"/>
  <c r="AM848"/>
  <c r="AO848"/>
  <c r="AQ848"/>
  <c r="AS848"/>
  <c r="AU848"/>
  <c r="AW848"/>
  <c r="AY848"/>
  <c r="BA848"/>
  <c r="BC848"/>
  <c r="BE848"/>
  <c r="BG848"/>
  <c r="M849"/>
  <c r="O849"/>
  <c r="Q849"/>
  <c r="Y849"/>
  <c r="AG849"/>
  <c r="AI849"/>
  <c r="AK849"/>
  <c r="AM849"/>
  <c r="AO849"/>
  <c r="AQ849"/>
  <c r="AS849"/>
  <c r="AU849"/>
  <c r="AW849"/>
  <c r="AY849"/>
  <c r="BA849"/>
  <c r="BC849"/>
  <c r="BE849"/>
  <c r="BG849"/>
  <c r="M850"/>
  <c r="O850"/>
  <c r="Q850"/>
  <c r="Y850"/>
  <c r="AG850"/>
  <c r="AI850"/>
  <c r="AK850"/>
  <c r="AM850"/>
  <c r="AO850"/>
  <c r="AQ850"/>
  <c r="AS850"/>
  <c r="AU850"/>
  <c r="AW850"/>
  <c r="AY850"/>
  <c r="BA850"/>
  <c r="BC850"/>
  <c r="BE850"/>
  <c r="BG850"/>
  <c r="M851"/>
  <c r="O851"/>
  <c r="Q851"/>
  <c r="Y851"/>
  <c r="AG851"/>
  <c r="AI851"/>
  <c r="AK851"/>
  <c r="AM851"/>
  <c r="AO851"/>
  <c r="AQ851"/>
  <c r="AS851"/>
  <c r="AU851"/>
  <c r="AW851"/>
  <c r="AY851"/>
  <c r="BA851"/>
  <c r="BC851"/>
  <c r="BE851"/>
  <c r="BG851"/>
  <c r="M852"/>
  <c r="O852"/>
  <c r="Y852"/>
  <c r="AG852"/>
  <c r="AI852"/>
  <c r="AK852"/>
  <c r="AM852"/>
  <c r="AO852"/>
  <c r="AQ852"/>
  <c r="AS852"/>
  <c r="AU852"/>
  <c r="AW852"/>
  <c r="AY852"/>
  <c r="BA852"/>
  <c r="BC852"/>
  <c r="BE852"/>
  <c r="BG852"/>
  <c r="M853"/>
  <c r="O853"/>
  <c r="Q853"/>
  <c r="Y853"/>
  <c r="AG853"/>
  <c r="AI853"/>
  <c r="AK853"/>
  <c r="AM853"/>
  <c r="AO853"/>
  <c r="AQ853"/>
  <c r="AS853"/>
  <c r="AU853"/>
  <c r="AW853"/>
  <c r="AY853"/>
  <c r="BA853"/>
  <c r="BC853"/>
  <c r="BE853"/>
  <c r="BG853"/>
  <c r="M854"/>
  <c r="O854"/>
  <c r="Q854"/>
  <c r="Y854"/>
  <c r="AG854"/>
  <c r="AI854"/>
  <c r="AK854"/>
  <c r="AM854"/>
  <c r="AO854"/>
  <c r="AQ854"/>
  <c r="AS854"/>
  <c r="AU854"/>
  <c r="AW854"/>
  <c r="AY854"/>
  <c r="BA854"/>
  <c r="BC854"/>
  <c r="BE854"/>
  <c r="BG854"/>
  <c r="O855"/>
  <c r="Q855"/>
  <c r="Y855"/>
  <c r="AG855"/>
  <c r="AI855"/>
  <c r="AK855"/>
  <c r="AM855"/>
  <c r="AO855"/>
  <c r="AQ855"/>
  <c r="AS855"/>
  <c r="AU855"/>
  <c r="AW855"/>
  <c r="AY855"/>
  <c r="BA855"/>
  <c r="BC855"/>
  <c r="BE855"/>
  <c r="BG855"/>
  <c r="O856"/>
  <c r="Q856"/>
  <c r="Y856"/>
  <c r="AG856"/>
  <c r="AI856"/>
  <c r="AK856"/>
  <c r="AM856"/>
  <c r="AO856"/>
  <c r="AQ856"/>
  <c r="AS856"/>
  <c r="AU856"/>
  <c r="AW856"/>
  <c r="AY856"/>
  <c r="BA856"/>
  <c r="BC856"/>
  <c r="BE856"/>
  <c r="BG856"/>
  <c r="N857"/>
  <c r="R857"/>
  <c r="T857"/>
  <c r="V857"/>
  <c r="X857"/>
  <c r="AJ857"/>
  <c r="AM857"/>
  <c r="BQ857" s="1"/>
  <c r="N858"/>
  <c r="X858"/>
  <c r="AJ858"/>
  <c r="N859"/>
  <c r="R859"/>
  <c r="T859"/>
  <c r="V859"/>
  <c r="X859"/>
  <c r="N860"/>
  <c r="BP860" s="1"/>
  <c r="AJ860"/>
  <c r="BN860" s="1"/>
  <c r="N861"/>
  <c r="Y861"/>
  <c r="AK861"/>
  <c r="AJ861" s="1"/>
  <c r="M872"/>
  <c r="O872"/>
  <c r="Q872"/>
  <c r="Y872"/>
  <c r="AG872"/>
  <c r="AI872"/>
  <c r="AK872"/>
  <c r="AM872"/>
  <c r="AO872"/>
  <c r="AQ872"/>
  <c r="AS872"/>
  <c r="AU872"/>
  <c r="AW872"/>
  <c r="AY872"/>
  <c r="BA872"/>
  <c r="BC872"/>
  <c r="BE872"/>
  <c r="BG872"/>
  <c r="M873"/>
  <c r="O873"/>
  <c r="Q873"/>
  <c r="Y873"/>
  <c r="AG873"/>
  <c r="AI873"/>
  <c r="AK873"/>
  <c r="AM873"/>
  <c r="AO873"/>
  <c r="AQ873"/>
  <c r="AS873"/>
  <c r="AU873"/>
  <c r="AW873"/>
  <c r="AY873"/>
  <c r="BA873"/>
  <c r="BC873"/>
  <c r="BE873"/>
  <c r="BG873"/>
  <c r="M874"/>
  <c r="O874"/>
  <c r="Q874"/>
  <c r="Y874"/>
  <c r="AG874"/>
  <c r="AI874"/>
  <c r="AK874"/>
  <c r="AM874"/>
  <c r="AO874"/>
  <c r="AQ874"/>
  <c r="AS874"/>
  <c r="AU874"/>
  <c r="AW874"/>
  <c r="AY874"/>
  <c r="BA874"/>
  <c r="BC874"/>
  <c r="BE874"/>
  <c r="BG874"/>
  <c r="M875"/>
  <c r="O875"/>
  <c r="Q875"/>
  <c r="Y875"/>
  <c r="AG875"/>
  <c r="AI875"/>
  <c r="AK875"/>
  <c r="AM875"/>
  <c r="AO875"/>
  <c r="AQ875"/>
  <c r="AS875"/>
  <c r="AU875"/>
  <c r="AW875"/>
  <c r="AY875"/>
  <c r="BA875"/>
  <c r="BC875"/>
  <c r="BE875"/>
  <c r="BG875"/>
  <c r="M876"/>
  <c r="O876"/>
  <c r="Q876"/>
  <c r="Y876"/>
  <c r="AG876"/>
  <c r="AI876"/>
  <c r="AK876"/>
  <c r="AM876"/>
  <c r="AO876"/>
  <c r="AQ876"/>
  <c r="AS876"/>
  <c r="AU876"/>
  <c r="AW876"/>
  <c r="AY876"/>
  <c r="BA876"/>
  <c r="BC876"/>
  <c r="BE876"/>
  <c r="BG876"/>
  <c r="M877"/>
  <c r="O877"/>
  <c r="Q877"/>
  <c r="Y877"/>
  <c r="AG877"/>
  <c r="AI877"/>
  <c r="AK877"/>
  <c r="AM877"/>
  <c r="AO877"/>
  <c r="AQ877"/>
  <c r="AS877"/>
  <c r="AU877"/>
  <c r="AW877"/>
  <c r="AY877"/>
  <c r="BA877"/>
  <c r="BC877"/>
  <c r="BE877"/>
  <c r="BG877"/>
  <c r="M878"/>
  <c r="O878"/>
  <c r="Q878"/>
  <c r="Y878"/>
  <c r="AG878"/>
  <c r="AI878"/>
  <c r="AK878"/>
  <c r="AM878"/>
  <c r="AO878"/>
  <c r="AQ878"/>
  <c r="AS878"/>
  <c r="AU878"/>
  <c r="AW878"/>
  <c r="AY878"/>
  <c r="BA878"/>
  <c r="BC878"/>
  <c r="BE878"/>
  <c r="BG878"/>
  <c r="M879"/>
  <c r="O879"/>
  <c r="Q879"/>
  <c r="Y879"/>
  <c r="AG879"/>
  <c r="AI879"/>
  <c r="AK879"/>
  <c r="AM879"/>
  <c r="AO879"/>
  <c r="AQ879"/>
  <c r="AS879"/>
  <c r="AU879"/>
  <c r="AW879"/>
  <c r="AY879"/>
  <c r="BA879"/>
  <c r="BC879"/>
  <c r="BE879"/>
  <c r="BG879"/>
  <c r="M880"/>
  <c r="O880"/>
  <c r="Q880"/>
  <c r="Y880"/>
  <c r="AG880"/>
  <c r="AI880"/>
  <c r="AK880"/>
  <c r="AM880"/>
  <c r="AO880"/>
  <c r="AQ880"/>
  <c r="AS880"/>
  <c r="AU880"/>
  <c r="AW880"/>
  <c r="AY880"/>
  <c r="BA880"/>
  <c r="BC880"/>
  <c r="BE880"/>
  <c r="BG880"/>
  <c r="M881"/>
  <c r="O881"/>
  <c r="Q881"/>
  <c r="Y881"/>
  <c r="AG881"/>
  <c r="AI881"/>
  <c r="AK881"/>
  <c r="AM881"/>
  <c r="AO881"/>
  <c r="AQ881"/>
  <c r="AS881"/>
  <c r="AU881"/>
  <c r="AW881"/>
  <c r="AY881"/>
  <c r="BA881"/>
  <c r="BC881"/>
  <c r="BE881"/>
  <c r="BG881"/>
  <c r="M882"/>
  <c r="O882"/>
  <c r="Q882"/>
  <c r="Y882"/>
  <c r="AG882"/>
  <c r="AI882"/>
  <c r="AK882"/>
  <c r="AM882"/>
  <c r="AO882"/>
  <c r="AQ882"/>
  <c r="AS882"/>
  <c r="AU882"/>
  <c r="AW882"/>
  <c r="AY882"/>
  <c r="BA882"/>
  <c r="BC882"/>
  <c r="BE882"/>
  <c r="BG882"/>
  <c r="M883"/>
  <c r="O883"/>
  <c r="Q883"/>
  <c r="Y883"/>
  <c r="AG883"/>
  <c r="AI883"/>
  <c r="AK883"/>
  <c r="AM883"/>
  <c r="AO883"/>
  <c r="AQ883"/>
  <c r="AS883"/>
  <c r="AU883"/>
  <c r="AW883"/>
  <c r="AY883"/>
  <c r="BA883"/>
  <c r="BC883"/>
  <c r="BE883"/>
  <c r="BG883"/>
  <c r="M884"/>
  <c r="O884"/>
  <c r="Q884"/>
  <c r="Y884"/>
  <c r="AG884"/>
  <c r="AI884"/>
  <c r="AK884"/>
  <c r="AM884"/>
  <c r="AO884"/>
  <c r="AQ884"/>
  <c r="AS884"/>
  <c r="AU884"/>
  <c r="AW884"/>
  <c r="AY884"/>
  <c r="BA884"/>
  <c r="BC884"/>
  <c r="BE884"/>
  <c r="BG884"/>
  <c r="M885"/>
  <c r="O885"/>
  <c r="Q885"/>
  <c r="Y885"/>
  <c r="AG885"/>
  <c r="AI885"/>
  <c r="AK885"/>
  <c r="AM885"/>
  <c r="AO885"/>
  <c r="AQ885"/>
  <c r="AS885"/>
  <c r="AU885"/>
  <c r="AW885"/>
  <c r="AY885"/>
  <c r="BA885"/>
  <c r="BC885"/>
  <c r="BE885"/>
  <c r="BG885"/>
  <c r="M886"/>
  <c r="O886"/>
  <c r="Q886"/>
  <c r="Y886"/>
  <c r="AG886"/>
  <c r="AI886"/>
  <c r="AK886"/>
  <c r="AM886"/>
  <c r="AO886"/>
  <c r="AQ886"/>
  <c r="AS886"/>
  <c r="AU886"/>
  <c r="AW886"/>
  <c r="AY886"/>
  <c r="BA886"/>
  <c r="BC886"/>
  <c r="BE886"/>
  <c r="BG886"/>
  <c r="M887"/>
  <c r="O887"/>
  <c r="Q887"/>
  <c r="Y887"/>
  <c r="AG887"/>
  <c r="AI887"/>
  <c r="AK887"/>
  <c r="AM887"/>
  <c r="AO887"/>
  <c r="AQ887"/>
  <c r="AS887"/>
  <c r="AU887"/>
  <c r="AW887"/>
  <c r="AY887"/>
  <c r="BA887"/>
  <c r="BC887"/>
  <c r="BE887"/>
  <c r="BG887"/>
  <c r="M888"/>
  <c r="O888"/>
  <c r="Q888"/>
  <c r="Y888"/>
  <c r="AG888"/>
  <c r="AI888"/>
  <c r="AK888"/>
  <c r="AM888"/>
  <c r="AO888"/>
  <c r="AQ888"/>
  <c r="AS888"/>
  <c r="AU888"/>
  <c r="AW888"/>
  <c r="AY888"/>
  <c r="BA888"/>
  <c r="BC888"/>
  <c r="BE888"/>
  <c r="BG888"/>
  <c r="M889"/>
  <c r="O889"/>
  <c r="Q889"/>
  <c r="Y889"/>
  <c r="AG889"/>
  <c r="AI889"/>
  <c r="AK889"/>
  <c r="AM889"/>
  <c r="AO889"/>
  <c r="AQ889"/>
  <c r="AS889"/>
  <c r="AU889"/>
  <c r="AW889"/>
  <c r="AY889"/>
  <c r="BA889"/>
  <c r="BC889"/>
  <c r="BE889"/>
  <c r="BG889"/>
  <c r="M890"/>
  <c r="O890"/>
  <c r="Q890"/>
  <c r="Y890"/>
  <c r="AG890"/>
  <c r="AI890"/>
  <c r="AK890"/>
  <c r="AM890"/>
  <c r="AO890"/>
  <c r="AQ890"/>
  <c r="AS890"/>
  <c r="AU890"/>
  <c r="AW890"/>
  <c r="AY890"/>
  <c r="BA890"/>
  <c r="BC890"/>
  <c r="BE890"/>
  <c r="BG890"/>
  <c r="M891"/>
  <c r="O891"/>
  <c r="Q891"/>
  <c r="Y891"/>
  <c r="AG891"/>
  <c r="AI891"/>
  <c r="AK891"/>
  <c r="AM891"/>
  <c r="AO891"/>
  <c r="AQ891"/>
  <c r="AS891"/>
  <c r="AU891"/>
  <c r="AW891"/>
  <c r="AY891"/>
  <c r="BA891"/>
  <c r="BC891"/>
  <c r="BE891"/>
  <c r="BG891"/>
  <c r="M892"/>
  <c r="O892"/>
  <c r="Q892"/>
  <c r="Y892"/>
  <c r="AG892"/>
  <c r="AI892"/>
  <c r="AK892"/>
  <c r="AM892"/>
  <c r="AO892"/>
  <c r="AQ892"/>
  <c r="AS892"/>
  <c r="AU892"/>
  <c r="AW892"/>
  <c r="AY892"/>
  <c r="BA892"/>
  <c r="BC892"/>
  <c r="BE892"/>
  <c r="BG892"/>
  <c r="M893"/>
  <c r="O893"/>
  <c r="Q893"/>
  <c r="Y893"/>
  <c r="AG893"/>
  <c r="AI893"/>
  <c r="AK893"/>
  <c r="AM893"/>
  <c r="AO893"/>
  <c r="AQ893"/>
  <c r="AS893"/>
  <c r="AU893"/>
  <c r="AW893"/>
  <c r="AY893"/>
  <c r="BA893"/>
  <c r="BC893"/>
  <c r="BE893"/>
  <c r="BG893"/>
  <c r="M894"/>
  <c r="O894"/>
  <c r="Q894"/>
  <c r="Y894"/>
  <c r="AG894"/>
  <c r="AI894"/>
  <c r="AK894"/>
  <c r="AM894"/>
  <c r="AO894"/>
  <c r="AQ894"/>
  <c r="AS894"/>
  <c r="AU894"/>
  <c r="AW894"/>
  <c r="AY894"/>
  <c r="BA894"/>
  <c r="BC894"/>
  <c r="BE894"/>
  <c r="BG894"/>
  <c r="M895"/>
  <c r="O895"/>
  <c r="Q895"/>
  <c r="Y895"/>
  <c r="AG895"/>
  <c r="AI895"/>
  <c r="AK895"/>
  <c r="AM895"/>
  <c r="AO895"/>
  <c r="AQ895"/>
  <c r="AS895"/>
  <c r="AU895"/>
  <c r="AW895"/>
  <c r="AY895"/>
  <c r="BA895"/>
  <c r="BC895"/>
  <c r="BE895"/>
  <c r="BG895"/>
  <c r="M896"/>
  <c r="O896"/>
  <c r="Q896"/>
  <c r="Y896"/>
  <c r="AG896"/>
  <c r="AI896"/>
  <c r="AK896"/>
  <c r="AM896"/>
  <c r="AO896"/>
  <c r="AQ896"/>
  <c r="AS896"/>
  <c r="AU896"/>
  <c r="AW896"/>
  <c r="AY896"/>
  <c r="BA896"/>
  <c r="BC896"/>
  <c r="BE896"/>
  <c r="BG896"/>
  <c r="M897"/>
  <c r="O897"/>
  <c r="Q897"/>
  <c r="Y897"/>
  <c r="AG897"/>
  <c r="AI897"/>
  <c r="AK897"/>
  <c r="AM897"/>
  <c r="AO897"/>
  <c r="AQ897"/>
  <c r="AS897"/>
  <c r="AU897"/>
  <c r="AW897"/>
  <c r="AY897"/>
  <c r="BA897"/>
  <c r="BC897"/>
  <c r="BE897"/>
  <c r="BG897"/>
  <c r="M898"/>
  <c r="O898"/>
  <c r="Q898"/>
  <c r="Y898"/>
  <c r="AG898"/>
  <c r="AI898"/>
  <c r="AK898"/>
  <c r="AM898"/>
  <c r="AO898"/>
  <c r="AQ898"/>
  <c r="AS898"/>
  <c r="AU898"/>
  <c r="AW898"/>
  <c r="AY898"/>
  <c r="BA898"/>
  <c r="BC898"/>
  <c r="BE898"/>
  <c r="BG898"/>
  <c r="M899"/>
  <c r="O899"/>
  <c r="Q899"/>
  <c r="Y899"/>
  <c r="AG899"/>
  <c r="AI899"/>
  <c r="AK899"/>
  <c r="AM899"/>
  <c r="AO899"/>
  <c r="AQ899"/>
  <c r="AS899"/>
  <c r="AU899"/>
  <c r="AW899"/>
  <c r="AY899"/>
  <c r="BA899"/>
  <c r="BC899"/>
  <c r="BE899"/>
  <c r="BG899"/>
  <c r="M900"/>
  <c r="O900"/>
  <c r="Q900"/>
  <c r="Y900"/>
  <c r="AG900"/>
  <c r="AI900"/>
  <c r="AK900"/>
  <c r="AM900"/>
  <c r="AO900"/>
  <c r="AQ900"/>
  <c r="AS900"/>
  <c r="AU900"/>
  <c r="AW900"/>
  <c r="AY900"/>
  <c r="BA900"/>
  <c r="BC900"/>
  <c r="BE900"/>
  <c r="BG900"/>
  <c r="M901"/>
  <c r="O901"/>
  <c r="Q901"/>
  <c r="Y901"/>
  <c r="AG901"/>
  <c r="AI901"/>
  <c r="AK901"/>
  <c r="AM901"/>
  <c r="AO901"/>
  <c r="AQ901"/>
  <c r="AS901"/>
  <c r="AU901"/>
  <c r="AW901"/>
  <c r="AY901"/>
  <c r="BA901"/>
  <c r="BC901"/>
  <c r="BE901"/>
  <c r="BG901"/>
  <c r="M902"/>
  <c r="O902"/>
  <c r="Q902"/>
  <c r="Y902"/>
  <c r="AG902"/>
  <c r="AI902"/>
  <c r="AK902"/>
  <c r="AM902"/>
  <c r="AO902"/>
  <c r="AQ902"/>
  <c r="AS902"/>
  <c r="AU902"/>
  <c r="AW902"/>
  <c r="AY902"/>
  <c r="BA902"/>
  <c r="BC902"/>
  <c r="BE902"/>
  <c r="BG902"/>
  <c r="M903"/>
  <c r="O903"/>
  <c r="Q903"/>
  <c r="Y903"/>
  <c r="AG903"/>
  <c r="AI903"/>
  <c r="AK903"/>
  <c r="AM903"/>
  <c r="AO903"/>
  <c r="AQ903"/>
  <c r="AS903"/>
  <c r="AU903"/>
  <c r="AW903"/>
  <c r="AY903"/>
  <c r="BA903"/>
  <c r="BC903"/>
  <c r="BE903"/>
  <c r="BG903"/>
  <c r="M904"/>
  <c r="O904"/>
  <c r="Q904"/>
  <c r="Y904"/>
  <c r="AG904"/>
  <c r="AI904"/>
  <c r="AK904"/>
  <c r="AM904"/>
  <c r="AO904"/>
  <c r="AQ904"/>
  <c r="AS904"/>
  <c r="AU904"/>
  <c r="AW904"/>
  <c r="AY904"/>
  <c r="BA904"/>
  <c r="BC904"/>
  <c r="BE904"/>
  <c r="BG904"/>
  <c r="M905"/>
  <c r="O905"/>
  <c r="Q905"/>
  <c r="Y905"/>
  <c r="AG905"/>
  <c r="AI905"/>
  <c r="AK905"/>
  <c r="AM905"/>
  <c r="AO905"/>
  <c r="AQ905"/>
  <c r="AS905"/>
  <c r="AU905"/>
  <c r="AW905"/>
  <c r="AY905"/>
  <c r="BA905"/>
  <c r="BC905"/>
  <c r="BE905"/>
  <c r="BG905"/>
  <c r="M906"/>
  <c r="O906"/>
  <c r="Q906"/>
  <c r="Y906"/>
  <c r="AG906"/>
  <c r="AI906"/>
  <c r="AK906"/>
  <c r="AM906"/>
  <c r="AO906"/>
  <c r="AQ906"/>
  <c r="AS906"/>
  <c r="AU906"/>
  <c r="AW906"/>
  <c r="AY906"/>
  <c r="BA906"/>
  <c r="BC906"/>
  <c r="BE906"/>
  <c r="BG906"/>
  <c r="M907"/>
  <c r="O907"/>
  <c r="Q907"/>
  <c r="Y907"/>
  <c r="AG907"/>
  <c r="AI907"/>
  <c r="AK907"/>
  <c r="AM907"/>
  <c r="AO907"/>
  <c r="AQ907"/>
  <c r="AS907"/>
  <c r="AU907"/>
  <c r="AW907"/>
  <c r="AY907"/>
  <c r="BA907"/>
  <c r="BC907"/>
  <c r="BE907"/>
  <c r="BG907"/>
  <c r="M908"/>
  <c r="O908"/>
  <c r="Q908"/>
  <c r="Y908"/>
  <c r="AG908"/>
  <c r="AI908"/>
  <c r="AK908"/>
  <c r="AM908"/>
  <c r="AO908"/>
  <c r="AQ908"/>
  <c r="AS908"/>
  <c r="AU908"/>
  <c r="AW908"/>
  <c r="AY908"/>
  <c r="BA908"/>
  <c r="BC908"/>
  <c r="BE908"/>
  <c r="BG908"/>
  <c r="M909"/>
  <c r="O909"/>
  <c r="Q909"/>
  <c r="Y909"/>
  <c r="AG909"/>
  <c r="AI909"/>
  <c r="AK909"/>
  <c r="AM909"/>
  <c r="AO909"/>
  <c r="AQ909"/>
  <c r="AS909"/>
  <c r="AU909"/>
  <c r="AW909"/>
  <c r="AY909"/>
  <c r="BA909"/>
  <c r="BC909"/>
  <c r="BE909"/>
  <c r="BG909"/>
  <c r="M910"/>
  <c r="O910"/>
  <c r="Y910"/>
  <c r="AG910"/>
  <c r="AI910"/>
  <c r="AK910"/>
  <c r="AM910"/>
  <c r="AO910"/>
  <c r="AQ910"/>
  <c r="AS910"/>
  <c r="AU910"/>
  <c r="AW910"/>
  <c r="AY910"/>
  <c r="BA910"/>
  <c r="BC910"/>
  <c r="BE910"/>
  <c r="BG910"/>
  <c r="M911"/>
  <c r="O911"/>
  <c r="Q911"/>
  <c r="Y911"/>
  <c r="AG911"/>
  <c r="AI911"/>
  <c r="AK911"/>
  <c r="AM911"/>
  <c r="AO911"/>
  <c r="AQ911"/>
  <c r="AS911"/>
  <c r="AU911"/>
  <c r="AW911"/>
  <c r="AY911"/>
  <c r="BA911"/>
  <c r="BC911"/>
  <c r="BE911"/>
  <c r="BG911"/>
  <c r="I912"/>
  <c r="M912"/>
  <c r="O912"/>
  <c r="Q912"/>
  <c r="Y912"/>
  <c r="AG912"/>
  <c r="AI912"/>
  <c r="AK912"/>
  <c r="AM912"/>
  <c r="AO912"/>
  <c r="AQ912"/>
  <c r="AS912"/>
  <c r="AU912"/>
  <c r="AW912"/>
  <c r="AY912"/>
  <c r="BA912"/>
  <c r="BC912"/>
  <c r="BE912"/>
  <c r="BG912"/>
  <c r="M913"/>
  <c r="O913"/>
  <c r="Q913"/>
  <c r="Y913"/>
  <c r="AG913"/>
  <c r="AI913"/>
  <c r="AK913"/>
  <c r="AM913"/>
  <c r="AO913"/>
  <c r="AQ913"/>
  <c r="AS913"/>
  <c r="AU913"/>
  <c r="AW913"/>
  <c r="AY913"/>
  <c r="BA913"/>
  <c r="BC913"/>
  <c r="BE913"/>
  <c r="BG913"/>
  <c r="L914"/>
  <c r="N914"/>
  <c r="Q914"/>
  <c r="Y914"/>
  <c r="AG914"/>
  <c r="AI914"/>
  <c r="AK914"/>
  <c r="AM914"/>
  <c r="AO914"/>
  <c r="AP914"/>
  <c r="AQ914" s="1"/>
  <c r="AR914"/>
  <c r="AS914" s="1"/>
  <c r="AT914"/>
  <c r="AU914" s="1"/>
  <c r="AW914"/>
  <c r="AY914"/>
  <c r="AZ914"/>
  <c r="BA914" s="1"/>
  <c r="BB914"/>
  <c r="BC914" s="1"/>
  <c r="BE914"/>
  <c r="BG914"/>
  <c r="L915"/>
  <c r="N915"/>
  <c r="AP915"/>
  <c r="AS915"/>
  <c r="AZ915"/>
  <c r="BB915"/>
  <c r="L916"/>
  <c r="BN916" s="1"/>
  <c r="N916"/>
  <c r="AP916"/>
  <c r="BB916"/>
  <c r="L917"/>
  <c r="N917"/>
  <c r="AP917"/>
  <c r="AR917"/>
  <c r="L918"/>
  <c r="BN918" s="1"/>
  <c r="L919"/>
  <c r="N919"/>
  <c r="AP919"/>
  <c r="AR919"/>
  <c r="AZ919"/>
  <c r="M930"/>
  <c r="O930"/>
  <c r="Q930"/>
  <c r="Y930"/>
  <c r="AG930"/>
  <c r="AI930"/>
  <c r="AK930"/>
  <c r="AM930"/>
  <c r="AO930"/>
  <c r="AQ930"/>
  <c r="AS930"/>
  <c r="AU930"/>
  <c r="AW930"/>
  <c r="AY930"/>
  <c r="BA930"/>
  <c r="BC930"/>
  <c r="BE930"/>
  <c r="BG930"/>
  <c r="M931"/>
  <c r="O931"/>
  <c r="Q931"/>
  <c r="Y931"/>
  <c r="AG931"/>
  <c r="AI931"/>
  <c r="AK931"/>
  <c r="AM931"/>
  <c r="AO931"/>
  <c r="AQ931"/>
  <c r="AS931"/>
  <c r="AU931"/>
  <c r="AW931"/>
  <c r="AY931"/>
  <c r="BA931"/>
  <c r="BC931"/>
  <c r="BE931"/>
  <c r="BG931"/>
  <c r="M932"/>
  <c r="O932"/>
  <c r="Q932"/>
  <c r="Y932"/>
  <c r="AG932"/>
  <c r="AI932"/>
  <c r="AK932"/>
  <c r="AM932"/>
  <c r="AO932"/>
  <c r="AQ932"/>
  <c r="AS932"/>
  <c r="AU932"/>
  <c r="AW932"/>
  <c r="AY932"/>
  <c r="BA932"/>
  <c r="BC932"/>
  <c r="BE932"/>
  <c r="BG932"/>
  <c r="M933"/>
  <c r="O933"/>
  <c r="Q933"/>
  <c r="Y933"/>
  <c r="AG933"/>
  <c r="AI933"/>
  <c r="AK933"/>
  <c r="AM933"/>
  <c r="AO933"/>
  <c r="AQ933"/>
  <c r="AS933"/>
  <c r="AU933"/>
  <c r="AW933"/>
  <c r="AY933"/>
  <c r="BA933"/>
  <c r="BC933"/>
  <c r="BE933"/>
  <c r="BG933"/>
  <c r="M934"/>
  <c r="O934"/>
  <c r="Q934"/>
  <c r="Y934"/>
  <c r="AG934"/>
  <c r="AI934"/>
  <c r="AK934"/>
  <c r="AM934"/>
  <c r="AO934"/>
  <c r="AQ934"/>
  <c r="AS934"/>
  <c r="AU934"/>
  <c r="AW934"/>
  <c r="AY934"/>
  <c r="BA934"/>
  <c r="BC934"/>
  <c r="BE934"/>
  <c r="BG934"/>
  <c r="M935"/>
  <c r="O935"/>
  <c r="Q935"/>
  <c r="Y935"/>
  <c r="AG935"/>
  <c r="AI935"/>
  <c r="AK935"/>
  <c r="AM935"/>
  <c r="AO935"/>
  <c r="AQ935"/>
  <c r="AS935"/>
  <c r="AU935"/>
  <c r="AW935"/>
  <c r="AY935"/>
  <c r="BA935"/>
  <c r="BC935"/>
  <c r="BE935"/>
  <c r="BG935"/>
  <c r="M936"/>
  <c r="O936"/>
  <c r="Q936"/>
  <c r="Y936"/>
  <c r="AG936"/>
  <c r="AI936"/>
  <c r="AK936"/>
  <c r="AM936"/>
  <c r="AO936"/>
  <c r="AQ936"/>
  <c r="AS936"/>
  <c r="AU936"/>
  <c r="AW936"/>
  <c r="AY936"/>
  <c r="BA936"/>
  <c r="BC936"/>
  <c r="BE936"/>
  <c r="BG936"/>
  <c r="M937"/>
  <c r="O937"/>
  <c r="Q937"/>
  <c r="Y937"/>
  <c r="AG937"/>
  <c r="AI937"/>
  <c r="AK937"/>
  <c r="AM937"/>
  <c r="AO937"/>
  <c r="AQ937"/>
  <c r="AS937"/>
  <c r="AU937"/>
  <c r="AW937"/>
  <c r="AY937"/>
  <c r="BA937"/>
  <c r="BC937"/>
  <c r="BE937"/>
  <c r="BG937"/>
  <c r="M938"/>
  <c r="O938"/>
  <c r="Q938"/>
  <c r="Y938"/>
  <c r="AG938"/>
  <c r="AI938"/>
  <c r="AK938"/>
  <c r="AM938"/>
  <c r="AO938"/>
  <c r="AQ938"/>
  <c r="AS938"/>
  <c r="AU938"/>
  <c r="AW938"/>
  <c r="AY938"/>
  <c r="BA938"/>
  <c r="BC938"/>
  <c r="BE938"/>
  <c r="BG938"/>
  <c r="M939"/>
  <c r="O939"/>
  <c r="Q939"/>
  <c r="Y939"/>
  <c r="AG939"/>
  <c r="AI939"/>
  <c r="AK939"/>
  <c r="AM939"/>
  <c r="AO939"/>
  <c r="AQ939"/>
  <c r="AS939"/>
  <c r="AU939"/>
  <c r="AW939"/>
  <c r="AY939"/>
  <c r="BA939"/>
  <c r="BC939"/>
  <c r="BE939"/>
  <c r="BG939"/>
  <c r="M940"/>
  <c r="O940"/>
  <c r="Q940"/>
  <c r="Y940"/>
  <c r="AG940"/>
  <c r="AI940"/>
  <c r="AK940"/>
  <c r="AM940"/>
  <c r="AO940"/>
  <c r="AQ940"/>
  <c r="AS940"/>
  <c r="AU940"/>
  <c r="AW940"/>
  <c r="AY940"/>
  <c r="BA940"/>
  <c r="BC940"/>
  <c r="BE940"/>
  <c r="BG940"/>
  <c r="M941"/>
  <c r="O941"/>
  <c r="Q941"/>
  <c r="Y941"/>
  <c r="AG941"/>
  <c r="AI941"/>
  <c r="AK941"/>
  <c r="AM941"/>
  <c r="AO941"/>
  <c r="AQ941"/>
  <c r="AS941"/>
  <c r="AU941"/>
  <c r="AW941"/>
  <c r="AY941"/>
  <c r="BA941"/>
  <c r="BC941"/>
  <c r="BE941"/>
  <c r="BG941"/>
  <c r="M942"/>
  <c r="O942"/>
  <c r="Q942"/>
  <c r="Y942"/>
  <c r="AG942"/>
  <c r="AI942"/>
  <c r="AK942"/>
  <c r="AM942"/>
  <c r="AO942"/>
  <c r="AQ942"/>
  <c r="AS942"/>
  <c r="AU942"/>
  <c r="AW942"/>
  <c r="AY942"/>
  <c r="BA942"/>
  <c r="BC942"/>
  <c r="BE942"/>
  <c r="BG942"/>
  <c r="M943"/>
  <c r="O943"/>
  <c r="Q943"/>
  <c r="Y943"/>
  <c r="AG943"/>
  <c r="AI943"/>
  <c r="AK943"/>
  <c r="AM943"/>
  <c r="AO943"/>
  <c r="AQ943"/>
  <c r="AS943"/>
  <c r="AU943"/>
  <c r="AW943"/>
  <c r="AY943"/>
  <c r="BA943"/>
  <c r="BC943"/>
  <c r="BE943"/>
  <c r="BG943"/>
  <c r="M944"/>
  <c r="O944"/>
  <c r="Q944"/>
  <c r="Y944"/>
  <c r="AG944"/>
  <c r="AI944"/>
  <c r="AK944"/>
  <c r="AM944"/>
  <c r="AO944"/>
  <c r="AQ944"/>
  <c r="AS944"/>
  <c r="AU944"/>
  <c r="AW944"/>
  <c r="AY944"/>
  <c r="BA944"/>
  <c r="BC944"/>
  <c r="BE944"/>
  <c r="BG944"/>
  <c r="M945"/>
  <c r="O945"/>
  <c r="Q945"/>
  <c r="Y945"/>
  <c r="AG945"/>
  <c r="AI945"/>
  <c r="AK945"/>
  <c r="AM945"/>
  <c r="AO945"/>
  <c r="AQ945"/>
  <c r="AS945"/>
  <c r="AU945"/>
  <c r="AW945"/>
  <c r="AY945"/>
  <c r="BA945"/>
  <c r="BC945"/>
  <c r="BE945"/>
  <c r="BG945"/>
  <c r="M946"/>
  <c r="O946"/>
  <c r="Q946"/>
  <c r="Y946"/>
  <c r="AG946"/>
  <c r="AI946"/>
  <c r="AK946"/>
  <c r="AM946"/>
  <c r="AO946"/>
  <c r="AQ946"/>
  <c r="AS946"/>
  <c r="AU946"/>
  <c r="AW946"/>
  <c r="AY946"/>
  <c r="BA946"/>
  <c r="BC946"/>
  <c r="BE946"/>
  <c r="BG946"/>
  <c r="M947"/>
  <c r="O947"/>
  <c r="Q947"/>
  <c r="Y947"/>
  <c r="AG947"/>
  <c r="AI947"/>
  <c r="AK947"/>
  <c r="AM947"/>
  <c r="AO947"/>
  <c r="AQ947"/>
  <c r="AS947"/>
  <c r="AU947"/>
  <c r="AW947"/>
  <c r="AY947"/>
  <c r="BA947"/>
  <c r="BC947"/>
  <c r="BE947"/>
  <c r="BG947"/>
  <c r="M948"/>
  <c r="O948"/>
  <c r="Q948"/>
  <c r="Y948"/>
  <c r="AG948"/>
  <c r="AI948"/>
  <c r="AK948"/>
  <c r="AM948"/>
  <c r="AO948"/>
  <c r="AQ948"/>
  <c r="AS948"/>
  <c r="AU948"/>
  <c r="AW948"/>
  <c r="AY948"/>
  <c r="BA948"/>
  <c r="BC948"/>
  <c r="BE948"/>
  <c r="BG948"/>
  <c r="M949"/>
  <c r="O949"/>
  <c r="Q949"/>
  <c r="Y949"/>
  <c r="AG949"/>
  <c r="AI949"/>
  <c r="AK949"/>
  <c r="AM949"/>
  <c r="AO949"/>
  <c r="AQ949"/>
  <c r="AS949"/>
  <c r="AU949"/>
  <c r="AW949"/>
  <c r="AY949"/>
  <c r="BA949"/>
  <c r="BC949"/>
  <c r="BE949"/>
  <c r="BG949"/>
  <c r="M950"/>
  <c r="O950"/>
  <c r="Q950"/>
  <c r="Y950"/>
  <c r="AG950"/>
  <c r="AI950"/>
  <c r="AK950"/>
  <c r="AM950"/>
  <c r="AO950"/>
  <c r="AQ950"/>
  <c r="AS950"/>
  <c r="AU950"/>
  <c r="AW950"/>
  <c r="AY950"/>
  <c r="BA950"/>
  <c r="BC950"/>
  <c r="BE950"/>
  <c r="BG950"/>
  <c r="M951"/>
  <c r="O951"/>
  <c r="Q951"/>
  <c r="Y951"/>
  <c r="AG951"/>
  <c r="AI951"/>
  <c r="AK951"/>
  <c r="AM951"/>
  <c r="AO951"/>
  <c r="AQ951"/>
  <c r="AS951"/>
  <c r="AU951"/>
  <c r="AW951"/>
  <c r="AY951"/>
  <c r="BA951"/>
  <c r="BC951"/>
  <c r="BE951"/>
  <c r="BG951"/>
  <c r="M952"/>
  <c r="O952"/>
  <c r="Q952"/>
  <c r="Y952"/>
  <c r="AG952"/>
  <c r="AI952"/>
  <c r="AK952"/>
  <c r="AM952"/>
  <c r="AO952"/>
  <c r="AQ952"/>
  <c r="AS952"/>
  <c r="AU952"/>
  <c r="AW952"/>
  <c r="AY952"/>
  <c r="BA952"/>
  <c r="BC952"/>
  <c r="BE952"/>
  <c r="BG952"/>
  <c r="M953"/>
  <c r="O953"/>
  <c r="Q953"/>
  <c r="Y953"/>
  <c r="AG953"/>
  <c r="AI953"/>
  <c r="AK953"/>
  <c r="AM953"/>
  <c r="AO953"/>
  <c r="AQ953"/>
  <c r="AS953"/>
  <c r="AU953"/>
  <c r="AW953"/>
  <c r="AY953"/>
  <c r="BA953"/>
  <c r="BC953"/>
  <c r="BE953"/>
  <c r="BG953"/>
  <c r="M954"/>
  <c r="O954"/>
  <c r="Q954"/>
  <c r="Y954"/>
  <c r="AG954"/>
  <c r="AI954"/>
  <c r="AK954"/>
  <c r="AM954"/>
  <c r="AO954"/>
  <c r="AQ954"/>
  <c r="AS954"/>
  <c r="AU954"/>
  <c r="AW954"/>
  <c r="AY954"/>
  <c r="BA954"/>
  <c r="BC954"/>
  <c r="BE954"/>
  <c r="BG954"/>
  <c r="M955"/>
  <c r="O955"/>
  <c r="Q955"/>
  <c r="Y955"/>
  <c r="AG955"/>
  <c r="AI955"/>
  <c r="AK955"/>
  <c r="AM955"/>
  <c r="AO955"/>
  <c r="AQ955"/>
  <c r="AS955"/>
  <c r="AU955"/>
  <c r="AW955"/>
  <c r="AY955"/>
  <c r="BA955"/>
  <c r="BC955"/>
  <c r="BE955"/>
  <c r="BG955"/>
  <c r="M956"/>
  <c r="O956"/>
  <c r="Q956"/>
  <c r="Y956"/>
  <c r="AG956"/>
  <c r="AI956"/>
  <c r="AK956"/>
  <c r="AM956"/>
  <c r="AO956"/>
  <c r="AQ956"/>
  <c r="AS956"/>
  <c r="AU956"/>
  <c r="AW956"/>
  <c r="AY956"/>
  <c r="BA956"/>
  <c r="BC956"/>
  <c r="BE956"/>
  <c r="BG956"/>
  <c r="M957"/>
  <c r="O957"/>
  <c r="Q957"/>
  <c r="Y957"/>
  <c r="AG957"/>
  <c r="AI957"/>
  <c r="AK957"/>
  <c r="AM957"/>
  <c r="AO957"/>
  <c r="AQ957"/>
  <c r="AS957"/>
  <c r="AU957"/>
  <c r="AW957"/>
  <c r="AY957"/>
  <c r="BA957"/>
  <c r="BC957"/>
  <c r="BE957"/>
  <c r="BG957"/>
  <c r="M958"/>
  <c r="O958"/>
  <c r="Q958"/>
  <c r="Y958"/>
  <c r="AG958"/>
  <c r="AI958"/>
  <c r="AK958"/>
  <c r="AM958"/>
  <c r="AO958"/>
  <c r="AQ958"/>
  <c r="AS958"/>
  <c r="AU958"/>
  <c r="AW958"/>
  <c r="AY958"/>
  <c r="BA958"/>
  <c r="BC958"/>
  <c r="BE958"/>
  <c r="BG958"/>
  <c r="M959"/>
  <c r="O959"/>
  <c r="Q959"/>
  <c r="Y959"/>
  <c r="AG959"/>
  <c r="AI959"/>
  <c r="AK959"/>
  <c r="AM959"/>
  <c r="AO959"/>
  <c r="AQ959"/>
  <c r="AS959"/>
  <c r="AU959"/>
  <c r="AW959"/>
  <c r="AY959"/>
  <c r="BA959"/>
  <c r="BC959"/>
  <c r="BE959"/>
  <c r="BG959"/>
  <c r="M960"/>
  <c r="O960"/>
  <c r="Q960"/>
  <c r="Y960"/>
  <c r="AG960"/>
  <c r="AI960"/>
  <c r="AK960"/>
  <c r="AM960"/>
  <c r="AO960"/>
  <c r="AQ960"/>
  <c r="AS960"/>
  <c r="AU960"/>
  <c r="AW960"/>
  <c r="AY960"/>
  <c r="BA960"/>
  <c r="BC960"/>
  <c r="BE960"/>
  <c r="BG960"/>
  <c r="M961"/>
  <c r="O961"/>
  <c r="Q961"/>
  <c r="Y961"/>
  <c r="AG961"/>
  <c r="AI961"/>
  <c r="AK961"/>
  <c r="AM961"/>
  <c r="AO961"/>
  <c r="AQ961"/>
  <c r="AS961"/>
  <c r="AU961"/>
  <c r="AW961"/>
  <c r="AY961"/>
  <c r="BA961"/>
  <c r="BC961"/>
  <c r="BE961"/>
  <c r="BG961"/>
  <c r="M962"/>
  <c r="O962"/>
  <c r="Q962"/>
  <c r="Y962"/>
  <c r="AG962"/>
  <c r="AI962"/>
  <c r="AK962"/>
  <c r="AM962"/>
  <c r="AO962"/>
  <c r="AQ962"/>
  <c r="AS962"/>
  <c r="AU962"/>
  <c r="AW962"/>
  <c r="AY962"/>
  <c r="BA962"/>
  <c r="BC962"/>
  <c r="BE962"/>
  <c r="BG962"/>
  <c r="M963"/>
  <c r="O963"/>
  <c r="Q963"/>
  <c r="Y963"/>
  <c r="AG963"/>
  <c r="AI963"/>
  <c r="AK963"/>
  <c r="AM963"/>
  <c r="AO963"/>
  <c r="AQ963"/>
  <c r="AS963"/>
  <c r="AU963"/>
  <c r="AW963"/>
  <c r="AY963"/>
  <c r="BA963"/>
  <c r="BC963"/>
  <c r="BE963"/>
  <c r="BG963"/>
  <c r="M964"/>
  <c r="O964"/>
  <c r="Q964"/>
  <c r="Y964"/>
  <c r="AG964"/>
  <c r="AI964"/>
  <c r="AK964"/>
  <c r="AM964"/>
  <c r="AO964"/>
  <c r="AQ964"/>
  <c r="AS964"/>
  <c r="AU964"/>
  <c r="AW964"/>
  <c r="AY964"/>
  <c r="BA964"/>
  <c r="BC964"/>
  <c r="BE964"/>
  <c r="BG964"/>
  <c r="M965"/>
  <c r="O965"/>
  <c r="Q965"/>
  <c r="Y965"/>
  <c r="AG965"/>
  <c r="AI965"/>
  <c r="AK965"/>
  <c r="AM965"/>
  <c r="AO965"/>
  <c r="AQ965"/>
  <c r="AS965"/>
  <c r="AU965"/>
  <c r="AW965"/>
  <c r="AY965"/>
  <c r="BA965"/>
  <c r="BC965"/>
  <c r="BE965"/>
  <c r="BG965"/>
  <c r="M966"/>
  <c r="O966"/>
  <c r="P966"/>
  <c r="X966"/>
  <c r="AG966"/>
  <c r="AI966"/>
  <c r="AK966"/>
  <c r="AM966"/>
  <c r="AO966"/>
  <c r="AQ966"/>
  <c r="AS966"/>
  <c r="AU966"/>
  <c r="AW966"/>
  <c r="AY966"/>
  <c r="BA966"/>
  <c r="BC966"/>
  <c r="BE966"/>
  <c r="BG966"/>
  <c r="M967"/>
  <c r="O967"/>
  <c r="Q967"/>
  <c r="Y967"/>
  <c r="AG967"/>
  <c r="AI967"/>
  <c r="AK967"/>
  <c r="AM967"/>
  <c r="AO967"/>
  <c r="AQ967"/>
  <c r="AS967"/>
  <c r="AU967"/>
  <c r="AW967"/>
  <c r="AY967"/>
  <c r="BA967"/>
  <c r="BC967"/>
  <c r="BE967"/>
  <c r="BG967"/>
  <c r="M968"/>
  <c r="O968"/>
  <c r="Y968"/>
  <c r="AG968"/>
  <c r="AI968"/>
  <c r="AK968"/>
  <c r="AM968"/>
  <c r="AO968"/>
  <c r="AQ968"/>
  <c r="AS968"/>
  <c r="AU968"/>
  <c r="AW968"/>
  <c r="AY968"/>
  <c r="BA968"/>
  <c r="BC968"/>
  <c r="BE968"/>
  <c r="BG968"/>
  <c r="M969"/>
  <c r="O969"/>
  <c r="P969"/>
  <c r="Y969"/>
  <c r="AG969"/>
  <c r="AI969"/>
  <c r="AK969"/>
  <c r="AM969"/>
  <c r="AO969"/>
  <c r="AQ969"/>
  <c r="AS969"/>
  <c r="AU969"/>
  <c r="AW969"/>
  <c r="AY969"/>
  <c r="BA969"/>
  <c r="BC969"/>
  <c r="BE969"/>
  <c r="BG969"/>
  <c r="M970"/>
  <c r="O970"/>
  <c r="P970"/>
  <c r="Y970"/>
  <c r="AG970"/>
  <c r="AI970"/>
  <c r="AK970"/>
  <c r="AM970"/>
  <c r="AO970"/>
  <c r="AQ970"/>
  <c r="AS970"/>
  <c r="AU970"/>
  <c r="AW970"/>
  <c r="AY970"/>
  <c r="BA970"/>
  <c r="BC970"/>
  <c r="BE970"/>
  <c r="BG970"/>
  <c r="O971"/>
  <c r="P971"/>
  <c r="X971"/>
  <c r="AG971"/>
  <c r="AI971"/>
  <c r="AK971"/>
  <c r="AM971"/>
  <c r="AO971"/>
  <c r="AQ971"/>
  <c r="AS971"/>
  <c r="AU971"/>
  <c r="AW971"/>
  <c r="AY971"/>
  <c r="H972"/>
  <c r="K972" s="1"/>
  <c r="M972"/>
  <c r="O972"/>
  <c r="P972"/>
  <c r="X972"/>
  <c r="AG972"/>
  <c r="AI972"/>
  <c r="AK972"/>
  <c r="AM972"/>
  <c r="AO972"/>
  <c r="AQ972"/>
  <c r="AS972"/>
  <c r="AU972"/>
  <c r="AW972"/>
  <c r="AY972"/>
  <c r="BA972"/>
  <c r="BC972"/>
  <c r="N973"/>
  <c r="R973"/>
  <c r="T973"/>
  <c r="V973"/>
  <c r="X973"/>
  <c r="Z973"/>
  <c r="AD973"/>
  <c r="AH973"/>
  <c r="AX973"/>
  <c r="N974"/>
  <c r="P974"/>
  <c r="R974"/>
  <c r="T974"/>
  <c r="V974"/>
  <c r="X974"/>
  <c r="Z974"/>
  <c r="AF974"/>
  <c r="AH974"/>
  <c r="N975"/>
  <c r="P975"/>
  <c r="R975"/>
  <c r="V975"/>
  <c r="X975"/>
  <c r="Z975"/>
  <c r="AB975"/>
  <c r="AD975"/>
  <c r="AH975"/>
  <c r="AT975"/>
  <c r="M988"/>
  <c r="O988"/>
  <c r="Q988"/>
  <c r="Y988"/>
  <c r="AG988"/>
  <c r="AI988"/>
  <c r="AK988"/>
  <c r="AM988"/>
  <c r="AO988"/>
  <c r="AQ988"/>
  <c r="AS988"/>
  <c r="AU988"/>
  <c r="AW988"/>
  <c r="AY988"/>
  <c r="BA988"/>
  <c r="BC988"/>
  <c r="BE988"/>
  <c r="BG988"/>
  <c r="M989"/>
  <c r="O989"/>
  <c r="Q989"/>
  <c r="Y989"/>
  <c r="AG989"/>
  <c r="AI989"/>
  <c r="AK989"/>
  <c r="AM989"/>
  <c r="AO989"/>
  <c r="AQ989"/>
  <c r="AS989"/>
  <c r="AU989"/>
  <c r="AW989"/>
  <c r="AY989"/>
  <c r="BA989"/>
  <c r="BC989"/>
  <c r="BE989"/>
  <c r="BG989"/>
  <c r="M990"/>
  <c r="O990"/>
  <c r="Q990"/>
  <c r="Y990"/>
  <c r="AG990"/>
  <c r="AI990"/>
  <c r="AK990"/>
  <c r="AM990"/>
  <c r="AO990"/>
  <c r="AQ990"/>
  <c r="AS990"/>
  <c r="AU990"/>
  <c r="AW990"/>
  <c r="AY990"/>
  <c r="BA990"/>
  <c r="BC990"/>
  <c r="BE990"/>
  <c r="BG990"/>
  <c r="M991"/>
  <c r="O991"/>
  <c r="Q991"/>
  <c r="Y991"/>
  <c r="AG991"/>
  <c r="AI991"/>
  <c r="AK991"/>
  <c r="AM991"/>
  <c r="AO991"/>
  <c r="AQ991"/>
  <c r="AS991"/>
  <c r="AU991"/>
  <c r="AW991"/>
  <c r="AY991"/>
  <c r="BA991"/>
  <c r="BC991"/>
  <c r="BE991"/>
  <c r="BG991"/>
  <c r="M992"/>
  <c r="O992"/>
  <c r="Q992"/>
  <c r="Y992"/>
  <c r="AG992"/>
  <c r="AI992"/>
  <c r="AK992"/>
  <c r="AM992"/>
  <c r="AO992"/>
  <c r="AQ992"/>
  <c r="AS992"/>
  <c r="AU992"/>
  <c r="AW992"/>
  <c r="AY992"/>
  <c r="BA992"/>
  <c r="BC992"/>
  <c r="BE992"/>
  <c r="BG992"/>
  <c r="M993"/>
  <c r="O993"/>
  <c r="Q993"/>
  <c r="Y993"/>
  <c r="AG993"/>
  <c r="AI993"/>
  <c r="AK993"/>
  <c r="AM993"/>
  <c r="AO993"/>
  <c r="AQ993"/>
  <c r="AS993"/>
  <c r="AU993"/>
  <c r="AW993"/>
  <c r="AY993"/>
  <c r="BA993"/>
  <c r="BC993"/>
  <c r="BE993"/>
  <c r="BG993"/>
  <c r="M994"/>
  <c r="O994"/>
  <c r="Q994"/>
  <c r="Y994"/>
  <c r="AG994"/>
  <c r="AI994"/>
  <c r="AK994"/>
  <c r="AM994"/>
  <c r="AO994"/>
  <c r="AQ994"/>
  <c r="AS994"/>
  <c r="AU994"/>
  <c r="AW994"/>
  <c r="AY994"/>
  <c r="BA994"/>
  <c r="BC994"/>
  <c r="BE994"/>
  <c r="BG994"/>
  <c r="M995"/>
  <c r="O995"/>
  <c r="Q995"/>
  <c r="Y995"/>
  <c r="AG995"/>
  <c r="AI995"/>
  <c r="AK995"/>
  <c r="AM995"/>
  <c r="AO995"/>
  <c r="AQ995"/>
  <c r="AS995"/>
  <c r="AU995"/>
  <c r="AW995"/>
  <c r="AY995"/>
  <c r="BA995"/>
  <c r="BC995"/>
  <c r="BE995"/>
  <c r="BG995"/>
  <c r="M996"/>
  <c r="O996"/>
  <c r="Q996"/>
  <c r="Y996"/>
  <c r="AG996"/>
  <c r="AI996"/>
  <c r="AK996"/>
  <c r="AM996"/>
  <c r="AO996"/>
  <c r="AQ996"/>
  <c r="AS996"/>
  <c r="AU996"/>
  <c r="AW996"/>
  <c r="AY996"/>
  <c r="BA996"/>
  <c r="BC996"/>
  <c r="BE996"/>
  <c r="BG996"/>
  <c r="M997"/>
  <c r="O997"/>
  <c r="Q997"/>
  <c r="Y997"/>
  <c r="AG997"/>
  <c r="AI997"/>
  <c r="AK997"/>
  <c r="AM997"/>
  <c r="AO997"/>
  <c r="AQ997"/>
  <c r="AS997"/>
  <c r="AU997"/>
  <c r="AW997"/>
  <c r="AY997"/>
  <c r="BA997"/>
  <c r="BC997"/>
  <c r="BE997"/>
  <c r="BG997"/>
  <c r="M998"/>
  <c r="O998"/>
  <c r="Q998"/>
  <c r="Y998"/>
  <c r="AG998"/>
  <c r="AI998"/>
  <c r="AK998"/>
  <c r="AM998"/>
  <c r="AO998"/>
  <c r="AQ998"/>
  <c r="AS998"/>
  <c r="AU998"/>
  <c r="AW998"/>
  <c r="AY998"/>
  <c r="BA998"/>
  <c r="BC998"/>
  <c r="BE998"/>
  <c r="BG998"/>
  <c r="M999"/>
  <c r="O999"/>
  <c r="Q999"/>
  <c r="Y999"/>
  <c r="AG999"/>
  <c r="AI999"/>
  <c r="AK999"/>
  <c r="AM999"/>
  <c r="AO999"/>
  <c r="AQ999"/>
  <c r="AS999"/>
  <c r="AU999"/>
  <c r="AW999"/>
  <c r="AY999"/>
  <c r="BA999"/>
  <c r="BC999"/>
  <c r="BE999"/>
  <c r="BG999"/>
  <c r="M1000"/>
  <c r="O1000"/>
  <c r="Q1000"/>
  <c r="Y1000"/>
  <c r="AG1000"/>
  <c r="AI1000"/>
  <c r="AK1000"/>
  <c r="AM1000"/>
  <c r="AO1000"/>
  <c r="AQ1000"/>
  <c r="AS1000"/>
  <c r="AU1000"/>
  <c r="AW1000"/>
  <c r="AY1000"/>
  <c r="BA1000"/>
  <c r="BC1000"/>
  <c r="BE1000"/>
  <c r="BG1000"/>
  <c r="M1001"/>
  <c r="O1001"/>
  <c r="Q1001"/>
  <c r="Y1001"/>
  <c r="AG1001"/>
  <c r="AI1001"/>
  <c r="AK1001"/>
  <c r="AM1001"/>
  <c r="AO1001"/>
  <c r="AQ1001"/>
  <c r="AS1001"/>
  <c r="AU1001"/>
  <c r="AW1001"/>
  <c r="AY1001"/>
  <c r="BA1001"/>
  <c r="BC1001"/>
  <c r="BE1001"/>
  <c r="BG1001"/>
  <c r="M1002"/>
  <c r="O1002"/>
  <c r="Q1002"/>
  <c r="Y1002"/>
  <c r="AG1002"/>
  <c r="AI1002"/>
  <c r="AK1002"/>
  <c r="AM1002"/>
  <c r="AO1002"/>
  <c r="AQ1002"/>
  <c r="AS1002"/>
  <c r="AU1002"/>
  <c r="AW1002"/>
  <c r="AY1002"/>
  <c r="BA1002"/>
  <c r="BC1002"/>
  <c r="BE1002"/>
  <c r="BG1002"/>
  <c r="M1003"/>
  <c r="O1003"/>
  <c r="Q1003"/>
  <c r="Y1003"/>
  <c r="AG1003"/>
  <c r="AI1003"/>
  <c r="AK1003"/>
  <c r="AM1003"/>
  <c r="AO1003"/>
  <c r="AQ1003"/>
  <c r="AS1003"/>
  <c r="AU1003"/>
  <c r="AW1003"/>
  <c r="AY1003"/>
  <c r="BA1003"/>
  <c r="BC1003"/>
  <c r="BE1003"/>
  <c r="BG1003"/>
  <c r="M1004"/>
  <c r="O1004"/>
  <c r="Q1004"/>
  <c r="Y1004"/>
  <c r="AG1004"/>
  <c r="AI1004"/>
  <c r="AK1004"/>
  <c r="AM1004"/>
  <c r="AO1004"/>
  <c r="AQ1004"/>
  <c r="AS1004"/>
  <c r="AU1004"/>
  <c r="AW1004"/>
  <c r="AY1004"/>
  <c r="BA1004"/>
  <c r="BC1004"/>
  <c r="BE1004"/>
  <c r="BG1004"/>
  <c r="M1005"/>
  <c r="O1005"/>
  <c r="Q1005"/>
  <c r="Y1005"/>
  <c r="AG1005"/>
  <c r="AI1005"/>
  <c r="AK1005"/>
  <c r="AM1005"/>
  <c r="AO1005"/>
  <c r="AQ1005"/>
  <c r="AS1005"/>
  <c r="AU1005"/>
  <c r="AW1005"/>
  <c r="AY1005"/>
  <c r="BA1005"/>
  <c r="BC1005"/>
  <c r="BE1005"/>
  <c r="BG1005"/>
  <c r="M1006"/>
  <c r="O1006"/>
  <c r="Q1006"/>
  <c r="Y1006"/>
  <c r="AG1006"/>
  <c r="AI1006"/>
  <c r="AK1006"/>
  <c r="AM1006"/>
  <c r="AO1006"/>
  <c r="AQ1006"/>
  <c r="AS1006"/>
  <c r="AU1006"/>
  <c r="AW1006"/>
  <c r="AY1006"/>
  <c r="BA1006"/>
  <c r="BC1006"/>
  <c r="BE1006"/>
  <c r="BG1006"/>
  <c r="M1007"/>
  <c r="O1007"/>
  <c r="Q1007"/>
  <c r="Y1007"/>
  <c r="AG1007"/>
  <c r="AI1007"/>
  <c r="AK1007"/>
  <c r="AM1007"/>
  <c r="AO1007"/>
  <c r="AQ1007"/>
  <c r="AS1007"/>
  <c r="AU1007"/>
  <c r="AW1007"/>
  <c r="AY1007"/>
  <c r="BA1007"/>
  <c r="BC1007"/>
  <c r="BE1007"/>
  <c r="BG1007"/>
  <c r="M1008"/>
  <c r="O1008"/>
  <c r="Q1008"/>
  <c r="Y1008"/>
  <c r="AG1008"/>
  <c r="AI1008"/>
  <c r="AK1008"/>
  <c r="AM1008"/>
  <c r="AO1008"/>
  <c r="AQ1008"/>
  <c r="AS1008"/>
  <c r="AU1008"/>
  <c r="AW1008"/>
  <c r="AY1008"/>
  <c r="BA1008"/>
  <c r="BC1008"/>
  <c r="BE1008"/>
  <c r="BG1008"/>
  <c r="M1009"/>
  <c r="O1009"/>
  <c r="Q1009"/>
  <c r="Y1009"/>
  <c r="AG1009"/>
  <c r="AI1009"/>
  <c r="AK1009"/>
  <c r="AM1009"/>
  <c r="AO1009"/>
  <c r="AQ1009"/>
  <c r="AS1009"/>
  <c r="AU1009"/>
  <c r="AW1009"/>
  <c r="AY1009"/>
  <c r="BA1009"/>
  <c r="BC1009"/>
  <c r="BE1009"/>
  <c r="BG1009"/>
  <c r="M1010"/>
  <c r="O1010"/>
  <c r="Q1010"/>
  <c r="Y1010"/>
  <c r="AG1010"/>
  <c r="AI1010"/>
  <c r="AK1010"/>
  <c r="AM1010"/>
  <c r="AO1010"/>
  <c r="AQ1010"/>
  <c r="AS1010"/>
  <c r="AU1010"/>
  <c r="AW1010"/>
  <c r="AY1010"/>
  <c r="BA1010"/>
  <c r="BC1010"/>
  <c r="BE1010"/>
  <c r="BG1010"/>
  <c r="M1011"/>
  <c r="O1011"/>
  <c r="Q1011"/>
  <c r="Y1011"/>
  <c r="AG1011"/>
  <c r="AI1011"/>
  <c r="AK1011"/>
  <c r="AM1011"/>
  <c r="AO1011"/>
  <c r="AQ1011"/>
  <c r="AS1011"/>
  <c r="AU1011"/>
  <c r="AW1011"/>
  <c r="AY1011"/>
  <c r="BA1011"/>
  <c r="BC1011"/>
  <c r="BE1011"/>
  <c r="BG1011"/>
  <c r="M1012"/>
  <c r="O1012"/>
  <c r="Q1012"/>
  <c r="Y1012"/>
  <c r="AG1012"/>
  <c r="AI1012"/>
  <c r="AK1012"/>
  <c r="AM1012"/>
  <c r="AO1012"/>
  <c r="AQ1012"/>
  <c r="AS1012"/>
  <c r="AU1012"/>
  <c r="AW1012"/>
  <c r="AY1012"/>
  <c r="BA1012"/>
  <c r="BC1012"/>
  <c r="BE1012"/>
  <c r="BG1012"/>
  <c r="M1013"/>
  <c r="O1013"/>
  <c r="Q1013"/>
  <c r="Y1013"/>
  <c r="AG1013"/>
  <c r="AI1013"/>
  <c r="AK1013"/>
  <c r="AM1013"/>
  <c r="AO1013"/>
  <c r="AQ1013"/>
  <c r="AS1013"/>
  <c r="AU1013"/>
  <c r="AW1013"/>
  <c r="AY1013"/>
  <c r="BA1013"/>
  <c r="BC1013"/>
  <c r="BE1013"/>
  <c r="BG1013"/>
  <c r="M1014"/>
  <c r="O1014"/>
  <c r="Q1014"/>
  <c r="Y1014"/>
  <c r="AG1014"/>
  <c r="AI1014"/>
  <c r="AK1014"/>
  <c r="AM1014"/>
  <c r="AO1014"/>
  <c r="AQ1014"/>
  <c r="AS1014"/>
  <c r="AU1014"/>
  <c r="AW1014"/>
  <c r="AY1014"/>
  <c r="BA1014"/>
  <c r="BC1014"/>
  <c r="BE1014"/>
  <c r="BG1014"/>
  <c r="M1015"/>
  <c r="O1015"/>
  <c r="Q1015"/>
  <c r="Y1015"/>
  <c r="AG1015"/>
  <c r="AI1015"/>
  <c r="AK1015"/>
  <c r="AM1015"/>
  <c r="AO1015"/>
  <c r="AQ1015"/>
  <c r="AS1015"/>
  <c r="AU1015"/>
  <c r="AW1015"/>
  <c r="AY1015"/>
  <c r="BA1015"/>
  <c r="BC1015"/>
  <c r="BE1015"/>
  <c r="BG1015"/>
  <c r="M1016"/>
  <c r="O1016"/>
  <c r="Q1016"/>
  <c r="Y1016"/>
  <c r="AG1016"/>
  <c r="AI1016"/>
  <c r="AK1016"/>
  <c r="AM1016"/>
  <c r="AO1016"/>
  <c r="AQ1016"/>
  <c r="AS1016"/>
  <c r="AU1016"/>
  <c r="AW1016"/>
  <c r="AY1016"/>
  <c r="BA1016"/>
  <c r="BC1016"/>
  <c r="BE1016"/>
  <c r="BG1016"/>
  <c r="M1017"/>
  <c r="O1017"/>
  <c r="Q1017"/>
  <c r="Y1017"/>
  <c r="AG1017"/>
  <c r="AI1017"/>
  <c r="AK1017"/>
  <c r="AM1017"/>
  <c r="AO1017"/>
  <c r="AQ1017"/>
  <c r="AS1017"/>
  <c r="AU1017"/>
  <c r="AW1017"/>
  <c r="AY1017"/>
  <c r="BA1017"/>
  <c r="BC1017"/>
  <c r="BE1017"/>
  <c r="BG1017"/>
  <c r="M1018"/>
  <c r="O1018"/>
  <c r="Q1018"/>
  <c r="Y1018"/>
  <c r="AG1018"/>
  <c r="AI1018"/>
  <c r="AK1018"/>
  <c r="AM1018"/>
  <c r="AO1018"/>
  <c r="AQ1018"/>
  <c r="AS1018"/>
  <c r="AU1018"/>
  <c r="AW1018"/>
  <c r="AY1018"/>
  <c r="BA1018"/>
  <c r="BC1018"/>
  <c r="BE1018"/>
  <c r="BG1018"/>
  <c r="M1019"/>
  <c r="O1019"/>
  <c r="Q1019"/>
  <c r="Y1019"/>
  <c r="AG1019"/>
  <c r="AI1019"/>
  <c r="AK1019"/>
  <c r="AM1019"/>
  <c r="AO1019"/>
  <c r="AQ1019"/>
  <c r="AS1019"/>
  <c r="AU1019"/>
  <c r="AW1019"/>
  <c r="AY1019"/>
  <c r="BA1019"/>
  <c r="BC1019"/>
  <c r="BE1019"/>
  <c r="BG1019"/>
  <c r="M1020"/>
  <c r="O1020"/>
  <c r="Q1020"/>
  <c r="Y1020"/>
  <c r="AG1020"/>
  <c r="AI1020"/>
  <c r="AK1020"/>
  <c r="AM1020"/>
  <c r="AO1020"/>
  <c r="AQ1020"/>
  <c r="AS1020"/>
  <c r="AU1020"/>
  <c r="AW1020"/>
  <c r="AY1020"/>
  <c r="BA1020"/>
  <c r="BC1020"/>
  <c r="BE1020"/>
  <c r="BG1020"/>
  <c r="M1021"/>
  <c r="O1021"/>
  <c r="Q1021"/>
  <c r="Y1021"/>
  <c r="AG1021"/>
  <c r="AI1021"/>
  <c r="AK1021"/>
  <c r="AM1021"/>
  <c r="AO1021"/>
  <c r="AQ1021"/>
  <c r="AS1021"/>
  <c r="AU1021"/>
  <c r="AW1021"/>
  <c r="AY1021"/>
  <c r="BA1021"/>
  <c r="BC1021"/>
  <c r="BE1021"/>
  <c r="BG1021"/>
  <c r="M1022"/>
  <c r="O1022"/>
  <c r="Q1022"/>
  <c r="Y1022"/>
  <c r="AG1022"/>
  <c r="AI1022"/>
  <c r="AK1022"/>
  <c r="AM1022"/>
  <c r="AO1022"/>
  <c r="AQ1022"/>
  <c r="AS1022"/>
  <c r="AU1022"/>
  <c r="AW1022"/>
  <c r="AY1022"/>
  <c r="BA1022"/>
  <c r="BC1022"/>
  <c r="BE1022"/>
  <c r="BG1022"/>
  <c r="M1023"/>
  <c r="O1023"/>
  <c r="Q1023"/>
  <c r="Y1023"/>
  <c r="AG1023"/>
  <c r="AI1023"/>
  <c r="AK1023"/>
  <c r="AM1023"/>
  <c r="AO1023"/>
  <c r="AQ1023"/>
  <c r="AS1023"/>
  <c r="AU1023"/>
  <c r="AW1023"/>
  <c r="AY1023"/>
  <c r="BA1023"/>
  <c r="BC1023"/>
  <c r="BE1023"/>
  <c r="BG1023"/>
  <c r="M1024"/>
  <c r="O1024"/>
  <c r="P1024"/>
  <c r="X1024"/>
  <c r="AG1024"/>
  <c r="AI1024"/>
  <c r="AK1024"/>
  <c r="AM1024"/>
  <c r="AO1024"/>
  <c r="AQ1024"/>
  <c r="AS1024"/>
  <c r="AU1024"/>
  <c r="AW1024"/>
  <c r="AY1024"/>
  <c r="BA1024"/>
  <c r="BC1024"/>
  <c r="BE1024"/>
  <c r="BG1024"/>
  <c r="M1025"/>
  <c r="O1025"/>
  <c r="Q1025"/>
  <c r="Y1025"/>
  <c r="AG1025"/>
  <c r="AI1025"/>
  <c r="AK1025"/>
  <c r="AM1025"/>
  <c r="AO1025"/>
  <c r="AQ1025"/>
  <c r="AS1025"/>
  <c r="AU1025"/>
  <c r="AW1025"/>
  <c r="AY1025"/>
  <c r="BA1025"/>
  <c r="BC1025"/>
  <c r="BE1025"/>
  <c r="BG1025"/>
  <c r="M1026"/>
  <c r="O1026"/>
  <c r="X1026"/>
  <c r="AG1026"/>
  <c r="AI1026"/>
  <c r="AK1026"/>
  <c r="AM1026"/>
  <c r="AO1026"/>
  <c r="AQ1026"/>
  <c r="AS1026"/>
  <c r="AU1026"/>
  <c r="AW1026"/>
  <c r="AY1026"/>
  <c r="BA1026"/>
  <c r="BC1026"/>
  <c r="BE1026"/>
  <c r="BG1026"/>
  <c r="M1027"/>
  <c r="O1027"/>
  <c r="P1027"/>
  <c r="X1027"/>
  <c r="AG1027"/>
  <c r="AI1027"/>
  <c r="AK1027"/>
  <c r="AM1027"/>
  <c r="AO1027"/>
  <c r="AQ1027"/>
  <c r="AS1027"/>
  <c r="AU1027"/>
  <c r="AW1027"/>
  <c r="AY1027"/>
  <c r="BA1027"/>
  <c r="BC1027"/>
  <c r="BE1027"/>
  <c r="BG1027"/>
  <c r="M1028"/>
  <c r="O1028"/>
  <c r="P1028"/>
  <c r="X1028"/>
  <c r="AG1028"/>
  <c r="AI1028"/>
  <c r="AK1028"/>
  <c r="AM1028"/>
  <c r="AO1028"/>
  <c r="AQ1028"/>
  <c r="AS1028"/>
  <c r="AU1028"/>
  <c r="AW1028"/>
  <c r="AY1028"/>
  <c r="BA1028"/>
  <c r="BC1028"/>
  <c r="BE1028"/>
  <c r="BG1028"/>
  <c r="H1029"/>
  <c r="K1029" s="1"/>
  <c r="M1029"/>
  <c r="O1029"/>
  <c r="P1029"/>
  <c r="X1029"/>
  <c r="AG1029"/>
  <c r="AI1029"/>
  <c r="AK1029"/>
  <c r="AM1029"/>
  <c r="AO1029"/>
  <c r="AQ1029"/>
  <c r="AS1029"/>
  <c r="AU1029"/>
  <c r="AW1029"/>
  <c r="AY1029"/>
  <c r="BA1029"/>
  <c r="BC1029"/>
  <c r="BE1029"/>
  <c r="BG1029"/>
  <c r="M1030"/>
  <c r="O1030"/>
  <c r="P1030"/>
  <c r="X1030"/>
  <c r="AG1030"/>
  <c r="AI1030"/>
  <c r="AK1030"/>
  <c r="AM1030"/>
  <c r="AO1030"/>
  <c r="AQ1030"/>
  <c r="AS1030"/>
  <c r="AU1030"/>
  <c r="AW1030"/>
  <c r="AY1030"/>
  <c r="BA1030"/>
  <c r="BC1030"/>
  <c r="BE1030"/>
  <c r="BG1030"/>
  <c r="N1031"/>
  <c r="P1031"/>
  <c r="R1031"/>
  <c r="T1031"/>
  <c r="V1031"/>
  <c r="X1031"/>
  <c r="AB1031"/>
  <c r="AF1031"/>
  <c r="AH1031"/>
  <c r="I1032"/>
  <c r="N1032"/>
  <c r="R1032"/>
  <c r="T1032"/>
  <c r="V1032"/>
  <c r="Z1032"/>
  <c r="AB1032"/>
  <c r="AD1032"/>
  <c r="AF1032"/>
  <c r="AH1032"/>
  <c r="N1033"/>
  <c r="R1033"/>
  <c r="T1033"/>
  <c r="V1033"/>
  <c r="Z1033"/>
  <c r="AB1033"/>
  <c r="AD1033"/>
  <c r="AF1033"/>
  <c r="AH1033"/>
  <c r="AJ1033"/>
  <c r="AV1033"/>
  <c r="N1034"/>
  <c r="R1034"/>
  <c r="T1034"/>
  <c r="V1034"/>
  <c r="Z1034"/>
  <c r="AB1034"/>
  <c r="AD1034"/>
  <c r="AF1034"/>
  <c r="AH1034"/>
  <c r="AJ1034"/>
  <c r="AL1034"/>
  <c r="N1035"/>
  <c r="R1035"/>
  <c r="T1035"/>
  <c r="V1035"/>
  <c r="Z1035"/>
  <c r="AB1035"/>
  <c r="AD1035"/>
  <c r="AF1035"/>
  <c r="AH1035"/>
  <c r="AJ1035"/>
  <c r="AL1035"/>
  <c r="M1049"/>
  <c r="O1049"/>
  <c r="Q1049"/>
  <c r="Y1049"/>
  <c r="AG1049"/>
  <c r="AI1049"/>
  <c r="AK1049"/>
  <c r="AM1049"/>
  <c r="AO1049"/>
  <c r="AQ1049"/>
  <c r="AS1049"/>
  <c r="AU1049"/>
  <c r="AW1049"/>
  <c r="AY1049"/>
  <c r="BA1049"/>
  <c r="BC1049"/>
  <c r="BE1049"/>
  <c r="BG1049"/>
  <c r="M1050"/>
  <c r="O1050"/>
  <c r="Q1050"/>
  <c r="Y1050"/>
  <c r="AG1050"/>
  <c r="AI1050"/>
  <c r="AK1050"/>
  <c r="AM1050"/>
  <c r="AO1050"/>
  <c r="AQ1050"/>
  <c r="AS1050"/>
  <c r="AU1050"/>
  <c r="AW1050"/>
  <c r="AY1050"/>
  <c r="BA1050"/>
  <c r="BC1050"/>
  <c r="BE1050"/>
  <c r="BG1050"/>
  <c r="M1051"/>
  <c r="O1051"/>
  <c r="Q1051"/>
  <c r="Y1051"/>
  <c r="AG1051"/>
  <c r="AI1051"/>
  <c r="AK1051"/>
  <c r="AM1051"/>
  <c r="AO1051"/>
  <c r="AQ1051"/>
  <c r="AS1051"/>
  <c r="AU1051"/>
  <c r="AW1051"/>
  <c r="AY1051"/>
  <c r="BA1051"/>
  <c r="BC1051"/>
  <c r="BE1051"/>
  <c r="BG1051"/>
  <c r="M1052"/>
  <c r="O1052"/>
  <c r="Q1052"/>
  <c r="Y1052"/>
  <c r="AG1052"/>
  <c r="AI1052"/>
  <c r="AK1052"/>
  <c r="AM1052"/>
  <c r="AO1052"/>
  <c r="AQ1052"/>
  <c r="AS1052"/>
  <c r="AU1052"/>
  <c r="AW1052"/>
  <c r="AY1052"/>
  <c r="BA1052"/>
  <c r="BC1052"/>
  <c r="BE1052"/>
  <c r="BG1052"/>
  <c r="M1053"/>
  <c r="O1053"/>
  <c r="Q1053"/>
  <c r="Y1053"/>
  <c r="AG1053"/>
  <c r="AI1053"/>
  <c r="AK1053"/>
  <c r="AM1053"/>
  <c r="AO1053"/>
  <c r="AQ1053"/>
  <c r="AS1053"/>
  <c r="AU1053"/>
  <c r="AW1053"/>
  <c r="AY1053"/>
  <c r="BA1053"/>
  <c r="BC1053"/>
  <c r="BE1053"/>
  <c r="BG1053"/>
  <c r="M1054"/>
  <c r="O1054"/>
  <c r="Q1054"/>
  <c r="Y1054"/>
  <c r="AG1054"/>
  <c r="AI1054"/>
  <c r="AK1054"/>
  <c r="AM1054"/>
  <c r="AO1054"/>
  <c r="AQ1054"/>
  <c r="AS1054"/>
  <c r="AU1054"/>
  <c r="AW1054"/>
  <c r="AY1054"/>
  <c r="BA1054"/>
  <c r="BC1054"/>
  <c r="BE1054"/>
  <c r="BG1054"/>
  <c r="M1055"/>
  <c r="O1055"/>
  <c r="Q1055"/>
  <c r="Y1055"/>
  <c r="AG1055"/>
  <c r="AI1055"/>
  <c r="AK1055"/>
  <c r="AM1055"/>
  <c r="AO1055"/>
  <c r="AQ1055"/>
  <c r="AS1055"/>
  <c r="AU1055"/>
  <c r="AW1055"/>
  <c r="AY1055"/>
  <c r="BA1055"/>
  <c r="BC1055"/>
  <c r="BE1055"/>
  <c r="BG1055"/>
  <c r="M1056"/>
  <c r="O1056"/>
  <c r="Q1056"/>
  <c r="Y1056"/>
  <c r="AG1056"/>
  <c r="AI1056"/>
  <c r="AK1056"/>
  <c r="AM1056"/>
  <c r="AO1056"/>
  <c r="AQ1056"/>
  <c r="AS1056"/>
  <c r="AU1056"/>
  <c r="AW1056"/>
  <c r="AY1056"/>
  <c r="BA1056"/>
  <c r="BC1056"/>
  <c r="BE1056"/>
  <c r="BG1056"/>
  <c r="M1057"/>
  <c r="O1057"/>
  <c r="Q1057"/>
  <c r="Y1057"/>
  <c r="AG1057"/>
  <c r="AI1057"/>
  <c r="AK1057"/>
  <c r="AM1057"/>
  <c r="AO1057"/>
  <c r="AQ1057"/>
  <c r="AS1057"/>
  <c r="AU1057"/>
  <c r="AW1057"/>
  <c r="AY1057"/>
  <c r="BA1057"/>
  <c r="BC1057"/>
  <c r="BE1057"/>
  <c r="BG1057"/>
  <c r="M1058"/>
  <c r="O1058"/>
  <c r="Q1058"/>
  <c r="Y1058"/>
  <c r="AG1058"/>
  <c r="AI1058"/>
  <c r="AK1058"/>
  <c r="AM1058"/>
  <c r="AO1058"/>
  <c r="AQ1058"/>
  <c r="AS1058"/>
  <c r="AU1058"/>
  <c r="AW1058"/>
  <c r="AY1058"/>
  <c r="BA1058"/>
  <c r="BC1058"/>
  <c r="BE1058"/>
  <c r="BG1058"/>
  <c r="M1059"/>
  <c r="O1059"/>
  <c r="Q1059"/>
  <c r="Y1059"/>
  <c r="AG1059"/>
  <c r="AI1059"/>
  <c r="AK1059"/>
  <c r="AM1059"/>
  <c r="AO1059"/>
  <c r="AQ1059"/>
  <c r="AS1059"/>
  <c r="AU1059"/>
  <c r="AW1059"/>
  <c r="AY1059"/>
  <c r="BA1059"/>
  <c r="BC1059"/>
  <c r="BE1059"/>
  <c r="BG1059"/>
  <c r="M1060"/>
  <c r="O1060"/>
  <c r="Q1060"/>
  <c r="Y1060"/>
  <c r="AG1060"/>
  <c r="AI1060"/>
  <c r="AK1060"/>
  <c r="AM1060"/>
  <c r="AO1060"/>
  <c r="AQ1060"/>
  <c r="AS1060"/>
  <c r="AU1060"/>
  <c r="AW1060"/>
  <c r="AY1060"/>
  <c r="BA1060"/>
  <c r="BC1060"/>
  <c r="BE1060"/>
  <c r="BG1060"/>
  <c r="M1061"/>
  <c r="O1061"/>
  <c r="Q1061"/>
  <c r="Y1061"/>
  <c r="AG1061"/>
  <c r="AI1061"/>
  <c r="AK1061"/>
  <c r="AM1061"/>
  <c r="AO1061"/>
  <c r="AQ1061"/>
  <c r="AS1061"/>
  <c r="AU1061"/>
  <c r="AW1061"/>
  <c r="AY1061"/>
  <c r="BA1061"/>
  <c r="BC1061"/>
  <c r="BE1061"/>
  <c r="BG1061"/>
  <c r="M1062"/>
  <c r="O1062"/>
  <c r="Q1062"/>
  <c r="Y1062"/>
  <c r="AG1062"/>
  <c r="AI1062"/>
  <c r="AK1062"/>
  <c r="AM1062"/>
  <c r="AO1062"/>
  <c r="AQ1062"/>
  <c r="AS1062"/>
  <c r="AU1062"/>
  <c r="AW1062"/>
  <c r="AY1062"/>
  <c r="BA1062"/>
  <c r="BC1062"/>
  <c r="BE1062"/>
  <c r="BG1062"/>
  <c r="M1063"/>
  <c r="O1063"/>
  <c r="Q1063"/>
  <c r="Y1063"/>
  <c r="AG1063"/>
  <c r="AI1063"/>
  <c r="AK1063"/>
  <c r="AM1063"/>
  <c r="AO1063"/>
  <c r="AQ1063"/>
  <c r="AS1063"/>
  <c r="AU1063"/>
  <c r="AW1063"/>
  <c r="AY1063"/>
  <c r="BA1063"/>
  <c r="BC1063"/>
  <c r="BE1063"/>
  <c r="BG1063"/>
  <c r="M1064"/>
  <c r="O1064"/>
  <c r="Q1064"/>
  <c r="Y1064"/>
  <c r="AG1064"/>
  <c r="AI1064"/>
  <c r="AK1064"/>
  <c r="AM1064"/>
  <c r="AO1064"/>
  <c r="AQ1064"/>
  <c r="AS1064"/>
  <c r="AU1064"/>
  <c r="AW1064"/>
  <c r="AY1064"/>
  <c r="BA1064"/>
  <c r="BC1064"/>
  <c r="BE1064"/>
  <c r="BG1064"/>
  <c r="M1065"/>
  <c r="O1065"/>
  <c r="Q1065"/>
  <c r="Y1065"/>
  <c r="AG1065"/>
  <c r="AI1065"/>
  <c r="AK1065"/>
  <c r="AM1065"/>
  <c r="AO1065"/>
  <c r="AQ1065"/>
  <c r="AS1065"/>
  <c r="AU1065"/>
  <c r="AW1065"/>
  <c r="AY1065"/>
  <c r="BA1065"/>
  <c r="BC1065"/>
  <c r="BE1065"/>
  <c r="BG1065"/>
  <c r="M1066"/>
  <c r="O1066"/>
  <c r="Q1066"/>
  <c r="Y1066"/>
  <c r="AG1066"/>
  <c r="AI1066"/>
  <c r="AK1066"/>
  <c r="AM1066"/>
  <c r="AO1066"/>
  <c r="AQ1066"/>
  <c r="AS1066"/>
  <c r="AU1066"/>
  <c r="AW1066"/>
  <c r="AY1066"/>
  <c r="BA1066"/>
  <c r="BC1066"/>
  <c r="BE1066"/>
  <c r="BG1066"/>
  <c r="M1067"/>
  <c r="O1067"/>
  <c r="Q1067"/>
  <c r="Y1067"/>
  <c r="AG1067"/>
  <c r="AI1067"/>
  <c r="AK1067"/>
  <c r="AM1067"/>
  <c r="AO1067"/>
  <c r="AQ1067"/>
  <c r="AS1067"/>
  <c r="AU1067"/>
  <c r="AW1067"/>
  <c r="AY1067"/>
  <c r="BA1067"/>
  <c r="BC1067"/>
  <c r="BE1067"/>
  <c r="BG1067"/>
  <c r="M1068"/>
  <c r="O1068"/>
  <c r="Q1068"/>
  <c r="Y1068"/>
  <c r="AG1068"/>
  <c r="AI1068"/>
  <c r="AK1068"/>
  <c r="AM1068"/>
  <c r="AO1068"/>
  <c r="AQ1068"/>
  <c r="AS1068"/>
  <c r="AU1068"/>
  <c r="AW1068"/>
  <c r="AY1068"/>
  <c r="BA1068"/>
  <c r="BC1068"/>
  <c r="BE1068"/>
  <c r="BG1068"/>
  <c r="M1069"/>
  <c r="O1069"/>
  <c r="Q1069"/>
  <c r="Y1069"/>
  <c r="AG1069"/>
  <c r="AI1069"/>
  <c r="AK1069"/>
  <c r="AM1069"/>
  <c r="AO1069"/>
  <c r="AQ1069"/>
  <c r="AS1069"/>
  <c r="AU1069"/>
  <c r="AW1069"/>
  <c r="AY1069"/>
  <c r="BA1069"/>
  <c r="BC1069"/>
  <c r="BE1069"/>
  <c r="BG1069"/>
  <c r="M1070"/>
  <c r="O1070"/>
  <c r="Q1070"/>
  <c r="Y1070"/>
  <c r="AG1070"/>
  <c r="AI1070"/>
  <c r="AK1070"/>
  <c r="AM1070"/>
  <c r="AO1070"/>
  <c r="AQ1070"/>
  <c r="AS1070"/>
  <c r="AU1070"/>
  <c r="AW1070"/>
  <c r="AY1070"/>
  <c r="BA1070"/>
  <c r="BC1070"/>
  <c r="BE1070"/>
  <c r="BG1070"/>
  <c r="M1071"/>
  <c r="O1071"/>
  <c r="Q1071"/>
  <c r="Y1071"/>
  <c r="AG1071"/>
  <c r="AI1071"/>
  <c r="AK1071"/>
  <c r="AM1071"/>
  <c r="AO1071"/>
  <c r="AQ1071"/>
  <c r="AS1071"/>
  <c r="AU1071"/>
  <c r="AW1071"/>
  <c r="AY1071"/>
  <c r="BA1071"/>
  <c r="BC1071"/>
  <c r="BE1071"/>
  <c r="BG1071"/>
  <c r="M1072"/>
  <c r="O1072"/>
  <c r="Q1072"/>
  <c r="Y1072"/>
  <c r="AG1072"/>
  <c r="AI1072"/>
  <c r="AK1072"/>
  <c r="AM1072"/>
  <c r="AO1072"/>
  <c r="AQ1072"/>
  <c r="AS1072"/>
  <c r="AU1072"/>
  <c r="AW1072"/>
  <c r="AY1072"/>
  <c r="BA1072"/>
  <c r="BC1072"/>
  <c r="BE1072"/>
  <c r="BG1072"/>
  <c r="M1073"/>
  <c r="O1073"/>
  <c r="Q1073"/>
  <c r="Y1073"/>
  <c r="AG1073"/>
  <c r="AI1073"/>
  <c r="AK1073"/>
  <c r="AM1073"/>
  <c r="AO1073"/>
  <c r="AQ1073"/>
  <c r="AS1073"/>
  <c r="AU1073"/>
  <c r="AW1073"/>
  <c r="AY1073"/>
  <c r="BA1073"/>
  <c r="BC1073"/>
  <c r="BE1073"/>
  <c r="BG1073"/>
  <c r="M1074"/>
  <c r="O1074"/>
  <c r="Q1074"/>
  <c r="Y1074"/>
  <c r="AG1074"/>
  <c r="AI1074"/>
  <c r="AK1074"/>
  <c r="AM1074"/>
  <c r="AO1074"/>
  <c r="AQ1074"/>
  <c r="AS1074"/>
  <c r="AU1074"/>
  <c r="AW1074"/>
  <c r="AY1074"/>
  <c r="BA1074"/>
  <c r="BC1074"/>
  <c r="BE1074"/>
  <c r="BG1074"/>
  <c r="M1075"/>
  <c r="O1075"/>
  <c r="Q1075"/>
  <c r="Y1075"/>
  <c r="AG1075"/>
  <c r="AI1075"/>
  <c r="AK1075"/>
  <c r="AM1075"/>
  <c r="AO1075"/>
  <c r="AQ1075"/>
  <c r="AS1075"/>
  <c r="AU1075"/>
  <c r="AW1075"/>
  <c r="AY1075"/>
  <c r="BA1075"/>
  <c r="BC1075"/>
  <c r="BE1075"/>
  <c r="BG1075"/>
  <c r="M1076"/>
  <c r="O1076"/>
  <c r="Q1076"/>
  <c r="Y1076"/>
  <c r="AG1076"/>
  <c r="AI1076"/>
  <c r="AK1076"/>
  <c r="AM1076"/>
  <c r="AO1076"/>
  <c r="AQ1076"/>
  <c r="AS1076"/>
  <c r="AU1076"/>
  <c r="AW1076"/>
  <c r="AY1076"/>
  <c r="BA1076"/>
  <c r="BC1076"/>
  <c r="BE1076"/>
  <c r="BG1076"/>
  <c r="M1077"/>
  <c r="O1077"/>
  <c r="Q1077"/>
  <c r="Y1077"/>
  <c r="AG1077"/>
  <c r="AI1077"/>
  <c r="AK1077"/>
  <c r="AM1077"/>
  <c r="AO1077"/>
  <c r="AQ1077"/>
  <c r="AS1077"/>
  <c r="AU1077"/>
  <c r="AW1077"/>
  <c r="AY1077"/>
  <c r="BA1077"/>
  <c r="BC1077"/>
  <c r="BE1077"/>
  <c r="BG1077"/>
  <c r="M1078"/>
  <c r="O1078"/>
  <c r="Q1078"/>
  <c r="Y1078"/>
  <c r="AG1078"/>
  <c r="AI1078"/>
  <c r="AK1078"/>
  <c r="AM1078"/>
  <c r="AO1078"/>
  <c r="AQ1078"/>
  <c r="AS1078"/>
  <c r="AU1078"/>
  <c r="AW1078"/>
  <c r="AY1078"/>
  <c r="BA1078"/>
  <c r="BC1078"/>
  <c r="BE1078"/>
  <c r="BG1078"/>
  <c r="M1079"/>
  <c r="O1079"/>
  <c r="Q1079"/>
  <c r="Y1079"/>
  <c r="AG1079"/>
  <c r="AI1079"/>
  <c r="AK1079"/>
  <c r="AM1079"/>
  <c r="AO1079"/>
  <c r="AQ1079"/>
  <c r="AS1079"/>
  <c r="AU1079"/>
  <c r="AW1079"/>
  <c r="AY1079"/>
  <c r="BA1079"/>
  <c r="BC1079"/>
  <c r="BE1079"/>
  <c r="BG1079"/>
  <c r="M1080"/>
  <c r="O1080"/>
  <c r="Q1080"/>
  <c r="Y1080"/>
  <c r="AG1080"/>
  <c r="AI1080"/>
  <c r="AK1080"/>
  <c r="AM1080"/>
  <c r="AO1080"/>
  <c r="AQ1080"/>
  <c r="AS1080"/>
  <c r="AU1080"/>
  <c r="AW1080"/>
  <c r="AY1080"/>
  <c r="BA1080"/>
  <c r="BC1080"/>
  <c r="BE1080"/>
  <c r="BG1080"/>
  <c r="M1081"/>
  <c r="O1081"/>
  <c r="Q1081"/>
  <c r="Y1081"/>
  <c r="AG1081"/>
  <c r="AI1081"/>
  <c r="AK1081"/>
  <c r="AM1081"/>
  <c r="AO1081"/>
  <c r="AQ1081"/>
  <c r="AS1081"/>
  <c r="AU1081"/>
  <c r="AW1081"/>
  <c r="AY1081"/>
  <c r="BA1081"/>
  <c r="BC1081"/>
  <c r="BE1081"/>
  <c r="BG1081"/>
  <c r="M1082"/>
  <c r="O1082"/>
  <c r="Q1082"/>
  <c r="Y1082"/>
  <c r="AG1082"/>
  <c r="AI1082"/>
  <c r="AK1082"/>
  <c r="AM1082"/>
  <c r="AO1082"/>
  <c r="AQ1082"/>
  <c r="AS1082"/>
  <c r="AU1082"/>
  <c r="AW1082"/>
  <c r="AY1082"/>
  <c r="BA1082"/>
  <c r="BC1082"/>
  <c r="BE1082"/>
  <c r="BG1082"/>
  <c r="M1083"/>
  <c r="O1083"/>
  <c r="Q1083"/>
  <c r="Y1083"/>
  <c r="AG1083"/>
  <c r="AI1083"/>
  <c r="AK1083"/>
  <c r="AM1083"/>
  <c r="AO1083"/>
  <c r="AQ1083"/>
  <c r="AS1083"/>
  <c r="AU1083"/>
  <c r="AW1083"/>
  <c r="AY1083"/>
  <c r="BA1083"/>
  <c r="BC1083"/>
  <c r="BE1083"/>
  <c r="BG1083"/>
  <c r="M1084"/>
  <c r="O1084"/>
  <c r="Y1084"/>
  <c r="AG1084"/>
  <c r="AI1084"/>
  <c r="AK1084"/>
  <c r="AM1084"/>
  <c r="AO1084"/>
  <c r="AQ1084"/>
  <c r="AS1084"/>
  <c r="AU1084"/>
  <c r="AW1084"/>
  <c r="AY1084"/>
  <c r="BA1084"/>
  <c r="BC1084"/>
  <c r="BE1084"/>
  <c r="BG1084"/>
  <c r="M1085"/>
  <c r="O1085"/>
  <c r="Q1085"/>
  <c r="Y1085"/>
  <c r="AG1085"/>
  <c r="AI1085"/>
  <c r="AK1085"/>
  <c r="AM1085"/>
  <c r="AO1085"/>
  <c r="AQ1085"/>
  <c r="AS1085"/>
  <c r="AU1085"/>
  <c r="AW1085"/>
  <c r="AY1085"/>
  <c r="BA1085"/>
  <c r="BC1085"/>
  <c r="BE1085"/>
  <c r="BG1085"/>
  <c r="M1086"/>
  <c r="O1086"/>
  <c r="Q1086"/>
  <c r="Y1086"/>
  <c r="AG1086"/>
  <c r="AI1086"/>
  <c r="AK1086"/>
  <c r="AM1086"/>
  <c r="AO1086"/>
  <c r="AQ1086"/>
  <c r="AS1086"/>
  <c r="AU1086"/>
  <c r="AW1086"/>
  <c r="AY1086"/>
  <c r="BA1086"/>
  <c r="BC1086"/>
  <c r="BE1086"/>
  <c r="BG1086"/>
  <c r="M1087"/>
  <c r="O1087"/>
  <c r="Q1087"/>
  <c r="Y1087"/>
  <c r="AG1087"/>
  <c r="AI1087"/>
  <c r="AK1087"/>
  <c r="AM1087"/>
  <c r="AO1087"/>
  <c r="AQ1087"/>
  <c r="AS1087"/>
  <c r="AU1087"/>
  <c r="AW1087"/>
  <c r="AY1087"/>
  <c r="BA1087"/>
  <c r="BC1087"/>
  <c r="BE1087"/>
  <c r="BG1087"/>
  <c r="L1088"/>
  <c r="M1089"/>
  <c r="BO1089" s="1"/>
  <c r="L1090"/>
  <c r="L1091"/>
  <c r="L1092"/>
  <c r="L1093"/>
  <c r="M1104"/>
  <c r="O1104"/>
  <c r="Q1104"/>
  <c r="Y1104"/>
  <c r="AG1104"/>
  <c r="AI1104"/>
  <c r="AK1104"/>
  <c r="AM1104"/>
  <c r="AO1104"/>
  <c r="AQ1104"/>
  <c r="AS1104"/>
  <c r="AU1104"/>
  <c r="AW1104"/>
  <c r="AY1104"/>
  <c r="BA1104"/>
  <c r="BC1104"/>
  <c r="BE1104"/>
  <c r="BG1104"/>
  <c r="M1105"/>
  <c r="O1105"/>
  <c r="Q1105"/>
  <c r="Y1105"/>
  <c r="AG1105"/>
  <c r="AI1105"/>
  <c r="AK1105"/>
  <c r="AM1105"/>
  <c r="AO1105"/>
  <c r="AQ1105"/>
  <c r="AS1105"/>
  <c r="AU1105"/>
  <c r="AW1105"/>
  <c r="AY1105"/>
  <c r="BA1105"/>
  <c r="BC1105"/>
  <c r="BE1105"/>
  <c r="BG1105"/>
  <c r="M1106"/>
  <c r="O1106"/>
  <c r="Q1106"/>
  <c r="Y1106"/>
  <c r="AG1106"/>
  <c r="AI1106"/>
  <c r="AK1106"/>
  <c r="AM1106"/>
  <c r="AO1106"/>
  <c r="AQ1106"/>
  <c r="AS1106"/>
  <c r="AU1106"/>
  <c r="AW1106"/>
  <c r="AY1106"/>
  <c r="BA1106"/>
  <c r="BC1106"/>
  <c r="BE1106"/>
  <c r="BG1106"/>
  <c r="M1107"/>
  <c r="O1107"/>
  <c r="Q1107"/>
  <c r="Y1107"/>
  <c r="AG1107"/>
  <c r="AI1107"/>
  <c r="AK1107"/>
  <c r="AM1107"/>
  <c r="AO1107"/>
  <c r="AQ1107"/>
  <c r="AS1107"/>
  <c r="AU1107"/>
  <c r="AW1107"/>
  <c r="AY1107"/>
  <c r="BA1107"/>
  <c r="BC1107"/>
  <c r="BE1107"/>
  <c r="BG1107"/>
  <c r="M1108"/>
  <c r="O1108"/>
  <c r="Q1108"/>
  <c r="Y1108"/>
  <c r="AG1108"/>
  <c r="AI1108"/>
  <c r="AK1108"/>
  <c r="AM1108"/>
  <c r="AO1108"/>
  <c r="AQ1108"/>
  <c r="AS1108"/>
  <c r="AU1108"/>
  <c r="AW1108"/>
  <c r="AY1108"/>
  <c r="BA1108"/>
  <c r="BC1108"/>
  <c r="BE1108"/>
  <c r="BG1108"/>
  <c r="M1109"/>
  <c r="O1109"/>
  <c r="Q1109"/>
  <c r="Y1109"/>
  <c r="AG1109"/>
  <c r="AI1109"/>
  <c r="AK1109"/>
  <c r="AM1109"/>
  <c r="AO1109"/>
  <c r="AQ1109"/>
  <c r="AS1109"/>
  <c r="AU1109"/>
  <c r="AW1109"/>
  <c r="AY1109"/>
  <c r="BA1109"/>
  <c r="BC1109"/>
  <c r="BE1109"/>
  <c r="BG1109"/>
  <c r="M1110"/>
  <c r="O1110"/>
  <c r="Q1110"/>
  <c r="Y1110"/>
  <c r="AG1110"/>
  <c r="AI1110"/>
  <c r="AK1110"/>
  <c r="AM1110"/>
  <c r="AO1110"/>
  <c r="AQ1110"/>
  <c r="AS1110"/>
  <c r="AU1110"/>
  <c r="AW1110"/>
  <c r="AY1110"/>
  <c r="BA1110"/>
  <c r="BC1110"/>
  <c r="BE1110"/>
  <c r="BG1110"/>
  <c r="M1111"/>
  <c r="O1111"/>
  <c r="Q1111"/>
  <c r="Y1111"/>
  <c r="AG1111"/>
  <c r="AI1111"/>
  <c r="AK1111"/>
  <c r="AM1111"/>
  <c r="AO1111"/>
  <c r="AQ1111"/>
  <c r="AS1111"/>
  <c r="AU1111"/>
  <c r="AW1111"/>
  <c r="AY1111"/>
  <c r="BA1111"/>
  <c r="BC1111"/>
  <c r="BE1111"/>
  <c r="BG1111"/>
  <c r="M1112"/>
  <c r="O1112"/>
  <c r="Q1112"/>
  <c r="Y1112"/>
  <c r="AG1112"/>
  <c r="AI1112"/>
  <c r="AK1112"/>
  <c r="AM1112"/>
  <c r="AO1112"/>
  <c r="AQ1112"/>
  <c r="AS1112"/>
  <c r="AU1112"/>
  <c r="AW1112"/>
  <c r="AY1112"/>
  <c r="BA1112"/>
  <c r="BC1112"/>
  <c r="BE1112"/>
  <c r="BG1112"/>
  <c r="M1113"/>
  <c r="O1113"/>
  <c r="Q1113"/>
  <c r="Y1113"/>
  <c r="AG1113"/>
  <c r="AI1113"/>
  <c r="AK1113"/>
  <c r="AM1113"/>
  <c r="AO1113"/>
  <c r="AQ1113"/>
  <c r="AS1113"/>
  <c r="AU1113"/>
  <c r="AW1113"/>
  <c r="AY1113"/>
  <c r="BA1113"/>
  <c r="BC1113"/>
  <c r="BE1113"/>
  <c r="BG1113"/>
  <c r="M1114"/>
  <c r="O1114"/>
  <c r="Q1114"/>
  <c r="Y1114"/>
  <c r="AG1114"/>
  <c r="AI1114"/>
  <c r="AK1114"/>
  <c r="AM1114"/>
  <c r="AO1114"/>
  <c r="AQ1114"/>
  <c r="AS1114"/>
  <c r="AU1114"/>
  <c r="AW1114"/>
  <c r="AY1114"/>
  <c r="BA1114"/>
  <c r="BC1114"/>
  <c r="BE1114"/>
  <c r="BG1114"/>
  <c r="M1115"/>
  <c r="O1115"/>
  <c r="Q1115"/>
  <c r="Y1115"/>
  <c r="AG1115"/>
  <c r="AI1115"/>
  <c r="AK1115"/>
  <c r="AM1115"/>
  <c r="AO1115"/>
  <c r="AQ1115"/>
  <c r="AS1115"/>
  <c r="AU1115"/>
  <c r="AW1115"/>
  <c r="AY1115"/>
  <c r="BA1115"/>
  <c r="BC1115"/>
  <c r="BE1115"/>
  <c r="BG1115"/>
  <c r="M1116"/>
  <c r="O1116"/>
  <c r="Q1116"/>
  <c r="Y1116"/>
  <c r="AG1116"/>
  <c r="AI1116"/>
  <c r="AK1116"/>
  <c r="AM1116"/>
  <c r="AO1116"/>
  <c r="AQ1116"/>
  <c r="AS1116"/>
  <c r="AU1116"/>
  <c r="AW1116"/>
  <c r="AY1116"/>
  <c r="BA1116"/>
  <c r="BC1116"/>
  <c r="BE1116"/>
  <c r="BG1116"/>
  <c r="M1117"/>
  <c r="O1117"/>
  <c r="Q1117"/>
  <c r="Y1117"/>
  <c r="AG1117"/>
  <c r="AI1117"/>
  <c r="AK1117"/>
  <c r="AM1117"/>
  <c r="AO1117"/>
  <c r="AQ1117"/>
  <c r="AS1117"/>
  <c r="AU1117"/>
  <c r="AW1117"/>
  <c r="AY1117"/>
  <c r="BA1117"/>
  <c r="BC1117"/>
  <c r="BE1117"/>
  <c r="BG1117"/>
  <c r="M1118"/>
  <c r="O1118"/>
  <c r="Q1118"/>
  <c r="Y1118"/>
  <c r="AG1118"/>
  <c r="AI1118"/>
  <c r="AK1118"/>
  <c r="AM1118"/>
  <c r="AO1118"/>
  <c r="AQ1118"/>
  <c r="AS1118"/>
  <c r="AU1118"/>
  <c r="AW1118"/>
  <c r="AY1118"/>
  <c r="BA1118"/>
  <c r="BC1118"/>
  <c r="BE1118"/>
  <c r="BG1118"/>
  <c r="M1119"/>
  <c r="O1119"/>
  <c r="Q1119"/>
  <c r="Y1119"/>
  <c r="AG1119"/>
  <c r="AI1119"/>
  <c r="AK1119"/>
  <c r="AM1119"/>
  <c r="AO1119"/>
  <c r="AQ1119"/>
  <c r="AS1119"/>
  <c r="AU1119"/>
  <c r="AW1119"/>
  <c r="AY1119"/>
  <c r="BA1119"/>
  <c r="BC1119"/>
  <c r="BE1119"/>
  <c r="BG1119"/>
  <c r="M1120"/>
  <c r="O1120"/>
  <c r="Q1120"/>
  <c r="Y1120"/>
  <c r="AG1120"/>
  <c r="AI1120"/>
  <c r="AK1120"/>
  <c r="AM1120"/>
  <c r="AO1120"/>
  <c r="AQ1120"/>
  <c r="AS1120"/>
  <c r="AU1120"/>
  <c r="AW1120"/>
  <c r="AY1120"/>
  <c r="BA1120"/>
  <c r="BC1120"/>
  <c r="BE1120"/>
  <c r="BG1120"/>
  <c r="M1121"/>
  <c r="O1121"/>
  <c r="Q1121"/>
  <c r="Y1121"/>
  <c r="AG1121"/>
  <c r="AI1121"/>
  <c r="AK1121"/>
  <c r="AM1121"/>
  <c r="AO1121"/>
  <c r="AQ1121"/>
  <c r="AS1121"/>
  <c r="AU1121"/>
  <c r="AW1121"/>
  <c r="AY1121"/>
  <c r="BA1121"/>
  <c r="BC1121"/>
  <c r="BE1121"/>
  <c r="BG1121"/>
  <c r="M1122"/>
  <c r="O1122"/>
  <c r="Q1122"/>
  <c r="Y1122"/>
  <c r="AG1122"/>
  <c r="AI1122"/>
  <c r="AK1122"/>
  <c r="AM1122"/>
  <c r="AO1122"/>
  <c r="AQ1122"/>
  <c r="AS1122"/>
  <c r="AU1122"/>
  <c r="AW1122"/>
  <c r="AY1122"/>
  <c r="BA1122"/>
  <c r="BC1122"/>
  <c r="BE1122"/>
  <c r="BG1122"/>
  <c r="M1123"/>
  <c r="O1123"/>
  <c r="Q1123"/>
  <c r="Y1123"/>
  <c r="AG1123"/>
  <c r="AI1123"/>
  <c r="AK1123"/>
  <c r="AM1123"/>
  <c r="AO1123"/>
  <c r="AQ1123"/>
  <c r="AS1123"/>
  <c r="AU1123"/>
  <c r="AW1123"/>
  <c r="AY1123"/>
  <c r="BA1123"/>
  <c r="BC1123"/>
  <c r="BE1123"/>
  <c r="BG1123"/>
  <c r="M1124"/>
  <c r="O1124"/>
  <c r="Q1124"/>
  <c r="Y1124"/>
  <c r="AG1124"/>
  <c r="AI1124"/>
  <c r="AK1124"/>
  <c r="AM1124"/>
  <c r="AO1124"/>
  <c r="AQ1124"/>
  <c r="AS1124"/>
  <c r="AU1124"/>
  <c r="AW1124"/>
  <c r="AY1124"/>
  <c r="BA1124"/>
  <c r="BC1124"/>
  <c r="BE1124"/>
  <c r="BG1124"/>
  <c r="M1125"/>
  <c r="O1125"/>
  <c r="Q1125"/>
  <c r="Y1125"/>
  <c r="AG1125"/>
  <c r="AI1125"/>
  <c r="AK1125"/>
  <c r="AM1125"/>
  <c r="AO1125"/>
  <c r="AQ1125"/>
  <c r="AS1125"/>
  <c r="AU1125"/>
  <c r="AW1125"/>
  <c r="AY1125"/>
  <c r="BA1125"/>
  <c r="BC1125"/>
  <c r="BE1125"/>
  <c r="BG1125"/>
  <c r="M1126"/>
  <c r="O1126"/>
  <c r="Q1126"/>
  <c r="Y1126"/>
  <c r="AG1126"/>
  <c r="AI1126"/>
  <c r="AK1126"/>
  <c r="AM1126"/>
  <c r="AO1126"/>
  <c r="AQ1126"/>
  <c r="AS1126"/>
  <c r="AU1126"/>
  <c r="AW1126"/>
  <c r="AY1126"/>
  <c r="BA1126"/>
  <c r="BC1126"/>
  <c r="BE1126"/>
  <c r="BG1126"/>
  <c r="M1127"/>
  <c r="O1127"/>
  <c r="Q1127"/>
  <c r="Y1127"/>
  <c r="AG1127"/>
  <c r="AI1127"/>
  <c r="AK1127"/>
  <c r="AM1127"/>
  <c r="AO1127"/>
  <c r="AQ1127"/>
  <c r="AS1127"/>
  <c r="AU1127"/>
  <c r="AW1127"/>
  <c r="AY1127"/>
  <c r="BA1127"/>
  <c r="BC1127"/>
  <c r="BE1127"/>
  <c r="BG1127"/>
  <c r="M1128"/>
  <c r="O1128"/>
  <c r="Q1128"/>
  <c r="Y1128"/>
  <c r="AG1128"/>
  <c r="AI1128"/>
  <c r="AK1128"/>
  <c r="AM1128"/>
  <c r="AO1128"/>
  <c r="AQ1128"/>
  <c r="AS1128"/>
  <c r="AU1128"/>
  <c r="AW1128"/>
  <c r="AY1128"/>
  <c r="BA1128"/>
  <c r="BC1128"/>
  <c r="BE1128"/>
  <c r="BG1128"/>
  <c r="M1129"/>
  <c r="O1129"/>
  <c r="Q1129"/>
  <c r="Y1129"/>
  <c r="AG1129"/>
  <c r="AI1129"/>
  <c r="AK1129"/>
  <c r="AM1129"/>
  <c r="AO1129"/>
  <c r="AQ1129"/>
  <c r="AS1129"/>
  <c r="AU1129"/>
  <c r="AW1129"/>
  <c r="AY1129"/>
  <c r="BA1129"/>
  <c r="BC1129"/>
  <c r="BE1129"/>
  <c r="BG1129"/>
  <c r="M1130"/>
  <c r="O1130"/>
  <c r="Q1130"/>
  <c r="Y1130"/>
  <c r="AG1130"/>
  <c r="AI1130"/>
  <c r="AK1130"/>
  <c r="AM1130"/>
  <c r="AO1130"/>
  <c r="AQ1130"/>
  <c r="AS1130"/>
  <c r="AU1130"/>
  <c r="AW1130"/>
  <c r="AY1130"/>
  <c r="BA1130"/>
  <c r="BC1130"/>
  <c r="BE1130"/>
  <c r="BG1130"/>
  <c r="M1131"/>
  <c r="O1131"/>
  <c r="Q1131"/>
  <c r="Y1131"/>
  <c r="AG1131"/>
  <c r="AI1131"/>
  <c r="AK1131"/>
  <c r="AM1131"/>
  <c r="AO1131"/>
  <c r="AQ1131"/>
  <c r="AS1131"/>
  <c r="AU1131"/>
  <c r="AW1131"/>
  <c r="AY1131"/>
  <c r="BA1131"/>
  <c r="BC1131"/>
  <c r="BE1131"/>
  <c r="BG1131"/>
  <c r="M1132"/>
  <c r="O1132"/>
  <c r="Q1132"/>
  <c r="Y1132"/>
  <c r="AG1132"/>
  <c r="AI1132"/>
  <c r="AK1132"/>
  <c r="AM1132"/>
  <c r="AO1132"/>
  <c r="AQ1132"/>
  <c r="AS1132"/>
  <c r="AU1132"/>
  <c r="AW1132"/>
  <c r="AY1132"/>
  <c r="BA1132"/>
  <c r="BC1132"/>
  <c r="BE1132"/>
  <c r="BG1132"/>
  <c r="M1133"/>
  <c r="O1133"/>
  <c r="Q1133"/>
  <c r="Y1133"/>
  <c r="AG1133"/>
  <c r="AI1133"/>
  <c r="AK1133"/>
  <c r="AM1133"/>
  <c r="AO1133"/>
  <c r="AQ1133"/>
  <c r="AS1133"/>
  <c r="AU1133"/>
  <c r="AW1133"/>
  <c r="AY1133"/>
  <c r="BA1133"/>
  <c r="BC1133"/>
  <c r="BE1133"/>
  <c r="BG1133"/>
  <c r="M1134"/>
  <c r="O1134"/>
  <c r="Q1134"/>
  <c r="Y1134"/>
  <c r="AG1134"/>
  <c r="AI1134"/>
  <c r="AK1134"/>
  <c r="AM1134"/>
  <c r="AO1134"/>
  <c r="AQ1134"/>
  <c r="AS1134"/>
  <c r="AU1134"/>
  <c r="AW1134"/>
  <c r="AY1134"/>
  <c r="BA1134"/>
  <c r="BC1134"/>
  <c r="BE1134"/>
  <c r="BG1134"/>
  <c r="M1135"/>
  <c r="O1135"/>
  <c r="Q1135"/>
  <c r="Y1135"/>
  <c r="AG1135"/>
  <c r="AI1135"/>
  <c r="AK1135"/>
  <c r="AM1135"/>
  <c r="AO1135"/>
  <c r="AQ1135"/>
  <c r="AS1135"/>
  <c r="AU1135"/>
  <c r="AW1135"/>
  <c r="AY1135"/>
  <c r="BA1135"/>
  <c r="BC1135"/>
  <c r="BE1135"/>
  <c r="BG1135"/>
  <c r="M1136"/>
  <c r="O1136"/>
  <c r="Q1136"/>
  <c r="Y1136"/>
  <c r="AG1136"/>
  <c r="AI1136"/>
  <c r="AK1136"/>
  <c r="AM1136"/>
  <c r="AO1136"/>
  <c r="AQ1136"/>
  <c r="AS1136"/>
  <c r="AU1136"/>
  <c r="AW1136"/>
  <c r="AY1136"/>
  <c r="BA1136"/>
  <c r="BC1136"/>
  <c r="BE1136"/>
  <c r="BG1136"/>
  <c r="M1137"/>
  <c r="O1137"/>
  <c r="Q1137"/>
  <c r="Y1137"/>
  <c r="AG1137"/>
  <c r="AI1137"/>
  <c r="AK1137"/>
  <c r="AM1137"/>
  <c r="AO1137"/>
  <c r="AQ1137"/>
  <c r="AS1137"/>
  <c r="AU1137"/>
  <c r="AW1137"/>
  <c r="AY1137"/>
  <c r="BA1137"/>
  <c r="BC1137"/>
  <c r="BE1137"/>
  <c r="BG1137"/>
  <c r="M1138"/>
  <c r="O1138"/>
  <c r="Q1138"/>
  <c r="Y1138"/>
  <c r="AG1138"/>
  <c r="AI1138"/>
  <c r="AK1138"/>
  <c r="AM1138"/>
  <c r="AO1138"/>
  <c r="AQ1138"/>
  <c r="AS1138"/>
  <c r="AU1138"/>
  <c r="AW1138"/>
  <c r="AY1138"/>
  <c r="BA1138"/>
  <c r="BC1138"/>
  <c r="BE1138"/>
  <c r="BG1138"/>
  <c r="M1139"/>
  <c r="O1139"/>
  <c r="Q1139"/>
  <c r="Y1139"/>
  <c r="AG1139"/>
  <c r="AI1139"/>
  <c r="AK1139"/>
  <c r="AM1139"/>
  <c r="AO1139"/>
  <c r="AQ1139"/>
  <c r="AS1139"/>
  <c r="AU1139"/>
  <c r="AW1139"/>
  <c r="AY1139"/>
  <c r="BA1139"/>
  <c r="BC1139"/>
  <c r="BE1139"/>
  <c r="BG1139"/>
  <c r="M1140"/>
  <c r="O1140"/>
  <c r="Q1140"/>
  <c r="Y1140"/>
  <c r="AG1140"/>
  <c r="AI1140"/>
  <c r="AK1140"/>
  <c r="AM1140"/>
  <c r="AO1140"/>
  <c r="AQ1140"/>
  <c r="AS1140"/>
  <c r="AU1140"/>
  <c r="AW1140"/>
  <c r="AY1140"/>
  <c r="BA1140"/>
  <c r="BC1140"/>
  <c r="BE1140"/>
  <c r="BG1140"/>
  <c r="M1141"/>
  <c r="O1141"/>
  <c r="Q1141"/>
  <c r="Y1141"/>
  <c r="AG1141"/>
  <c r="AI1141"/>
  <c r="AK1141"/>
  <c r="AM1141"/>
  <c r="AO1141"/>
  <c r="AQ1141"/>
  <c r="AS1141"/>
  <c r="AU1141"/>
  <c r="AW1141"/>
  <c r="AY1141"/>
  <c r="BA1141"/>
  <c r="BC1141"/>
  <c r="BE1141"/>
  <c r="BG1141"/>
  <c r="L1142"/>
  <c r="O1142"/>
  <c r="Y1142"/>
  <c r="AG1142"/>
  <c r="AI1142"/>
  <c r="AK1142"/>
  <c r="AM1142"/>
  <c r="AO1142"/>
  <c r="AQ1142"/>
  <c r="AS1142"/>
  <c r="AU1142"/>
  <c r="AW1142"/>
  <c r="AY1142"/>
  <c r="BA1142"/>
  <c r="BC1142"/>
  <c r="BE1142"/>
  <c r="BG1142"/>
  <c r="M1143"/>
  <c r="O1143"/>
  <c r="Q1143"/>
  <c r="Y1143"/>
  <c r="AG1143"/>
  <c r="AI1143"/>
  <c r="AK1143"/>
  <c r="AM1143"/>
  <c r="AO1143"/>
  <c r="AQ1143"/>
  <c r="AS1143"/>
  <c r="AU1143"/>
  <c r="AW1143"/>
  <c r="AY1143"/>
  <c r="BA1143"/>
  <c r="BC1143"/>
  <c r="BE1143"/>
  <c r="BG1143"/>
  <c r="M1144"/>
  <c r="O1144"/>
  <c r="Q1144"/>
  <c r="Y1144"/>
  <c r="AG1144"/>
  <c r="AI1144"/>
  <c r="AK1144"/>
  <c r="AM1144"/>
  <c r="AO1144"/>
  <c r="AQ1144"/>
  <c r="AS1144"/>
  <c r="AU1144"/>
  <c r="AW1144"/>
  <c r="AY1144"/>
  <c r="BA1144"/>
  <c r="BC1144"/>
  <c r="BE1144"/>
  <c r="BG1144"/>
  <c r="L1147"/>
  <c r="BN1147" s="1"/>
  <c r="M1148"/>
  <c r="BO1148" s="1"/>
  <c r="L1149"/>
  <c r="L1150"/>
  <c r="M1162"/>
  <c r="O1162"/>
  <c r="Q1162"/>
  <c r="Y1162"/>
  <c r="AG1162"/>
  <c r="AI1162"/>
  <c r="AK1162"/>
  <c r="AM1162"/>
  <c r="AO1162"/>
  <c r="AQ1162"/>
  <c r="AS1162"/>
  <c r="AU1162"/>
  <c r="AW1162"/>
  <c r="AY1162"/>
  <c r="BA1162"/>
  <c r="BC1162"/>
  <c r="BE1162"/>
  <c r="BG1162"/>
  <c r="M1163"/>
  <c r="O1163"/>
  <c r="Q1163"/>
  <c r="Y1163"/>
  <c r="AG1163"/>
  <c r="AI1163"/>
  <c r="AK1163"/>
  <c r="AM1163"/>
  <c r="AO1163"/>
  <c r="AQ1163"/>
  <c r="AS1163"/>
  <c r="AU1163"/>
  <c r="AW1163"/>
  <c r="AY1163"/>
  <c r="BA1163"/>
  <c r="BC1163"/>
  <c r="BE1163"/>
  <c r="BG1163"/>
  <c r="M1164"/>
  <c r="O1164"/>
  <c r="Q1164"/>
  <c r="Y1164"/>
  <c r="AG1164"/>
  <c r="AI1164"/>
  <c r="AK1164"/>
  <c r="AM1164"/>
  <c r="AO1164"/>
  <c r="AQ1164"/>
  <c r="AS1164"/>
  <c r="AU1164"/>
  <c r="AW1164"/>
  <c r="AY1164"/>
  <c r="BA1164"/>
  <c r="BC1164"/>
  <c r="BE1164"/>
  <c r="BG1164"/>
  <c r="M1165"/>
  <c r="O1165"/>
  <c r="Q1165"/>
  <c r="Y1165"/>
  <c r="AG1165"/>
  <c r="AI1165"/>
  <c r="AK1165"/>
  <c r="AM1165"/>
  <c r="AO1165"/>
  <c r="AQ1165"/>
  <c r="AS1165"/>
  <c r="AU1165"/>
  <c r="AW1165"/>
  <c r="AY1165"/>
  <c r="BA1165"/>
  <c r="BC1165"/>
  <c r="BE1165"/>
  <c r="BG1165"/>
  <c r="M1166"/>
  <c r="O1166"/>
  <c r="Q1166"/>
  <c r="Y1166"/>
  <c r="AG1166"/>
  <c r="AI1166"/>
  <c r="AK1166"/>
  <c r="AM1166"/>
  <c r="AO1166"/>
  <c r="AQ1166"/>
  <c r="AS1166"/>
  <c r="AU1166"/>
  <c r="AW1166"/>
  <c r="AY1166"/>
  <c r="BA1166"/>
  <c r="BC1166"/>
  <c r="BE1166"/>
  <c r="BG1166"/>
  <c r="M1167"/>
  <c r="O1167"/>
  <c r="Q1167"/>
  <c r="Y1167"/>
  <c r="AG1167"/>
  <c r="AI1167"/>
  <c r="AK1167"/>
  <c r="AM1167"/>
  <c r="AO1167"/>
  <c r="AQ1167"/>
  <c r="AS1167"/>
  <c r="AU1167"/>
  <c r="AW1167"/>
  <c r="AY1167"/>
  <c r="BA1167"/>
  <c r="BC1167"/>
  <c r="BE1167"/>
  <c r="BG1167"/>
  <c r="M1168"/>
  <c r="O1168"/>
  <c r="Q1168"/>
  <c r="Y1168"/>
  <c r="AG1168"/>
  <c r="AI1168"/>
  <c r="AK1168"/>
  <c r="AM1168"/>
  <c r="AO1168"/>
  <c r="AQ1168"/>
  <c r="AS1168"/>
  <c r="AU1168"/>
  <c r="AW1168"/>
  <c r="AY1168"/>
  <c r="BA1168"/>
  <c r="BC1168"/>
  <c r="BE1168"/>
  <c r="BG1168"/>
  <c r="M1169"/>
  <c r="O1169"/>
  <c r="Q1169"/>
  <c r="Y1169"/>
  <c r="AG1169"/>
  <c r="AI1169"/>
  <c r="AK1169"/>
  <c r="AM1169"/>
  <c r="AO1169"/>
  <c r="AQ1169"/>
  <c r="AS1169"/>
  <c r="AU1169"/>
  <c r="AW1169"/>
  <c r="AY1169"/>
  <c r="BA1169"/>
  <c r="BC1169"/>
  <c r="BE1169"/>
  <c r="BG1169"/>
  <c r="M1170"/>
  <c r="O1170"/>
  <c r="Q1170"/>
  <c r="Y1170"/>
  <c r="AG1170"/>
  <c r="AI1170"/>
  <c r="AK1170"/>
  <c r="AM1170"/>
  <c r="AO1170"/>
  <c r="AQ1170"/>
  <c r="AS1170"/>
  <c r="AU1170"/>
  <c r="AW1170"/>
  <c r="AY1170"/>
  <c r="BA1170"/>
  <c r="BC1170"/>
  <c r="BE1170"/>
  <c r="BG1170"/>
  <c r="M1171"/>
  <c r="O1171"/>
  <c r="Q1171"/>
  <c r="Y1171"/>
  <c r="AG1171"/>
  <c r="AI1171"/>
  <c r="AK1171"/>
  <c r="AM1171"/>
  <c r="AO1171"/>
  <c r="AQ1171"/>
  <c r="AS1171"/>
  <c r="AU1171"/>
  <c r="AW1171"/>
  <c r="AY1171"/>
  <c r="BA1171"/>
  <c r="BC1171"/>
  <c r="BE1171"/>
  <c r="BG1171"/>
  <c r="M1172"/>
  <c r="O1172"/>
  <c r="Q1172"/>
  <c r="Y1172"/>
  <c r="AG1172"/>
  <c r="AI1172"/>
  <c r="AK1172"/>
  <c r="AM1172"/>
  <c r="AO1172"/>
  <c r="AQ1172"/>
  <c r="AS1172"/>
  <c r="AU1172"/>
  <c r="AW1172"/>
  <c r="AY1172"/>
  <c r="BA1172"/>
  <c r="BC1172"/>
  <c r="BE1172"/>
  <c r="BG1172"/>
  <c r="M1173"/>
  <c r="O1173"/>
  <c r="Q1173"/>
  <c r="Y1173"/>
  <c r="AG1173"/>
  <c r="AI1173"/>
  <c r="AK1173"/>
  <c r="AM1173"/>
  <c r="AO1173"/>
  <c r="AQ1173"/>
  <c r="AS1173"/>
  <c r="AU1173"/>
  <c r="AW1173"/>
  <c r="AY1173"/>
  <c r="BA1173"/>
  <c r="BC1173"/>
  <c r="BE1173"/>
  <c r="BG1173"/>
  <c r="M1174"/>
  <c r="O1174"/>
  <c r="Q1174"/>
  <c r="Y1174"/>
  <c r="AG1174"/>
  <c r="AI1174"/>
  <c r="AK1174"/>
  <c r="AM1174"/>
  <c r="AO1174"/>
  <c r="AQ1174"/>
  <c r="AS1174"/>
  <c r="AU1174"/>
  <c r="AW1174"/>
  <c r="AY1174"/>
  <c r="BA1174"/>
  <c r="BC1174"/>
  <c r="BE1174"/>
  <c r="BG1174"/>
  <c r="M1175"/>
  <c r="O1175"/>
  <c r="Q1175"/>
  <c r="Y1175"/>
  <c r="AG1175"/>
  <c r="AI1175"/>
  <c r="AK1175"/>
  <c r="AM1175"/>
  <c r="AO1175"/>
  <c r="AQ1175"/>
  <c r="AS1175"/>
  <c r="AU1175"/>
  <c r="AW1175"/>
  <c r="AY1175"/>
  <c r="BA1175"/>
  <c r="BC1175"/>
  <c r="BE1175"/>
  <c r="BG1175"/>
  <c r="M1176"/>
  <c r="O1176"/>
  <c r="Q1176"/>
  <c r="Y1176"/>
  <c r="AG1176"/>
  <c r="AI1176"/>
  <c r="AK1176"/>
  <c r="AM1176"/>
  <c r="AO1176"/>
  <c r="AQ1176"/>
  <c r="AS1176"/>
  <c r="AU1176"/>
  <c r="AW1176"/>
  <c r="AY1176"/>
  <c r="BA1176"/>
  <c r="BC1176"/>
  <c r="BE1176"/>
  <c r="BG1176"/>
  <c r="M1177"/>
  <c r="O1177"/>
  <c r="Q1177"/>
  <c r="Y1177"/>
  <c r="AG1177"/>
  <c r="AI1177"/>
  <c r="AK1177"/>
  <c r="AM1177"/>
  <c r="AO1177"/>
  <c r="AQ1177"/>
  <c r="AS1177"/>
  <c r="AU1177"/>
  <c r="AW1177"/>
  <c r="AY1177"/>
  <c r="BA1177"/>
  <c r="BC1177"/>
  <c r="BE1177"/>
  <c r="BG1177"/>
  <c r="M1178"/>
  <c r="O1178"/>
  <c r="Q1178"/>
  <c r="Y1178"/>
  <c r="AG1178"/>
  <c r="AI1178"/>
  <c r="AK1178"/>
  <c r="AM1178"/>
  <c r="AO1178"/>
  <c r="AQ1178"/>
  <c r="AS1178"/>
  <c r="AU1178"/>
  <c r="AW1178"/>
  <c r="AY1178"/>
  <c r="BA1178"/>
  <c r="BC1178"/>
  <c r="BE1178"/>
  <c r="BG1178"/>
  <c r="M1179"/>
  <c r="O1179"/>
  <c r="Q1179"/>
  <c r="Y1179"/>
  <c r="AG1179"/>
  <c r="AI1179"/>
  <c r="AK1179"/>
  <c r="AM1179"/>
  <c r="AO1179"/>
  <c r="AQ1179"/>
  <c r="AS1179"/>
  <c r="AU1179"/>
  <c r="AW1179"/>
  <c r="AY1179"/>
  <c r="BA1179"/>
  <c r="BC1179"/>
  <c r="BE1179"/>
  <c r="BG1179"/>
  <c r="M1180"/>
  <c r="O1180"/>
  <c r="Q1180"/>
  <c r="Y1180"/>
  <c r="AG1180"/>
  <c r="AI1180"/>
  <c r="AK1180"/>
  <c r="AM1180"/>
  <c r="AO1180"/>
  <c r="AQ1180"/>
  <c r="AS1180"/>
  <c r="AU1180"/>
  <c r="AW1180"/>
  <c r="AY1180"/>
  <c r="BA1180"/>
  <c r="BC1180"/>
  <c r="BE1180"/>
  <c r="BG1180"/>
  <c r="M1181"/>
  <c r="O1181"/>
  <c r="Q1181"/>
  <c r="Y1181"/>
  <c r="AG1181"/>
  <c r="AI1181"/>
  <c r="AK1181"/>
  <c r="AM1181"/>
  <c r="AO1181"/>
  <c r="AQ1181"/>
  <c r="AS1181"/>
  <c r="AU1181"/>
  <c r="AW1181"/>
  <c r="AY1181"/>
  <c r="BA1181"/>
  <c r="BC1181"/>
  <c r="BE1181"/>
  <c r="BG1181"/>
  <c r="M1182"/>
  <c r="O1182"/>
  <c r="Q1182"/>
  <c r="Y1182"/>
  <c r="AG1182"/>
  <c r="AI1182"/>
  <c r="AK1182"/>
  <c r="AM1182"/>
  <c r="AO1182"/>
  <c r="AQ1182"/>
  <c r="AS1182"/>
  <c r="AU1182"/>
  <c r="AW1182"/>
  <c r="AY1182"/>
  <c r="BA1182"/>
  <c r="BC1182"/>
  <c r="BE1182"/>
  <c r="BG1182"/>
  <c r="M1183"/>
  <c r="O1183"/>
  <c r="Q1183"/>
  <c r="Y1183"/>
  <c r="AG1183"/>
  <c r="AI1183"/>
  <c r="AK1183"/>
  <c r="AM1183"/>
  <c r="AO1183"/>
  <c r="AQ1183"/>
  <c r="AS1183"/>
  <c r="AU1183"/>
  <c r="AW1183"/>
  <c r="AY1183"/>
  <c r="BA1183"/>
  <c r="BC1183"/>
  <c r="BE1183"/>
  <c r="BG1183"/>
  <c r="M1184"/>
  <c r="O1184"/>
  <c r="Q1184"/>
  <c r="Y1184"/>
  <c r="AG1184"/>
  <c r="AI1184"/>
  <c r="AK1184"/>
  <c r="AM1184"/>
  <c r="AO1184"/>
  <c r="AQ1184"/>
  <c r="AS1184"/>
  <c r="AU1184"/>
  <c r="AW1184"/>
  <c r="AY1184"/>
  <c r="BA1184"/>
  <c r="BC1184"/>
  <c r="BE1184"/>
  <c r="BG1184"/>
  <c r="M1185"/>
  <c r="O1185"/>
  <c r="Q1185"/>
  <c r="Y1185"/>
  <c r="AG1185"/>
  <c r="AI1185"/>
  <c r="AK1185"/>
  <c r="AM1185"/>
  <c r="AO1185"/>
  <c r="AQ1185"/>
  <c r="AS1185"/>
  <c r="AU1185"/>
  <c r="AW1185"/>
  <c r="AY1185"/>
  <c r="BA1185"/>
  <c r="BC1185"/>
  <c r="BE1185"/>
  <c r="BG1185"/>
  <c r="M1186"/>
  <c r="O1186"/>
  <c r="Q1186"/>
  <c r="Y1186"/>
  <c r="AG1186"/>
  <c r="AI1186"/>
  <c r="AK1186"/>
  <c r="AM1186"/>
  <c r="AO1186"/>
  <c r="AQ1186"/>
  <c r="AS1186"/>
  <c r="AU1186"/>
  <c r="AW1186"/>
  <c r="AY1186"/>
  <c r="BA1186"/>
  <c r="BC1186"/>
  <c r="BE1186"/>
  <c r="BG1186"/>
  <c r="M1187"/>
  <c r="O1187"/>
  <c r="Q1187"/>
  <c r="Y1187"/>
  <c r="AG1187"/>
  <c r="AI1187"/>
  <c r="AK1187"/>
  <c r="AM1187"/>
  <c r="AO1187"/>
  <c r="AQ1187"/>
  <c r="AS1187"/>
  <c r="AU1187"/>
  <c r="AW1187"/>
  <c r="AY1187"/>
  <c r="BA1187"/>
  <c r="BC1187"/>
  <c r="BE1187"/>
  <c r="BG1187"/>
  <c r="M1188"/>
  <c r="O1188"/>
  <c r="Q1188"/>
  <c r="Y1188"/>
  <c r="AG1188"/>
  <c r="AI1188"/>
  <c r="AK1188"/>
  <c r="AM1188"/>
  <c r="AO1188"/>
  <c r="AQ1188"/>
  <c r="AS1188"/>
  <c r="AU1188"/>
  <c r="AW1188"/>
  <c r="AY1188"/>
  <c r="BA1188"/>
  <c r="BC1188"/>
  <c r="BE1188"/>
  <c r="BG1188"/>
  <c r="M1189"/>
  <c r="O1189"/>
  <c r="Q1189"/>
  <c r="Y1189"/>
  <c r="AG1189"/>
  <c r="AI1189"/>
  <c r="AK1189"/>
  <c r="AM1189"/>
  <c r="AO1189"/>
  <c r="AQ1189"/>
  <c r="AS1189"/>
  <c r="AU1189"/>
  <c r="AW1189"/>
  <c r="AY1189"/>
  <c r="BA1189"/>
  <c r="BC1189"/>
  <c r="BE1189"/>
  <c r="BG1189"/>
  <c r="M1190"/>
  <c r="O1190"/>
  <c r="Q1190"/>
  <c r="Y1190"/>
  <c r="AG1190"/>
  <c r="AI1190"/>
  <c r="AK1190"/>
  <c r="AM1190"/>
  <c r="AO1190"/>
  <c r="AQ1190"/>
  <c r="AS1190"/>
  <c r="AU1190"/>
  <c r="AW1190"/>
  <c r="AY1190"/>
  <c r="BA1190"/>
  <c r="BC1190"/>
  <c r="BE1190"/>
  <c r="BG1190"/>
  <c r="M1191"/>
  <c r="O1191"/>
  <c r="Q1191"/>
  <c r="Y1191"/>
  <c r="AG1191"/>
  <c r="AI1191"/>
  <c r="AK1191"/>
  <c r="AM1191"/>
  <c r="AO1191"/>
  <c r="AQ1191"/>
  <c r="AS1191"/>
  <c r="AU1191"/>
  <c r="AW1191"/>
  <c r="AY1191"/>
  <c r="BA1191"/>
  <c r="BC1191"/>
  <c r="BE1191"/>
  <c r="BG1191"/>
  <c r="M1192"/>
  <c r="O1192"/>
  <c r="Q1192"/>
  <c r="Y1192"/>
  <c r="AG1192"/>
  <c r="AI1192"/>
  <c r="AK1192"/>
  <c r="AM1192"/>
  <c r="AO1192"/>
  <c r="AQ1192"/>
  <c r="AS1192"/>
  <c r="AU1192"/>
  <c r="AW1192"/>
  <c r="AY1192"/>
  <c r="BA1192"/>
  <c r="BC1192"/>
  <c r="BE1192"/>
  <c r="BG1192"/>
  <c r="M1193"/>
  <c r="O1193"/>
  <c r="Q1193"/>
  <c r="Y1193"/>
  <c r="AG1193"/>
  <c r="AI1193"/>
  <c r="AK1193"/>
  <c r="AM1193"/>
  <c r="AO1193"/>
  <c r="AQ1193"/>
  <c r="AS1193"/>
  <c r="AU1193"/>
  <c r="AW1193"/>
  <c r="AY1193"/>
  <c r="BA1193"/>
  <c r="BC1193"/>
  <c r="BE1193"/>
  <c r="BG1193"/>
  <c r="M1194"/>
  <c r="O1194"/>
  <c r="Q1194"/>
  <c r="Y1194"/>
  <c r="AG1194"/>
  <c r="AI1194"/>
  <c r="AK1194"/>
  <c r="AM1194"/>
  <c r="AO1194"/>
  <c r="AQ1194"/>
  <c r="AS1194"/>
  <c r="AU1194"/>
  <c r="AW1194"/>
  <c r="AY1194"/>
  <c r="BA1194"/>
  <c r="BC1194"/>
  <c r="BE1194"/>
  <c r="BG1194"/>
  <c r="M1195"/>
  <c r="O1195"/>
  <c r="Q1195"/>
  <c r="Y1195"/>
  <c r="AG1195"/>
  <c r="AI1195"/>
  <c r="AK1195"/>
  <c r="AM1195"/>
  <c r="AO1195"/>
  <c r="AQ1195"/>
  <c r="AS1195"/>
  <c r="AU1195"/>
  <c r="AW1195"/>
  <c r="AY1195"/>
  <c r="BA1195"/>
  <c r="BC1195"/>
  <c r="BE1195"/>
  <c r="BG1195"/>
  <c r="M1196"/>
  <c r="O1196"/>
  <c r="Q1196"/>
  <c r="Y1196"/>
  <c r="AG1196"/>
  <c r="AI1196"/>
  <c r="AK1196"/>
  <c r="AM1196"/>
  <c r="AO1196"/>
  <c r="AQ1196"/>
  <c r="AS1196"/>
  <c r="AU1196"/>
  <c r="AW1196"/>
  <c r="AY1196"/>
  <c r="BA1196"/>
  <c r="BC1196"/>
  <c r="BE1196"/>
  <c r="BG1196"/>
  <c r="M1197"/>
  <c r="O1197"/>
  <c r="Q1197"/>
  <c r="Y1197"/>
  <c r="AG1197"/>
  <c r="AI1197"/>
  <c r="AK1197"/>
  <c r="AM1197"/>
  <c r="AO1197"/>
  <c r="AQ1197"/>
  <c r="AS1197"/>
  <c r="AU1197"/>
  <c r="AW1197"/>
  <c r="AY1197"/>
  <c r="BA1197"/>
  <c r="BC1197"/>
  <c r="BE1197"/>
  <c r="BG1197"/>
  <c r="M1198"/>
  <c r="O1198"/>
  <c r="Q1198"/>
  <c r="Y1198"/>
  <c r="AG1198"/>
  <c r="AI1198"/>
  <c r="AK1198"/>
  <c r="AM1198"/>
  <c r="AO1198"/>
  <c r="AQ1198"/>
  <c r="AS1198"/>
  <c r="AU1198"/>
  <c r="AW1198"/>
  <c r="AY1198"/>
  <c r="BA1198"/>
  <c r="BC1198"/>
  <c r="BE1198"/>
  <c r="BG1198"/>
  <c r="M1199"/>
  <c r="O1199"/>
  <c r="Q1199"/>
  <c r="Y1199"/>
  <c r="AG1199"/>
  <c r="AI1199"/>
  <c r="AK1199"/>
  <c r="AM1199"/>
  <c r="AO1199"/>
  <c r="AQ1199"/>
  <c r="AS1199"/>
  <c r="AU1199"/>
  <c r="AW1199"/>
  <c r="AY1199"/>
  <c r="BA1199"/>
  <c r="BC1199"/>
  <c r="BE1199"/>
  <c r="BG1199"/>
  <c r="J1200"/>
  <c r="K1200" s="1"/>
  <c r="M1200"/>
  <c r="O1200"/>
  <c r="Y1200"/>
  <c r="AG1200"/>
  <c r="AI1200"/>
  <c r="AK1200"/>
  <c r="AM1200"/>
  <c r="AO1200"/>
  <c r="AQ1200"/>
  <c r="AS1200"/>
  <c r="AU1200"/>
  <c r="AW1200"/>
  <c r="AY1200"/>
  <c r="BA1200"/>
  <c r="BC1200"/>
  <c r="BE1200"/>
  <c r="BG1200"/>
  <c r="M1201"/>
  <c r="O1201"/>
  <c r="Q1201"/>
  <c r="Y1201"/>
  <c r="AG1201"/>
  <c r="AI1201"/>
  <c r="AK1201"/>
  <c r="AM1201"/>
  <c r="AO1201"/>
  <c r="AQ1201"/>
  <c r="AS1201"/>
  <c r="AU1201"/>
  <c r="AW1201"/>
  <c r="AY1201"/>
  <c r="BA1201"/>
  <c r="BC1201"/>
  <c r="BE1201"/>
  <c r="BG1201"/>
  <c r="J1202"/>
  <c r="K1202" s="1"/>
  <c r="M1202"/>
  <c r="O1202"/>
  <c r="Q1202"/>
  <c r="Y1202"/>
  <c r="AG1202"/>
  <c r="AI1202"/>
  <c r="AK1202"/>
  <c r="AM1202"/>
  <c r="AO1202"/>
  <c r="AQ1202"/>
  <c r="AS1202"/>
  <c r="AU1202"/>
  <c r="AW1202"/>
  <c r="AY1202"/>
  <c r="BA1202"/>
  <c r="BC1202"/>
  <c r="BE1202"/>
  <c r="BG1202"/>
  <c r="M1203"/>
  <c r="O1203"/>
  <c r="Q1203"/>
  <c r="Y1203"/>
  <c r="AG1203"/>
  <c r="AI1203"/>
  <c r="AK1203"/>
  <c r="AM1203"/>
  <c r="AO1203"/>
  <c r="AQ1203"/>
  <c r="AS1203"/>
  <c r="AU1203"/>
  <c r="AW1203"/>
  <c r="AY1203"/>
  <c r="BA1203"/>
  <c r="BC1203"/>
  <c r="J1204"/>
  <c r="K1204" s="1"/>
  <c r="M1204"/>
  <c r="O1204"/>
  <c r="Q1204"/>
  <c r="Y1204"/>
  <c r="AG1204"/>
  <c r="AI1204"/>
  <c r="AK1204"/>
  <c r="AM1204"/>
  <c r="AO1204"/>
  <c r="AQ1204"/>
  <c r="AS1204"/>
  <c r="AU1204"/>
  <c r="AW1204"/>
  <c r="AY1204"/>
  <c r="BA1204"/>
  <c r="BC1204"/>
  <c r="J1205"/>
  <c r="K1205" s="1"/>
  <c r="L1205"/>
  <c r="N1205"/>
  <c r="AH1205"/>
  <c r="AP1205"/>
  <c r="AT1205"/>
  <c r="AZ1205"/>
  <c r="BB1205"/>
  <c r="L1206"/>
  <c r="N1206"/>
  <c r="AH1206"/>
  <c r="AP1206"/>
  <c r="AT1206"/>
  <c r="AZ1206"/>
  <c r="BC1206"/>
  <c r="BQ1206" s="1"/>
  <c r="L1207"/>
  <c r="N1207"/>
  <c r="AH1207"/>
  <c r="AP1207"/>
  <c r="AT1207"/>
  <c r="AZ1207"/>
  <c r="J1208"/>
  <c r="K1208" s="1"/>
  <c r="L1208"/>
  <c r="BN1208" s="1"/>
  <c r="N1208"/>
  <c r="BP1208" s="1"/>
  <c r="AI1208"/>
  <c r="AQ1208"/>
  <c r="AU1208"/>
  <c r="L1209"/>
  <c r="N1209"/>
  <c r="AH1209"/>
  <c r="AP1209"/>
  <c r="AT1209"/>
  <c r="AZ1209"/>
  <c r="M1220"/>
  <c r="O1220"/>
  <c r="Q1220"/>
  <c r="Y1220"/>
  <c r="AG1220"/>
  <c r="AI1220"/>
  <c r="AK1220"/>
  <c r="AM1220"/>
  <c r="AO1220"/>
  <c r="AQ1220"/>
  <c r="AS1220"/>
  <c r="AU1220"/>
  <c r="AW1220"/>
  <c r="AY1220"/>
  <c r="BA1220"/>
  <c r="BC1220"/>
  <c r="BE1220"/>
  <c r="BG1220"/>
  <c r="M1221"/>
  <c r="O1221"/>
  <c r="Q1221"/>
  <c r="Y1221"/>
  <c r="AG1221"/>
  <c r="AI1221"/>
  <c r="AK1221"/>
  <c r="AM1221"/>
  <c r="AO1221"/>
  <c r="AQ1221"/>
  <c r="AS1221"/>
  <c r="AU1221"/>
  <c r="AW1221"/>
  <c r="AY1221"/>
  <c r="BA1221"/>
  <c r="BC1221"/>
  <c r="BE1221"/>
  <c r="BG1221"/>
  <c r="M1222"/>
  <c r="O1222"/>
  <c r="Q1222"/>
  <c r="Y1222"/>
  <c r="AG1222"/>
  <c r="AI1222"/>
  <c r="AK1222"/>
  <c r="AM1222"/>
  <c r="AO1222"/>
  <c r="AQ1222"/>
  <c r="AS1222"/>
  <c r="AU1222"/>
  <c r="AW1222"/>
  <c r="AY1222"/>
  <c r="BA1222"/>
  <c r="BC1222"/>
  <c r="BE1222"/>
  <c r="BG1222"/>
  <c r="M1223"/>
  <c r="O1223"/>
  <c r="Q1223"/>
  <c r="Y1223"/>
  <c r="AG1223"/>
  <c r="AI1223"/>
  <c r="AK1223"/>
  <c r="AM1223"/>
  <c r="AO1223"/>
  <c r="AQ1223"/>
  <c r="AS1223"/>
  <c r="AU1223"/>
  <c r="AW1223"/>
  <c r="AY1223"/>
  <c r="BA1223"/>
  <c r="BC1223"/>
  <c r="BE1223"/>
  <c r="BG1223"/>
  <c r="M1224"/>
  <c r="O1224"/>
  <c r="Q1224"/>
  <c r="Y1224"/>
  <c r="AG1224"/>
  <c r="AI1224"/>
  <c r="AK1224"/>
  <c r="AM1224"/>
  <c r="AO1224"/>
  <c r="AQ1224"/>
  <c r="AS1224"/>
  <c r="AU1224"/>
  <c r="AW1224"/>
  <c r="AY1224"/>
  <c r="BA1224"/>
  <c r="BC1224"/>
  <c r="BE1224"/>
  <c r="BG1224"/>
  <c r="M1225"/>
  <c r="O1225"/>
  <c r="Q1225"/>
  <c r="Y1225"/>
  <c r="AG1225"/>
  <c r="AI1225"/>
  <c r="AK1225"/>
  <c r="AM1225"/>
  <c r="AO1225"/>
  <c r="AQ1225"/>
  <c r="AS1225"/>
  <c r="AU1225"/>
  <c r="AW1225"/>
  <c r="AY1225"/>
  <c r="BA1225"/>
  <c r="BC1225"/>
  <c r="BE1225"/>
  <c r="BG1225"/>
  <c r="M1226"/>
  <c r="O1226"/>
  <c r="Q1226"/>
  <c r="Y1226"/>
  <c r="AG1226"/>
  <c r="AI1226"/>
  <c r="AK1226"/>
  <c r="AM1226"/>
  <c r="AO1226"/>
  <c r="AQ1226"/>
  <c r="AS1226"/>
  <c r="AU1226"/>
  <c r="AW1226"/>
  <c r="AY1226"/>
  <c r="BA1226"/>
  <c r="BC1226"/>
  <c r="BE1226"/>
  <c r="BG1226"/>
  <c r="M1227"/>
  <c r="O1227"/>
  <c r="Q1227"/>
  <c r="Y1227"/>
  <c r="AG1227"/>
  <c r="AI1227"/>
  <c r="AK1227"/>
  <c r="AM1227"/>
  <c r="AO1227"/>
  <c r="AQ1227"/>
  <c r="AS1227"/>
  <c r="AU1227"/>
  <c r="AW1227"/>
  <c r="AY1227"/>
  <c r="BA1227"/>
  <c r="BC1227"/>
  <c r="BE1227"/>
  <c r="BG1227"/>
  <c r="M1228"/>
  <c r="O1228"/>
  <c r="Q1228"/>
  <c r="Y1228"/>
  <c r="AG1228"/>
  <c r="AI1228"/>
  <c r="AK1228"/>
  <c r="AM1228"/>
  <c r="AO1228"/>
  <c r="AQ1228"/>
  <c r="AS1228"/>
  <c r="AU1228"/>
  <c r="AW1228"/>
  <c r="AY1228"/>
  <c r="BA1228"/>
  <c r="BC1228"/>
  <c r="BE1228"/>
  <c r="BG1228"/>
  <c r="M1229"/>
  <c r="O1229"/>
  <c r="Q1229"/>
  <c r="Y1229"/>
  <c r="AG1229"/>
  <c r="AI1229"/>
  <c r="AK1229"/>
  <c r="AM1229"/>
  <c r="AO1229"/>
  <c r="AQ1229"/>
  <c r="AS1229"/>
  <c r="AU1229"/>
  <c r="AW1229"/>
  <c r="AY1229"/>
  <c r="BA1229"/>
  <c r="BC1229"/>
  <c r="BE1229"/>
  <c r="BG1229"/>
  <c r="M1230"/>
  <c r="O1230"/>
  <c r="Q1230"/>
  <c r="Y1230"/>
  <c r="AG1230"/>
  <c r="AI1230"/>
  <c r="AK1230"/>
  <c r="AM1230"/>
  <c r="AO1230"/>
  <c r="AQ1230"/>
  <c r="AS1230"/>
  <c r="AU1230"/>
  <c r="AW1230"/>
  <c r="AY1230"/>
  <c r="BA1230"/>
  <c r="BC1230"/>
  <c r="BE1230"/>
  <c r="BG1230"/>
  <c r="M1231"/>
  <c r="O1231"/>
  <c r="Q1231"/>
  <c r="Y1231"/>
  <c r="AG1231"/>
  <c r="AI1231"/>
  <c r="AK1231"/>
  <c r="AM1231"/>
  <c r="AO1231"/>
  <c r="AQ1231"/>
  <c r="AS1231"/>
  <c r="AU1231"/>
  <c r="AW1231"/>
  <c r="AY1231"/>
  <c r="BA1231"/>
  <c r="BC1231"/>
  <c r="BE1231"/>
  <c r="BG1231"/>
  <c r="M1232"/>
  <c r="O1232"/>
  <c r="Q1232"/>
  <c r="Y1232"/>
  <c r="AG1232"/>
  <c r="AI1232"/>
  <c r="AK1232"/>
  <c r="AM1232"/>
  <c r="AO1232"/>
  <c r="AQ1232"/>
  <c r="AS1232"/>
  <c r="AU1232"/>
  <c r="AW1232"/>
  <c r="AY1232"/>
  <c r="BA1232"/>
  <c r="BC1232"/>
  <c r="BE1232"/>
  <c r="BG1232"/>
  <c r="M1233"/>
  <c r="O1233"/>
  <c r="Q1233"/>
  <c r="Y1233"/>
  <c r="AG1233"/>
  <c r="AI1233"/>
  <c r="AK1233"/>
  <c r="AM1233"/>
  <c r="AO1233"/>
  <c r="AQ1233"/>
  <c r="AS1233"/>
  <c r="AU1233"/>
  <c r="AW1233"/>
  <c r="AY1233"/>
  <c r="BA1233"/>
  <c r="BC1233"/>
  <c r="BE1233"/>
  <c r="BG1233"/>
  <c r="M1234"/>
  <c r="O1234"/>
  <c r="Q1234"/>
  <c r="Y1234"/>
  <c r="AG1234"/>
  <c r="AI1234"/>
  <c r="AK1234"/>
  <c r="AM1234"/>
  <c r="AO1234"/>
  <c r="AQ1234"/>
  <c r="AS1234"/>
  <c r="AU1234"/>
  <c r="AW1234"/>
  <c r="AY1234"/>
  <c r="BA1234"/>
  <c r="BC1234"/>
  <c r="BE1234"/>
  <c r="BG1234"/>
  <c r="M1235"/>
  <c r="O1235"/>
  <c r="Q1235"/>
  <c r="Y1235"/>
  <c r="AG1235"/>
  <c r="AI1235"/>
  <c r="AK1235"/>
  <c r="AM1235"/>
  <c r="AO1235"/>
  <c r="AQ1235"/>
  <c r="AS1235"/>
  <c r="AU1235"/>
  <c r="AW1235"/>
  <c r="AY1235"/>
  <c r="BA1235"/>
  <c r="BC1235"/>
  <c r="BE1235"/>
  <c r="BG1235"/>
  <c r="M1236"/>
  <c r="O1236"/>
  <c r="Q1236"/>
  <c r="Y1236"/>
  <c r="AG1236"/>
  <c r="AI1236"/>
  <c r="AK1236"/>
  <c r="AM1236"/>
  <c r="AO1236"/>
  <c r="AQ1236"/>
  <c r="AS1236"/>
  <c r="AU1236"/>
  <c r="AW1236"/>
  <c r="AY1236"/>
  <c r="BA1236"/>
  <c r="BC1236"/>
  <c r="BE1236"/>
  <c r="BG1236"/>
  <c r="M1237"/>
  <c r="O1237"/>
  <c r="Q1237"/>
  <c r="Y1237"/>
  <c r="AG1237"/>
  <c r="AI1237"/>
  <c r="AK1237"/>
  <c r="AM1237"/>
  <c r="AO1237"/>
  <c r="AQ1237"/>
  <c r="AS1237"/>
  <c r="AU1237"/>
  <c r="AW1237"/>
  <c r="AY1237"/>
  <c r="BA1237"/>
  <c r="BC1237"/>
  <c r="BE1237"/>
  <c r="BG1237"/>
  <c r="M1238"/>
  <c r="O1238"/>
  <c r="Q1238"/>
  <c r="Y1238"/>
  <c r="AG1238"/>
  <c r="AI1238"/>
  <c r="AK1238"/>
  <c r="AM1238"/>
  <c r="AO1238"/>
  <c r="AQ1238"/>
  <c r="AS1238"/>
  <c r="AU1238"/>
  <c r="AW1238"/>
  <c r="AY1238"/>
  <c r="BA1238"/>
  <c r="BC1238"/>
  <c r="BE1238"/>
  <c r="BG1238"/>
  <c r="M1239"/>
  <c r="O1239"/>
  <c r="Q1239"/>
  <c r="Y1239"/>
  <c r="AG1239"/>
  <c r="AI1239"/>
  <c r="AK1239"/>
  <c r="AM1239"/>
  <c r="AO1239"/>
  <c r="AQ1239"/>
  <c r="AS1239"/>
  <c r="AU1239"/>
  <c r="AW1239"/>
  <c r="AY1239"/>
  <c r="BA1239"/>
  <c r="BC1239"/>
  <c r="BE1239"/>
  <c r="BG1239"/>
  <c r="M1240"/>
  <c r="O1240"/>
  <c r="Q1240"/>
  <c r="Y1240"/>
  <c r="AG1240"/>
  <c r="AI1240"/>
  <c r="AK1240"/>
  <c r="AM1240"/>
  <c r="AO1240"/>
  <c r="AQ1240"/>
  <c r="AS1240"/>
  <c r="AU1240"/>
  <c r="AW1240"/>
  <c r="AY1240"/>
  <c r="BA1240"/>
  <c r="BC1240"/>
  <c r="BE1240"/>
  <c r="BG1240"/>
  <c r="M1241"/>
  <c r="O1241"/>
  <c r="Q1241"/>
  <c r="Y1241"/>
  <c r="AG1241"/>
  <c r="AI1241"/>
  <c r="AK1241"/>
  <c r="AM1241"/>
  <c r="AO1241"/>
  <c r="AQ1241"/>
  <c r="AS1241"/>
  <c r="AU1241"/>
  <c r="AW1241"/>
  <c r="AY1241"/>
  <c r="BA1241"/>
  <c r="BC1241"/>
  <c r="BE1241"/>
  <c r="BG1241"/>
  <c r="M1242"/>
  <c r="O1242"/>
  <c r="Q1242"/>
  <c r="Y1242"/>
  <c r="AG1242"/>
  <c r="AI1242"/>
  <c r="AK1242"/>
  <c r="AM1242"/>
  <c r="AO1242"/>
  <c r="AQ1242"/>
  <c r="AS1242"/>
  <c r="AU1242"/>
  <c r="AW1242"/>
  <c r="AY1242"/>
  <c r="BA1242"/>
  <c r="BC1242"/>
  <c r="BE1242"/>
  <c r="BG1242"/>
  <c r="M1243"/>
  <c r="O1243"/>
  <c r="Q1243"/>
  <c r="Y1243"/>
  <c r="AG1243"/>
  <c r="AI1243"/>
  <c r="AK1243"/>
  <c r="AM1243"/>
  <c r="AO1243"/>
  <c r="AQ1243"/>
  <c r="AS1243"/>
  <c r="AU1243"/>
  <c r="AW1243"/>
  <c r="AY1243"/>
  <c r="BA1243"/>
  <c r="BC1243"/>
  <c r="BE1243"/>
  <c r="BG1243"/>
  <c r="M1244"/>
  <c r="O1244"/>
  <c r="Q1244"/>
  <c r="Y1244"/>
  <c r="AG1244"/>
  <c r="AI1244"/>
  <c r="AK1244"/>
  <c r="AM1244"/>
  <c r="AO1244"/>
  <c r="AQ1244"/>
  <c r="AS1244"/>
  <c r="AU1244"/>
  <c r="AW1244"/>
  <c r="AY1244"/>
  <c r="BA1244"/>
  <c r="BC1244"/>
  <c r="BE1244"/>
  <c r="BG1244"/>
  <c r="M1245"/>
  <c r="O1245"/>
  <c r="Q1245"/>
  <c r="Y1245"/>
  <c r="AG1245"/>
  <c r="AI1245"/>
  <c r="AK1245"/>
  <c r="AM1245"/>
  <c r="AO1245"/>
  <c r="AQ1245"/>
  <c r="AS1245"/>
  <c r="AU1245"/>
  <c r="AW1245"/>
  <c r="AY1245"/>
  <c r="BA1245"/>
  <c r="BC1245"/>
  <c r="BE1245"/>
  <c r="BG1245"/>
  <c r="M1246"/>
  <c r="O1246"/>
  <c r="Q1246"/>
  <c r="Y1246"/>
  <c r="AG1246"/>
  <c r="AI1246"/>
  <c r="AK1246"/>
  <c r="AM1246"/>
  <c r="AO1246"/>
  <c r="AQ1246"/>
  <c r="AS1246"/>
  <c r="AU1246"/>
  <c r="AW1246"/>
  <c r="AY1246"/>
  <c r="BA1246"/>
  <c r="BC1246"/>
  <c r="BE1246"/>
  <c r="BG1246"/>
  <c r="M1247"/>
  <c r="O1247"/>
  <c r="Q1247"/>
  <c r="Y1247"/>
  <c r="AG1247"/>
  <c r="AI1247"/>
  <c r="AK1247"/>
  <c r="AM1247"/>
  <c r="AO1247"/>
  <c r="AQ1247"/>
  <c r="AS1247"/>
  <c r="AU1247"/>
  <c r="AW1247"/>
  <c r="AY1247"/>
  <c r="BA1247"/>
  <c r="BC1247"/>
  <c r="BE1247"/>
  <c r="BG1247"/>
  <c r="M1248"/>
  <c r="O1248"/>
  <c r="Q1248"/>
  <c r="Y1248"/>
  <c r="AG1248"/>
  <c r="AI1248"/>
  <c r="AK1248"/>
  <c r="AM1248"/>
  <c r="AO1248"/>
  <c r="AQ1248"/>
  <c r="AS1248"/>
  <c r="AU1248"/>
  <c r="AW1248"/>
  <c r="AY1248"/>
  <c r="BA1248"/>
  <c r="BC1248"/>
  <c r="BE1248"/>
  <c r="BG1248"/>
  <c r="M1249"/>
  <c r="O1249"/>
  <c r="Q1249"/>
  <c r="Y1249"/>
  <c r="AG1249"/>
  <c r="AI1249"/>
  <c r="AK1249"/>
  <c r="AM1249"/>
  <c r="AO1249"/>
  <c r="AQ1249"/>
  <c r="AS1249"/>
  <c r="AU1249"/>
  <c r="AW1249"/>
  <c r="AY1249"/>
  <c r="BA1249"/>
  <c r="BC1249"/>
  <c r="BE1249"/>
  <c r="BG1249"/>
  <c r="M1250"/>
  <c r="O1250"/>
  <c r="Q1250"/>
  <c r="Y1250"/>
  <c r="AG1250"/>
  <c r="AI1250"/>
  <c r="AK1250"/>
  <c r="AM1250"/>
  <c r="AO1250"/>
  <c r="AQ1250"/>
  <c r="AS1250"/>
  <c r="AU1250"/>
  <c r="AW1250"/>
  <c r="AY1250"/>
  <c r="BA1250"/>
  <c r="BC1250"/>
  <c r="BE1250"/>
  <c r="BG1250"/>
  <c r="M1251"/>
  <c r="O1251"/>
  <c r="Q1251"/>
  <c r="Y1251"/>
  <c r="AG1251"/>
  <c r="AI1251"/>
  <c r="AK1251"/>
  <c r="AM1251"/>
  <c r="AO1251"/>
  <c r="AQ1251"/>
  <c r="AS1251"/>
  <c r="AU1251"/>
  <c r="AW1251"/>
  <c r="AY1251"/>
  <c r="BA1251"/>
  <c r="BC1251"/>
  <c r="BE1251"/>
  <c r="BG1251"/>
  <c r="M1252"/>
  <c r="O1252"/>
  <c r="Q1252"/>
  <c r="Y1252"/>
  <c r="AG1252"/>
  <c r="AI1252"/>
  <c r="AK1252"/>
  <c r="AM1252"/>
  <c r="AO1252"/>
  <c r="AQ1252"/>
  <c r="AS1252"/>
  <c r="AU1252"/>
  <c r="AW1252"/>
  <c r="AY1252"/>
  <c r="BA1252"/>
  <c r="BC1252"/>
  <c r="BE1252"/>
  <c r="BG1252"/>
  <c r="M1253"/>
  <c r="O1253"/>
  <c r="Q1253"/>
  <c r="Y1253"/>
  <c r="AG1253"/>
  <c r="AI1253"/>
  <c r="AK1253"/>
  <c r="AM1253"/>
  <c r="AO1253"/>
  <c r="AQ1253"/>
  <c r="AS1253"/>
  <c r="AU1253"/>
  <c r="AW1253"/>
  <c r="AY1253"/>
  <c r="BA1253"/>
  <c r="BC1253"/>
  <c r="BE1253"/>
  <c r="BG1253"/>
  <c r="M1254"/>
  <c r="O1254"/>
  <c r="Q1254"/>
  <c r="Y1254"/>
  <c r="AG1254"/>
  <c r="AI1254"/>
  <c r="AK1254"/>
  <c r="AM1254"/>
  <c r="AO1254"/>
  <c r="AQ1254"/>
  <c r="AS1254"/>
  <c r="AU1254"/>
  <c r="AW1254"/>
  <c r="AY1254"/>
  <c r="BA1254"/>
  <c r="BC1254"/>
  <c r="BE1254"/>
  <c r="BG1254"/>
  <c r="M1255"/>
  <c r="O1255"/>
  <c r="Q1255"/>
  <c r="Y1255"/>
  <c r="AG1255"/>
  <c r="AI1255"/>
  <c r="AK1255"/>
  <c r="AM1255"/>
  <c r="AO1255"/>
  <c r="AQ1255"/>
  <c r="AS1255"/>
  <c r="AU1255"/>
  <c r="AW1255"/>
  <c r="AY1255"/>
  <c r="BA1255"/>
  <c r="BC1255"/>
  <c r="BE1255"/>
  <c r="BG1255"/>
  <c r="M1256"/>
  <c r="O1256"/>
  <c r="Q1256"/>
  <c r="Y1256"/>
  <c r="AG1256"/>
  <c r="AI1256"/>
  <c r="AK1256"/>
  <c r="AM1256"/>
  <c r="AO1256"/>
  <c r="AQ1256"/>
  <c r="AS1256"/>
  <c r="AU1256"/>
  <c r="AW1256"/>
  <c r="AY1256"/>
  <c r="BA1256"/>
  <c r="BC1256"/>
  <c r="BE1256"/>
  <c r="BG1256"/>
  <c r="M1257"/>
  <c r="O1257"/>
  <c r="Q1257"/>
  <c r="Y1257"/>
  <c r="AG1257"/>
  <c r="AI1257"/>
  <c r="AK1257"/>
  <c r="AM1257"/>
  <c r="AO1257"/>
  <c r="AQ1257"/>
  <c r="AS1257"/>
  <c r="AU1257"/>
  <c r="AW1257"/>
  <c r="AY1257"/>
  <c r="BA1257"/>
  <c r="BC1257"/>
  <c r="BE1257"/>
  <c r="BG1257"/>
  <c r="M1258"/>
  <c r="O1258"/>
  <c r="Y1258"/>
  <c r="AG1258"/>
  <c r="AI1258"/>
  <c r="AK1258"/>
  <c r="AM1258"/>
  <c r="AO1258"/>
  <c r="AQ1258"/>
  <c r="AS1258"/>
  <c r="AU1258"/>
  <c r="AW1258"/>
  <c r="AY1258"/>
  <c r="BA1258"/>
  <c r="BC1258"/>
  <c r="BE1258"/>
  <c r="BG1258"/>
  <c r="M1259"/>
  <c r="O1259"/>
  <c r="Q1259"/>
  <c r="Y1259"/>
  <c r="AG1259"/>
  <c r="AI1259"/>
  <c r="AK1259"/>
  <c r="AM1259"/>
  <c r="AO1259"/>
  <c r="AQ1259"/>
  <c r="AS1259"/>
  <c r="AU1259"/>
  <c r="AW1259"/>
  <c r="AY1259"/>
  <c r="BA1259"/>
  <c r="BC1259"/>
  <c r="BE1259"/>
  <c r="BG1259"/>
  <c r="M1260"/>
  <c r="O1260"/>
  <c r="Q1260"/>
  <c r="Y1260"/>
  <c r="AG1260"/>
  <c r="AI1260"/>
  <c r="AK1260"/>
  <c r="AM1260"/>
  <c r="AO1260"/>
  <c r="AQ1260"/>
  <c r="AS1260"/>
  <c r="AU1260"/>
  <c r="AW1260"/>
  <c r="AY1260"/>
  <c r="BA1260"/>
  <c r="BC1260"/>
  <c r="BE1260"/>
  <c r="BG1260"/>
  <c r="P1264"/>
  <c r="P1265"/>
  <c r="N1266"/>
  <c r="Z1266"/>
  <c r="AB1266"/>
  <c r="N1267"/>
  <c r="X1267"/>
  <c r="BN1267" s="1"/>
  <c r="M1278"/>
  <c r="O1278"/>
  <c r="Q1278"/>
  <c r="Y1278"/>
  <c r="AG1278"/>
  <c r="AI1278"/>
  <c r="AK1278"/>
  <c r="AM1278"/>
  <c r="AO1278"/>
  <c r="AQ1278"/>
  <c r="AS1278"/>
  <c r="AU1278"/>
  <c r="AW1278"/>
  <c r="AY1278"/>
  <c r="BA1278"/>
  <c r="BC1278"/>
  <c r="BE1278"/>
  <c r="BG1278"/>
  <c r="M1279"/>
  <c r="O1279"/>
  <c r="Q1279"/>
  <c r="Y1279"/>
  <c r="AG1279"/>
  <c r="AI1279"/>
  <c r="AK1279"/>
  <c r="AM1279"/>
  <c r="AO1279"/>
  <c r="AQ1279"/>
  <c r="AS1279"/>
  <c r="AU1279"/>
  <c r="AW1279"/>
  <c r="AY1279"/>
  <c r="BA1279"/>
  <c r="BC1279"/>
  <c r="BE1279"/>
  <c r="BG1279"/>
  <c r="M1280"/>
  <c r="O1280"/>
  <c r="Q1280"/>
  <c r="Y1280"/>
  <c r="AG1280"/>
  <c r="AI1280"/>
  <c r="AK1280"/>
  <c r="AM1280"/>
  <c r="AO1280"/>
  <c r="AQ1280"/>
  <c r="AS1280"/>
  <c r="AU1280"/>
  <c r="AW1280"/>
  <c r="AY1280"/>
  <c r="BA1280"/>
  <c r="BC1280"/>
  <c r="BE1280"/>
  <c r="BG1280"/>
  <c r="M1281"/>
  <c r="O1281"/>
  <c r="Q1281"/>
  <c r="Y1281"/>
  <c r="AG1281"/>
  <c r="AI1281"/>
  <c r="AK1281"/>
  <c r="AM1281"/>
  <c r="AO1281"/>
  <c r="AQ1281"/>
  <c r="AS1281"/>
  <c r="AU1281"/>
  <c r="AW1281"/>
  <c r="AY1281"/>
  <c r="BA1281"/>
  <c r="BC1281"/>
  <c r="BE1281"/>
  <c r="BG1281"/>
  <c r="M1282"/>
  <c r="O1282"/>
  <c r="Q1282"/>
  <c r="Y1282"/>
  <c r="AG1282"/>
  <c r="AI1282"/>
  <c r="AK1282"/>
  <c r="AM1282"/>
  <c r="AO1282"/>
  <c r="AQ1282"/>
  <c r="AS1282"/>
  <c r="AU1282"/>
  <c r="AW1282"/>
  <c r="AY1282"/>
  <c r="BA1282"/>
  <c r="BC1282"/>
  <c r="BE1282"/>
  <c r="BG1282"/>
  <c r="M1283"/>
  <c r="O1283"/>
  <c r="Q1283"/>
  <c r="Y1283"/>
  <c r="AG1283"/>
  <c r="AI1283"/>
  <c r="AK1283"/>
  <c r="AM1283"/>
  <c r="AO1283"/>
  <c r="AQ1283"/>
  <c r="AS1283"/>
  <c r="AU1283"/>
  <c r="AW1283"/>
  <c r="AY1283"/>
  <c r="BA1283"/>
  <c r="BC1283"/>
  <c r="BE1283"/>
  <c r="BG1283"/>
  <c r="M1284"/>
  <c r="O1284"/>
  <c r="Q1284"/>
  <c r="Y1284"/>
  <c r="AG1284"/>
  <c r="AI1284"/>
  <c r="AK1284"/>
  <c r="AM1284"/>
  <c r="AO1284"/>
  <c r="AQ1284"/>
  <c r="AS1284"/>
  <c r="AU1284"/>
  <c r="AW1284"/>
  <c r="AY1284"/>
  <c r="BA1284"/>
  <c r="BC1284"/>
  <c r="BE1284"/>
  <c r="BG1284"/>
  <c r="M1285"/>
  <c r="O1285"/>
  <c r="Q1285"/>
  <c r="Y1285"/>
  <c r="AG1285"/>
  <c r="AI1285"/>
  <c r="AK1285"/>
  <c r="AM1285"/>
  <c r="AO1285"/>
  <c r="AQ1285"/>
  <c r="AS1285"/>
  <c r="AU1285"/>
  <c r="AW1285"/>
  <c r="AY1285"/>
  <c r="BA1285"/>
  <c r="BC1285"/>
  <c r="BE1285"/>
  <c r="BG1285"/>
  <c r="M1286"/>
  <c r="O1286"/>
  <c r="Q1286"/>
  <c r="Y1286"/>
  <c r="AG1286"/>
  <c r="AI1286"/>
  <c r="AK1286"/>
  <c r="AM1286"/>
  <c r="AO1286"/>
  <c r="AQ1286"/>
  <c r="AS1286"/>
  <c r="AU1286"/>
  <c r="AW1286"/>
  <c r="AY1286"/>
  <c r="BA1286"/>
  <c r="BC1286"/>
  <c r="BE1286"/>
  <c r="BG1286"/>
  <c r="M1287"/>
  <c r="O1287"/>
  <c r="Q1287"/>
  <c r="Y1287"/>
  <c r="AG1287"/>
  <c r="AI1287"/>
  <c r="AK1287"/>
  <c r="AM1287"/>
  <c r="AO1287"/>
  <c r="AQ1287"/>
  <c r="AS1287"/>
  <c r="AU1287"/>
  <c r="AW1287"/>
  <c r="AY1287"/>
  <c r="BA1287"/>
  <c r="BC1287"/>
  <c r="BE1287"/>
  <c r="BG1287"/>
  <c r="M1288"/>
  <c r="O1288"/>
  <c r="Q1288"/>
  <c r="Y1288"/>
  <c r="AG1288"/>
  <c r="AI1288"/>
  <c r="AK1288"/>
  <c r="AM1288"/>
  <c r="AO1288"/>
  <c r="AQ1288"/>
  <c r="AS1288"/>
  <c r="AU1288"/>
  <c r="AW1288"/>
  <c r="AY1288"/>
  <c r="BA1288"/>
  <c r="BC1288"/>
  <c r="BE1288"/>
  <c r="BG1288"/>
  <c r="M1289"/>
  <c r="O1289"/>
  <c r="Q1289"/>
  <c r="Y1289"/>
  <c r="AG1289"/>
  <c r="AI1289"/>
  <c r="AK1289"/>
  <c r="AM1289"/>
  <c r="AO1289"/>
  <c r="AQ1289"/>
  <c r="AS1289"/>
  <c r="AU1289"/>
  <c r="AW1289"/>
  <c r="AY1289"/>
  <c r="BA1289"/>
  <c r="BC1289"/>
  <c r="BE1289"/>
  <c r="BG1289"/>
  <c r="M1290"/>
  <c r="O1290"/>
  <c r="Q1290"/>
  <c r="Y1290"/>
  <c r="AG1290"/>
  <c r="AI1290"/>
  <c r="AK1290"/>
  <c r="AM1290"/>
  <c r="AO1290"/>
  <c r="AQ1290"/>
  <c r="AS1290"/>
  <c r="AU1290"/>
  <c r="AW1290"/>
  <c r="AY1290"/>
  <c r="BA1290"/>
  <c r="BC1290"/>
  <c r="BE1290"/>
  <c r="BG1290"/>
  <c r="M1291"/>
  <c r="O1291"/>
  <c r="Q1291"/>
  <c r="Y1291"/>
  <c r="AG1291"/>
  <c r="AI1291"/>
  <c r="AK1291"/>
  <c r="AM1291"/>
  <c r="AO1291"/>
  <c r="AQ1291"/>
  <c r="AS1291"/>
  <c r="AU1291"/>
  <c r="AW1291"/>
  <c r="AY1291"/>
  <c r="BA1291"/>
  <c r="BC1291"/>
  <c r="BE1291"/>
  <c r="BG1291"/>
  <c r="M1292"/>
  <c r="O1292"/>
  <c r="Q1292"/>
  <c r="Y1292"/>
  <c r="AG1292"/>
  <c r="AI1292"/>
  <c r="AK1292"/>
  <c r="AM1292"/>
  <c r="AO1292"/>
  <c r="AQ1292"/>
  <c r="AS1292"/>
  <c r="AU1292"/>
  <c r="AW1292"/>
  <c r="AY1292"/>
  <c r="BA1292"/>
  <c r="BC1292"/>
  <c r="BE1292"/>
  <c r="BG1292"/>
  <c r="M1293"/>
  <c r="O1293"/>
  <c r="Q1293"/>
  <c r="Y1293"/>
  <c r="AG1293"/>
  <c r="AI1293"/>
  <c r="AK1293"/>
  <c r="AM1293"/>
  <c r="AO1293"/>
  <c r="AQ1293"/>
  <c r="AS1293"/>
  <c r="AU1293"/>
  <c r="AW1293"/>
  <c r="AY1293"/>
  <c r="BA1293"/>
  <c r="BC1293"/>
  <c r="BE1293"/>
  <c r="BG1293"/>
  <c r="M1294"/>
  <c r="O1294"/>
  <c r="Q1294"/>
  <c r="Y1294"/>
  <c r="AG1294"/>
  <c r="AI1294"/>
  <c r="AK1294"/>
  <c r="AM1294"/>
  <c r="AO1294"/>
  <c r="AQ1294"/>
  <c r="AS1294"/>
  <c r="AU1294"/>
  <c r="AW1294"/>
  <c r="AY1294"/>
  <c r="BA1294"/>
  <c r="BC1294"/>
  <c r="BE1294"/>
  <c r="BG1294"/>
  <c r="M1295"/>
  <c r="O1295"/>
  <c r="Q1295"/>
  <c r="Y1295"/>
  <c r="AG1295"/>
  <c r="AI1295"/>
  <c r="AK1295"/>
  <c r="AM1295"/>
  <c r="AO1295"/>
  <c r="AQ1295"/>
  <c r="AS1295"/>
  <c r="AU1295"/>
  <c r="AW1295"/>
  <c r="AY1295"/>
  <c r="BA1295"/>
  <c r="BC1295"/>
  <c r="BE1295"/>
  <c r="BG1295"/>
  <c r="M1296"/>
  <c r="O1296"/>
  <c r="Q1296"/>
  <c r="Y1296"/>
  <c r="AG1296"/>
  <c r="AI1296"/>
  <c r="AK1296"/>
  <c r="AM1296"/>
  <c r="AO1296"/>
  <c r="AQ1296"/>
  <c r="AS1296"/>
  <c r="AU1296"/>
  <c r="AW1296"/>
  <c r="AY1296"/>
  <c r="BA1296"/>
  <c r="BC1296"/>
  <c r="BE1296"/>
  <c r="BG1296"/>
  <c r="M1297"/>
  <c r="O1297"/>
  <c r="Q1297"/>
  <c r="Y1297"/>
  <c r="AG1297"/>
  <c r="AI1297"/>
  <c r="AK1297"/>
  <c r="AM1297"/>
  <c r="AO1297"/>
  <c r="AQ1297"/>
  <c r="AS1297"/>
  <c r="AU1297"/>
  <c r="AW1297"/>
  <c r="AY1297"/>
  <c r="BA1297"/>
  <c r="BC1297"/>
  <c r="BE1297"/>
  <c r="BG1297"/>
  <c r="M1298"/>
  <c r="O1298"/>
  <c r="Q1298"/>
  <c r="Y1298"/>
  <c r="AG1298"/>
  <c r="AI1298"/>
  <c r="AK1298"/>
  <c r="AM1298"/>
  <c r="AO1298"/>
  <c r="AQ1298"/>
  <c r="AS1298"/>
  <c r="AU1298"/>
  <c r="AW1298"/>
  <c r="AY1298"/>
  <c r="BA1298"/>
  <c r="BC1298"/>
  <c r="BE1298"/>
  <c r="BG1298"/>
  <c r="M1299"/>
  <c r="O1299"/>
  <c r="Q1299"/>
  <c r="Y1299"/>
  <c r="AG1299"/>
  <c r="AI1299"/>
  <c r="AK1299"/>
  <c r="AM1299"/>
  <c r="AO1299"/>
  <c r="AQ1299"/>
  <c r="AS1299"/>
  <c r="AU1299"/>
  <c r="AW1299"/>
  <c r="AY1299"/>
  <c r="BA1299"/>
  <c r="BC1299"/>
  <c r="BE1299"/>
  <c r="BG1299"/>
  <c r="M1300"/>
  <c r="O1300"/>
  <c r="Q1300"/>
  <c r="Y1300"/>
  <c r="AG1300"/>
  <c r="AI1300"/>
  <c r="AK1300"/>
  <c r="AM1300"/>
  <c r="AO1300"/>
  <c r="AQ1300"/>
  <c r="AS1300"/>
  <c r="AU1300"/>
  <c r="AW1300"/>
  <c r="AY1300"/>
  <c r="BA1300"/>
  <c r="BC1300"/>
  <c r="BE1300"/>
  <c r="BG1300"/>
  <c r="M1301"/>
  <c r="O1301"/>
  <c r="Q1301"/>
  <c r="Y1301"/>
  <c r="AG1301"/>
  <c r="AI1301"/>
  <c r="AK1301"/>
  <c r="AM1301"/>
  <c r="AO1301"/>
  <c r="AQ1301"/>
  <c r="AS1301"/>
  <c r="AU1301"/>
  <c r="AW1301"/>
  <c r="AY1301"/>
  <c r="BA1301"/>
  <c r="BC1301"/>
  <c r="BE1301"/>
  <c r="BG1301"/>
  <c r="M1302"/>
  <c r="O1302"/>
  <c r="Q1302"/>
  <c r="Y1302"/>
  <c r="AG1302"/>
  <c r="AI1302"/>
  <c r="AK1302"/>
  <c r="AM1302"/>
  <c r="AO1302"/>
  <c r="AQ1302"/>
  <c r="AS1302"/>
  <c r="AU1302"/>
  <c r="AW1302"/>
  <c r="AY1302"/>
  <c r="BA1302"/>
  <c r="BC1302"/>
  <c r="BE1302"/>
  <c r="BG1302"/>
  <c r="M1303"/>
  <c r="O1303"/>
  <c r="Q1303"/>
  <c r="Y1303"/>
  <c r="AG1303"/>
  <c r="AI1303"/>
  <c r="AK1303"/>
  <c r="AM1303"/>
  <c r="AO1303"/>
  <c r="AQ1303"/>
  <c r="AS1303"/>
  <c r="AU1303"/>
  <c r="AW1303"/>
  <c r="AY1303"/>
  <c r="BA1303"/>
  <c r="BC1303"/>
  <c r="BE1303"/>
  <c r="BG1303"/>
  <c r="M1304"/>
  <c r="O1304"/>
  <c r="Q1304"/>
  <c r="Y1304"/>
  <c r="AG1304"/>
  <c r="AI1304"/>
  <c r="AK1304"/>
  <c r="AM1304"/>
  <c r="AO1304"/>
  <c r="AQ1304"/>
  <c r="AS1304"/>
  <c r="AU1304"/>
  <c r="AW1304"/>
  <c r="AY1304"/>
  <c r="BA1304"/>
  <c r="BC1304"/>
  <c r="BE1304"/>
  <c r="BG1304"/>
  <c r="M1305"/>
  <c r="O1305"/>
  <c r="Q1305"/>
  <c r="Y1305"/>
  <c r="AG1305"/>
  <c r="AI1305"/>
  <c r="AK1305"/>
  <c r="AM1305"/>
  <c r="AO1305"/>
  <c r="AQ1305"/>
  <c r="AS1305"/>
  <c r="AU1305"/>
  <c r="AW1305"/>
  <c r="AY1305"/>
  <c r="BA1305"/>
  <c r="BC1305"/>
  <c r="BE1305"/>
  <c r="BG1305"/>
  <c r="M1306"/>
  <c r="O1306"/>
  <c r="Q1306"/>
  <c r="Y1306"/>
  <c r="AG1306"/>
  <c r="AI1306"/>
  <c r="AK1306"/>
  <c r="AM1306"/>
  <c r="AO1306"/>
  <c r="AQ1306"/>
  <c r="AS1306"/>
  <c r="AU1306"/>
  <c r="AW1306"/>
  <c r="AY1306"/>
  <c r="BA1306"/>
  <c r="BC1306"/>
  <c r="BE1306"/>
  <c r="BG1306"/>
  <c r="M1307"/>
  <c r="O1307"/>
  <c r="Q1307"/>
  <c r="Y1307"/>
  <c r="AG1307"/>
  <c r="AI1307"/>
  <c r="AK1307"/>
  <c r="AM1307"/>
  <c r="AO1307"/>
  <c r="AQ1307"/>
  <c r="AS1307"/>
  <c r="AU1307"/>
  <c r="AW1307"/>
  <c r="AY1307"/>
  <c r="BA1307"/>
  <c r="BC1307"/>
  <c r="BE1307"/>
  <c r="BG1307"/>
  <c r="M1308"/>
  <c r="O1308"/>
  <c r="Q1308"/>
  <c r="Y1308"/>
  <c r="AG1308"/>
  <c r="AI1308"/>
  <c r="AK1308"/>
  <c r="AM1308"/>
  <c r="AO1308"/>
  <c r="AQ1308"/>
  <c r="AS1308"/>
  <c r="AU1308"/>
  <c r="AW1308"/>
  <c r="AY1308"/>
  <c r="BA1308"/>
  <c r="BC1308"/>
  <c r="BE1308"/>
  <c r="BG1308"/>
  <c r="M1309"/>
  <c r="O1309"/>
  <c r="Q1309"/>
  <c r="Y1309"/>
  <c r="AG1309"/>
  <c r="AI1309"/>
  <c r="AK1309"/>
  <c r="AM1309"/>
  <c r="AO1309"/>
  <c r="AQ1309"/>
  <c r="AS1309"/>
  <c r="AU1309"/>
  <c r="AW1309"/>
  <c r="AY1309"/>
  <c r="BA1309"/>
  <c r="BC1309"/>
  <c r="BE1309"/>
  <c r="BG1309"/>
  <c r="M1310"/>
  <c r="O1310"/>
  <c r="Q1310"/>
  <c r="Y1310"/>
  <c r="AG1310"/>
  <c r="AI1310"/>
  <c r="AK1310"/>
  <c r="AM1310"/>
  <c r="AO1310"/>
  <c r="AQ1310"/>
  <c r="AS1310"/>
  <c r="AU1310"/>
  <c r="AW1310"/>
  <c r="AY1310"/>
  <c r="BA1310"/>
  <c r="BC1310"/>
  <c r="BE1310"/>
  <c r="BG1310"/>
  <c r="M1311"/>
  <c r="O1311"/>
  <c r="Q1311"/>
  <c r="Y1311"/>
  <c r="AG1311"/>
  <c r="AI1311"/>
  <c r="AK1311"/>
  <c r="AM1311"/>
  <c r="AO1311"/>
  <c r="AQ1311"/>
  <c r="AS1311"/>
  <c r="AU1311"/>
  <c r="AW1311"/>
  <c r="AY1311"/>
  <c r="BA1311"/>
  <c r="BC1311"/>
  <c r="BE1311"/>
  <c r="BG1311"/>
  <c r="M1312"/>
  <c r="O1312"/>
  <c r="Q1312"/>
  <c r="Y1312"/>
  <c r="AG1312"/>
  <c r="AI1312"/>
  <c r="AK1312"/>
  <c r="AM1312"/>
  <c r="AO1312"/>
  <c r="AQ1312"/>
  <c r="AS1312"/>
  <c r="AU1312"/>
  <c r="AW1312"/>
  <c r="AY1312"/>
  <c r="BA1312"/>
  <c r="BC1312"/>
  <c r="BE1312"/>
  <c r="BG1312"/>
  <c r="M1313"/>
  <c r="O1313"/>
  <c r="Q1313"/>
  <c r="Y1313"/>
  <c r="AG1313"/>
  <c r="AI1313"/>
  <c r="AK1313"/>
  <c r="AM1313"/>
  <c r="AO1313"/>
  <c r="AQ1313"/>
  <c r="AS1313"/>
  <c r="AU1313"/>
  <c r="AW1313"/>
  <c r="AY1313"/>
  <c r="BA1313"/>
  <c r="BC1313"/>
  <c r="BE1313"/>
  <c r="BG1313"/>
  <c r="M1314"/>
  <c r="O1314"/>
  <c r="Q1314"/>
  <c r="Y1314"/>
  <c r="AG1314"/>
  <c r="AI1314"/>
  <c r="AK1314"/>
  <c r="AM1314"/>
  <c r="AO1314"/>
  <c r="AQ1314"/>
  <c r="AS1314"/>
  <c r="AU1314"/>
  <c r="AW1314"/>
  <c r="AY1314"/>
  <c r="BA1314"/>
  <c r="BC1314"/>
  <c r="BE1314"/>
  <c r="BG1314"/>
  <c r="M1315"/>
  <c r="O1315"/>
  <c r="Q1315"/>
  <c r="Y1315"/>
  <c r="AG1315"/>
  <c r="AI1315"/>
  <c r="AK1315"/>
  <c r="AM1315"/>
  <c r="AO1315"/>
  <c r="AQ1315"/>
  <c r="AS1315"/>
  <c r="AU1315"/>
  <c r="AW1315"/>
  <c r="AY1315"/>
  <c r="BA1315"/>
  <c r="BC1315"/>
  <c r="BE1315"/>
  <c r="BG1315"/>
  <c r="M1316"/>
  <c r="O1316"/>
  <c r="Y1316"/>
  <c r="AG1316"/>
  <c r="AI1316"/>
  <c r="AK1316"/>
  <c r="AM1316"/>
  <c r="AO1316"/>
  <c r="AQ1316"/>
  <c r="AS1316"/>
  <c r="AU1316"/>
  <c r="AW1316"/>
  <c r="AY1316"/>
  <c r="BA1316"/>
  <c r="BC1316"/>
  <c r="BE1316"/>
  <c r="BG1316"/>
  <c r="M1317"/>
  <c r="O1317"/>
  <c r="Q1317"/>
  <c r="Y1317"/>
  <c r="AG1317"/>
  <c r="AI1317"/>
  <c r="AK1317"/>
  <c r="AM1317"/>
  <c r="AO1317"/>
  <c r="AQ1317"/>
  <c r="AS1317"/>
  <c r="AU1317"/>
  <c r="AW1317"/>
  <c r="AY1317"/>
  <c r="BA1317"/>
  <c r="BC1317"/>
  <c r="BE1317"/>
  <c r="BG1317"/>
  <c r="M1318"/>
  <c r="O1318"/>
  <c r="Q1318"/>
  <c r="Y1318"/>
  <c r="AG1318"/>
  <c r="AI1318"/>
  <c r="AK1318"/>
  <c r="AM1318"/>
  <c r="AO1318"/>
  <c r="AQ1318"/>
  <c r="AS1318"/>
  <c r="AU1318"/>
  <c r="AW1318"/>
  <c r="AY1318"/>
  <c r="BA1318"/>
  <c r="BC1318"/>
  <c r="BE1318"/>
  <c r="BG1318"/>
  <c r="M1336"/>
  <c r="O1336"/>
  <c r="Q1336"/>
  <c r="Y1336"/>
  <c r="AG1336"/>
  <c r="AI1336"/>
  <c r="AK1336"/>
  <c r="AM1336"/>
  <c r="AO1336"/>
  <c r="AQ1336"/>
  <c r="AS1336"/>
  <c r="AU1336"/>
  <c r="AW1336"/>
  <c r="AY1336"/>
  <c r="BA1336"/>
  <c r="BC1336"/>
  <c r="BE1336"/>
  <c r="BG1336"/>
  <c r="M1337"/>
  <c r="O1337"/>
  <c r="Q1337"/>
  <c r="Y1337"/>
  <c r="AG1337"/>
  <c r="AI1337"/>
  <c r="AK1337"/>
  <c r="AM1337"/>
  <c r="AO1337"/>
  <c r="AQ1337"/>
  <c r="AS1337"/>
  <c r="AU1337"/>
  <c r="AW1337"/>
  <c r="AY1337"/>
  <c r="BA1337"/>
  <c r="BC1337"/>
  <c r="BE1337"/>
  <c r="BG1337"/>
  <c r="M1338"/>
  <c r="O1338"/>
  <c r="Q1338"/>
  <c r="Y1338"/>
  <c r="AG1338"/>
  <c r="AI1338"/>
  <c r="AK1338"/>
  <c r="AM1338"/>
  <c r="AO1338"/>
  <c r="AQ1338"/>
  <c r="AS1338"/>
  <c r="AU1338"/>
  <c r="AW1338"/>
  <c r="AY1338"/>
  <c r="BA1338"/>
  <c r="BC1338"/>
  <c r="BE1338"/>
  <c r="BG1338"/>
  <c r="M1339"/>
  <c r="O1339"/>
  <c r="Q1339"/>
  <c r="Y1339"/>
  <c r="AG1339"/>
  <c r="AI1339"/>
  <c r="AK1339"/>
  <c r="AM1339"/>
  <c r="AO1339"/>
  <c r="AQ1339"/>
  <c r="AS1339"/>
  <c r="AU1339"/>
  <c r="AW1339"/>
  <c r="AY1339"/>
  <c r="BA1339"/>
  <c r="BC1339"/>
  <c r="BE1339"/>
  <c r="BG1339"/>
  <c r="M1340"/>
  <c r="O1340"/>
  <c r="Q1340"/>
  <c r="Y1340"/>
  <c r="AG1340"/>
  <c r="AI1340"/>
  <c r="AK1340"/>
  <c r="AM1340"/>
  <c r="AO1340"/>
  <c r="AQ1340"/>
  <c r="AS1340"/>
  <c r="AU1340"/>
  <c r="AW1340"/>
  <c r="AY1340"/>
  <c r="BA1340"/>
  <c r="BC1340"/>
  <c r="BE1340"/>
  <c r="BG1340"/>
  <c r="M1341"/>
  <c r="O1341"/>
  <c r="Q1341"/>
  <c r="Y1341"/>
  <c r="AG1341"/>
  <c r="AI1341"/>
  <c r="AK1341"/>
  <c r="AM1341"/>
  <c r="AO1341"/>
  <c r="AQ1341"/>
  <c r="AS1341"/>
  <c r="AU1341"/>
  <c r="AW1341"/>
  <c r="AY1341"/>
  <c r="BA1341"/>
  <c r="BC1341"/>
  <c r="BE1341"/>
  <c r="BG1341"/>
  <c r="M1342"/>
  <c r="O1342"/>
  <c r="Q1342"/>
  <c r="Y1342"/>
  <c r="AG1342"/>
  <c r="AI1342"/>
  <c r="AK1342"/>
  <c r="AM1342"/>
  <c r="AO1342"/>
  <c r="AQ1342"/>
  <c r="AS1342"/>
  <c r="AU1342"/>
  <c r="AW1342"/>
  <c r="AY1342"/>
  <c r="BA1342"/>
  <c r="BC1342"/>
  <c r="BE1342"/>
  <c r="BG1342"/>
  <c r="M1343"/>
  <c r="O1343"/>
  <c r="Q1343"/>
  <c r="Y1343"/>
  <c r="AG1343"/>
  <c r="AI1343"/>
  <c r="AK1343"/>
  <c r="AM1343"/>
  <c r="AO1343"/>
  <c r="AQ1343"/>
  <c r="AS1343"/>
  <c r="AU1343"/>
  <c r="AW1343"/>
  <c r="AY1343"/>
  <c r="BA1343"/>
  <c r="BC1343"/>
  <c r="BE1343"/>
  <c r="BG1343"/>
  <c r="M1344"/>
  <c r="O1344"/>
  <c r="Q1344"/>
  <c r="Y1344"/>
  <c r="AG1344"/>
  <c r="AI1344"/>
  <c r="AK1344"/>
  <c r="AM1344"/>
  <c r="AO1344"/>
  <c r="AQ1344"/>
  <c r="AS1344"/>
  <c r="AU1344"/>
  <c r="AW1344"/>
  <c r="AY1344"/>
  <c r="BA1344"/>
  <c r="BC1344"/>
  <c r="BE1344"/>
  <c r="BG1344"/>
  <c r="M1345"/>
  <c r="O1345"/>
  <c r="Q1345"/>
  <c r="Y1345"/>
  <c r="AG1345"/>
  <c r="AI1345"/>
  <c r="AK1345"/>
  <c r="AM1345"/>
  <c r="AO1345"/>
  <c r="AQ1345"/>
  <c r="AS1345"/>
  <c r="AU1345"/>
  <c r="AW1345"/>
  <c r="AY1345"/>
  <c r="BA1345"/>
  <c r="BC1345"/>
  <c r="BE1345"/>
  <c r="BG1345"/>
  <c r="M1346"/>
  <c r="O1346"/>
  <c r="Q1346"/>
  <c r="Y1346"/>
  <c r="AG1346"/>
  <c r="AI1346"/>
  <c r="AK1346"/>
  <c r="AM1346"/>
  <c r="AO1346"/>
  <c r="AQ1346"/>
  <c r="AS1346"/>
  <c r="AU1346"/>
  <c r="AW1346"/>
  <c r="AY1346"/>
  <c r="BA1346"/>
  <c r="BC1346"/>
  <c r="BE1346"/>
  <c r="BG1346"/>
  <c r="M1347"/>
  <c r="O1347"/>
  <c r="Q1347"/>
  <c r="Y1347"/>
  <c r="AG1347"/>
  <c r="AI1347"/>
  <c r="AK1347"/>
  <c r="AM1347"/>
  <c r="AO1347"/>
  <c r="AQ1347"/>
  <c r="AS1347"/>
  <c r="AU1347"/>
  <c r="AW1347"/>
  <c r="AY1347"/>
  <c r="BA1347"/>
  <c r="BC1347"/>
  <c r="BE1347"/>
  <c r="BG1347"/>
  <c r="M1348"/>
  <c r="O1348"/>
  <c r="Q1348"/>
  <c r="Y1348"/>
  <c r="AG1348"/>
  <c r="AI1348"/>
  <c r="AK1348"/>
  <c r="AM1348"/>
  <c r="AO1348"/>
  <c r="AQ1348"/>
  <c r="AS1348"/>
  <c r="AU1348"/>
  <c r="AW1348"/>
  <c r="AY1348"/>
  <c r="BA1348"/>
  <c r="BC1348"/>
  <c r="BE1348"/>
  <c r="BG1348"/>
  <c r="M1349"/>
  <c r="O1349"/>
  <c r="Q1349"/>
  <c r="Y1349"/>
  <c r="AG1349"/>
  <c r="AI1349"/>
  <c r="AK1349"/>
  <c r="AM1349"/>
  <c r="AO1349"/>
  <c r="AQ1349"/>
  <c r="AS1349"/>
  <c r="AU1349"/>
  <c r="AW1349"/>
  <c r="AY1349"/>
  <c r="BA1349"/>
  <c r="BC1349"/>
  <c r="BE1349"/>
  <c r="BG1349"/>
  <c r="M1350"/>
  <c r="O1350"/>
  <c r="Q1350"/>
  <c r="Y1350"/>
  <c r="AG1350"/>
  <c r="AI1350"/>
  <c r="AK1350"/>
  <c r="AM1350"/>
  <c r="AO1350"/>
  <c r="AQ1350"/>
  <c r="AS1350"/>
  <c r="AU1350"/>
  <c r="AW1350"/>
  <c r="AY1350"/>
  <c r="BA1350"/>
  <c r="BC1350"/>
  <c r="BE1350"/>
  <c r="BG1350"/>
  <c r="M1351"/>
  <c r="O1351"/>
  <c r="Q1351"/>
  <c r="Y1351"/>
  <c r="AG1351"/>
  <c r="AI1351"/>
  <c r="AK1351"/>
  <c r="AM1351"/>
  <c r="AO1351"/>
  <c r="AQ1351"/>
  <c r="AS1351"/>
  <c r="AU1351"/>
  <c r="AW1351"/>
  <c r="AY1351"/>
  <c r="BA1351"/>
  <c r="BC1351"/>
  <c r="BE1351"/>
  <c r="BG1351"/>
  <c r="M1352"/>
  <c r="O1352"/>
  <c r="Q1352"/>
  <c r="Y1352"/>
  <c r="AG1352"/>
  <c r="AI1352"/>
  <c r="AK1352"/>
  <c r="AM1352"/>
  <c r="AO1352"/>
  <c r="AQ1352"/>
  <c r="AS1352"/>
  <c r="AU1352"/>
  <c r="AW1352"/>
  <c r="AY1352"/>
  <c r="BA1352"/>
  <c r="BC1352"/>
  <c r="BE1352"/>
  <c r="BG1352"/>
  <c r="M1353"/>
  <c r="O1353"/>
  <c r="Q1353"/>
  <c r="Y1353"/>
  <c r="AG1353"/>
  <c r="AI1353"/>
  <c r="AK1353"/>
  <c r="AM1353"/>
  <c r="AO1353"/>
  <c r="AQ1353"/>
  <c r="AS1353"/>
  <c r="AU1353"/>
  <c r="AW1353"/>
  <c r="AY1353"/>
  <c r="BA1353"/>
  <c r="BC1353"/>
  <c r="BE1353"/>
  <c r="BG1353"/>
  <c r="M1354"/>
  <c r="O1354"/>
  <c r="Q1354"/>
  <c r="Y1354"/>
  <c r="AG1354"/>
  <c r="AI1354"/>
  <c r="AK1354"/>
  <c r="AM1354"/>
  <c r="AO1354"/>
  <c r="AQ1354"/>
  <c r="AS1354"/>
  <c r="AU1354"/>
  <c r="AW1354"/>
  <c r="AY1354"/>
  <c r="BA1354"/>
  <c r="BC1354"/>
  <c r="BE1354"/>
  <c r="BG1354"/>
  <c r="M1355"/>
  <c r="O1355"/>
  <c r="Q1355"/>
  <c r="Y1355"/>
  <c r="AG1355"/>
  <c r="AI1355"/>
  <c r="AK1355"/>
  <c r="AM1355"/>
  <c r="AO1355"/>
  <c r="AQ1355"/>
  <c r="AS1355"/>
  <c r="AU1355"/>
  <c r="AW1355"/>
  <c r="AY1355"/>
  <c r="BA1355"/>
  <c r="BC1355"/>
  <c r="BE1355"/>
  <c r="BG1355"/>
  <c r="M1356"/>
  <c r="O1356"/>
  <c r="Q1356"/>
  <c r="Y1356"/>
  <c r="AG1356"/>
  <c r="AI1356"/>
  <c r="AK1356"/>
  <c r="AM1356"/>
  <c r="AO1356"/>
  <c r="AQ1356"/>
  <c r="AS1356"/>
  <c r="AU1356"/>
  <c r="AW1356"/>
  <c r="AY1356"/>
  <c r="BA1356"/>
  <c r="BC1356"/>
  <c r="BE1356"/>
  <c r="BG1356"/>
  <c r="M1357"/>
  <c r="O1357"/>
  <c r="Q1357"/>
  <c r="Y1357"/>
  <c r="AG1357"/>
  <c r="AI1357"/>
  <c r="AK1357"/>
  <c r="AM1357"/>
  <c r="AO1357"/>
  <c r="AQ1357"/>
  <c r="AS1357"/>
  <c r="AU1357"/>
  <c r="AW1357"/>
  <c r="AY1357"/>
  <c r="BA1357"/>
  <c r="BC1357"/>
  <c r="BE1357"/>
  <c r="BG1357"/>
  <c r="M1358"/>
  <c r="O1358"/>
  <c r="Q1358"/>
  <c r="Y1358"/>
  <c r="AG1358"/>
  <c r="AI1358"/>
  <c r="AK1358"/>
  <c r="AM1358"/>
  <c r="AO1358"/>
  <c r="AQ1358"/>
  <c r="AS1358"/>
  <c r="AU1358"/>
  <c r="AW1358"/>
  <c r="AY1358"/>
  <c r="BA1358"/>
  <c r="BC1358"/>
  <c r="BE1358"/>
  <c r="BG1358"/>
  <c r="M1359"/>
  <c r="O1359"/>
  <c r="Q1359"/>
  <c r="Y1359"/>
  <c r="AG1359"/>
  <c r="AI1359"/>
  <c r="AK1359"/>
  <c r="AM1359"/>
  <c r="AO1359"/>
  <c r="AQ1359"/>
  <c r="AS1359"/>
  <c r="AU1359"/>
  <c r="AW1359"/>
  <c r="AY1359"/>
  <c r="BA1359"/>
  <c r="BC1359"/>
  <c r="BE1359"/>
  <c r="BG1359"/>
  <c r="M1360"/>
  <c r="O1360"/>
  <c r="Q1360"/>
  <c r="Y1360"/>
  <c r="AG1360"/>
  <c r="AI1360"/>
  <c r="AK1360"/>
  <c r="AM1360"/>
  <c r="AO1360"/>
  <c r="AQ1360"/>
  <c r="AS1360"/>
  <c r="AU1360"/>
  <c r="AW1360"/>
  <c r="AY1360"/>
  <c r="BA1360"/>
  <c r="BC1360"/>
  <c r="BE1360"/>
  <c r="BG1360"/>
  <c r="M1361"/>
  <c r="O1361"/>
  <c r="Q1361"/>
  <c r="Y1361"/>
  <c r="AG1361"/>
  <c r="AI1361"/>
  <c r="AK1361"/>
  <c r="AM1361"/>
  <c r="AO1361"/>
  <c r="AQ1361"/>
  <c r="AS1361"/>
  <c r="AU1361"/>
  <c r="AW1361"/>
  <c r="AY1361"/>
  <c r="BA1361"/>
  <c r="BC1361"/>
  <c r="BE1361"/>
  <c r="BG1361"/>
  <c r="M1362"/>
  <c r="O1362"/>
  <c r="Q1362"/>
  <c r="Y1362"/>
  <c r="AG1362"/>
  <c r="AI1362"/>
  <c r="AK1362"/>
  <c r="AM1362"/>
  <c r="AO1362"/>
  <c r="AQ1362"/>
  <c r="AS1362"/>
  <c r="AU1362"/>
  <c r="AW1362"/>
  <c r="AY1362"/>
  <c r="BA1362"/>
  <c r="BC1362"/>
  <c r="BE1362"/>
  <c r="BG1362"/>
  <c r="M1363"/>
  <c r="O1363"/>
  <c r="Q1363"/>
  <c r="Y1363"/>
  <c r="AG1363"/>
  <c r="AI1363"/>
  <c r="AK1363"/>
  <c r="AM1363"/>
  <c r="AO1363"/>
  <c r="AQ1363"/>
  <c r="AS1363"/>
  <c r="AU1363"/>
  <c r="AW1363"/>
  <c r="AY1363"/>
  <c r="BA1363"/>
  <c r="BC1363"/>
  <c r="BE1363"/>
  <c r="BG1363"/>
  <c r="M1364"/>
  <c r="O1364"/>
  <c r="Q1364"/>
  <c r="Y1364"/>
  <c r="AG1364"/>
  <c r="AI1364"/>
  <c r="AK1364"/>
  <c r="AM1364"/>
  <c r="AO1364"/>
  <c r="AQ1364"/>
  <c r="AS1364"/>
  <c r="AU1364"/>
  <c r="AW1364"/>
  <c r="AY1364"/>
  <c r="BA1364"/>
  <c r="BC1364"/>
  <c r="BE1364"/>
  <c r="BG1364"/>
  <c r="M1365"/>
  <c r="O1365"/>
  <c r="Y1365"/>
  <c r="AG1365"/>
  <c r="AI1365"/>
  <c r="AK1365"/>
  <c r="AM1365"/>
  <c r="AO1365"/>
  <c r="AQ1365"/>
  <c r="AS1365"/>
  <c r="AU1365"/>
  <c r="AW1365"/>
  <c r="AY1365"/>
  <c r="BA1365"/>
  <c r="BC1365"/>
  <c r="BE1365"/>
  <c r="BG1365"/>
  <c r="M1366"/>
  <c r="O1366"/>
  <c r="Q1366"/>
  <c r="Y1366"/>
  <c r="AG1366"/>
  <c r="AI1366"/>
  <c r="AK1366"/>
  <c r="AM1366"/>
  <c r="AO1366"/>
  <c r="AQ1366"/>
  <c r="AS1366"/>
  <c r="AU1366"/>
  <c r="AW1366"/>
  <c r="AY1366"/>
  <c r="BA1366"/>
  <c r="BC1366"/>
  <c r="BE1366"/>
  <c r="BG1366"/>
  <c r="M1367"/>
  <c r="O1367"/>
  <c r="Q1367"/>
  <c r="Y1367"/>
  <c r="AG1367"/>
  <c r="AI1367"/>
  <c r="AK1367"/>
  <c r="AM1367"/>
  <c r="AO1367"/>
  <c r="AQ1367"/>
  <c r="AS1367"/>
  <c r="AU1367"/>
  <c r="AW1367"/>
  <c r="AY1367"/>
  <c r="BA1367"/>
  <c r="BC1367"/>
  <c r="BE1367"/>
  <c r="BG1367"/>
  <c r="M1368"/>
  <c r="O1368"/>
  <c r="Q1368"/>
  <c r="Y1368"/>
  <c r="AG1368"/>
  <c r="AI1368"/>
  <c r="AK1368"/>
  <c r="AM1368"/>
  <c r="AO1368"/>
  <c r="AQ1368"/>
  <c r="AS1368"/>
  <c r="AU1368"/>
  <c r="AW1368"/>
  <c r="AY1368"/>
  <c r="BA1368"/>
  <c r="BC1368"/>
  <c r="BE1368"/>
  <c r="BG1368"/>
  <c r="M1369"/>
  <c r="O1369"/>
  <c r="Q1369"/>
  <c r="Y1369"/>
  <c r="AG1369"/>
  <c r="AI1369"/>
  <c r="AK1369"/>
  <c r="AM1369"/>
  <c r="AO1369"/>
  <c r="AQ1369"/>
  <c r="AS1369"/>
  <c r="AU1369"/>
  <c r="AW1369"/>
  <c r="AY1369"/>
  <c r="BA1369"/>
  <c r="BC1369"/>
  <c r="BE1369"/>
  <c r="BG1369"/>
  <c r="M1370"/>
  <c r="O1370"/>
  <c r="Q1370"/>
  <c r="Y1370"/>
  <c r="AG1370"/>
  <c r="AI1370"/>
  <c r="AK1370"/>
  <c r="AM1370"/>
  <c r="AO1370"/>
  <c r="AQ1370"/>
  <c r="AS1370"/>
  <c r="AU1370"/>
  <c r="AW1370"/>
  <c r="AY1370"/>
  <c r="BA1370"/>
  <c r="BC1370"/>
  <c r="BE1370"/>
  <c r="BG1370"/>
  <c r="M1371"/>
  <c r="O1371"/>
  <c r="Q1371"/>
  <c r="Y1371"/>
  <c r="AG1371"/>
  <c r="AI1371"/>
  <c r="AK1371"/>
  <c r="AM1371"/>
  <c r="AO1371"/>
  <c r="AQ1371"/>
  <c r="AS1371"/>
  <c r="AU1371"/>
  <c r="AW1371"/>
  <c r="AY1371"/>
  <c r="BA1371"/>
  <c r="BC1371"/>
  <c r="BE1371"/>
  <c r="BG1371"/>
  <c r="M1372"/>
  <c r="O1372"/>
  <c r="Q1372"/>
  <c r="Y1372"/>
  <c r="AG1372"/>
  <c r="AI1372"/>
  <c r="AK1372"/>
  <c r="AM1372"/>
  <c r="AO1372"/>
  <c r="AQ1372"/>
  <c r="AS1372"/>
  <c r="AU1372"/>
  <c r="AW1372"/>
  <c r="AY1372"/>
  <c r="BA1372"/>
  <c r="BC1372"/>
  <c r="BE1372"/>
  <c r="BG1372"/>
  <c r="M1373"/>
  <c r="O1373"/>
  <c r="P1373"/>
  <c r="X1373"/>
  <c r="AG1373"/>
  <c r="AI1373"/>
  <c r="AK1373"/>
  <c r="AM1373"/>
  <c r="AO1373"/>
  <c r="AQ1373"/>
  <c r="AS1373"/>
  <c r="AU1373"/>
  <c r="AW1373"/>
  <c r="AY1373"/>
  <c r="BA1373"/>
  <c r="BC1373"/>
  <c r="BE1373"/>
  <c r="BG1373"/>
  <c r="M1374"/>
  <c r="O1374"/>
  <c r="X1374"/>
  <c r="AG1374"/>
  <c r="AI1374"/>
  <c r="AK1374"/>
  <c r="AM1374"/>
  <c r="AO1374"/>
  <c r="AQ1374"/>
  <c r="AS1374"/>
  <c r="AU1374"/>
  <c r="AW1374"/>
  <c r="AY1374"/>
  <c r="BA1374"/>
  <c r="BC1374"/>
  <c r="BE1374"/>
  <c r="BG1374"/>
  <c r="M1375"/>
  <c r="O1375"/>
  <c r="P1375"/>
  <c r="Y1375"/>
  <c r="AG1375"/>
  <c r="AI1375"/>
  <c r="AK1375"/>
  <c r="AM1375"/>
  <c r="AO1375"/>
  <c r="AQ1375"/>
  <c r="AS1375"/>
  <c r="AU1375"/>
  <c r="AW1375"/>
  <c r="AY1375"/>
  <c r="BA1375"/>
  <c r="BC1375"/>
  <c r="BE1375"/>
  <c r="BG1375"/>
  <c r="M1376"/>
  <c r="O1376"/>
  <c r="P1376"/>
  <c r="X1376"/>
  <c r="AG1376"/>
  <c r="AI1376"/>
  <c r="AK1376"/>
  <c r="AM1376"/>
  <c r="AO1376"/>
  <c r="AQ1376"/>
  <c r="AS1376"/>
  <c r="AU1376"/>
  <c r="AW1376"/>
  <c r="AY1376"/>
  <c r="BA1376"/>
  <c r="BC1376"/>
  <c r="BE1376"/>
  <c r="BG1376"/>
  <c r="M1377"/>
  <c r="O1377"/>
  <c r="P1377"/>
  <c r="X1377"/>
  <c r="AG1377"/>
  <c r="AI1377"/>
  <c r="AK1377"/>
  <c r="AM1377"/>
  <c r="M1378"/>
  <c r="O1378"/>
  <c r="P1378"/>
  <c r="X1378"/>
  <c r="AG1378"/>
  <c r="AI1378"/>
  <c r="AJ1378"/>
  <c r="AK1378" s="1"/>
  <c r="AM1378"/>
  <c r="N1379"/>
  <c r="P1379"/>
  <c r="R1379"/>
  <c r="T1379"/>
  <c r="V1379"/>
  <c r="X1379"/>
  <c r="Z1379"/>
  <c r="AB1379"/>
  <c r="AD1379"/>
  <c r="AF1379"/>
  <c r="AH1379"/>
  <c r="AJ1379"/>
  <c r="AL1379"/>
  <c r="N1380"/>
  <c r="P1380"/>
  <c r="R1380"/>
  <c r="T1380"/>
  <c r="V1380"/>
  <c r="X1380"/>
  <c r="Z1380"/>
  <c r="AB1380"/>
  <c r="AD1380"/>
  <c r="AF1380"/>
  <c r="AH1380"/>
  <c r="AJ1380"/>
  <c r="AL1380"/>
  <c r="N1381"/>
  <c r="P1381"/>
  <c r="R1381"/>
  <c r="T1381"/>
  <c r="V1381"/>
  <c r="X1381"/>
  <c r="Z1381"/>
  <c r="AB1381"/>
  <c r="AD1381"/>
  <c r="AF1381"/>
  <c r="AH1381"/>
  <c r="AJ1381"/>
  <c r="AL1381"/>
  <c r="N1382"/>
  <c r="R1382"/>
  <c r="T1382"/>
  <c r="V1382"/>
  <c r="Z1382"/>
  <c r="AB1382"/>
  <c r="AD1382"/>
  <c r="AH1382"/>
  <c r="AJ1382"/>
  <c r="AL1382"/>
  <c r="N1383"/>
  <c r="R1383"/>
  <c r="T1383"/>
  <c r="V1383"/>
  <c r="Z1383"/>
  <c r="AD1383"/>
  <c r="AF1383"/>
  <c r="AH1383"/>
  <c r="AJ1383"/>
  <c r="AL1383"/>
  <c r="M1394"/>
  <c r="O1394"/>
  <c r="Q1394"/>
  <c r="Y1394"/>
  <c r="AG1394"/>
  <c r="AI1394"/>
  <c r="AK1394"/>
  <c r="AM1394"/>
  <c r="AO1394"/>
  <c r="AQ1394"/>
  <c r="AS1394"/>
  <c r="AU1394"/>
  <c r="AW1394"/>
  <c r="AY1394"/>
  <c r="BA1394"/>
  <c r="BC1394"/>
  <c r="BE1394"/>
  <c r="BG1394"/>
  <c r="M1395"/>
  <c r="O1395"/>
  <c r="Q1395"/>
  <c r="Y1395"/>
  <c r="AG1395"/>
  <c r="AI1395"/>
  <c r="AK1395"/>
  <c r="AM1395"/>
  <c r="AO1395"/>
  <c r="AQ1395"/>
  <c r="AS1395"/>
  <c r="AU1395"/>
  <c r="AW1395"/>
  <c r="AY1395"/>
  <c r="BA1395"/>
  <c r="BC1395"/>
  <c r="BE1395"/>
  <c r="BG1395"/>
  <c r="M1396"/>
  <c r="O1396"/>
  <c r="Q1396"/>
  <c r="Y1396"/>
  <c r="AG1396"/>
  <c r="AI1396"/>
  <c r="AK1396"/>
  <c r="AM1396"/>
  <c r="AO1396"/>
  <c r="AQ1396"/>
  <c r="AS1396"/>
  <c r="AU1396"/>
  <c r="AW1396"/>
  <c r="AY1396"/>
  <c r="BA1396"/>
  <c r="BC1396"/>
  <c r="BE1396"/>
  <c r="BG1396"/>
  <c r="M1397"/>
  <c r="O1397"/>
  <c r="Q1397"/>
  <c r="Y1397"/>
  <c r="AG1397"/>
  <c r="AI1397"/>
  <c r="AK1397"/>
  <c r="AM1397"/>
  <c r="AO1397"/>
  <c r="AQ1397"/>
  <c r="AS1397"/>
  <c r="AU1397"/>
  <c r="AW1397"/>
  <c r="AY1397"/>
  <c r="BA1397"/>
  <c r="BC1397"/>
  <c r="BE1397"/>
  <c r="BG1397"/>
  <c r="M1398"/>
  <c r="O1398"/>
  <c r="Q1398"/>
  <c r="Y1398"/>
  <c r="AG1398"/>
  <c r="AI1398"/>
  <c r="AK1398"/>
  <c r="AM1398"/>
  <c r="AO1398"/>
  <c r="AQ1398"/>
  <c r="AS1398"/>
  <c r="AU1398"/>
  <c r="AW1398"/>
  <c r="AY1398"/>
  <c r="BA1398"/>
  <c r="BC1398"/>
  <c r="BE1398"/>
  <c r="BG1398"/>
  <c r="M1399"/>
  <c r="O1399"/>
  <c r="Q1399"/>
  <c r="Y1399"/>
  <c r="AG1399"/>
  <c r="AI1399"/>
  <c r="AK1399"/>
  <c r="AM1399"/>
  <c r="AO1399"/>
  <c r="AQ1399"/>
  <c r="AS1399"/>
  <c r="AU1399"/>
  <c r="AW1399"/>
  <c r="AY1399"/>
  <c r="BA1399"/>
  <c r="BC1399"/>
  <c r="BE1399"/>
  <c r="BG1399"/>
  <c r="M1400"/>
  <c r="O1400"/>
  <c r="Q1400"/>
  <c r="Y1400"/>
  <c r="AG1400"/>
  <c r="AI1400"/>
  <c r="AK1400"/>
  <c r="AM1400"/>
  <c r="AO1400"/>
  <c r="AQ1400"/>
  <c r="AS1400"/>
  <c r="AU1400"/>
  <c r="AW1400"/>
  <c r="AY1400"/>
  <c r="BA1400"/>
  <c r="BC1400"/>
  <c r="BE1400"/>
  <c r="BG1400"/>
  <c r="M1401"/>
  <c r="O1401"/>
  <c r="Q1401"/>
  <c r="Y1401"/>
  <c r="AG1401"/>
  <c r="AI1401"/>
  <c r="AK1401"/>
  <c r="AM1401"/>
  <c r="AO1401"/>
  <c r="AQ1401"/>
  <c r="AS1401"/>
  <c r="AU1401"/>
  <c r="AW1401"/>
  <c r="AY1401"/>
  <c r="BA1401"/>
  <c r="BC1401"/>
  <c r="BE1401"/>
  <c r="BG1401"/>
  <c r="M1402"/>
  <c r="O1402"/>
  <c r="Q1402"/>
  <c r="Y1402"/>
  <c r="AG1402"/>
  <c r="AI1402"/>
  <c r="AK1402"/>
  <c r="AM1402"/>
  <c r="AO1402"/>
  <c r="AQ1402"/>
  <c r="AS1402"/>
  <c r="AU1402"/>
  <c r="AW1402"/>
  <c r="AY1402"/>
  <c r="BA1402"/>
  <c r="BC1402"/>
  <c r="BE1402"/>
  <c r="BG1402"/>
  <c r="M1403"/>
  <c r="O1403"/>
  <c r="Q1403"/>
  <c r="Y1403"/>
  <c r="AG1403"/>
  <c r="AI1403"/>
  <c r="AK1403"/>
  <c r="AM1403"/>
  <c r="AO1403"/>
  <c r="AQ1403"/>
  <c r="AS1403"/>
  <c r="AU1403"/>
  <c r="AW1403"/>
  <c r="AY1403"/>
  <c r="BA1403"/>
  <c r="BC1403"/>
  <c r="BE1403"/>
  <c r="BG1403"/>
  <c r="M1404"/>
  <c r="O1404"/>
  <c r="Q1404"/>
  <c r="Y1404"/>
  <c r="AG1404"/>
  <c r="AI1404"/>
  <c r="AK1404"/>
  <c r="AM1404"/>
  <c r="AO1404"/>
  <c r="AQ1404"/>
  <c r="AS1404"/>
  <c r="AU1404"/>
  <c r="AW1404"/>
  <c r="AY1404"/>
  <c r="BA1404"/>
  <c r="BC1404"/>
  <c r="BE1404"/>
  <c r="BG1404"/>
  <c r="M1405"/>
  <c r="O1405"/>
  <c r="Q1405"/>
  <c r="Y1405"/>
  <c r="AG1405"/>
  <c r="AI1405"/>
  <c r="AK1405"/>
  <c r="AM1405"/>
  <c r="AO1405"/>
  <c r="AQ1405"/>
  <c r="AS1405"/>
  <c r="AU1405"/>
  <c r="AW1405"/>
  <c r="AY1405"/>
  <c r="BA1405"/>
  <c r="BC1405"/>
  <c r="BE1405"/>
  <c r="BG1405"/>
  <c r="M1406"/>
  <c r="O1406"/>
  <c r="Q1406"/>
  <c r="Y1406"/>
  <c r="AG1406"/>
  <c r="AI1406"/>
  <c r="AK1406"/>
  <c r="AM1406"/>
  <c r="AO1406"/>
  <c r="AQ1406"/>
  <c r="AS1406"/>
  <c r="AU1406"/>
  <c r="AW1406"/>
  <c r="AY1406"/>
  <c r="BA1406"/>
  <c r="BC1406"/>
  <c r="BE1406"/>
  <c r="BG1406"/>
  <c r="M1407"/>
  <c r="O1407"/>
  <c r="Q1407"/>
  <c r="Y1407"/>
  <c r="AG1407"/>
  <c r="AI1407"/>
  <c r="AK1407"/>
  <c r="AM1407"/>
  <c r="AO1407"/>
  <c r="AQ1407"/>
  <c r="AS1407"/>
  <c r="AU1407"/>
  <c r="AW1407"/>
  <c r="AY1407"/>
  <c r="BA1407"/>
  <c r="BC1407"/>
  <c r="BE1407"/>
  <c r="BG1407"/>
  <c r="M1408"/>
  <c r="O1408"/>
  <c r="Q1408"/>
  <c r="Y1408"/>
  <c r="AG1408"/>
  <c r="AI1408"/>
  <c r="AK1408"/>
  <c r="AM1408"/>
  <c r="AO1408"/>
  <c r="AQ1408"/>
  <c r="AS1408"/>
  <c r="AU1408"/>
  <c r="AW1408"/>
  <c r="AY1408"/>
  <c r="BA1408"/>
  <c r="BC1408"/>
  <c r="BE1408"/>
  <c r="BG1408"/>
  <c r="M1409"/>
  <c r="O1409"/>
  <c r="Q1409"/>
  <c r="Y1409"/>
  <c r="AG1409"/>
  <c r="AI1409"/>
  <c r="AK1409"/>
  <c r="AM1409"/>
  <c r="AO1409"/>
  <c r="AQ1409"/>
  <c r="AS1409"/>
  <c r="AU1409"/>
  <c r="AW1409"/>
  <c r="AY1409"/>
  <c r="BA1409"/>
  <c r="BC1409"/>
  <c r="BE1409"/>
  <c r="BG1409"/>
  <c r="M1410"/>
  <c r="O1410"/>
  <c r="Q1410"/>
  <c r="Y1410"/>
  <c r="AG1410"/>
  <c r="AI1410"/>
  <c r="AK1410"/>
  <c r="AM1410"/>
  <c r="AO1410"/>
  <c r="AQ1410"/>
  <c r="AS1410"/>
  <c r="AU1410"/>
  <c r="AW1410"/>
  <c r="AY1410"/>
  <c r="BA1410"/>
  <c r="BC1410"/>
  <c r="BE1410"/>
  <c r="BG1410"/>
  <c r="M1411"/>
  <c r="O1411"/>
  <c r="Q1411"/>
  <c r="Y1411"/>
  <c r="AG1411"/>
  <c r="AI1411"/>
  <c r="AK1411"/>
  <c r="AM1411"/>
  <c r="AO1411"/>
  <c r="AQ1411"/>
  <c r="AS1411"/>
  <c r="AU1411"/>
  <c r="AW1411"/>
  <c r="AY1411"/>
  <c r="BA1411"/>
  <c r="BC1411"/>
  <c r="BE1411"/>
  <c r="BG1411"/>
  <c r="M1412"/>
  <c r="O1412"/>
  <c r="Q1412"/>
  <c r="Y1412"/>
  <c r="AG1412"/>
  <c r="AI1412"/>
  <c r="AK1412"/>
  <c r="AM1412"/>
  <c r="AO1412"/>
  <c r="AQ1412"/>
  <c r="AS1412"/>
  <c r="AU1412"/>
  <c r="AW1412"/>
  <c r="AY1412"/>
  <c r="BA1412"/>
  <c r="BC1412"/>
  <c r="BE1412"/>
  <c r="BG1412"/>
  <c r="M1413"/>
  <c r="O1413"/>
  <c r="Q1413"/>
  <c r="Y1413"/>
  <c r="AG1413"/>
  <c r="AI1413"/>
  <c r="AK1413"/>
  <c r="AM1413"/>
  <c r="AO1413"/>
  <c r="AQ1413"/>
  <c r="AS1413"/>
  <c r="AU1413"/>
  <c r="AW1413"/>
  <c r="AY1413"/>
  <c r="BA1413"/>
  <c r="BC1413"/>
  <c r="BE1413"/>
  <c r="BG1413"/>
  <c r="M1414"/>
  <c r="O1414"/>
  <c r="Q1414"/>
  <c r="Y1414"/>
  <c r="AG1414"/>
  <c r="AI1414"/>
  <c r="AK1414"/>
  <c r="AM1414"/>
  <c r="AO1414"/>
  <c r="AQ1414"/>
  <c r="AS1414"/>
  <c r="AU1414"/>
  <c r="AW1414"/>
  <c r="AY1414"/>
  <c r="BA1414"/>
  <c r="BC1414"/>
  <c r="BE1414"/>
  <c r="BG1414"/>
  <c r="M1415"/>
  <c r="O1415"/>
  <c r="Q1415"/>
  <c r="Y1415"/>
  <c r="AG1415"/>
  <c r="AI1415"/>
  <c r="AK1415"/>
  <c r="AM1415"/>
  <c r="AO1415"/>
  <c r="AQ1415"/>
  <c r="AS1415"/>
  <c r="AU1415"/>
  <c r="AW1415"/>
  <c r="AY1415"/>
  <c r="BA1415"/>
  <c r="BC1415"/>
  <c r="BE1415"/>
  <c r="BG1415"/>
  <c r="M1416"/>
  <c r="O1416"/>
  <c r="Q1416"/>
  <c r="Y1416"/>
  <c r="AG1416"/>
  <c r="AI1416"/>
  <c r="AK1416"/>
  <c r="AM1416"/>
  <c r="AO1416"/>
  <c r="AQ1416"/>
  <c r="AS1416"/>
  <c r="AU1416"/>
  <c r="AW1416"/>
  <c r="AY1416"/>
  <c r="BA1416"/>
  <c r="BC1416"/>
  <c r="BE1416"/>
  <c r="BG1416"/>
  <c r="M1417"/>
  <c r="O1417"/>
  <c r="Q1417"/>
  <c r="Y1417"/>
  <c r="AG1417"/>
  <c r="AI1417"/>
  <c r="AK1417"/>
  <c r="AM1417"/>
  <c r="AO1417"/>
  <c r="AQ1417"/>
  <c r="AS1417"/>
  <c r="AU1417"/>
  <c r="AW1417"/>
  <c r="AY1417"/>
  <c r="BA1417"/>
  <c r="BC1417"/>
  <c r="BE1417"/>
  <c r="BG1417"/>
  <c r="M1418"/>
  <c r="O1418"/>
  <c r="Q1418"/>
  <c r="Y1418"/>
  <c r="AG1418"/>
  <c r="AI1418"/>
  <c r="AK1418"/>
  <c r="AM1418"/>
  <c r="AO1418"/>
  <c r="AQ1418"/>
  <c r="AS1418"/>
  <c r="AU1418"/>
  <c r="AW1418"/>
  <c r="AY1418"/>
  <c r="BA1418"/>
  <c r="BC1418"/>
  <c r="BE1418"/>
  <c r="BG1418"/>
  <c r="M1419"/>
  <c r="O1419"/>
  <c r="Q1419"/>
  <c r="Y1419"/>
  <c r="AG1419"/>
  <c r="AI1419"/>
  <c r="AK1419"/>
  <c r="AM1419"/>
  <c r="AO1419"/>
  <c r="AQ1419"/>
  <c r="AS1419"/>
  <c r="AU1419"/>
  <c r="AW1419"/>
  <c r="AY1419"/>
  <c r="BA1419"/>
  <c r="BC1419"/>
  <c r="BE1419"/>
  <c r="BG1419"/>
  <c r="M1420"/>
  <c r="O1420"/>
  <c r="Q1420"/>
  <c r="Y1420"/>
  <c r="AG1420"/>
  <c r="AI1420"/>
  <c r="AK1420"/>
  <c r="AM1420"/>
  <c r="AO1420"/>
  <c r="AQ1420"/>
  <c r="AS1420"/>
  <c r="AU1420"/>
  <c r="AW1420"/>
  <c r="AY1420"/>
  <c r="BA1420"/>
  <c r="BC1420"/>
  <c r="BE1420"/>
  <c r="BG1420"/>
  <c r="M1421"/>
  <c r="O1421"/>
  <c r="Q1421"/>
  <c r="Y1421"/>
  <c r="AG1421"/>
  <c r="AI1421"/>
  <c r="AK1421"/>
  <c r="AM1421"/>
  <c r="AO1421"/>
  <c r="AQ1421"/>
  <c r="AS1421"/>
  <c r="AU1421"/>
  <c r="AW1421"/>
  <c r="AY1421"/>
  <c r="BA1421"/>
  <c r="BC1421"/>
  <c r="BE1421"/>
  <c r="BG1421"/>
  <c r="M1422"/>
  <c r="O1422"/>
  <c r="Q1422"/>
  <c r="Y1422"/>
  <c r="AG1422"/>
  <c r="AI1422"/>
  <c r="AK1422"/>
  <c r="AM1422"/>
  <c r="AO1422"/>
  <c r="AQ1422"/>
  <c r="AS1422"/>
  <c r="AU1422"/>
  <c r="AW1422"/>
  <c r="AY1422"/>
  <c r="BA1422"/>
  <c r="BC1422"/>
  <c r="BE1422"/>
  <c r="BG1422"/>
  <c r="M1423"/>
  <c r="O1423"/>
  <c r="Q1423"/>
  <c r="Y1423"/>
  <c r="AG1423"/>
  <c r="AI1423"/>
  <c r="AK1423"/>
  <c r="AM1423"/>
  <c r="AO1423"/>
  <c r="AQ1423"/>
  <c r="AS1423"/>
  <c r="AU1423"/>
  <c r="AW1423"/>
  <c r="AY1423"/>
  <c r="BA1423"/>
  <c r="BC1423"/>
  <c r="BE1423"/>
  <c r="BG1423"/>
  <c r="M1424"/>
  <c r="O1424"/>
  <c r="Q1424"/>
  <c r="Y1424"/>
  <c r="AG1424"/>
  <c r="AI1424"/>
  <c r="AK1424"/>
  <c r="AM1424"/>
  <c r="AO1424"/>
  <c r="AQ1424"/>
  <c r="AS1424"/>
  <c r="AU1424"/>
  <c r="AW1424"/>
  <c r="AY1424"/>
  <c r="BA1424"/>
  <c r="BC1424"/>
  <c r="BE1424"/>
  <c r="BG1424"/>
  <c r="M1425"/>
  <c r="O1425"/>
  <c r="Q1425"/>
  <c r="Y1425"/>
  <c r="AG1425"/>
  <c r="AI1425"/>
  <c r="AK1425"/>
  <c r="AM1425"/>
  <c r="AO1425"/>
  <c r="AQ1425"/>
  <c r="AS1425"/>
  <c r="AU1425"/>
  <c r="AW1425"/>
  <c r="AY1425"/>
  <c r="BA1425"/>
  <c r="BC1425"/>
  <c r="BE1425"/>
  <c r="BG1425"/>
  <c r="M1426"/>
  <c r="O1426"/>
  <c r="Q1426"/>
  <c r="Y1426"/>
  <c r="AG1426"/>
  <c r="AI1426"/>
  <c r="AK1426"/>
  <c r="AM1426"/>
  <c r="AO1426"/>
  <c r="AQ1426"/>
  <c r="AS1426"/>
  <c r="AU1426"/>
  <c r="AW1426"/>
  <c r="AY1426"/>
  <c r="BA1426"/>
  <c r="BC1426"/>
  <c r="BE1426"/>
  <c r="BG1426"/>
  <c r="M1427"/>
  <c r="O1427"/>
  <c r="Q1427"/>
  <c r="Y1427"/>
  <c r="AG1427"/>
  <c r="AI1427"/>
  <c r="AK1427"/>
  <c r="AM1427"/>
  <c r="AO1427"/>
  <c r="AQ1427"/>
  <c r="AS1427"/>
  <c r="AU1427"/>
  <c r="AW1427"/>
  <c r="AY1427"/>
  <c r="BA1427"/>
  <c r="BC1427"/>
  <c r="BE1427"/>
  <c r="BG1427"/>
  <c r="M1428"/>
  <c r="O1428"/>
  <c r="Q1428"/>
  <c r="Y1428"/>
  <c r="AG1428"/>
  <c r="AI1428"/>
  <c r="AK1428"/>
  <c r="AM1428"/>
  <c r="AO1428"/>
  <c r="AQ1428"/>
  <c r="AS1428"/>
  <c r="AU1428"/>
  <c r="AW1428"/>
  <c r="AY1428"/>
  <c r="BA1428"/>
  <c r="BC1428"/>
  <c r="BE1428"/>
  <c r="BG1428"/>
  <c r="M1429"/>
  <c r="O1429"/>
  <c r="Q1429"/>
  <c r="Y1429"/>
  <c r="AG1429"/>
  <c r="AI1429"/>
  <c r="AK1429"/>
  <c r="AM1429"/>
  <c r="AO1429"/>
  <c r="AQ1429"/>
  <c r="AS1429"/>
  <c r="AU1429"/>
  <c r="AW1429"/>
  <c r="AY1429"/>
  <c r="BA1429"/>
  <c r="BC1429"/>
  <c r="BE1429"/>
  <c r="BG1429"/>
  <c r="M1430"/>
  <c r="O1430"/>
  <c r="Q1430"/>
  <c r="Y1430"/>
  <c r="AG1430"/>
  <c r="AI1430"/>
  <c r="AK1430"/>
  <c r="AM1430"/>
  <c r="AO1430"/>
  <c r="AQ1430"/>
  <c r="AS1430"/>
  <c r="AU1430"/>
  <c r="AW1430"/>
  <c r="AY1430"/>
  <c r="BA1430"/>
  <c r="BC1430"/>
  <c r="BE1430"/>
  <c r="BG1430"/>
  <c r="M1431"/>
  <c r="O1431"/>
  <c r="Q1431"/>
  <c r="Y1431"/>
  <c r="AG1431"/>
  <c r="AI1431"/>
  <c r="AK1431"/>
  <c r="AM1431"/>
  <c r="AO1431"/>
  <c r="AQ1431"/>
  <c r="AS1431"/>
  <c r="AU1431"/>
  <c r="AW1431"/>
  <c r="AY1431"/>
  <c r="BA1431"/>
  <c r="BC1431"/>
  <c r="BE1431"/>
  <c r="BG1431"/>
  <c r="M1432"/>
  <c r="O1432"/>
  <c r="Y1432"/>
  <c r="AG1432"/>
  <c r="AI1432"/>
  <c r="AK1432"/>
  <c r="AM1432"/>
  <c r="AO1432"/>
  <c r="AQ1432"/>
  <c r="AS1432"/>
  <c r="AU1432"/>
  <c r="AW1432"/>
  <c r="AY1432"/>
  <c r="BA1432"/>
  <c r="BC1432"/>
  <c r="BE1432"/>
  <c r="BG1432"/>
  <c r="M1433"/>
  <c r="O1433"/>
  <c r="Q1433"/>
  <c r="Y1433"/>
  <c r="AG1433"/>
  <c r="AI1433"/>
  <c r="AK1433"/>
  <c r="AM1433"/>
  <c r="AO1433"/>
  <c r="AQ1433"/>
  <c r="AS1433"/>
  <c r="AU1433"/>
  <c r="AW1433"/>
  <c r="AY1433"/>
  <c r="BA1433"/>
  <c r="BC1433"/>
  <c r="BE1433"/>
  <c r="BG1433"/>
  <c r="BE1434"/>
  <c r="BO1434" s="1"/>
  <c r="BG1434"/>
  <c r="BQ1434" s="1"/>
  <c r="BE1435"/>
  <c r="BO1435" s="1"/>
  <c r="BG1435"/>
  <c r="BQ1435" s="1"/>
  <c r="O1436"/>
  <c r="BE1436"/>
  <c r="BO1436" s="1"/>
  <c r="BG1436"/>
  <c r="N1441"/>
  <c r="AT1441"/>
  <c r="M1452"/>
  <c r="O1452"/>
  <c r="Q1452"/>
  <c r="Y1452"/>
  <c r="AG1452"/>
  <c r="AI1452"/>
  <c r="AK1452"/>
  <c r="AM1452"/>
  <c r="AO1452"/>
  <c r="AQ1452"/>
  <c r="AS1452"/>
  <c r="AU1452"/>
  <c r="AW1452"/>
  <c r="AY1452"/>
  <c r="BA1452"/>
  <c r="BC1452"/>
  <c r="BE1452"/>
  <c r="BG1452"/>
  <c r="M1453"/>
  <c r="O1453"/>
  <c r="Q1453"/>
  <c r="Y1453"/>
  <c r="AG1453"/>
  <c r="AI1453"/>
  <c r="AK1453"/>
  <c r="AM1453"/>
  <c r="AO1453"/>
  <c r="AQ1453"/>
  <c r="AS1453"/>
  <c r="AU1453"/>
  <c r="AW1453"/>
  <c r="AY1453"/>
  <c r="BA1453"/>
  <c r="BC1453"/>
  <c r="BE1453"/>
  <c r="BG1453"/>
  <c r="M1454"/>
  <c r="O1454"/>
  <c r="Q1454"/>
  <c r="Y1454"/>
  <c r="AG1454"/>
  <c r="AI1454"/>
  <c r="AK1454"/>
  <c r="AM1454"/>
  <c r="AO1454"/>
  <c r="AQ1454"/>
  <c r="AS1454"/>
  <c r="AU1454"/>
  <c r="AW1454"/>
  <c r="AY1454"/>
  <c r="BA1454"/>
  <c r="BC1454"/>
  <c r="BE1454"/>
  <c r="BG1454"/>
  <c r="M1455"/>
  <c r="O1455"/>
  <c r="Q1455"/>
  <c r="Y1455"/>
  <c r="AG1455"/>
  <c r="AI1455"/>
  <c r="AK1455"/>
  <c r="AM1455"/>
  <c r="AO1455"/>
  <c r="AQ1455"/>
  <c r="AS1455"/>
  <c r="AU1455"/>
  <c r="AW1455"/>
  <c r="AY1455"/>
  <c r="BA1455"/>
  <c r="BC1455"/>
  <c r="BE1455"/>
  <c r="BG1455"/>
  <c r="M1456"/>
  <c r="O1456"/>
  <c r="Q1456"/>
  <c r="Y1456"/>
  <c r="AG1456"/>
  <c r="AI1456"/>
  <c r="AK1456"/>
  <c r="AM1456"/>
  <c r="AO1456"/>
  <c r="AQ1456"/>
  <c r="AS1456"/>
  <c r="AU1456"/>
  <c r="AW1456"/>
  <c r="AY1456"/>
  <c r="BA1456"/>
  <c r="BC1456"/>
  <c r="BE1456"/>
  <c r="BG1456"/>
  <c r="M1457"/>
  <c r="O1457"/>
  <c r="Q1457"/>
  <c r="Y1457"/>
  <c r="AG1457"/>
  <c r="AI1457"/>
  <c r="AK1457"/>
  <c r="AM1457"/>
  <c r="AO1457"/>
  <c r="AQ1457"/>
  <c r="AS1457"/>
  <c r="AU1457"/>
  <c r="AW1457"/>
  <c r="AY1457"/>
  <c r="BA1457"/>
  <c r="BC1457"/>
  <c r="BE1457"/>
  <c r="BG1457"/>
  <c r="M1458"/>
  <c r="O1458"/>
  <c r="Q1458"/>
  <c r="Y1458"/>
  <c r="AG1458"/>
  <c r="AI1458"/>
  <c r="AK1458"/>
  <c r="AM1458"/>
  <c r="AO1458"/>
  <c r="AQ1458"/>
  <c r="AS1458"/>
  <c r="AU1458"/>
  <c r="AW1458"/>
  <c r="AY1458"/>
  <c r="BA1458"/>
  <c r="BC1458"/>
  <c r="BE1458"/>
  <c r="BG1458"/>
  <c r="M1459"/>
  <c r="O1459"/>
  <c r="Q1459"/>
  <c r="Y1459"/>
  <c r="AG1459"/>
  <c r="AI1459"/>
  <c r="AK1459"/>
  <c r="AM1459"/>
  <c r="AO1459"/>
  <c r="AQ1459"/>
  <c r="AS1459"/>
  <c r="AU1459"/>
  <c r="AW1459"/>
  <c r="AY1459"/>
  <c r="BA1459"/>
  <c r="BC1459"/>
  <c r="BE1459"/>
  <c r="BG1459"/>
  <c r="M1460"/>
  <c r="O1460"/>
  <c r="Q1460"/>
  <c r="Y1460"/>
  <c r="AG1460"/>
  <c r="AI1460"/>
  <c r="AK1460"/>
  <c r="AM1460"/>
  <c r="AO1460"/>
  <c r="AQ1460"/>
  <c r="AS1460"/>
  <c r="AU1460"/>
  <c r="AW1460"/>
  <c r="AY1460"/>
  <c r="BA1460"/>
  <c r="BC1460"/>
  <c r="BE1460"/>
  <c r="BG1460"/>
  <c r="M1461"/>
  <c r="O1461"/>
  <c r="Q1461"/>
  <c r="Y1461"/>
  <c r="AG1461"/>
  <c r="AI1461"/>
  <c r="AK1461"/>
  <c r="AM1461"/>
  <c r="AO1461"/>
  <c r="AQ1461"/>
  <c r="AS1461"/>
  <c r="AU1461"/>
  <c r="AW1461"/>
  <c r="AY1461"/>
  <c r="BA1461"/>
  <c r="BC1461"/>
  <c r="BE1461"/>
  <c r="BG1461"/>
  <c r="M1462"/>
  <c r="O1462"/>
  <c r="Q1462"/>
  <c r="Y1462"/>
  <c r="AG1462"/>
  <c r="AI1462"/>
  <c r="AK1462"/>
  <c r="AM1462"/>
  <c r="AO1462"/>
  <c r="AQ1462"/>
  <c r="AS1462"/>
  <c r="AU1462"/>
  <c r="AW1462"/>
  <c r="AY1462"/>
  <c r="BA1462"/>
  <c r="BC1462"/>
  <c r="BE1462"/>
  <c r="BG1462"/>
  <c r="M1463"/>
  <c r="O1463"/>
  <c r="Q1463"/>
  <c r="Y1463"/>
  <c r="AG1463"/>
  <c r="AI1463"/>
  <c r="AK1463"/>
  <c r="AM1463"/>
  <c r="AO1463"/>
  <c r="AQ1463"/>
  <c r="AS1463"/>
  <c r="AU1463"/>
  <c r="AW1463"/>
  <c r="AY1463"/>
  <c r="BA1463"/>
  <c r="BC1463"/>
  <c r="BE1463"/>
  <c r="BG1463"/>
  <c r="M1464"/>
  <c r="O1464"/>
  <c r="Q1464"/>
  <c r="Y1464"/>
  <c r="AG1464"/>
  <c r="AI1464"/>
  <c r="AK1464"/>
  <c r="AM1464"/>
  <c r="AO1464"/>
  <c r="AQ1464"/>
  <c r="AS1464"/>
  <c r="AU1464"/>
  <c r="AW1464"/>
  <c r="AY1464"/>
  <c r="BA1464"/>
  <c r="BC1464"/>
  <c r="BE1464"/>
  <c r="BG1464"/>
  <c r="M1465"/>
  <c r="O1465"/>
  <c r="Q1465"/>
  <c r="Y1465"/>
  <c r="AG1465"/>
  <c r="AI1465"/>
  <c r="AK1465"/>
  <c r="AM1465"/>
  <c r="AO1465"/>
  <c r="AQ1465"/>
  <c r="AS1465"/>
  <c r="AU1465"/>
  <c r="AW1465"/>
  <c r="AY1465"/>
  <c r="BA1465"/>
  <c r="BC1465"/>
  <c r="BE1465"/>
  <c r="BG1465"/>
  <c r="M1466"/>
  <c r="O1466"/>
  <c r="Q1466"/>
  <c r="Y1466"/>
  <c r="AG1466"/>
  <c r="AI1466"/>
  <c r="AK1466"/>
  <c r="AM1466"/>
  <c r="AO1466"/>
  <c r="AQ1466"/>
  <c r="AS1466"/>
  <c r="AU1466"/>
  <c r="AW1466"/>
  <c r="AY1466"/>
  <c r="BA1466"/>
  <c r="BC1466"/>
  <c r="BE1466"/>
  <c r="BG1466"/>
  <c r="M1467"/>
  <c r="O1467"/>
  <c r="Q1467"/>
  <c r="Y1467"/>
  <c r="AG1467"/>
  <c r="AI1467"/>
  <c r="AK1467"/>
  <c r="AM1467"/>
  <c r="AO1467"/>
  <c r="AQ1467"/>
  <c r="AS1467"/>
  <c r="AU1467"/>
  <c r="AW1467"/>
  <c r="AY1467"/>
  <c r="BA1467"/>
  <c r="BC1467"/>
  <c r="BE1467"/>
  <c r="BG1467"/>
  <c r="M1468"/>
  <c r="O1468"/>
  <c r="Q1468"/>
  <c r="Y1468"/>
  <c r="AG1468"/>
  <c r="AI1468"/>
  <c r="AK1468"/>
  <c r="AM1468"/>
  <c r="AO1468"/>
  <c r="AQ1468"/>
  <c r="AS1468"/>
  <c r="AU1468"/>
  <c r="AW1468"/>
  <c r="AY1468"/>
  <c r="BA1468"/>
  <c r="BC1468"/>
  <c r="BE1468"/>
  <c r="BG1468"/>
  <c r="M1469"/>
  <c r="O1469"/>
  <c r="Q1469"/>
  <c r="Y1469"/>
  <c r="AG1469"/>
  <c r="AI1469"/>
  <c r="AK1469"/>
  <c r="AM1469"/>
  <c r="AO1469"/>
  <c r="AQ1469"/>
  <c r="AS1469"/>
  <c r="AU1469"/>
  <c r="AW1469"/>
  <c r="AY1469"/>
  <c r="BA1469"/>
  <c r="BC1469"/>
  <c r="BE1469"/>
  <c r="BG1469"/>
  <c r="M1470"/>
  <c r="O1470"/>
  <c r="Q1470"/>
  <c r="Y1470"/>
  <c r="AG1470"/>
  <c r="AI1470"/>
  <c r="AK1470"/>
  <c r="AM1470"/>
  <c r="AO1470"/>
  <c r="AQ1470"/>
  <c r="AS1470"/>
  <c r="AU1470"/>
  <c r="AW1470"/>
  <c r="AY1470"/>
  <c r="BA1470"/>
  <c r="BC1470"/>
  <c r="BE1470"/>
  <c r="BG1470"/>
  <c r="M1471"/>
  <c r="O1471"/>
  <c r="Q1471"/>
  <c r="Y1471"/>
  <c r="AG1471"/>
  <c r="AI1471"/>
  <c r="AK1471"/>
  <c r="AM1471"/>
  <c r="AO1471"/>
  <c r="AQ1471"/>
  <c r="AS1471"/>
  <c r="AU1471"/>
  <c r="AW1471"/>
  <c r="AY1471"/>
  <c r="BA1471"/>
  <c r="BC1471"/>
  <c r="BE1471"/>
  <c r="BG1471"/>
  <c r="M1472"/>
  <c r="O1472"/>
  <c r="Q1472"/>
  <c r="Y1472"/>
  <c r="AG1472"/>
  <c r="AI1472"/>
  <c r="AK1472"/>
  <c r="AM1472"/>
  <c r="AO1472"/>
  <c r="AQ1472"/>
  <c r="AS1472"/>
  <c r="AU1472"/>
  <c r="AW1472"/>
  <c r="AY1472"/>
  <c r="BA1472"/>
  <c r="BC1472"/>
  <c r="BE1472"/>
  <c r="BG1472"/>
  <c r="M1473"/>
  <c r="O1473"/>
  <c r="Q1473"/>
  <c r="Y1473"/>
  <c r="AG1473"/>
  <c r="AI1473"/>
  <c r="AK1473"/>
  <c r="AM1473"/>
  <c r="AO1473"/>
  <c r="AQ1473"/>
  <c r="AS1473"/>
  <c r="AU1473"/>
  <c r="AW1473"/>
  <c r="AY1473"/>
  <c r="BA1473"/>
  <c r="BC1473"/>
  <c r="BE1473"/>
  <c r="BG1473"/>
  <c r="M1474"/>
  <c r="O1474"/>
  <c r="Q1474"/>
  <c r="Y1474"/>
  <c r="AG1474"/>
  <c r="AI1474"/>
  <c r="AK1474"/>
  <c r="AM1474"/>
  <c r="AO1474"/>
  <c r="AQ1474"/>
  <c r="AS1474"/>
  <c r="AU1474"/>
  <c r="AW1474"/>
  <c r="AY1474"/>
  <c r="BA1474"/>
  <c r="BC1474"/>
  <c r="BE1474"/>
  <c r="BG1474"/>
  <c r="M1475"/>
  <c r="O1475"/>
  <c r="Q1475"/>
  <c r="Y1475"/>
  <c r="AG1475"/>
  <c r="AI1475"/>
  <c r="AK1475"/>
  <c r="AM1475"/>
  <c r="AO1475"/>
  <c r="AQ1475"/>
  <c r="AS1475"/>
  <c r="AU1475"/>
  <c r="AW1475"/>
  <c r="AY1475"/>
  <c r="BA1475"/>
  <c r="BC1475"/>
  <c r="BE1475"/>
  <c r="BG1475"/>
  <c r="M1476"/>
  <c r="O1476"/>
  <c r="Q1476"/>
  <c r="Y1476"/>
  <c r="AG1476"/>
  <c r="AI1476"/>
  <c r="AK1476"/>
  <c r="AM1476"/>
  <c r="AO1476"/>
  <c r="AQ1476"/>
  <c r="AS1476"/>
  <c r="AU1476"/>
  <c r="AW1476"/>
  <c r="AY1476"/>
  <c r="BA1476"/>
  <c r="BC1476"/>
  <c r="BE1476"/>
  <c r="BG1476"/>
  <c r="M1477"/>
  <c r="O1477"/>
  <c r="Q1477"/>
  <c r="Y1477"/>
  <c r="AG1477"/>
  <c r="AI1477"/>
  <c r="AK1477"/>
  <c r="AM1477"/>
  <c r="AO1477"/>
  <c r="AQ1477"/>
  <c r="AS1477"/>
  <c r="AU1477"/>
  <c r="AW1477"/>
  <c r="AY1477"/>
  <c r="BA1477"/>
  <c r="BC1477"/>
  <c r="BE1477"/>
  <c r="BG1477"/>
  <c r="M1478"/>
  <c r="O1478"/>
  <c r="Q1478"/>
  <c r="Y1478"/>
  <c r="AG1478"/>
  <c r="AI1478"/>
  <c r="AK1478"/>
  <c r="AM1478"/>
  <c r="AO1478"/>
  <c r="AQ1478"/>
  <c r="AS1478"/>
  <c r="AU1478"/>
  <c r="AW1478"/>
  <c r="AY1478"/>
  <c r="BA1478"/>
  <c r="BC1478"/>
  <c r="BE1478"/>
  <c r="BG1478"/>
  <c r="M1479"/>
  <c r="O1479"/>
  <c r="Q1479"/>
  <c r="Y1479"/>
  <c r="AG1479"/>
  <c r="AI1479"/>
  <c r="AK1479"/>
  <c r="AM1479"/>
  <c r="AO1479"/>
  <c r="AQ1479"/>
  <c r="AS1479"/>
  <c r="AU1479"/>
  <c r="AW1479"/>
  <c r="AY1479"/>
  <c r="BA1479"/>
  <c r="BC1479"/>
  <c r="BE1479"/>
  <c r="BG1479"/>
  <c r="M1480"/>
  <c r="O1480"/>
  <c r="Q1480"/>
  <c r="Y1480"/>
  <c r="AG1480"/>
  <c r="AI1480"/>
  <c r="AK1480"/>
  <c r="AM1480"/>
  <c r="AO1480"/>
  <c r="AQ1480"/>
  <c r="AS1480"/>
  <c r="AU1480"/>
  <c r="AW1480"/>
  <c r="AY1480"/>
  <c r="BA1480"/>
  <c r="BC1480"/>
  <c r="BE1480"/>
  <c r="BG1480"/>
  <c r="M1481"/>
  <c r="O1481"/>
  <c r="Q1481"/>
  <c r="Y1481"/>
  <c r="AG1481"/>
  <c r="AI1481"/>
  <c r="AK1481"/>
  <c r="AM1481"/>
  <c r="AO1481"/>
  <c r="AQ1481"/>
  <c r="AS1481"/>
  <c r="AU1481"/>
  <c r="AW1481"/>
  <c r="AY1481"/>
  <c r="BA1481"/>
  <c r="BC1481"/>
  <c r="BE1481"/>
  <c r="BG1481"/>
  <c r="M1482"/>
  <c r="O1482"/>
  <c r="Q1482"/>
  <c r="Y1482"/>
  <c r="AG1482"/>
  <c r="AI1482"/>
  <c r="AK1482"/>
  <c r="AM1482"/>
  <c r="AO1482"/>
  <c r="AQ1482"/>
  <c r="AS1482"/>
  <c r="AU1482"/>
  <c r="AW1482"/>
  <c r="AY1482"/>
  <c r="BA1482"/>
  <c r="BC1482"/>
  <c r="BE1482"/>
  <c r="BG1482"/>
  <c r="M1483"/>
  <c r="O1483"/>
  <c r="Q1483"/>
  <c r="Y1483"/>
  <c r="AG1483"/>
  <c r="AI1483"/>
  <c r="AK1483"/>
  <c r="AM1483"/>
  <c r="AO1483"/>
  <c r="AQ1483"/>
  <c r="AS1483"/>
  <c r="AU1483"/>
  <c r="AW1483"/>
  <c r="AY1483"/>
  <c r="BA1483"/>
  <c r="BC1483"/>
  <c r="BE1483"/>
  <c r="BG1483"/>
  <c r="M1484"/>
  <c r="O1484"/>
  <c r="Q1484"/>
  <c r="Y1484"/>
  <c r="AG1484"/>
  <c r="AI1484"/>
  <c r="AK1484"/>
  <c r="AM1484"/>
  <c r="AO1484"/>
  <c r="AQ1484"/>
  <c r="AS1484"/>
  <c r="AU1484"/>
  <c r="AW1484"/>
  <c r="AY1484"/>
  <c r="BA1484"/>
  <c r="BC1484"/>
  <c r="BE1484"/>
  <c r="BG1484"/>
  <c r="M1485"/>
  <c r="O1485"/>
  <c r="Q1485"/>
  <c r="Y1485"/>
  <c r="AG1485"/>
  <c r="AI1485"/>
  <c r="AK1485"/>
  <c r="AM1485"/>
  <c r="AO1485"/>
  <c r="AQ1485"/>
  <c r="AS1485"/>
  <c r="AU1485"/>
  <c r="AW1485"/>
  <c r="AY1485"/>
  <c r="BA1485"/>
  <c r="BC1485"/>
  <c r="BE1485"/>
  <c r="BG1485"/>
  <c r="M1486"/>
  <c r="O1486"/>
  <c r="Q1486"/>
  <c r="Y1486"/>
  <c r="AG1486"/>
  <c r="AI1486"/>
  <c r="AK1486"/>
  <c r="AM1486"/>
  <c r="AO1486"/>
  <c r="AQ1486"/>
  <c r="AS1486"/>
  <c r="AU1486"/>
  <c r="AW1486"/>
  <c r="AY1486"/>
  <c r="BA1486"/>
  <c r="BC1486"/>
  <c r="BE1486"/>
  <c r="BG1486"/>
  <c r="M1487"/>
  <c r="O1487"/>
  <c r="Q1487"/>
  <c r="Y1487"/>
  <c r="AG1487"/>
  <c r="AI1487"/>
  <c r="AK1487"/>
  <c r="AM1487"/>
  <c r="AO1487"/>
  <c r="AQ1487"/>
  <c r="AS1487"/>
  <c r="AU1487"/>
  <c r="AW1487"/>
  <c r="AY1487"/>
  <c r="BA1487"/>
  <c r="BC1487"/>
  <c r="BE1487"/>
  <c r="BG1487"/>
  <c r="M1488"/>
  <c r="O1488"/>
  <c r="Q1488"/>
  <c r="Y1488"/>
  <c r="AG1488"/>
  <c r="AI1488"/>
  <c r="AK1488"/>
  <c r="AM1488"/>
  <c r="AO1488"/>
  <c r="AQ1488"/>
  <c r="AS1488"/>
  <c r="AU1488"/>
  <c r="AW1488"/>
  <c r="AY1488"/>
  <c r="BA1488"/>
  <c r="BC1488"/>
  <c r="BE1488"/>
  <c r="BG1488"/>
  <c r="M1489"/>
  <c r="O1489"/>
  <c r="Q1489"/>
  <c r="Y1489"/>
  <c r="AG1489"/>
  <c r="AI1489"/>
  <c r="AK1489"/>
  <c r="AM1489"/>
  <c r="AO1489"/>
  <c r="AQ1489"/>
  <c r="AS1489"/>
  <c r="AU1489"/>
  <c r="AW1489"/>
  <c r="AY1489"/>
  <c r="BA1489"/>
  <c r="BC1489"/>
  <c r="BE1489"/>
  <c r="BG1489"/>
  <c r="M1490"/>
  <c r="O1490"/>
  <c r="Y1490"/>
  <c r="AG1490"/>
  <c r="AI1490"/>
  <c r="AK1490"/>
  <c r="AM1490"/>
  <c r="AO1490"/>
  <c r="AQ1490"/>
  <c r="AS1490"/>
  <c r="AU1490"/>
  <c r="AW1490"/>
  <c r="AY1490"/>
  <c r="BA1490"/>
  <c r="BC1490"/>
  <c r="BE1490"/>
  <c r="BG1490"/>
  <c r="M1491"/>
  <c r="O1491"/>
  <c r="Q1491"/>
  <c r="Y1491"/>
  <c r="AG1491"/>
  <c r="AI1491"/>
  <c r="AK1491"/>
  <c r="AM1491"/>
  <c r="AO1491"/>
  <c r="AQ1491"/>
  <c r="AS1491"/>
  <c r="AU1491"/>
  <c r="AW1491"/>
  <c r="AY1491"/>
  <c r="BA1491"/>
  <c r="BC1491"/>
  <c r="BE1491"/>
  <c r="BG1491"/>
  <c r="M1492"/>
  <c r="O1492"/>
  <c r="Q1492"/>
  <c r="Y1492"/>
  <c r="AG1492"/>
  <c r="AI1492"/>
  <c r="AK1492"/>
  <c r="AM1492"/>
  <c r="AO1492"/>
  <c r="AQ1492"/>
  <c r="AS1492"/>
  <c r="AU1492"/>
  <c r="AW1492"/>
  <c r="AY1492"/>
  <c r="BA1492"/>
  <c r="BC1492"/>
  <c r="BE1492"/>
  <c r="BG1492"/>
  <c r="M1493"/>
  <c r="O1493"/>
  <c r="Q1493"/>
  <c r="Y1493"/>
  <c r="AG1493"/>
  <c r="AI1493"/>
  <c r="AK1493"/>
  <c r="AM1493"/>
  <c r="AO1493"/>
  <c r="AQ1493"/>
  <c r="AS1493"/>
  <c r="AU1493"/>
  <c r="AW1493"/>
  <c r="AY1493"/>
  <c r="BA1493"/>
  <c r="BC1493"/>
  <c r="BE1493"/>
  <c r="BG1493"/>
  <c r="M1494"/>
  <c r="O1494"/>
  <c r="Q1494"/>
  <c r="Y1494"/>
  <c r="AG1494"/>
  <c r="AI1494"/>
  <c r="AK1494"/>
  <c r="AM1494"/>
  <c r="AO1494"/>
  <c r="AQ1494"/>
  <c r="AS1494"/>
  <c r="AU1494"/>
  <c r="AW1494"/>
  <c r="AY1494"/>
  <c r="BA1494"/>
  <c r="BC1494"/>
  <c r="BE1494"/>
  <c r="BG1494"/>
  <c r="M1510"/>
  <c r="O1510"/>
  <c r="Q1510"/>
  <c r="Y1510"/>
  <c r="AG1510"/>
  <c r="AI1510"/>
  <c r="AK1510"/>
  <c r="AM1510"/>
  <c r="AO1510"/>
  <c r="AQ1510"/>
  <c r="AS1510"/>
  <c r="AU1510"/>
  <c r="AW1510"/>
  <c r="AY1510"/>
  <c r="BA1510"/>
  <c r="BC1510"/>
  <c r="BE1510"/>
  <c r="BG1510"/>
  <c r="M1511"/>
  <c r="O1511"/>
  <c r="Q1511"/>
  <c r="Y1511"/>
  <c r="AG1511"/>
  <c r="AI1511"/>
  <c r="AK1511"/>
  <c r="AM1511"/>
  <c r="AO1511"/>
  <c r="AQ1511"/>
  <c r="AS1511"/>
  <c r="AU1511"/>
  <c r="AW1511"/>
  <c r="AY1511"/>
  <c r="BA1511"/>
  <c r="BC1511"/>
  <c r="BE1511"/>
  <c r="BG1511"/>
  <c r="M1512"/>
  <c r="O1512"/>
  <c r="Q1512"/>
  <c r="Y1512"/>
  <c r="AG1512"/>
  <c r="AI1512"/>
  <c r="AK1512"/>
  <c r="AM1512"/>
  <c r="AO1512"/>
  <c r="AQ1512"/>
  <c r="AS1512"/>
  <c r="AU1512"/>
  <c r="AW1512"/>
  <c r="AY1512"/>
  <c r="BA1512"/>
  <c r="BC1512"/>
  <c r="BE1512"/>
  <c r="BG1512"/>
  <c r="M1513"/>
  <c r="O1513"/>
  <c r="Q1513"/>
  <c r="Y1513"/>
  <c r="AG1513"/>
  <c r="AI1513"/>
  <c r="AK1513"/>
  <c r="AM1513"/>
  <c r="AO1513"/>
  <c r="AQ1513"/>
  <c r="AS1513"/>
  <c r="AU1513"/>
  <c r="AW1513"/>
  <c r="AY1513"/>
  <c r="BA1513"/>
  <c r="BC1513"/>
  <c r="BE1513"/>
  <c r="BG1513"/>
  <c r="M1514"/>
  <c r="O1514"/>
  <c r="Q1514"/>
  <c r="Y1514"/>
  <c r="AG1514"/>
  <c r="AI1514"/>
  <c r="AK1514"/>
  <c r="AM1514"/>
  <c r="AO1514"/>
  <c r="AQ1514"/>
  <c r="AS1514"/>
  <c r="AU1514"/>
  <c r="AW1514"/>
  <c r="AY1514"/>
  <c r="BA1514"/>
  <c r="BC1514"/>
  <c r="BE1514"/>
  <c r="BG1514"/>
  <c r="M1515"/>
  <c r="O1515"/>
  <c r="Q1515"/>
  <c r="Y1515"/>
  <c r="AG1515"/>
  <c r="AI1515"/>
  <c r="AK1515"/>
  <c r="AM1515"/>
  <c r="AO1515"/>
  <c r="AQ1515"/>
  <c r="AS1515"/>
  <c r="AU1515"/>
  <c r="AW1515"/>
  <c r="AY1515"/>
  <c r="BA1515"/>
  <c r="BC1515"/>
  <c r="BE1515"/>
  <c r="BG1515"/>
  <c r="M1516"/>
  <c r="O1516"/>
  <c r="Q1516"/>
  <c r="Y1516"/>
  <c r="AG1516"/>
  <c r="AI1516"/>
  <c r="AK1516"/>
  <c r="AM1516"/>
  <c r="AO1516"/>
  <c r="AQ1516"/>
  <c r="AS1516"/>
  <c r="AU1516"/>
  <c r="AW1516"/>
  <c r="AY1516"/>
  <c r="BA1516"/>
  <c r="BC1516"/>
  <c r="BE1516"/>
  <c r="BG1516"/>
  <c r="M1517"/>
  <c r="O1517"/>
  <c r="Q1517"/>
  <c r="Y1517"/>
  <c r="AG1517"/>
  <c r="AI1517"/>
  <c r="AK1517"/>
  <c r="AM1517"/>
  <c r="AO1517"/>
  <c r="AQ1517"/>
  <c r="AS1517"/>
  <c r="AU1517"/>
  <c r="AW1517"/>
  <c r="AY1517"/>
  <c r="BA1517"/>
  <c r="BC1517"/>
  <c r="BE1517"/>
  <c r="BG1517"/>
  <c r="M1518"/>
  <c r="O1518"/>
  <c r="Q1518"/>
  <c r="Y1518"/>
  <c r="AG1518"/>
  <c r="AI1518"/>
  <c r="AK1518"/>
  <c r="AM1518"/>
  <c r="AO1518"/>
  <c r="AQ1518"/>
  <c r="AS1518"/>
  <c r="AU1518"/>
  <c r="AW1518"/>
  <c r="AY1518"/>
  <c r="BA1518"/>
  <c r="BC1518"/>
  <c r="BE1518"/>
  <c r="BG1518"/>
  <c r="M1519"/>
  <c r="O1519"/>
  <c r="Q1519"/>
  <c r="Y1519"/>
  <c r="AG1519"/>
  <c r="AI1519"/>
  <c r="AK1519"/>
  <c r="AM1519"/>
  <c r="AO1519"/>
  <c r="AQ1519"/>
  <c r="AS1519"/>
  <c r="AU1519"/>
  <c r="AW1519"/>
  <c r="AY1519"/>
  <c r="BA1519"/>
  <c r="BC1519"/>
  <c r="BE1519"/>
  <c r="BG1519"/>
  <c r="M1520"/>
  <c r="O1520"/>
  <c r="Q1520"/>
  <c r="Y1520"/>
  <c r="AG1520"/>
  <c r="AI1520"/>
  <c r="AK1520"/>
  <c r="AM1520"/>
  <c r="AO1520"/>
  <c r="AQ1520"/>
  <c r="AS1520"/>
  <c r="AU1520"/>
  <c r="AW1520"/>
  <c r="AY1520"/>
  <c r="BA1520"/>
  <c r="BC1520"/>
  <c r="BE1520"/>
  <c r="BG1520"/>
  <c r="M1521"/>
  <c r="O1521"/>
  <c r="Q1521"/>
  <c r="Y1521"/>
  <c r="AG1521"/>
  <c r="AI1521"/>
  <c r="AK1521"/>
  <c r="AM1521"/>
  <c r="AO1521"/>
  <c r="AQ1521"/>
  <c r="AS1521"/>
  <c r="AU1521"/>
  <c r="AW1521"/>
  <c r="AY1521"/>
  <c r="BA1521"/>
  <c r="BC1521"/>
  <c r="BE1521"/>
  <c r="BG1521"/>
  <c r="M1522"/>
  <c r="O1522"/>
  <c r="Q1522"/>
  <c r="Y1522"/>
  <c r="AG1522"/>
  <c r="AI1522"/>
  <c r="AK1522"/>
  <c r="AM1522"/>
  <c r="AO1522"/>
  <c r="AQ1522"/>
  <c r="AS1522"/>
  <c r="AU1522"/>
  <c r="AW1522"/>
  <c r="AY1522"/>
  <c r="BA1522"/>
  <c r="BC1522"/>
  <c r="BE1522"/>
  <c r="BG1522"/>
  <c r="M1523"/>
  <c r="O1523"/>
  <c r="Q1523"/>
  <c r="Y1523"/>
  <c r="AG1523"/>
  <c r="AI1523"/>
  <c r="AK1523"/>
  <c r="AM1523"/>
  <c r="AO1523"/>
  <c r="AQ1523"/>
  <c r="AS1523"/>
  <c r="AU1523"/>
  <c r="AW1523"/>
  <c r="AY1523"/>
  <c r="BA1523"/>
  <c r="BC1523"/>
  <c r="BE1523"/>
  <c r="BG1523"/>
  <c r="M1524"/>
  <c r="O1524"/>
  <c r="Q1524"/>
  <c r="Y1524"/>
  <c r="AG1524"/>
  <c r="AI1524"/>
  <c r="AK1524"/>
  <c r="AM1524"/>
  <c r="AO1524"/>
  <c r="AQ1524"/>
  <c r="AS1524"/>
  <c r="AU1524"/>
  <c r="AW1524"/>
  <c r="AY1524"/>
  <c r="BA1524"/>
  <c r="BC1524"/>
  <c r="BE1524"/>
  <c r="BG1524"/>
  <c r="M1525"/>
  <c r="O1525"/>
  <c r="Q1525"/>
  <c r="Y1525"/>
  <c r="AG1525"/>
  <c r="AI1525"/>
  <c r="AK1525"/>
  <c r="AM1525"/>
  <c r="AO1525"/>
  <c r="AQ1525"/>
  <c r="AS1525"/>
  <c r="AU1525"/>
  <c r="AW1525"/>
  <c r="AY1525"/>
  <c r="BA1525"/>
  <c r="BC1525"/>
  <c r="BE1525"/>
  <c r="BG1525"/>
  <c r="M1526"/>
  <c r="O1526"/>
  <c r="Q1526"/>
  <c r="Y1526"/>
  <c r="AG1526"/>
  <c r="AI1526"/>
  <c r="AK1526"/>
  <c r="AM1526"/>
  <c r="AO1526"/>
  <c r="AQ1526"/>
  <c r="AS1526"/>
  <c r="AU1526"/>
  <c r="AW1526"/>
  <c r="AY1526"/>
  <c r="BA1526"/>
  <c r="BC1526"/>
  <c r="BE1526"/>
  <c r="BG1526"/>
  <c r="M1527"/>
  <c r="O1527"/>
  <c r="Q1527"/>
  <c r="Y1527"/>
  <c r="AG1527"/>
  <c r="AI1527"/>
  <c r="AK1527"/>
  <c r="AM1527"/>
  <c r="AO1527"/>
  <c r="AQ1527"/>
  <c r="AS1527"/>
  <c r="AU1527"/>
  <c r="AW1527"/>
  <c r="AY1527"/>
  <c r="BA1527"/>
  <c r="BC1527"/>
  <c r="BE1527"/>
  <c r="BG1527"/>
  <c r="M1528"/>
  <c r="O1528"/>
  <c r="Q1528"/>
  <c r="Y1528"/>
  <c r="AG1528"/>
  <c r="AI1528"/>
  <c r="AK1528"/>
  <c r="AM1528"/>
  <c r="AO1528"/>
  <c r="AQ1528"/>
  <c r="AS1528"/>
  <c r="AU1528"/>
  <c r="AW1528"/>
  <c r="AY1528"/>
  <c r="BA1528"/>
  <c r="BC1528"/>
  <c r="BE1528"/>
  <c r="BG1528"/>
  <c r="M1529"/>
  <c r="O1529"/>
  <c r="Q1529"/>
  <c r="Y1529"/>
  <c r="AG1529"/>
  <c r="AI1529"/>
  <c r="AK1529"/>
  <c r="AM1529"/>
  <c r="AO1529"/>
  <c r="AQ1529"/>
  <c r="AS1529"/>
  <c r="AU1529"/>
  <c r="AW1529"/>
  <c r="AY1529"/>
  <c r="BA1529"/>
  <c r="BC1529"/>
  <c r="BE1529"/>
  <c r="BG1529"/>
  <c r="M1530"/>
  <c r="O1530"/>
  <c r="Q1530"/>
  <c r="Y1530"/>
  <c r="AG1530"/>
  <c r="AI1530"/>
  <c r="AK1530"/>
  <c r="AM1530"/>
  <c r="AO1530"/>
  <c r="AQ1530"/>
  <c r="AS1530"/>
  <c r="AU1530"/>
  <c r="AW1530"/>
  <c r="AY1530"/>
  <c r="BA1530"/>
  <c r="BC1530"/>
  <c r="BE1530"/>
  <c r="BG1530"/>
  <c r="M1531"/>
  <c r="O1531"/>
  <c r="Q1531"/>
  <c r="Y1531"/>
  <c r="AG1531"/>
  <c r="AI1531"/>
  <c r="AK1531"/>
  <c r="AM1531"/>
  <c r="AO1531"/>
  <c r="AQ1531"/>
  <c r="AS1531"/>
  <c r="AU1531"/>
  <c r="AW1531"/>
  <c r="AY1531"/>
  <c r="BA1531"/>
  <c r="BC1531"/>
  <c r="BE1531"/>
  <c r="BG1531"/>
  <c r="M1532"/>
  <c r="O1532"/>
  <c r="Q1532"/>
  <c r="Y1532"/>
  <c r="AG1532"/>
  <c r="AI1532"/>
  <c r="AK1532"/>
  <c r="AM1532"/>
  <c r="AO1532"/>
  <c r="AQ1532"/>
  <c r="AS1532"/>
  <c r="AU1532"/>
  <c r="AW1532"/>
  <c r="AY1532"/>
  <c r="BA1532"/>
  <c r="BC1532"/>
  <c r="BE1532"/>
  <c r="BG1532"/>
  <c r="M1533"/>
  <c r="O1533"/>
  <c r="Q1533"/>
  <c r="Y1533"/>
  <c r="AG1533"/>
  <c r="AI1533"/>
  <c r="AK1533"/>
  <c r="AM1533"/>
  <c r="AO1533"/>
  <c r="AQ1533"/>
  <c r="AS1533"/>
  <c r="AU1533"/>
  <c r="AW1533"/>
  <c r="AY1533"/>
  <c r="BA1533"/>
  <c r="BC1533"/>
  <c r="BE1533"/>
  <c r="BG1533"/>
  <c r="M1534"/>
  <c r="O1534"/>
  <c r="Q1534"/>
  <c r="Y1534"/>
  <c r="AG1534"/>
  <c r="AI1534"/>
  <c r="AK1534"/>
  <c r="AM1534"/>
  <c r="AO1534"/>
  <c r="AQ1534"/>
  <c r="AS1534"/>
  <c r="AU1534"/>
  <c r="AW1534"/>
  <c r="AY1534"/>
  <c r="BA1534"/>
  <c r="BC1534"/>
  <c r="BE1534"/>
  <c r="BG1534"/>
  <c r="M1535"/>
  <c r="O1535"/>
  <c r="Q1535"/>
  <c r="Y1535"/>
  <c r="AG1535"/>
  <c r="AI1535"/>
  <c r="AK1535"/>
  <c r="AM1535"/>
  <c r="AO1535"/>
  <c r="AQ1535"/>
  <c r="AS1535"/>
  <c r="AU1535"/>
  <c r="AW1535"/>
  <c r="AY1535"/>
  <c r="BA1535"/>
  <c r="BC1535"/>
  <c r="BE1535"/>
  <c r="BG1535"/>
  <c r="M1536"/>
  <c r="O1536"/>
  <c r="Q1536"/>
  <c r="Y1536"/>
  <c r="AG1536"/>
  <c r="AI1536"/>
  <c r="AK1536"/>
  <c r="AM1536"/>
  <c r="AO1536"/>
  <c r="AQ1536"/>
  <c r="AS1536"/>
  <c r="AU1536"/>
  <c r="AW1536"/>
  <c r="AY1536"/>
  <c r="BA1536"/>
  <c r="BC1536"/>
  <c r="BE1536"/>
  <c r="BG1536"/>
  <c r="M1537"/>
  <c r="O1537"/>
  <c r="Q1537"/>
  <c r="Y1537"/>
  <c r="AG1537"/>
  <c r="AI1537"/>
  <c r="AK1537"/>
  <c r="AM1537"/>
  <c r="AO1537"/>
  <c r="AQ1537"/>
  <c r="AS1537"/>
  <c r="AU1537"/>
  <c r="AW1537"/>
  <c r="AY1537"/>
  <c r="BA1537"/>
  <c r="BC1537"/>
  <c r="BE1537"/>
  <c r="BG1537"/>
  <c r="M1538"/>
  <c r="O1538"/>
  <c r="Q1538"/>
  <c r="Y1538"/>
  <c r="AG1538"/>
  <c r="AI1538"/>
  <c r="AK1538"/>
  <c r="AM1538"/>
  <c r="AO1538"/>
  <c r="AQ1538"/>
  <c r="AS1538"/>
  <c r="AU1538"/>
  <c r="AW1538"/>
  <c r="AY1538"/>
  <c r="BA1538"/>
  <c r="BC1538"/>
  <c r="BE1538"/>
  <c r="BG1538"/>
  <c r="M1539"/>
  <c r="O1539"/>
  <c r="Q1539"/>
  <c r="Y1539"/>
  <c r="AG1539"/>
  <c r="AI1539"/>
  <c r="AK1539"/>
  <c r="AM1539"/>
  <c r="AO1539"/>
  <c r="AQ1539"/>
  <c r="AS1539"/>
  <c r="AU1539"/>
  <c r="AW1539"/>
  <c r="AY1539"/>
  <c r="BA1539"/>
  <c r="BC1539"/>
  <c r="BE1539"/>
  <c r="BG1539"/>
  <c r="M1540"/>
  <c r="O1540"/>
  <c r="Q1540"/>
  <c r="Y1540"/>
  <c r="AG1540"/>
  <c r="AI1540"/>
  <c r="AK1540"/>
  <c r="AM1540"/>
  <c r="AO1540"/>
  <c r="AQ1540"/>
  <c r="AS1540"/>
  <c r="AU1540"/>
  <c r="AW1540"/>
  <c r="AY1540"/>
  <c r="BA1540"/>
  <c r="BC1540"/>
  <c r="BE1540"/>
  <c r="BG1540"/>
  <c r="M1541"/>
  <c r="O1541"/>
  <c r="Q1541"/>
  <c r="Y1541"/>
  <c r="AG1541"/>
  <c r="AI1541"/>
  <c r="AK1541"/>
  <c r="AM1541"/>
  <c r="AO1541"/>
  <c r="AQ1541"/>
  <c r="AS1541"/>
  <c r="AU1541"/>
  <c r="AW1541"/>
  <c r="AY1541"/>
  <c r="BA1541"/>
  <c r="BC1541"/>
  <c r="BE1541"/>
  <c r="BG1541"/>
  <c r="M1542"/>
  <c r="O1542"/>
  <c r="Q1542"/>
  <c r="Y1542"/>
  <c r="AG1542"/>
  <c r="AI1542"/>
  <c r="AK1542"/>
  <c r="AM1542"/>
  <c r="AO1542"/>
  <c r="AQ1542"/>
  <c r="AS1542"/>
  <c r="AU1542"/>
  <c r="AW1542"/>
  <c r="AY1542"/>
  <c r="BA1542"/>
  <c r="BC1542"/>
  <c r="BE1542"/>
  <c r="BG1542"/>
  <c r="M1543"/>
  <c r="O1543"/>
  <c r="Q1543"/>
  <c r="Y1543"/>
  <c r="AG1543"/>
  <c r="AI1543"/>
  <c r="AK1543"/>
  <c r="AM1543"/>
  <c r="AO1543"/>
  <c r="AQ1543"/>
  <c r="AS1543"/>
  <c r="AU1543"/>
  <c r="AW1543"/>
  <c r="AY1543"/>
  <c r="BA1543"/>
  <c r="BC1543"/>
  <c r="BE1543"/>
  <c r="BG1543"/>
  <c r="M1544"/>
  <c r="O1544"/>
  <c r="Q1544"/>
  <c r="Y1544"/>
  <c r="AG1544"/>
  <c r="AI1544"/>
  <c r="AK1544"/>
  <c r="AM1544"/>
  <c r="AO1544"/>
  <c r="AQ1544"/>
  <c r="AS1544"/>
  <c r="AU1544"/>
  <c r="AW1544"/>
  <c r="AY1544"/>
  <c r="BA1544"/>
  <c r="BC1544"/>
  <c r="BE1544"/>
  <c r="BG1544"/>
  <c r="M1545"/>
  <c r="O1545"/>
  <c r="Q1545"/>
  <c r="Y1545"/>
  <c r="AG1545"/>
  <c r="AI1545"/>
  <c r="AK1545"/>
  <c r="AM1545"/>
  <c r="AO1545"/>
  <c r="AQ1545"/>
  <c r="AS1545"/>
  <c r="AU1545"/>
  <c r="AW1545"/>
  <c r="AY1545"/>
  <c r="BA1545"/>
  <c r="BC1545"/>
  <c r="BE1545"/>
  <c r="BG1545"/>
  <c r="M1546"/>
  <c r="O1546"/>
  <c r="Q1546"/>
  <c r="Y1546"/>
  <c r="AG1546"/>
  <c r="AI1546"/>
  <c r="AK1546"/>
  <c r="AM1546"/>
  <c r="AO1546"/>
  <c r="AQ1546"/>
  <c r="AS1546"/>
  <c r="AU1546"/>
  <c r="AW1546"/>
  <c r="AY1546"/>
  <c r="BA1546"/>
  <c r="BC1546"/>
  <c r="BE1546"/>
  <c r="BG1546"/>
  <c r="M1547"/>
  <c r="O1547"/>
  <c r="Q1547"/>
  <c r="X1547"/>
  <c r="AG1547"/>
  <c r="AI1547"/>
  <c r="AK1547"/>
  <c r="AM1547"/>
  <c r="AO1547"/>
  <c r="AQ1547"/>
  <c r="AS1547"/>
  <c r="AU1547"/>
  <c r="AW1547"/>
  <c r="AY1547"/>
  <c r="BA1547"/>
  <c r="BC1547"/>
  <c r="BE1547"/>
  <c r="BG1547"/>
  <c r="M1548"/>
  <c r="O1548"/>
  <c r="X1548"/>
  <c r="AG1548"/>
  <c r="AI1548"/>
  <c r="AK1548"/>
  <c r="AM1548"/>
  <c r="AO1548"/>
  <c r="AQ1548"/>
  <c r="AS1548"/>
  <c r="AU1548"/>
  <c r="AW1548"/>
  <c r="AY1548"/>
  <c r="BA1548"/>
  <c r="BC1548"/>
  <c r="BE1548"/>
  <c r="BG1548"/>
  <c r="M1549"/>
  <c r="O1549"/>
  <c r="Q1549"/>
  <c r="X1549"/>
  <c r="AG1549"/>
  <c r="AI1549"/>
  <c r="AK1549"/>
  <c r="AM1549"/>
  <c r="AO1549"/>
  <c r="AQ1549"/>
  <c r="AS1549"/>
  <c r="AU1549"/>
  <c r="AW1549"/>
  <c r="AY1549"/>
  <c r="BA1549"/>
  <c r="BC1549"/>
  <c r="BE1549"/>
  <c r="BG1549"/>
  <c r="M1550"/>
  <c r="O1550"/>
  <c r="Q1550"/>
  <c r="X1550"/>
  <c r="AG1550"/>
  <c r="AI1550"/>
  <c r="AK1550"/>
  <c r="AM1550"/>
  <c r="AO1550"/>
  <c r="AQ1550"/>
  <c r="AS1550"/>
  <c r="AU1550"/>
  <c r="AW1550"/>
  <c r="AY1550"/>
  <c r="BA1550"/>
  <c r="BC1550"/>
  <c r="BE1550"/>
  <c r="BG1550"/>
  <c r="M1551"/>
  <c r="O1551"/>
  <c r="P1551"/>
  <c r="X1551"/>
  <c r="AG1551"/>
  <c r="AI1551"/>
  <c r="AK1551"/>
  <c r="AM1551"/>
  <c r="AO1551"/>
  <c r="AQ1551"/>
  <c r="AS1551"/>
  <c r="AU1551"/>
  <c r="AW1551"/>
  <c r="AY1551"/>
  <c r="BA1551"/>
  <c r="BC1551"/>
  <c r="BE1551"/>
  <c r="BG1551"/>
  <c r="M1552"/>
  <c r="O1552"/>
  <c r="P1552"/>
  <c r="X1552"/>
  <c r="AG1552"/>
  <c r="AI1552"/>
  <c r="AK1552"/>
  <c r="AM1552"/>
  <c r="AO1552"/>
  <c r="AQ1552"/>
  <c r="AS1552"/>
  <c r="AU1552"/>
  <c r="AW1552"/>
  <c r="AY1552"/>
  <c r="BA1552"/>
  <c r="BC1552"/>
  <c r="BE1552"/>
  <c r="BG1552"/>
  <c r="N1553"/>
  <c r="P1553"/>
  <c r="R1553"/>
  <c r="T1553"/>
  <c r="V1553"/>
  <c r="X1553"/>
  <c r="Z1553"/>
  <c r="AB1553"/>
  <c r="AD1553"/>
  <c r="AH1553"/>
  <c r="AJ1553"/>
  <c r="AL1553"/>
  <c r="AT1553"/>
  <c r="AV1553"/>
  <c r="BB1553"/>
  <c r="R1554"/>
  <c r="T1554"/>
  <c r="Z1554"/>
  <c r="AD1554"/>
  <c r="AJ1554"/>
  <c r="AL1554"/>
  <c r="M1555"/>
  <c r="O1555"/>
  <c r="S1555"/>
  <c r="U1555"/>
  <c r="Y1555"/>
  <c r="AA1555"/>
  <c r="AC1555"/>
  <c r="AI1555"/>
  <c r="AM1555"/>
  <c r="AU1555"/>
  <c r="AW1555"/>
  <c r="N1556"/>
  <c r="R1556"/>
  <c r="T1556"/>
  <c r="Z1556"/>
  <c r="AB1556"/>
  <c r="AD1556"/>
  <c r="AH1556"/>
  <c r="AJ1556"/>
  <c r="AL1556"/>
  <c r="P1557"/>
  <c r="R1557"/>
  <c r="T1557"/>
  <c r="X1557"/>
  <c r="Z1557"/>
  <c r="AB1557"/>
  <c r="AD1557"/>
  <c r="AH1557"/>
  <c r="AJ1557"/>
  <c r="AL1557"/>
  <c r="M1568"/>
  <c r="O1568"/>
  <c r="Q1568"/>
  <c r="Y1568"/>
  <c r="AG1568"/>
  <c r="AI1568"/>
  <c r="AK1568"/>
  <c r="AM1568"/>
  <c r="AO1568"/>
  <c r="AQ1568"/>
  <c r="AS1568"/>
  <c r="AU1568"/>
  <c r="AW1568"/>
  <c r="AY1568"/>
  <c r="BA1568"/>
  <c r="BC1568"/>
  <c r="BE1568"/>
  <c r="BG1568"/>
  <c r="M1569"/>
  <c r="O1569"/>
  <c r="Q1569"/>
  <c r="Y1569"/>
  <c r="AG1569"/>
  <c r="AI1569"/>
  <c r="AK1569"/>
  <c r="AM1569"/>
  <c r="AO1569"/>
  <c r="AQ1569"/>
  <c r="AS1569"/>
  <c r="AU1569"/>
  <c r="AW1569"/>
  <c r="AY1569"/>
  <c r="BA1569"/>
  <c r="BC1569"/>
  <c r="BE1569"/>
  <c r="BG1569"/>
  <c r="M1570"/>
  <c r="O1570"/>
  <c r="Q1570"/>
  <c r="Y1570"/>
  <c r="AG1570"/>
  <c r="AI1570"/>
  <c r="AK1570"/>
  <c r="AM1570"/>
  <c r="AO1570"/>
  <c r="AQ1570"/>
  <c r="AS1570"/>
  <c r="AU1570"/>
  <c r="AW1570"/>
  <c r="AY1570"/>
  <c r="BA1570"/>
  <c r="BC1570"/>
  <c r="BE1570"/>
  <c r="BG1570"/>
  <c r="M1571"/>
  <c r="O1571"/>
  <c r="Q1571"/>
  <c r="Y1571"/>
  <c r="AG1571"/>
  <c r="AI1571"/>
  <c r="AK1571"/>
  <c r="AM1571"/>
  <c r="AO1571"/>
  <c r="AQ1571"/>
  <c r="AS1571"/>
  <c r="AU1571"/>
  <c r="AW1571"/>
  <c r="AY1571"/>
  <c r="BA1571"/>
  <c r="BC1571"/>
  <c r="BE1571"/>
  <c r="BG1571"/>
  <c r="M1572"/>
  <c r="O1572"/>
  <c r="Q1572"/>
  <c r="Y1572"/>
  <c r="AG1572"/>
  <c r="AI1572"/>
  <c r="AK1572"/>
  <c r="AM1572"/>
  <c r="AO1572"/>
  <c r="AQ1572"/>
  <c r="AS1572"/>
  <c r="AU1572"/>
  <c r="AW1572"/>
  <c r="AY1572"/>
  <c r="BA1572"/>
  <c r="BC1572"/>
  <c r="BE1572"/>
  <c r="BG1572"/>
  <c r="M1573"/>
  <c r="O1573"/>
  <c r="Q1573"/>
  <c r="Y1573"/>
  <c r="AG1573"/>
  <c r="AI1573"/>
  <c r="AK1573"/>
  <c r="AM1573"/>
  <c r="AO1573"/>
  <c r="AQ1573"/>
  <c r="AS1573"/>
  <c r="AU1573"/>
  <c r="AW1573"/>
  <c r="AY1573"/>
  <c r="BA1573"/>
  <c r="BC1573"/>
  <c r="BE1573"/>
  <c r="BG1573"/>
  <c r="M1574"/>
  <c r="O1574"/>
  <c r="Q1574"/>
  <c r="Y1574"/>
  <c r="AG1574"/>
  <c r="AI1574"/>
  <c r="AK1574"/>
  <c r="AM1574"/>
  <c r="AO1574"/>
  <c r="AQ1574"/>
  <c r="AS1574"/>
  <c r="AU1574"/>
  <c r="AW1574"/>
  <c r="AY1574"/>
  <c r="BA1574"/>
  <c r="BC1574"/>
  <c r="BE1574"/>
  <c r="BG1574"/>
  <c r="M1575"/>
  <c r="O1575"/>
  <c r="Q1575"/>
  <c r="Y1575"/>
  <c r="AG1575"/>
  <c r="AI1575"/>
  <c r="AK1575"/>
  <c r="AM1575"/>
  <c r="AO1575"/>
  <c r="AQ1575"/>
  <c r="AS1575"/>
  <c r="AU1575"/>
  <c r="AW1575"/>
  <c r="AY1575"/>
  <c r="BA1575"/>
  <c r="BC1575"/>
  <c r="BE1575"/>
  <c r="BG1575"/>
  <c r="M1576"/>
  <c r="O1576"/>
  <c r="Q1576"/>
  <c r="Y1576"/>
  <c r="AG1576"/>
  <c r="AI1576"/>
  <c r="AK1576"/>
  <c r="AM1576"/>
  <c r="AO1576"/>
  <c r="AQ1576"/>
  <c r="AS1576"/>
  <c r="AU1576"/>
  <c r="AW1576"/>
  <c r="AY1576"/>
  <c r="BA1576"/>
  <c r="BC1576"/>
  <c r="BE1576"/>
  <c r="BG1576"/>
  <c r="M1577"/>
  <c r="O1577"/>
  <c r="Q1577"/>
  <c r="Y1577"/>
  <c r="AG1577"/>
  <c r="AI1577"/>
  <c r="AK1577"/>
  <c r="AM1577"/>
  <c r="AO1577"/>
  <c r="AQ1577"/>
  <c r="AS1577"/>
  <c r="AU1577"/>
  <c r="AW1577"/>
  <c r="AY1577"/>
  <c r="BA1577"/>
  <c r="BC1577"/>
  <c r="BE1577"/>
  <c r="BG1577"/>
  <c r="M1578"/>
  <c r="O1578"/>
  <c r="Q1578"/>
  <c r="Y1578"/>
  <c r="AG1578"/>
  <c r="AI1578"/>
  <c r="AK1578"/>
  <c r="AM1578"/>
  <c r="AO1578"/>
  <c r="AQ1578"/>
  <c r="AS1578"/>
  <c r="AU1578"/>
  <c r="AW1578"/>
  <c r="AY1578"/>
  <c r="BA1578"/>
  <c r="BC1578"/>
  <c r="BE1578"/>
  <c r="BG1578"/>
  <c r="M1579"/>
  <c r="O1579"/>
  <c r="Q1579"/>
  <c r="Y1579"/>
  <c r="AG1579"/>
  <c r="AI1579"/>
  <c r="AK1579"/>
  <c r="AM1579"/>
  <c r="AO1579"/>
  <c r="AQ1579"/>
  <c r="AS1579"/>
  <c r="AU1579"/>
  <c r="AW1579"/>
  <c r="AY1579"/>
  <c r="BA1579"/>
  <c r="BC1579"/>
  <c r="BE1579"/>
  <c r="BG1579"/>
  <c r="M1580"/>
  <c r="O1580"/>
  <c r="Q1580"/>
  <c r="Y1580"/>
  <c r="AG1580"/>
  <c r="AI1580"/>
  <c r="AK1580"/>
  <c r="AM1580"/>
  <c r="AO1580"/>
  <c r="AQ1580"/>
  <c r="AS1580"/>
  <c r="AU1580"/>
  <c r="AW1580"/>
  <c r="AY1580"/>
  <c r="BA1580"/>
  <c r="BC1580"/>
  <c r="BE1580"/>
  <c r="BG1580"/>
  <c r="M1581"/>
  <c r="O1581"/>
  <c r="Q1581"/>
  <c r="Y1581"/>
  <c r="AG1581"/>
  <c r="AI1581"/>
  <c r="AK1581"/>
  <c r="AM1581"/>
  <c r="AO1581"/>
  <c r="AQ1581"/>
  <c r="AS1581"/>
  <c r="AU1581"/>
  <c r="AW1581"/>
  <c r="AY1581"/>
  <c r="BA1581"/>
  <c r="BC1581"/>
  <c r="BE1581"/>
  <c r="BG1581"/>
  <c r="M1582"/>
  <c r="O1582"/>
  <c r="Q1582"/>
  <c r="Y1582"/>
  <c r="AG1582"/>
  <c r="AI1582"/>
  <c r="AK1582"/>
  <c r="AM1582"/>
  <c r="AO1582"/>
  <c r="AQ1582"/>
  <c r="AS1582"/>
  <c r="AU1582"/>
  <c r="AW1582"/>
  <c r="AY1582"/>
  <c r="BA1582"/>
  <c r="BC1582"/>
  <c r="BE1582"/>
  <c r="BG1582"/>
  <c r="M1583"/>
  <c r="O1583"/>
  <c r="Q1583"/>
  <c r="Y1583"/>
  <c r="AG1583"/>
  <c r="AI1583"/>
  <c r="AK1583"/>
  <c r="AM1583"/>
  <c r="AO1583"/>
  <c r="AQ1583"/>
  <c r="AS1583"/>
  <c r="AU1583"/>
  <c r="AW1583"/>
  <c r="AY1583"/>
  <c r="BA1583"/>
  <c r="BC1583"/>
  <c r="BE1583"/>
  <c r="BG1583"/>
  <c r="M1584"/>
  <c r="O1584"/>
  <c r="Q1584"/>
  <c r="Y1584"/>
  <c r="AG1584"/>
  <c r="AI1584"/>
  <c r="AK1584"/>
  <c r="AM1584"/>
  <c r="AO1584"/>
  <c r="AQ1584"/>
  <c r="AS1584"/>
  <c r="AU1584"/>
  <c r="AW1584"/>
  <c r="AY1584"/>
  <c r="BA1584"/>
  <c r="BC1584"/>
  <c r="BE1584"/>
  <c r="BG1584"/>
  <c r="M1585"/>
  <c r="O1585"/>
  <c r="Q1585"/>
  <c r="Y1585"/>
  <c r="AG1585"/>
  <c r="AI1585"/>
  <c r="AK1585"/>
  <c r="AM1585"/>
  <c r="AO1585"/>
  <c r="AQ1585"/>
  <c r="AS1585"/>
  <c r="AU1585"/>
  <c r="AW1585"/>
  <c r="AY1585"/>
  <c r="BA1585"/>
  <c r="BC1585"/>
  <c r="BE1585"/>
  <c r="BG1585"/>
  <c r="M1586"/>
  <c r="O1586"/>
  <c r="Q1586"/>
  <c r="Y1586"/>
  <c r="AG1586"/>
  <c r="AI1586"/>
  <c r="AK1586"/>
  <c r="AM1586"/>
  <c r="AO1586"/>
  <c r="AQ1586"/>
  <c r="AS1586"/>
  <c r="AU1586"/>
  <c r="AW1586"/>
  <c r="AY1586"/>
  <c r="BA1586"/>
  <c r="BC1586"/>
  <c r="BE1586"/>
  <c r="BG1586"/>
  <c r="M1587"/>
  <c r="O1587"/>
  <c r="Q1587"/>
  <c r="Y1587"/>
  <c r="AG1587"/>
  <c r="AI1587"/>
  <c r="AK1587"/>
  <c r="AM1587"/>
  <c r="AO1587"/>
  <c r="AQ1587"/>
  <c r="AS1587"/>
  <c r="AU1587"/>
  <c r="AW1587"/>
  <c r="AY1587"/>
  <c r="BA1587"/>
  <c r="BC1587"/>
  <c r="BE1587"/>
  <c r="BG1587"/>
  <c r="M1588"/>
  <c r="O1588"/>
  <c r="Q1588"/>
  <c r="Y1588"/>
  <c r="AG1588"/>
  <c r="AI1588"/>
  <c r="AK1588"/>
  <c r="AM1588"/>
  <c r="AO1588"/>
  <c r="AQ1588"/>
  <c r="AS1588"/>
  <c r="AU1588"/>
  <c r="AW1588"/>
  <c r="AY1588"/>
  <c r="BA1588"/>
  <c r="BC1588"/>
  <c r="BE1588"/>
  <c r="BG1588"/>
  <c r="M1589"/>
  <c r="O1589"/>
  <c r="Q1589"/>
  <c r="Y1589"/>
  <c r="AG1589"/>
  <c r="AI1589"/>
  <c r="AK1589"/>
  <c r="AM1589"/>
  <c r="AO1589"/>
  <c r="AQ1589"/>
  <c r="AS1589"/>
  <c r="AU1589"/>
  <c r="AW1589"/>
  <c r="AY1589"/>
  <c r="BA1589"/>
  <c r="BC1589"/>
  <c r="BE1589"/>
  <c r="BG1589"/>
  <c r="M1590"/>
  <c r="O1590"/>
  <c r="Q1590"/>
  <c r="Y1590"/>
  <c r="AG1590"/>
  <c r="AI1590"/>
  <c r="AK1590"/>
  <c r="AM1590"/>
  <c r="AO1590"/>
  <c r="AQ1590"/>
  <c r="AS1590"/>
  <c r="AU1590"/>
  <c r="AW1590"/>
  <c r="AY1590"/>
  <c r="BA1590"/>
  <c r="BC1590"/>
  <c r="BE1590"/>
  <c r="BG1590"/>
  <c r="M1591"/>
  <c r="O1591"/>
  <c r="Q1591"/>
  <c r="Y1591"/>
  <c r="AG1591"/>
  <c r="AI1591"/>
  <c r="AK1591"/>
  <c r="AM1591"/>
  <c r="AO1591"/>
  <c r="AQ1591"/>
  <c r="AS1591"/>
  <c r="AU1591"/>
  <c r="AW1591"/>
  <c r="AY1591"/>
  <c r="BA1591"/>
  <c r="BC1591"/>
  <c r="BE1591"/>
  <c r="BG1591"/>
  <c r="M1592"/>
  <c r="O1592"/>
  <c r="Q1592"/>
  <c r="Y1592"/>
  <c r="AG1592"/>
  <c r="AI1592"/>
  <c r="AK1592"/>
  <c r="AM1592"/>
  <c r="AO1592"/>
  <c r="AQ1592"/>
  <c r="AS1592"/>
  <c r="AU1592"/>
  <c r="AW1592"/>
  <c r="AY1592"/>
  <c r="BA1592"/>
  <c r="BC1592"/>
  <c r="BE1592"/>
  <c r="BG1592"/>
  <c r="M1593"/>
  <c r="O1593"/>
  <c r="Q1593"/>
  <c r="Y1593"/>
  <c r="AG1593"/>
  <c r="AI1593"/>
  <c r="AK1593"/>
  <c r="AM1593"/>
  <c r="AO1593"/>
  <c r="AQ1593"/>
  <c r="AS1593"/>
  <c r="AU1593"/>
  <c r="AW1593"/>
  <c r="AY1593"/>
  <c r="BA1593"/>
  <c r="BC1593"/>
  <c r="BE1593"/>
  <c r="BG1593"/>
  <c r="M1594"/>
  <c r="O1594"/>
  <c r="Q1594"/>
  <c r="Y1594"/>
  <c r="AG1594"/>
  <c r="AI1594"/>
  <c r="AK1594"/>
  <c r="AM1594"/>
  <c r="AO1594"/>
  <c r="AQ1594"/>
  <c r="AS1594"/>
  <c r="AU1594"/>
  <c r="AW1594"/>
  <c r="AY1594"/>
  <c r="BA1594"/>
  <c r="BC1594"/>
  <c r="BE1594"/>
  <c r="BG1594"/>
  <c r="M1595"/>
  <c r="O1595"/>
  <c r="Q1595"/>
  <c r="Y1595"/>
  <c r="AG1595"/>
  <c r="AI1595"/>
  <c r="AK1595"/>
  <c r="AM1595"/>
  <c r="AO1595"/>
  <c r="AQ1595"/>
  <c r="AS1595"/>
  <c r="AU1595"/>
  <c r="AW1595"/>
  <c r="AY1595"/>
  <c r="BA1595"/>
  <c r="BC1595"/>
  <c r="BE1595"/>
  <c r="BG1595"/>
  <c r="M1596"/>
  <c r="O1596"/>
  <c r="Q1596"/>
  <c r="Y1596"/>
  <c r="AG1596"/>
  <c r="AI1596"/>
  <c r="AK1596"/>
  <c r="AM1596"/>
  <c r="AO1596"/>
  <c r="AQ1596"/>
  <c r="AS1596"/>
  <c r="AU1596"/>
  <c r="AW1596"/>
  <c r="AY1596"/>
  <c r="BA1596"/>
  <c r="BC1596"/>
  <c r="BE1596"/>
  <c r="BG1596"/>
  <c r="M1597"/>
  <c r="O1597"/>
  <c r="Q1597"/>
  <c r="Y1597"/>
  <c r="AG1597"/>
  <c r="AI1597"/>
  <c r="AK1597"/>
  <c r="AM1597"/>
  <c r="AO1597"/>
  <c r="AQ1597"/>
  <c r="AS1597"/>
  <c r="AU1597"/>
  <c r="AW1597"/>
  <c r="AY1597"/>
  <c r="BA1597"/>
  <c r="BC1597"/>
  <c r="BE1597"/>
  <c r="BG1597"/>
  <c r="M1598"/>
  <c r="O1598"/>
  <c r="Q1598"/>
  <c r="Y1598"/>
  <c r="AG1598"/>
  <c r="AI1598"/>
  <c r="AK1598"/>
  <c r="AM1598"/>
  <c r="AO1598"/>
  <c r="AQ1598"/>
  <c r="AS1598"/>
  <c r="AU1598"/>
  <c r="AW1598"/>
  <c r="AY1598"/>
  <c r="BA1598"/>
  <c r="BC1598"/>
  <c r="BE1598"/>
  <c r="BG1598"/>
  <c r="M1599"/>
  <c r="O1599"/>
  <c r="Q1599"/>
  <c r="Y1599"/>
  <c r="AG1599"/>
  <c r="AI1599"/>
  <c r="AK1599"/>
  <c r="AM1599"/>
  <c r="AO1599"/>
  <c r="AQ1599"/>
  <c r="AS1599"/>
  <c r="AU1599"/>
  <c r="AW1599"/>
  <c r="AY1599"/>
  <c r="BA1599"/>
  <c r="BC1599"/>
  <c r="BE1599"/>
  <c r="BG1599"/>
  <c r="M1600"/>
  <c r="O1600"/>
  <c r="Q1600"/>
  <c r="Y1600"/>
  <c r="AG1600"/>
  <c r="AI1600"/>
  <c r="AK1600"/>
  <c r="AM1600"/>
  <c r="AO1600"/>
  <c r="AQ1600"/>
  <c r="AS1600"/>
  <c r="AU1600"/>
  <c r="AW1600"/>
  <c r="AY1600"/>
  <c r="BA1600"/>
  <c r="BC1600"/>
  <c r="BE1600"/>
  <c r="BG1600"/>
  <c r="M1601"/>
  <c r="O1601"/>
  <c r="Q1601"/>
  <c r="Y1601"/>
  <c r="AG1601"/>
  <c r="AI1601"/>
  <c r="AK1601"/>
  <c r="AM1601"/>
  <c r="AO1601"/>
  <c r="AQ1601"/>
  <c r="AS1601"/>
  <c r="AU1601"/>
  <c r="AW1601"/>
  <c r="AY1601"/>
  <c r="BA1601"/>
  <c r="BC1601"/>
  <c r="BE1601"/>
  <c r="BG1601"/>
  <c r="M1602"/>
  <c r="O1602"/>
  <c r="Q1602"/>
  <c r="Y1602"/>
  <c r="AG1602"/>
  <c r="AI1602"/>
  <c r="AK1602"/>
  <c r="AM1602"/>
  <c r="AO1602"/>
  <c r="AQ1602"/>
  <c r="AS1602"/>
  <c r="AU1602"/>
  <c r="AW1602"/>
  <c r="AY1602"/>
  <c r="BA1602"/>
  <c r="BC1602"/>
  <c r="BE1602"/>
  <c r="BG1602"/>
  <c r="M1603"/>
  <c r="O1603"/>
  <c r="P1603"/>
  <c r="X1603"/>
  <c r="AG1603"/>
  <c r="AI1603"/>
  <c r="AK1603"/>
  <c r="AM1603"/>
  <c r="AO1603"/>
  <c r="AQ1603"/>
  <c r="AS1603"/>
  <c r="AU1603"/>
  <c r="AW1603"/>
  <c r="AY1603"/>
  <c r="BA1603"/>
  <c r="BC1603"/>
  <c r="BE1603"/>
  <c r="BG1603"/>
  <c r="M1604"/>
  <c r="O1604"/>
  <c r="P1604"/>
  <c r="X1604"/>
  <c r="AG1604"/>
  <c r="AI1604"/>
  <c r="AK1604"/>
  <c r="AM1604"/>
  <c r="AO1604"/>
  <c r="AQ1604"/>
  <c r="AS1604"/>
  <c r="AU1604"/>
  <c r="AW1604"/>
  <c r="AY1604"/>
  <c r="BA1604"/>
  <c r="BC1604"/>
  <c r="BE1604"/>
  <c r="BG1604"/>
  <c r="M1605"/>
  <c r="O1605"/>
  <c r="P1605"/>
  <c r="X1605"/>
  <c r="AG1605"/>
  <c r="AI1605"/>
  <c r="AK1605"/>
  <c r="AM1605"/>
  <c r="AO1605"/>
  <c r="AQ1605"/>
  <c r="AS1605"/>
  <c r="AU1605"/>
  <c r="AW1605"/>
  <c r="AY1605"/>
  <c r="BA1605"/>
  <c r="BC1605"/>
  <c r="BE1605"/>
  <c r="BG1605"/>
  <c r="M1606"/>
  <c r="O1606"/>
  <c r="X1606"/>
  <c r="AG1606"/>
  <c r="AI1606"/>
  <c r="AK1606"/>
  <c r="AM1606"/>
  <c r="AO1606"/>
  <c r="AQ1606"/>
  <c r="AS1606"/>
  <c r="AU1606"/>
  <c r="AW1606"/>
  <c r="AY1606"/>
  <c r="BA1606"/>
  <c r="BC1606"/>
  <c r="BE1606"/>
  <c r="BG1606"/>
  <c r="M1607"/>
  <c r="O1607"/>
  <c r="P1607"/>
  <c r="X1607"/>
  <c r="AG1607"/>
  <c r="AI1607"/>
  <c r="AK1607"/>
  <c r="AM1607"/>
  <c r="AO1607"/>
  <c r="AQ1607"/>
  <c r="AS1607"/>
  <c r="AU1607"/>
  <c r="AW1607"/>
  <c r="AY1607"/>
  <c r="BA1607"/>
  <c r="BC1607"/>
  <c r="BE1607"/>
  <c r="BG1607"/>
  <c r="M1608"/>
  <c r="O1608"/>
  <c r="P1608"/>
  <c r="X1608"/>
  <c r="AG1608"/>
  <c r="AI1608"/>
  <c r="AK1608"/>
  <c r="AM1608"/>
  <c r="AO1608"/>
  <c r="AQ1608"/>
  <c r="AS1608"/>
  <c r="AU1608"/>
  <c r="AW1608"/>
  <c r="AY1608"/>
  <c r="BA1608"/>
  <c r="BC1608"/>
  <c r="BE1608"/>
  <c r="BG1608"/>
  <c r="M1609"/>
  <c r="O1609"/>
  <c r="P1609"/>
  <c r="X1609"/>
  <c r="AG1609"/>
  <c r="AI1609"/>
  <c r="AK1609"/>
  <c r="AM1609"/>
  <c r="AO1609"/>
  <c r="AQ1609"/>
  <c r="AS1609"/>
  <c r="AU1609"/>
  <c r="AW1609"/>
  <c r="AY1609"/>
  <c r="BA1609"/>
  <c r="BC1609"/>
  <c r="BE1609"/>
  <c r="BG1609"/>
  <c r="M1610"/>
  <c r="O1610"/>
  <c r="P1610"/>
  <c r="X1610"/>
  <c r="AG1610"/>
  <c r="AI1610"/>
  <c r="AK1610"/>
  <c r="AM1610"/>
  <c r="AO1610"/>
  <c r="AQ1610"/>
  <c r="AS1610"/>
  <c r="AU1610"/>
  <c r="AW1610"/>
  <c r="AY1610"/>
  <c r="BA1610"/>
  <c r="BC1610"/>
  <c r="BE1610"/>
  <c r="BG1610"/>
  <c r="N1611"/>
  <c r="P1611"/>
  <c r="R1611"/>
  <c r="T1611"/>
  <c r="X1611"/>
  <c r="AD1611"/>
  <c r="AK1611"/>
  <c r="BO1611" s="1"/>
  <c r="AL1611"/>
  <c r="AV1611"/>
  <c r="N1612"/>
  <c r="P1612"/>
  <c r="R1612"/>
  <c r="T1612"/>
  <c r="V1612"/>
  <c r="X1612"/>
  <c r="Z1612"/>
  <c r="AB1612"/>
  <c r="AD1612"/>
  <c r="AH1612"/>
  <c r="AK1612"/>
  <c r="BO1612" s="1"/>
  <c r="AL1612"/>
  <c r="AT1612"/>
  <c r="AV1612"/>
  <c r="AX1612"/>
  <c r="N1613"/>
  <c r="P1613"/>
  <c r="R1613"/>
  <c r="T1613"/>
  <c r="V1613"/>
  <c r="X1613"/>
  <c r="Z1613"/>
  <c r="AB1613"/>
  <c r="AD1613"/>
  <c r="AH1613"/>
  <c r="AK1613"/>
  <c r="BO1613" s="1"/>
  <c r="AL1613"/>
  <c r="AT1613"/>
  <c r="AV1613"/>
  <c r="M1626"/>
  <c r="O1626"/>
  <c r="Q1626"/>
  <c r="Y1626"/>
  <c r="AG1626"/>
  <c r="AI1626"/>
  <c r="AK1626"/>
  <c r="AM1626"/>
  <c r="AO1626"/>
  <c r="AQ1626"/>
  <c r="AS1626"/>
  <c r="AU1626"/>
  <c r="AW1626"/>
  <c r="AY1626"/>
  <c r="BA1626"/>
  <c r="BC1626"/>
  <c r="BE1626"/>
  <c r="BG1626"/>
  <c r="M1627"/>
  <c r="O1627"/>
  <c r="Q1627"/>
  <c r="Y1627"/>
  <c r="AG1627"/>
  <c r="AI1627"/>
  <c r="AK1627"/>
  <c r="AM1627"/>
  <c r="AO1627"/>
  <c r="AQ1627"/>
  <c r="AS1627"/>
  <c r="AU1627"/>
  <c r="AW1627"/>
  <c r="AY1627"/>
  <c r="BA1627"/>
  <c r="BC1627"/>
  <c r="BE1627"/>
  <c r="BG1627"/>
  <c r="M1628"/>
  <c r="O1628"/>
  <c r="Q1628"/>
  <c r="Y1628"/>
  <c r="AG1628"/>
  <c r="AI1628"/>
  <c r="AK1628"/>
  <c r="AM1628"/>
  <c r="AO1628"/>
  <c r="AQ1628"/>
  <c r="AS1628"/>
  <c r="AU1628"/>
  <c r="AW1628"/>
  <c r="AY1628"/>
  <c r="BA1628"/>
  <c r="BC1628"/>
  <c r="BE1628"/>
  <c r="BG1628"/>
  <c r="M1629"/>
  <c r="O1629"/>
  <c r="Q1629"/>
  <c r="Y1629"/>
  <c r="AG1629"/>
  <c r="AI1629"/>
  <c r="AK1629"/>
  <c r="AM1629"/>
  <c r="AO1629"/>
  <c r="AQ1629"/>
  <c r="AS1629"/>
  <c r="AU1629"/>
  <c r="AW1629"/>
  <c r="AY1629"/>
  <c r="BA1629"/>
  <c r="BC1629"/>
  <c r="BE1629"/>
  <c r="BG1629"/>
  <c r="M1630"/>
  <c r="O1630"/>
  <c r="Q1630"/>
  <c r="Y1630"/>
  <c r="AG1630"/>
  <c r="AI1630"/>
  <c r="AK1630"/>
  <c r="AM1630"/>
  <c r="AO1630"/>
  <c r="AQ1630"/>
  <c r="AS1630"/>
  <c r="AU1630"/>
  <c r="AW1630"/>
  <c r="AY1630"/>
  <c r="BA1630"/>
  <c r="BC1630"/>
  <c r="BE1630"/>
  <c r="BG1630"/>
  <c r="M1631"/>
  <c r="O1631"/>
  <c r="Q1631"/>
  <c r="Y1631"/>
  <c r="AG1631"/>
  <c r="AI1631"/>
  <c r="AK1631"/>
  <c r="AM1631"/>
  <c r="AO1631"/>
  <c r="AQ1631"/>
  <c r="AS1631"/>
  <c r="AU1631"/>
  <c r="AW1631"/>
  <c r="AY1631"/>
  <c r="BA1631"/>
  <c r="BC1631"/>
  <c r="BE1631"/>
  <c r="BG1631"/>
  <c r="M1632"/>
  <c r="O1632"/>
  <c r="Q1632"/>
  <c r="Y1632"/>
  <c r="AG1632"/>
  <c r="AI1632"/>
  <c r="AK1632"/>
  <c r="AM1632"/>
  <c r="AO1632"/>
  <c r="AQ1632"/>
  <c r="AS1632"/>
  <c r="AU1632"/>
  <c r="AW1632"/>
  <c r="AY1632"/>
  <c r="BA1632"/>
  <c r="BC1632"/>
  <c r="BE1632"/>
  <c r="BG1632"/>
  <c r="M1633"/>
  <c r="O1633"/>
  <c r="Q1633"/>
  <c r="Y1633"/>
  <c r="AG1633"/>
  <c r="AI1633"/>
  <c r="AK1633"/>
  <c r="AM1633"/>
  <c r="AO1633"/>
  <c r="AQ1633"/>
  <c r="AS1633"/>
  <c r="AU1633"/>
  <c r="AW1633"/>
  <c r="AY1633"/>
  <c r="BA1633"/>
  <c r="BC1633"/>
  <c r="BE1633"/>
  <c r="BG1633"/>
  <c r="M1634"/>
  <c r="O1634"/>
  <c r="Q1634"/>
  <c r="Y1634"/>
  <c r="AG1634"/>
  <c r="AI1634"/>
  <c r="AK1634"/>
  <c r="AM1634"/>
  <c r="AO1634"/>
  <c r="AQ1634"/>
  <c r="AS1634"/>
  <c r="AU1634"/>
  <c r="AW1634"/>
  <c r="AY1634"/>
  <c r="BA1634"/>
  <c r="BC1634"/>
  <c r="BE1634"/>
  <c r="BG1634"/>
  <c r="M1635"/>
  <c r="O1635"/>
  <c r="Q1635"/>
  <c r="Y1635"/>
  <c r="AG1635"/>
  <c r="AI1635"/>
  <c r="AK1635"/>
  <c r="AM1635"/>
  <c r="AO1635"/>
  <c r="AQ1635"/>
  <c r="AS1635"/>
  <c r="AU1635"/>
  <c r="AW1635"/>
  <c r="AY1635"/>
  <c r="BA1635"/>
  <c r="BC1635"/>
  <c r="BE1635"/>
  <c r="BG1635"/>
  <c r="M1636"/>
  <c r="O1636"/>
  <c r="Q1636"/>
  <c r="Y1636"/>
  <c r="AG1636"/>
  <c r="AI1636"/>
  <c r="AK1636"/>
  <c r="AM1636"/>
  <c r="AO1636"/>
  <c r="AQ1636"/>
  <c r="AS1636"/>
  <c r="AU1636"/>
  <c r="AW1636"/>
  <c r="AY1636"/>
  <c r="BA1636"/>
  <c r="BC1636"/>
  <c r="BE1636"/>
  <c r="BG1636"/>
  <c r="M1637"/>
  <c r="O1637"/>
  <c r="Q1637"/>
  <c r="Y1637"/>
  <c r="AG1637"/>
  <c r="AI1637"/>
  <c r="AK1637"/>
  <c r="AM1637"/>
  <c r="AO1637"/>
  <c r="AQ1637"/>
  <c r="AS1637"/>
  <c r="AU1637"/>
  <c r="AW1637"/>
  <c r="AY1637"/>
  <c r="BA1637"/>
  <c r="BC1637"/>
  <c r="BE1637"/>
  <c r="BG1637"/>
  <c r="M1638"/>
  <c r="O1638"/>
  <c r="Q1638"/>
  <c r="Y1638"/>
  <c r="AG1638"/>
  <c r="AI1638"/>
  <c r="AK1638"/>
  <c r="AM1638"/>
  <c r="AO1638"/>
  <c r="AQ1638"/>
  <c r="AS1638"/>
  <c r="AU1638"/>
  <c r="AW1638"/>
  <c r="AY1638"/>
  <c r="BA1638"/>
  <c r="BC1638"/>
  <c r="BE1638"/>
  <c r="BG1638"/>
  <c r="M1639"/>
  <c r="O1639"/>
  <c r="Q1639"/>
  <c r="Y1639"/>
  <c r="AG1639"/>
  <c r="AI1639"/>
  <c r="AK1639"/>
  <c r="AM1639"/>
  <c r="AO1639"/>
  <c r="AQ1639"/>
  <c r="AS1639"/>
  <c r="AU1639"/>
  <c r="AW1639"/>
  <c r="AY1639"/>
  <c r="BA1639"/>
  <c r="BC1639"/>
  <c r="BE1639"/>
  <c r="BG1639"/>
  <c r="M1640"/>
  <c r="O1640"/>
  <c r="Q1640"/>
  <c r="Y1640"/>
  <c r="AG1640"/>
  <c r="AI1640"/>
  <c r="AK1640"/>
  <c r="AM1640"/>
  <c r="AO1640"/>
  <c r="AQ1640"/>
  <c r="AS1640"/>
  <c r="AU1640"/>
  <c r="AW1640"/>
  <c r="AY1640"/>
  <c r="BA1640"/>
  <c r="BC1640"/>
  <c r="BE1640"/>
  <c r="BG1640"/>
  <c r="M1641"/>
  <c r="O1641"/>
  <c r="Q1641"/>
  <c r="Y1641"/>
  <c r="AG1641"/>
  <c r="AI1641"/>
  <c r="AK1641"/>
  <c r="AM1641"/>
  <c r="AO1641"/>
  <c r="AQ1641"/>
  <c r="AS1641"/>
  <c r="AU1641"/>
  <c r="AW1641"/>
  <c r="AY1641"/>
  <c r="BA1641"/>
  <c r="BC1641"/>
  <c r="BE1641"/>
  <c r="BG1641"/>
  <c r="M1642"/>
  <c r="O1642"/>
  <c r="Q1642"/>
  <c r="Y1642"/>
  <c r="AG1642"/>
  <c r="AI1642"/>
  <c r="AK1642"/>
  <c r="AM1642"/>
  <c r="AO1642"/>
  <c r="AQ1642"/>
  <c r="AS1642"/>
  <c r="AU1642"/>
  <c r="AW1642"/>
  <c r="AY1642"/>
  <c r="BA1642"/>
  <c r="BC1642"/>
  <c r="BE1642"/>
  <c r="BG1642"/>
  <c r="M1643"/>
  <c r="O1643"/>
  <c r="Q1643"/>
  <c r="Y1643"/>
  <c r="AG1643"/>
  <c r="AI1643"/>
  <c r="AK1643"/>
  <c r="AM1643"/>
  <c r="AO1643"/>
  <c r="AQ1643"/>
  <c r="AS1643"/>
  <c r="AU1643"/>
  <c r="AW1643"/>
  <c r="AY1643"/>
  <c r="BA1643"/>
  <c r="BC1643"/>
  <c r="BE1643"/>
  <c r="BG1643"/>
  <c r="M1644"/>
  <c r="O1644"/>
  <c r="Q1644"/>
  <c r="Y1644"/>
  <c r="AG1644"/>
  <c r="AI1644"/>
  <c r="AK1644"/>
  <c r="AM1644"/>
  <c r="AO1644"/>
  <c r="AQ1644"/>
  <c r="AS1644"/>
  <c r="AU1644"/>
  <c r="AW1644"/>
  <c r="AY1644"/>
  <c r="BA1644"/>
  <c r="BC1644"/>
  <c r="BE1644"/>
  <c r="BG1644"/>
  <c r="M1645"/>
  <c r="O1645"/>
  <c r="Q1645"/>
  <c r="Y1645"/>
  <c r="AG1645"/>
  <c r="AI1645"/>
  <c r="AK1645"/>
  <c r="AM1645"/>
  <c r="AO1645"/>
  <c r="AQ1645"/>
  <c r="AS1645"/>
  <c r="AU1645"/>
  <c r="AW1645"/>
  <c r="AY1645"/>
  <c r="BA1645"/>
  <c r="BC1645"/>
  <c r="BE1645"/>
  <c r="BG1645"/>
  <c r="M1646"/>
  <c r="O1646"/>
  <c r="Q1646"/>
  <c r="Y1646"/>
  <c r="AG1646"/>
  <c r="AI1646"/>
  <c r="AK1646"/>
  <c r="AM1646"/>
  <c r="AO1646"/>
  <c r="AQ1646"/>
  <c r="AS1646"/>
  <c r="AU1646"/>
  <c r="AW1646"/>
  <c r="AY1646"/>
  <c r="BA1646"/>
  <c r="BC1646"/>
  <c r="BE1646"/>
  <c r="BG1646"/>
  <c r="M1647"/>
  <c r="O1647"/>
  <c r="Q1647"/>
  <c r="Y1647"/>
  <c r="AG1647"/>
  <c r="AI1647"/>
  <c r="AK1647"/>
  <c r="AM1647"/>
  <c r="AO1647"/>
  <c r="AQ1647"/>
  <c r="AS1647"/>
  <c r="AU1647"/>
  <c r="AW1647"/>
  <c r="AY1647"/>
  <c r="BA1647"/>
  <c r="BC1647"/>
  <c r="BE1647"/>
  <c r="BG1647"/>
  <c r="M1648"/>
  <c r="O1648"/>
  <c r="Q1648"/>
  <c r="Y1648"/>
  <c r="AG1648"/>
  <c r="AI1648"/>
  <c r="AK1648"/>
  <c r="AM1648"/>
  <c r="AO1648"/>
  <c r="AQ1648"/>
  <c r="AS1648"/>
  <c r="AU1648"/>
  <c r="AW1648"/>
  <c r="AY1648"/>
  <c r="BA1648"/>
  <c r="BC1648"/>
  <c r="BE1648"/>
  <c r="BG1648"/>
  <c r="M1649"/>
  <c r="O1649"/>
  <c r="Q1649"/>
  <c r="Y1649"/>
  <c r="AG1649"/>
  <c r="AI1649"/>
  <c r="AK1649"/>
  <c r="AM1649"/>
  <c r="AO1649"/>
  <c r="AQ1649"/>
  <c r="AS1649"/>
  <c r="AU1649"/>
  <c r="AW1649"/>
  <c r="AY1649"/>
  <c r="BA1649"/>
  <c r="BC1649"/>
  <c r="BE1649"/>
  <c r="BG1649"/>
  <c r="M1650"/>
  <c r="O1650"/>
  <c r="Q1650"/>
  <c r="Y1650"/>
  <c r="AG1650"/>
  <c r="AI1650"/>
  <c r="AK1650"/>
  <c r="AM1650"/>
  <c r="AO1650"/>
  <c r="AQ1650"/>
  <c r="AS1650"/>
  <c r="AU1650"/>
  <c r="AW1650"/>
  <c r="AY1650"/>
  <c r="BA1650"/>
  <c r="BC1650"/>
  <c r="BE1650"/>
  <c r="BG1650"/>
  <c r="M1651"/>
  <c r="O1651"/>
  <c r="Q1651"/>
  <c r="Y1651"/>
  <c r="AG1651"/>
  <c r="AI1651"/>
  <c r="AK1651"/>
  <c r="AM1651"/>
  <c r="AO1651"/>
  <c r="AQ1651"/>
  <c r="AS1651"/>
  <c r="AU1651"/>
  <c r="AW1651"/>
  <c r="AY1651"/>
  <c r="BA1651"/>
  <c r="BC1651"/>
  <c r="BE1651"/>
  <c r="BG1651"/>
  <c r="M1652"/>
  <c r="O1652"/>
  <c r="Q1652"/>
  <c r="Y1652"/>
  <c r="AG1652"/>
  <c r="AI1652"/>
  <c r="AK1652"/>
  <c r="AM1652"/>
  <c r="AO1652"/>
  <c r="AQ1652"/>
  <c r="AS1652"/>
  <c r="AU1652"/>
  <c r="AW1652"/>
  <c r="AY1652"/>
  <c r="BA1652"/>
  <c r="BC1652"/>
  <c r="BE1652"/>
  <c r="BG1652"/>
  <c r="M1653"/>
  <c r="O1653"/>
  <c r="P1653"/>
  <c r="Y1653"/>
  <c r="AG1653"/>
  <c r="AI1653"/>
  <c r="AK1653"/>
  <c r="AM1653"/>
  <c r="AO1653"/>
  <c r="AQ1653"/>
  <c r="AS1653"/>
  <c r="AU1653"/>
  <c r="AW1653"/>
  <c r="AY1653"/>
  <c r="BA1653"/>
  <c r="BC1653"/>
  <c r="BE1653"/>
  <c r="BG1653"/>
  <c r="M1654"/>
  <c r="O1654"/>
  <c r="Q1654"/>
  <c r="Y1654"/>
  <c r="AG1654"/>
  <c r="AI1654"/>
  <c r="AK1654"/>
  <c r="AM1654"/>
  <c r="AO1654"/>
  <c r="AQ1654"/>
  <c r="AS1654"/>
  <c r="AU1654"/>
  <c r="AW1654"/>
  <c r="AY1654"/>
  <c r="BA1654"/>
  <c r="BC1654"/>
  <c r="BE1654"/>
  <c r="BG1654"/>
  <c r="M1655"/>
  <c r="O1655"/>
  <c r="Q1655"/>
  <c r="Y1655"/>
  <c r="AG1655"/>
  <c r="AI1655"/>
  <c r="AK1655"/>
  <c r="AM1655"/>
  <c r="AO1655"/>
  <c r="AQ1655"/>
  <c r="AS1655"/>
  <c r="AU1655"/>
  <c r="AW1655"/>
  <c r="AY1655"/>
  <c r="BA1655"/>
  <c r="BC1655"/>
  <c r="BE1655"/>
  <c r="BG1655"/>
  <c r="M1656"/>
  <c r="O1656"/>
  <c r="Q1656"/>
  <c r="Y1656"/>
  <c r="AG1656"/>
  <c r="AI1656"/>
  <c r="AK1656"/>
  <c r="AM1656"/>
  <c r="AO1656"/>
  <c r="AQ1656"/>
  <c r="AS1656"/>
  <c r="AU1656"/>
  <c r="AW1656"/>
  <c r="AY1656"/>
  <c r="BA1656"/>
  <c r="BC1656"/>
  <c r="BE1656"/>
  <c r="BG1656"/>
  <c r="M1657"/>
  <c r="O1657"/>
  <c r="Q1657"/>
  <c r="AG1657"/>
  <c r="AI1657"/>
  <c r="AK1657"/>
  <c r="AM1657"/>
  <c r="AO1657"/>
  <c r="AQ1657"/>
  <c r="AS1657"/>
  <c r="AU1657"/>
  <c r="AW1657"/>
  <c r="AY1657"/>
  <c r="BA1657"/>
  <c r="BC1657"/>
  <c r="BE1657"/>
  <c r="BG1657"/>
  <c r="M1658"/>
  <c r="O1658"/>
  <c r="Q1658"/>
  <c r="Y1658"/>
  <c r="AG1658"/>
  <c r="AI1658"/>
  <c r="AK1658"/>
  <c r="AM1658"/>
  <c r="AO1658"/>
  <c r="AQ1658"/>
  <c r="AS1658"/>
  <c r="AU1658"/>
  <c r="AW1658"/>
  <c r="AY1658"/>
  <c r="BA1658"/>
  <c r="BC1658"/>
  <c r="BE1658"/>
  <c r="BG1658"/>
  <c r="M1659"/>
  <c r="O1659"/>
  <c r="P1659"/>
  <c r="Y1659"/>
  <c r="AG1659"/>
  <c r="AI1659"/>
  <c r="AK1659"/>
  <c r="AM1659"/>
  <c r="AO1659"/>
  <c r="AQ1659"/>
  <c r="AS1659"/>
  <c r="AU1659"/>
  <c r="AW1659"/>
  <c r="AY1659"/>
  <c r="BA1659"/>
  <c r="BC1659"/>
  <c r="BE1659"/>
  <c r="BG1659"/>
  <c r="M1660"/>
  <c r="O1660"/>
  <c r="P1660"/>
  <c r="Y1660"/>
  <c r="AG1660"/>
  <c r="AI1660"/>
  <c r="AK1660"/>
  <c r="AM1660"/>
  <c r="AO1660"/>
  <c r="AQ1660"/>
  <c r="AS1660"/>
  <c r="AU1660"/>
  <c r="AW1660"/>
  <c r="AY1660"/>
  <c r="BA1660"/>
  <c r="BC1660"/>
  <c r="BE1660"/>
  <c r="BG1660"/>
  <c r="M1661"/>
  <c r="O1661"/>
  <c r="P1661"/>
  <c r="Y1661"/>
  <c r="AG1661"/>
  <c r="AI1661"/>
  <c r="AK1661"/>
  <c r="AM1661"/>
  <c r="AO1661"/>
  <c r="AQ1661"/>
  <c r="AS1661"/>
  <c r="AU1661"/>
  <c r="AW1661"/>
  <c r="AY1661"/>
  <c r="BA1661"/>
  <c r="BC1661"/>
  <c r="BE1661"/>
  <c r="BG1661"/>
  <c r="M1662"/>
  <c r="O1662"/>
  <c r="P1662"/>
  <c r="Y1662"/>
  <c r="AG1662"/>
  <c r="AI1662"/>
  <c r="AK1662"/>
  <c r="AM1662"/>
  <c r="AO1662"/>
  <c r="AQ1662"/>
  <c r="AS1662"/>
  <c r="AU1662"/>
  <c r="AW1662"/>
  <c r="AY1662"/>
  <c r="BA1662"/>
  <c r="BC1662"/>
  <c r="BE1662"/>
  <c r="BG1662"/>
  <c r="M1663"/>
  <c r="O1663"/>
  <c r="P1663"/>
  <c r="Y1663"/>
  <c r="AG1663"/>
  <c r="AI1663"/>
  <c r="AK1663"/>
  <c r="AM1663"/>
  <c r="AO1663"/>
  <c r="AQ1663"/>
  <c r="AS1663"/>
  <c r="AU1663"/>
  <c r="AW1663"/>
  <c r="AY1663"/>
  <c r="BA1663"/>
  <c r="BC1663"/>
  <c r="BE1663"/>
  <c r="BG1663"/>
  <c r="M1664"/>
  <c r="O1664"/>
  <c r="Y1664"/>
  <c r="AG1664"/>
  <c r="AI1664"/>
  <c r="AK1664"/>
  <c r="AM1664"/>
  <c r="AO1664"/>
  <c r="AQ1664"/>
  <c r="AS1664"/>
  <c r="AU1664"/>
  <c r="AW1664"/>
  <c r="AY1664"/>
  <c r="BA1664"/>
  <c r="BC1664"/>
  <c r="BE1664"/>
  <c r="BG1664"/>
  <c r="M1665"/>
  <c r="O1665"/>
  <c r="P1665"/>
  <c r="Y1665"/>
  <c r="AG1665"/>
  <c r="AI1665"/>
  <c r="AK1665"/>
  <c r="AM1665"/>
  <c r="AO1665"/>
  <c r="AQ1665"/>
  <c r="AS1665"/>
  <c r="AU1665"/>
  <c r="AW1665"/>
  <c r="AY1665"/>
  <c r="BA1665"/>
  <c r="BC1665"/>
  <c r="BE1665"/>
  <c r="BG1665"/>
  <c r="M1666"/>
  <c r="O1666"/>
  <c r="P1666"/>
  <c r="X1666"/>
  <c r="AG1666"/>
  <c r="AI1666"/>
  <c r="AK1666"/>
  <c r="AM1666"/>
  <c r="AO1666"/>
  <c r="AQ1666"/>
  <c r="AS1666"/>
  <c r="AU1666"/>
  <c r="AW1666"/>
  <c r="AY1666"/>
  <c r="BA1666"/>
  <c r="BC1666"/>
  <c r="BE1666"/>
  <c r="BG1666"/>
  <c r="M1667"/>
  <c r="O1667"/>
  <c r="P1667"/>
  <c r="Y1667"/>
  <c r="AG1667"/>
  <c r="AI1667"/>
  <c r="AK1667"/>
  <c r="AM1667"/>
  <c r="AO1667"/>
  <c r="AQ1667"/>
  <c r="AS1667"/>
  <c r="AU1667"/>
  <c r="AW1667"/>
  <c r="AY1667"/>
  <c r="BA1667"/>
  <c r="BC1667"/>
  <c r="BE1667"/>
  <c r="BG1667"/>
  <c r="M1668"/>
  <c r="O1668"/>
  <c r="P1668"/>
  <c r="Y1668"/>
  <c r="AG1668"/>
  <c r="AI1668"/>
  <c r="AK1668"/>
  <c r="AM1668"/>
  <c r="AO1668"/>
  <c r="AQ1668"/>
  <c r="AS1668"/>
  <c r="AU1668"/>
  <c r="AW1668"/>
  <c r="AY1668"/>
  <c r="BA1668"/>
  <c r="BC1668"/>
  <c r="BE1668"/>
  <c r="BG1668"/>
  <c r="P1669"/>
  <c r="R1669"/>
  <c r="X1669"/>
  <c r="Z1669"/>
  <c r="R1670"/>
  <c r="V1670"/>
  <c r="X1670"/>
  <c r="Z1670"/>
  <c r="R1671"/>
  <c r="T1671"/>
  <c r="V1671"/>
  <c r="Z1671"/>
  <c r="AB1671"/>
  <c r="AD1671"/>
  <c r="R1672"/>
  <c r="T1672"/>
  <c r="V1672"/>
  <c r="Z1672"/>
  <c r="AB1672"/>
  <c r="AD1672"/>
  <c r="R1673"/>
  <c r="T1673"/>
  <c r="V1673"/>
  <c r="Z1673"/>
  <c r="AB1673"/>
  <c r="AD1673"/>
  <c r="M1684"/>
  <c r="O1684"/>
  <c r="Q1684"/>
  <c r="Y1684"/>
  <c r="AG1684"/>
  <c r="AI1684"/>
  <c r="AK1684"/>
  <c r="AM1684"/>
  <c r="AO1684"/>
  <c r="AQ1684"/>
  <c r="AS1684"/>
  <c r="AU1684"/>
  <c r="AW1684"/>
  <c r="AY1684"/>
  <c r="BA1684"/>
  <c r="BC1684"/>
  <c r="BE1684"/>
  <c r="BG1684"/>
  <c r="M1685"/>
  <c r="O1685"/>
  <c r="Q1685"/>
  <c r="Y1685"/>
  <c r="AG1685"/>
  <c r="AI1685"/>
  <c r="AK1685"/>
  <c r="AM1685"/>
  <c r="AO1685"/>
  <c r="AQ1685"/>
  <c r="AS1685"/>
  <c r="AU1685"/>
  <c r="AW1685"/>
  <c r="AY1685"/>
  <c r="BA1685"/>
  <c r="BC1685"/>
  <c r="BE1685"/>
  <c r="BG1685"/>
  <c r="M1686"/>
  <c r="O1686"/>
  <c r="Q1686"/>
  <c r="Y1686"/>
  <c r="AG1686"/>
  <c r="AI1686"/>
  <c r="AK1686"/>
  <c r="AM1686"/>
  <c r="AO1686"/>
  <c r="AQ1686"/>
  <c r="AS1686"/>
  <c r="AU1686"/>
  <c r="AW1686"/>
  <c r="AY1686"/>
  <c r="BA1686"/>
  <c r="BC1686"/>
  <c r="BE1686"/>
  <c r="BG1686"/>
  <c r="M1687"/>
  <c r="O1687"/>
  <c r="Q1687"/>
  <c r="Y1687"/>
  <c r="AG1687"/>
  <c r="AI1687"/>
  <c r="AK1687"/>
  <c r="AM1687"/>
  <c r="AO1687"/>
  <c r="AQ1687"/>
  <c r="AS1687"/>
  <c r="AU1687"/>
  <c r="AW1687"/>
  <c r="AY1687"/>
  <c r="BA1687"/>
  <c r="BC1687"/>
  <c r="BE1687"/>
  <c r="BG1687"/>
  <c r="M1688"/>
  <c r="O1688"/>
  <c r="Q1688"/>
  <c r="Y1688"/>
  <c r="AG1688"/>
  <c r="AI1688"/>
  <c r="AK1688"/>
  <c r="AM1688"/>
  <c r="AO1688"/>
  <c r="AQ1688"/>
  <c r="AS1688"/>
  <c r="AU1688"/>
  <c r="AW1688"/>
  <c r="AY1688"/>
  <c r="BA1688"/>
  <c r="BC1688"/>
  <c r="BE1688"/>
  <c r="BG1688"/>
  <c r="M1689"/>
  <c r="O1689"/>
  <c r="Q1689"/>
  <c r="Y1689"/>
  <c r="AG1689"/>
  <c r="AI1689"/>
  <c r="AK1689"/>
  <c r="AM1689"/>
  <c r="AO1689"/>
  <c r="AQ1689"/>
  <c r="AS1689"/>
  <c r="AU1689"/>
  <c r="AW1689"/>
  <c r="AY1689"/>
  <c r="BA1689"/>
  <c r="BC1689"/>
  <c r="BE1689"/>
  <c r="BG1689"/>
  <c r="M1690"/>
  <c r="O1690"/>
  <c r="Q1690"/>
  <c r="Y1690"/>
  <c r="AG1690"/>
  <c r="AI1690"/>
  <c r="AK1690"/>
  <c r="AM1690"/>
  <c r="AO1690"/>
  <c r="AQ1690"/>
  <c r="AS1690"/>
  <c r="AU1690"/>
  <c r="AW1690"/>
  <c r="AY1690"/>
  <c r="BA1690"/>
  <c r="BC1690"/>
  <c r="BE1690"/>
  <c r="BG1690"/>
  <c r="M1691"/>
  <c r="O1691"/>
  <c r="Q1691"/>
  <c r="Y1691"/>
  <c r="AG1691"/>
  <c r="AI1691"/>
  <c r="AK1691"/>
  <c r="AM1691"/>
  <c r="AO1691"/>
  <c r="AQ1691"/>
  <c r="AS1691"/>
  <c r="AU1691"/>
  <c r="AW1691"/>
  <c r="AY1691"/>
  <c r="BA1691"/>
  <c r="BC1691"/>
  <c r="BE1691"/>
  <c r="BG1691"/>
  <c r="M1692"/>
  <c r="O1692"/>
  <c r="Q1692"/>
  <c r="Y1692"/>
  <c r="AG1692"/>
  <c r="AI1692"/>
  <c r="AK1692"/>
  <c r="AM1692"/>
  <c r="AO1692"/>
  <c r="AQ1692"/>
  <c r="AS1692"/>
  <c r="AU1692"/>
  <c r="AW1692"/>
  <c r="AY1692"/>
  <c r="BA1692"/>
  <c r="BC1692"/>
  <c r="BE1692"/>
  <c r="BG1692"/>
  <c r="M1693"/>
  <c r="O1693"/>
  <c r="Q1693"/>
  <c r="Y1693"/>
  <c r="AG1693"/>
  <c r="AI1693"/>
  <c r="AK1693"/>
  <c r="AM1693"/>
  <c r="AO1693"/>
  <c r="AQ1693"/>
  <c r="AS1693"/>
  <c r="AU1693"/>
  <c r="AW1693"/>
  <c r="AY1693"/>
  <c r="BA1693"/>
  <c r="BC1693"/>
  <c r="BE1693"/>
  <c r="BG1693"/>
  <c r="M1694"/>
  <c r="O1694"/>
  <c r="Q1694"/>
  <c r="Y1694"/>
  <c r="AG1694"/>
  <c r="AI1694"/>
  <c r="AK1694"/>
  <c r="AM1694"/>
  <c r="AO1694"/>
  <c r="AQ1694"/>
  <c r="AS1694"/>
  <c r="AU1694"/>
  <c r="AW1694"/>
  <c r="AY1694"/>
  <c r="BA1694"/>
  <c r="BC1694"/>
  <c r="BE1694"/>
  <c r="BG1694"/>
  <c r="M1695"/>
  <c r="O1695"/>
  <c r="Q1695"/>
  <c r="Y1695"/>
  <c r="AG1695"/>
  <c r="AI1695"/>
  <c r="AK1695"/>
  <c r="AM1695"/>
  <c r="AO1695"/>
  <c r="AQ1695"/>
  <c r="AS1695"/>
  <c r="AU1695"/>
  <c r="AW1695"/>
  <c r="AY1695"/>
  <c r="BA1695"/>
  <c r="BC1695"/>
  <c r="BE1695"/>
  <c r="BG1695"/>
  <c r="M1696"/>
  <c r="O1696"/>
  <c r="Q1696"/>
  <c r="Y1696"/>
  <c r="AG1696"/>
  <c r="AI1696"/>
  <c r="AK1696"/>
  <c r="AM1696"/>
  <c r="AO1696"/>
  <c r="AQ1696"/>
  <c r="AS1696"/>
  <c r="AU1696"/>
  <c r="AW1696"/>
  <c r="AY1696"/>
  <c r="BA1696"/>
  <c r="BC1696"/>
  <c r="BE1696"/>
  <c r="BG1696"/>
  <c r="M1697"/>
  <c r="O1697"/>
  <c r="Q1697"/>
  <c r="Y1697"/>
  <c r="AG1697"/>
  <c r="AI1697"/>
  <c r="AK1697"/>
  <c r="AM1697"/>
  <c r="AO1697"/>
  <c r="AQ1697"/>
  <c r="AS1697"/>
  <c r="AU1697"/>
  <c r="AW1697"/>
  <c r="AY1697"/>
  <c r="BA1697"/>
  <c r="BC1697"/>
  <c r="BE1697"/>
  <c r="BG1697"/>
  <c r="M1698"/>
  <c r="O1698"/>
  <c r="Q1698"/>
  <c r="Y1698"/>
  <c r="AG1698"/>
  <c r="AI1698"/>
  <c r="AK1698"/>
  <c r="AM1698"/>
  <c r="AO1698"/>
  <c r="AQ1698"/>
  <c r="AS1698"/>
  <c r="AU1698"/>
  <c r="AW1698"/>
  <c r="AY1698"/>
  <c r="BA1698"/>
  <c r="BC1698"/>
  <c r="BE1698"/>
  <c r="BG1698"/>
  <c r="M1699"/>
  <c r="O1699"/>
  <c r="Q1699"/>
  <c r="Y1699"/>
  <c r="AG1699"/>
  <c r="AI1699"/>
  <c r="AK1699"/>
  <c r="AM1699"/>
  <c r="AO1699"/>
  <c r="AQ1699"/>
  <c r="AS1699"/>
  <c r="AU1699"/>
  <c r="AW1699"/>
  <c r="AY1699"/>
  <c r="BA1699"/>
  <c r="BC1699"/>
  <c r="BE1699"/>
  <c r="BG1699"/>
  <c r="M1700"/>
  <c r="O1700"/>
  <c r="Q1700"/>
  <c r="Y1700"/>
  <c r="AG1700"/>
  <c r="AI1700"/>
  <c r="AK1700"/>
  <c r="AM1700"/>
  <c r="AO1700"/>
  <c r="AQ1700"/>
  <c r="AS1700"/>
  <c r="AU1700"/>
  <c r="AW1700"/>
  <c r="AY1700"/>
  <c r="BA1700"/>
  <c r="BC1700"/>
  <c r="BE1700"/>
  <c r="BG1700"/>
  <c r="M1701"/>
  <c r="O1701"/>
  <c r="Q1701"/>
  <c r="Y1701"/>
  <c r="AG1701"/>
  <c r="AI1701"/>
  <c r="AK1701"/>
  <c r="AM1701"/>
  <c r="AO1701"/>
  <c r="AQ1701"/>
  <c r="AS1701"/>
  <c r="AU1701"/>
  <c r="AW1701"/>
  <c r="AY1701"/>
  <c r="BA1701"/>
  <c r="BC1701"/>
  <c r="BE1701"/>
  <c r="BG1701"/>
  <c r="M1702"/>
  <c r="O1702"/>
  <c r="Q1702"/>
  <c r="Y1702"/>
  <c r="AG1702"/>
  <c r="AI1702"/>
  <c r="AK1702"/>
  <c r="AM1702"/>
  <c r="AO1702"/>
  <c r="AQ1702"/>
  <c r="AS1702"/>
  <c r="AU1702"/>
  <c r="AW1702"/>
  <c r="AY1702"/>
  <c r="BA1702"/>
  <c r="BC1702"/>
  <c r="BE1702"/>
  <c r="BG1702"/>
  <c r="M1703"/>
  <c r="O1703"/>
  <c r="Q1703"/>
  <c r="Y1703"/>
  <c r="AG1703"/>
  <c r="AI1703"/>
  <c r="AK1703"/>
  <c r="AM1703"/>
  <c r="AO1703"/>
  <c r="AQ1703"/>
  <c r="AS1703"/>
  <c r="AU1703"/>
  <c r="AW1703"/>
  <c r="AY1703"/>
  <c r="BA1703"/>
  <c r="BC1703"/>
  <c r="BE1703"/>
  <c r="BG1703"/>
  <c r="M1704"/>
  <c r="O1704"/>
  <c r="Q1704"/>
  <c r="Y1704"/>
  <c r="AG1704"/>
  <c r="AI1704"/>
  <c r="AK1704"/>
  <c r="AM1704"/>
  <c r="AO1704"/>
  <c r="AQ1704"/>
  <c r="AS1704"/>
  <c r="AU1704"/>
  <c r="AW1704"/>
  <c r="AY1704"/>
  <c r="BA1704"/>
  <c r="BC1704"/>
  <c r="BE1704"/>
  <c r="BG1704"/>
  <c r="M1705"/>
  <c r="O1705"/>
  <c r="Q1705"/>
  <c r="Y1705"/>
  <c r="AG1705"/>
  <c r="AI1705"/>
  <c r="AK1705"/>
  <c r="AM1705"/>
  <c r="AO1705"/>
  <c r="AQ1705"/>
  <c r="AS1705"/>
  <c r="AU1705"/>
  <c r="AW1705"/>
  <c r="AY1705"/>
  <c r="BA1705"/>
  <c r="BC1705"/>
  <c r="BE1705"/>
  <c r="BG1705"/>
  <c r="M1706"/>
  <c r="O1706"/>
  <c r="Q1706"/>
  <c r="Y1706"/>
  <c r="AG1706"/>
  <c r="AI1706"/>
  <c r="AK1706"/>
  <c r="AM1706"/>
  <c r="AO1706"/>
  <c r="AQ1706"/>
  <c r="AS1706"/>
  <c r="AU1706"/>
  <c r="AW1706"/>
  <c r="AY1706"/>
  <c r="BA1706"/>
  <c r="BC1706"/>
  <c r="BE1706"/>
  <c r="BG1706"/>
  <c r="M1707"/>
  <c r="O1707"/>
  <c r="Q1707"/>
  <c r="Y1707"/>
  <c r="AG1707"/>
  <c r="AI1707"/>
  <c r="AK1707"/>
  <c r="AM1707"/>
  <c r="AO1707"/>
  <c r="AQ1707"/>
  <c r="AS1707"/>
  <c r="AU1707"/>
  <c r="AW1707"/>
  <c r="AY1707"/>
  <c r="BA1707"/>
  <c r="BC1707"/>
  <c r="BE1707"/>
  <c r="BG1707"/>
  <c r="M1708"/>
  <c r="O1708"/>
  <c r="Q1708"/>
  <c r="Y1708"/>
  <c r="AG1708"/>
  <c r="AI1708"/>
  <c r="AK1708"/>
  <c r="AM1708"/>
  <c r="AO1708"/>
  <c r="AQ1708"/>
  <c r="AS1708"/>
  <c r="AU1708"/>
  <c r="AW1708"/>
  <c r="AY1708"/>
  <c r="BA1708"/>
  <c r="BC1708"/>
  <c r="BE1708"/>
  <c r="BG1708"/>
  <c r="M1709"/>
  <c r="O1709"/>
  <c r="Q1709"/>
  <c r="Y1709"/>
  <c r="AG1709"/>
  <c r="AI1709"/>
  <c r="AK1709"/>
  <c r="AM1709"/>
  <c r="AO1709"/>
  <c r="AQ1709"/>
  <c r="AS1709"/>
  <c r="AU1709"/>
  <c r="AW1709"/>
  <c r="AY1709"/>
  <c r="BA1709"/>
  <c r="BC1709"/>
  <c r="BE1709"/>
  <c r="BG1709"/>
  <c r="M1710"/>
  <c r="O1710"/>
  <c r="Q1710"/>
  <c r="Y1710"/>
  <c r="AG1710"/>
  <c r="AI1710"/>
  <c r="AK1710"/>
  <c r="AM1710"/>
  <c r="AO1710"/>
  <c r="AQ1710"/>
  <c r="AS1710"/>
  <c r="AU1710"/>
  <c r="AW1710"/>
  <c r="AY1710"/>
  <c r="BA1710"/>
  <c r="BC1710"/>
  <c r="BE1710"/>
  <c r="BG1710"/>
  <c r="M1711"/>
  <c r="O1711"/>
  <c r="Q1711"/>
  <c r="Y1711"/>
  <c r="AG1711"/>
  <c r="AI1711"/>
  <c r="AK1711"/>
  <c r="AM1711"/>
  <c r="AO1711"/>
  <c r="AQ1711"/>
  <c r="AS1711"/>
  <c r="AU1711"/>
  <c r="AW1711"/>
  <c r="AY1711"/>
  <c r="BA1711"/>
  <c r="BC1711"/>
  <c r="BE1711"/>
  <c r="BG1711"/>
  <c r="M1712"/>
  <c r="O1712"/>
  <c r="Q1712"/>
  <c r="Y1712"/>
  <c r="AG1712"/>
  <c r="AI1712"/>
  <c r="AK1712"/>
  <c r="AM1712"/>
  <c r="AO1712"/>
  <c r="AQ1712"/>
  <c r="AS1712"/>
  <c r="AU1712"/>
  <c r="AW1712"/>
  <c r="AY1712"/>
  <c r="BA1712"/>
  <c r="BC1712"/>
  <c r="BE1712"/>
  <c r="BG1712"/>
  <c r="M1713"/>
  <c r="O1713"/>
  <c r="Q1713"/>
  <c r="Y1713"/>
  <c r="AG1713"/>
  <c r="AI1713"/>
  <c r="AK1713"/>
  <c r="AM1713"/>
  <c r="AO1713"/>
  <c r="AQ1713"/>
  <c r="AS1713"/>
  <c r="AU1713"/>
  <c r="AW1713"/>
  <c r="AY1713"/>
  <c r="BA1713"/>
  <c r="BC1713"/>
  <c r="BE1713"/>
  <c r="BG1713"/>
  <c r="M1714"/>
  <c r="O1714"/>
  <c r="Q1714"/>
  <c r="Y1714"/>
  <c r="AG1714"/>
  <c r="AI1714"/>
  <c r="AK1714"/>
  <c r="AM1714"/>
  <c r="AO1714"/>
  <c r="AQ1714"/>
  <c r="AS1714"/>
  <c r="AU1714"/>
  <c r="AW1714"/>
  <c r="AY1714"/>
  <c r="BA1714"/>
  <c r="BC1714"/>
  <c r="BE1714"/>
  <c r="BG1714"/>
  <c r="H1715"/>
  <c r="K1715" s="1"/>
  <c r="M1715"/>
  <c r="O1715"/>
  <c r="Q1715"/>
  <c r="Y1715"/>
  <c r="AG1715"/>
  <c r="AI1715"/>
  <c r="AK1715"/>
  <c r="AM1715"/>
  <c r="AO1715"/>
  <c r="AQ1715"/>
  <c r="AS1715"/>
  <c r="AU1715"/>
  <c r="AW1715"/>
  <c r="AY1715"/>
  <c r="BA1715"/>
  <c r="BC1715"/>
  <c r="BE1715"/>
  <c r="BG1715"/>
  <c r="M1716"/>
  <c r="O1716"/>
  <c r="Q1716"/>
  <c r="Y1716"/>
  <c r="AG1716"/>
  <c r="AI1716"/>
  <c r="AK1716"/>
  <c r="AM1716"/>
  <c r="AO1716"/>
  <c r="AQ1716"/>
  <c r="AS1716"/>
  <c r="AU1716"/>
  <c r="AW1716"/>
  <c r="AY1716"/>
  <c r="BA1716"/>
  <c r="BC1716"/>
  <c r="BE1716"/>
  <c r="BG1716"/>
  <c r="M1717"/>
  <c r="O1717"/>
  <c r="Q1717"/>
  <c r="Y1717"/>
  <c r="AG1717"/>
  <c r="AI1717"/>
  <c r="AK1717"/>
  <c r="AM1717"/>
  <c r="AO1717"/>
  <c r="AQ1717"/>
  <c r="AS1717"/>
  <c r="AU1717"/>
  <c r="AW1717"/>
  <c r="AY1717"/>
  <c r="BA1717"/>
  <c r="BC1717"/>
  <c r="BE1717"/>
  <c r="BG1717"/>
  <c r="M1718"/>
  <c r="O1718"/>
  <c r="Q1718"/>
  <c r="Y1718"/>
  <c r="AG1718"/>
  <c r="AI1718"/>
  <c r="AK1718"/>
  <c r="AM1718"/>
  <c r="AO1718"/>
  <c r="AQ1718"/>
  <c r="AS1718"/>
  <c r="AU1718"/>
  <c r="AW1718"/>
  <c r="AY1718"/>
  <c r="BA1718"/>
  <c r="BC1718"/>
  <c r="BE1718"/>
  <c r="BG1718"/>
  <c r="M1719"/>
  <c r="O1719"/>
  <c r="Q1719"/>
  <c r="Y1719"/>
  <c r="AG1719"/>
  <c r="AI1719"/>
  <c r="AK1719"/>
  <c r="AM1719"/>
  <c r="AO1719"/>
  <c r="AQ1719"/>
  <c r="AS1719"/>
  <c r="AU1719"/>
  <c r="AW1719"/>
  <c r="AY1719"/>
  <c r="BA1719"/>
  <c r="BC1719"/>
  <c r="BE1719"/>
  <c r="BG1719"/>
  <c r="J1720"/>
  <c r="K1720" s="1"/>
  <c r="M1720"/>
  <c r="O1720"/>
  <c r="Q1720"/>
  <c r="Y1720"/>
  <c r="AG1720"/>
  <c r="AI1720"/>
  <c r="AK1720"/>
  <c r="AM1720"/>
  <c r="AO1720"/>
  <c r="AQ1720"/>
  <c r="AS1720"/>
  <c r="AU1720"/>
  <c r="AW1720"/>
  <c r="AY1720"/>
  <c r="BA1720"/>
  <c r="BC1720"/>
  <c r="BE1720"/>
  <c r="BG1720"/>
  <c r="J1721"/>
  <c r="K1721" s="1"/>
  <c r="M1721"/>
  <c r="O1721"/>
  <c r="Q1721"/>
  <c r="Y1721"/>
  <c r="AG1721"/>
  <c r="AI1721"/>
  <c r="AK1721"/>
  <c r="AM1721"/>
  <c r="AO1721"/>
  <c r="AQ1721"/>
  <c r="AS1721"/>
  <c r="AU1721"/>
  <c r="AW1721"/>
  <c r="AY1721"/>
  <c r="BA1721"/>
  <c r="BC1721"/>
  <c r="BE1721"/>
  <c r="BG1721"/>
  <c r="J1722"/>
  <c r="K1722" s="1"/>
  <c r="M1722"/>
  <c r="O1722"/>
  <c r="Y1722"/>
  <c r="AG1722"/>
  <c r="AI1722"/>
  <c r="AK1722"/>
  <c r="AM1722"/>
  <c r="AO1722"/>
  <c r="AQ1722"/>
  <c r="AS1722"/>
  <c r="AU1722"/>
  <c r="AW1722"/>
  <c r="AY1722"/>
  <c r="BA1722"/>
  <c r="BC1722"/>
  <c r="BE1722"/>
  <c r="BG1722"/>
  <c r="M1723"/>
  <c r="O1723"/>
  <c r="Q1723"/>
  <c r="Y1723"/>
  <c r="AG1723"/>
  <c r="AI1723"/>
  <c r="AK1723"/>
  <c r="AM1723"/>
  <c r="AO1723"/>
  <c r="AQ1723"/>
  <c r="AS1723"/>
  <c r="AU1723"/>
  <c r="AW1723"/>
  <c r="AY1723"/>
  <c r="BA1723"/>
  <c r="BC1723"/>
  <c r="BE1723"/>
  <c r="BG1723"/>
  <c r="M1724"/>
  <c r="O1724"/>
  <c r="Q1724"/>
  <c r="Y1724"/>
  <c r="AG1724"/>
  <c r="AI1724"/>
  <c r="AK1724"/>
  <c r="AM1724"/>
  <c r="AO1724"/>
  <c r="AQ1724"/>
  <c r="AS1724"/>
  <c r="AU1724"/>
  <c r="AW1724"/>
  <c r="AY1724"/>
  <c r="BA1724"/>
  <c r="BC1724"/>
  <c r="BE1724"/>
  <c r="BG1724"/>
  <c r="J1725"/>
  <c r="K1725" s="1"/>
  <c r="M1742"/>
  <c r="O1742"/>
  <c r="Q1742"/>
  <c r="Y1742"/>
  <c r="AG1742"/>
  <c r="AI1742"/>
  <c r="AK1742"/>
  <c r="AM1742"/>
  <c r="AO1742"/>
  <c r="AQ1742"/>
  <c r="AS1742"/>
  <c r="AU1742"/>
  <c r="AW1742"/>
  <c r="AY1742"/>
  <c r="BA1742"/>
  <c r="BC1742"/>
  <c r="BE1742"/>
  <c r="BG1742"/>
  <c r="M1743"/>
  <c r="O1743"/>
  <c r="Q1743"/>
  <c r="Y1743"/>
  <c r="AG1743"/>
  <c r="AI1743"/>
  <c r="AK1743"/>
  <c r="AM1743"/>
  <c r="AO1743"/>
  <c r="AQ1743"/>
  <c r="AS1743"/>
  <c r="AU1743"/>
  <c r="AW1743"/>
  <c r="AY1743"/>
  <c r="BA1743"/>
  <c r="BC1743"/>
  <c r="BE1743"/>
  <c r="BG1743"/>
  <c r="M1744"/>
  <c r="O1744"/>
  <c r="Q1744"/>
  <c r="Y1744"/>
  <c r="AG1744"/>
  <c r="AI1744"/>
  <c r="AK1744"/>
  <c r="AM1744"/>
  <c r="AO1744"/>
  <c r="AQ1744"/>
  <c r="AS1744"/>
  <c r="AU1744"/>
  <c r="AW1744"/>
  <c r="AY1744"/>
  <c r="BA1744"/>
  <c r="BC1744"/>
  <c r="BE1744"/>
  <c r="BG1744"/>
  <c r="M1745"/>
  <c r="O1745"/>
  <c r="Q1745"/>
  <c r="Y1745"/>
  <c r="AG1745"/>
  <c r="AI1745"/>
  <c r="AK1745"/>
  <c r="AM1745"/>
  <c r="AO1745"/>
  <c r="AQ1745"/>
  <c r="AS1745"/>
  <c r="AU1745"/>
  <c r="AW1745"/>
  <c r="AY1745"/>
  <c r="BA1745"/>
  <c r="BC1745"/>
  <c r="BE1745"/>
  <c r="BG1745"/>
  <c r="M1746"/>
  <c r="O1746"/>
  <c r="Q1746"/>
  <c r="Y1746"/>
  <c r="AG1746"/>
  <c r="AI1746"/>
  <c r="AK1746"/>
  <c r="AM1746"/>
  <c r="AO1746"/>
  <c r="AQ1746"/>
  <c r="AS1746"/>
  <c r="AU1746"/>
  <c r="AW1746"/>
  <c r="AY1746"/>
  <c r="BA1746"/>
  <c r="BC1746"/>
  <c r="BE1746"/>
  <c r="BG1746"/>
  <c r="M1747"/>
  <c r="O1747"/>
  <c r="Q1747"/>
  <c r="Y1747"/>
  <c r="AG1747"/>
  <c r="AI1747"/>
  <c r="AK1747"/>
  <c r="AM1747"/>
  <c r="AO1747"/>
  <c r="AQ1747"/>
  <c r="AS1747"/>
  <c r="AU1747"/>
  <c r="AW1747"/>
  <c r="AY1747"/>
  <c r="BA1747"/>
  <c r="BC1747"/>
  <c r="BE1747"/>
  <c r="BG1747"/>
  <c r="M1748"/>
  <c r="O1748"/>
  <c r="Q1748"/>
  <c r="Y1748"/>
  <c r="AG1748"/>
  <c r="AI1748"/>
  <c r="AK1748"/>
  <c r="AM1748"/>
  <c r="AO1748"/>
  <c r="AQ1748"/>
  <c r="AS1748"/>
  <c r="AU1748"/>
  <c r="AW1748"/>
  <c r="AY1748"/>
  <c r="BA1748"/>
  <c r="BC1748"/>
  <c r="BE1748"/>
  <c r="BG1748"/>
  <c r="M1749"/>
  <c r="O1749"/>
  <c r="Q1749"/>
  <c r="Y1749"/>
  <c r="AG1749"/>
  <c r="AI1749"/>
  <c r="AK1749"/>
  <c r="AM1749"/>
  <c r="AO1749"/>
  <c r="AQ1749"/>
  <c r="AS1749"/>
  <c r="AU1749"/>
  <c r="AW1749"/>
  <c r="AY1749"/>
  <c r="BA1749"/>
  <c r="BC1749"/>
  <c r="BE1749"/>
  <c r="BG1749"/>
  <c r="M1750"/>
  <c r="O1750"/>
  <c r="Q1750"/>
  <c r="Y1750"/>
  <c r="AG1750"/>
  <c r="AI1750"/>
  <c r="AK1750"/>
  <c r="AM1750"/>
  <c r="AO1750"/>
  <c r="AQ1750"/>
  <c r="AS1750"/>
  <c r="AU1750"/>
  <c r="AW1750"/>
  <c r="AY1750"/>
  <c r="BA1750"/>
  <c r="BC1750"/>
  <c r="BE1750"/>
  <c r="BG1750"/>
  <c r="M1751"/>
  <c r="O1751"/>
  <c r="Q1751"/>
  <c r="Y1751"/>
  <c r="AG1751"/>
  <c r="AI1751"/>
  <c r="AK1751"/>
  <c r="AM1751"/>
  <c r="AO1751"/>
  <c r="AQ1751"/>
  <c r="AS1751"/>
  <c r="AU1751"/>
  <c r="AW1751"/>
  <c r="AY1751"/>
  <c r="BA1751"/>
  <c r="BC1751"/>
  <c r="BE1751"/>
  <c r="BG1751"/>
  <c r="M1752"/>
  <c r="O1752"/>
  <c r="Q1752"/>
  <c r="Y1752"/>
  <c r="AG1752"/>
  <c r="AI1752"/>
  <c r="AK1752"/>
  <c r="AM1752"/>
  <c r="AO1752"/>
  <c r="AQ1752"/>
  <c r="AS1752"/>
  <c r="AU1752"/>
  <c r="AW1752"/>
  <c r="AY1752"/>
  <c r="BA1752"/>
  <c r="BC1752"/>
  <c r="BE1752"/>
  <c r="BG1752"/>
  <c r="M1753"/>
  <c r="O1753"/>
  <c r="Q1753"/>
  <c r="Y1753"/>
  <c r="AG1753"/>
  <c r="AI1753"/>
  <c r="AK1753"/>
  <c r="AM1753"/>
  <c r="AO1753"/>
  <c r="AQ1753"/>
  <c r="AS1753"/>
  <c r="AU1753"/>
  <c r="AW1753"/>
  <c r="AY1753"/>
  <c r="BA1753"/>
  <c r="BC1753"/>
  <c r="BE1753"/>
  <c r="BG1753"/>
  <c r="M1754"/>
  <c r="O1754"/>
  <c r="Q1754"/>
  <c r="Y1754"/>
  <c r="AG1754"/>
  <c r="AI1754"/>
  <c r="AK1754"/>
  <c r="AM1754"/>
  <c r="AO1754"/>
  <c r="AQ1754"/>
  <c r="AS1754"/>
  <c r="AU1754"/>
  <c r="AW1754"/>
  <c r="AY1754"/>
  <c r="BA1754"/>
  <c r="BC1754"/>
  <c r="BE1754"/>
  <c r="BG1754"/>
  <c r="M1755"/>
  <c r="O1755"/>
  <c r="Q1755"/>
  <c r="Y1755"/>
  <c r="AG1755"/>
  <c r="AI1755"/>
  <c r="AK1755"/>
  <c r="AM1755"/>
  <c r="AO1755"/>
  <c r="AQ1755"/>
  <c r="AS1755"/>
  <c r="AU1755"/>
  <c r="AW1755"/>
  <c r="AY1755"/>
  <c r="BA1755"/>
  <c r="BC1755"/>
  <c r="BE1755"/>
  <c r="BG1755"/>
  <c r="M1756"/>
  <c r="O1756"/>
  <c r="Q1756"/>
  <c r="Y1756"/>
  <c r="AG1756"/>
  <c r="AI1756"/>
  <c r="AK1756"/>
  <c r="AM1756"/>
  <c r="AO1756"/>
  <c r="AQ1756"/>
  <c r="AS1756"/>
  <c r="AU1756"/>
  <c r="AW1756"/>
  <c r="AY1756"/>
  <c r="BA1756"/>
  <c r="BC1756"/>
  <c r="BE1756"/>
  <c r="BG1756"/>
  <c r="M1757"/>
  <c r="O1757"/>
  <c r="Q1757"/>
  <c r="Y1757"/>
  <c r="AG1757"/>
  <c r="AI1757"/>
  <c r="AK1757"/>
  <c r="AM1757"/>
  <c r="AO1757"/>
  <c r="AQ1757"/>
  <c r="AS1757"/>
  <c r="AU1757"/>
  <c r="AW1757"/>
  <c r="AY1757"/>
  <c r="BA1757"/>
  <c r="BC1757"/>
  <c r="BE1757"/>
  <c r="BG1757"/>
  <c r="M1758"/>
  <c r="O1758"/>
  <c r="Q1758"/>
  <c r="Y1758"/>
  <c r="AG1758"/>
  <c r="AI1758"/>
  <c r="AK1758"/>
  <c r="AM1758"/>
  <c r="AO1758"/>
  <c r="AQ1758"/>
  <c r="AS1758"/>
  <c r="AU1758"/>
  <c r="AW1758"/>
  <c r="AY1758"/>
  <c r="BA1758"/>
  <c r="BC1758"/>
  <c r="BE1758"/>
  <c r="BG1758"/>
  <c r="M1759"/>
  <c r="O1759"/>
  <c r="Q1759"/>
  <c r="Y1759"/>
  <c r="AG1759"/>
  <c r="AI1759"/>
  <c r="AK1759"/>
  <c r="AM1759"/>
  <c r="AO1759"/>
  <c r="AQ1759"/>
  <c r="AS1759"/>
  <c r="AU1759"/>
  <c r="AW1759"/>
  <c r="AY1759"/>
  <c r="BA1759"/>
  <c r="BC1759"/>
  <c r="BE1759"/>
  <c r="BG1759"/>
  <c r="M1760"/>
  <c r="O1760"/>
  <c r="Q1760"/>
  <c r="Y1760"/>
  <c r="AG1760"/>
  <c r="AI1760"/>
  <c r="AK1760"/>
  <c r="AM1760"/>
  <c r="AO1760"/>
  <c r="AQ1760"/>
  <c r="AS1760"/>
  <c r="AU1760"/>
  <c r="AW1760"/>
  <c r="AY1760"/>
  <c r="BA1760"/>
  <c r="BC1760"/>
  <c r="BE1760"/>
  <c r="BG1760"/>
  <c r="M1761"/>
  <c r="O1761"/>
  <c r="Q1761"/>
  <c r="Y1761"/>
  <c r="AG1761"/>
  <c r="AI1761"/>
  <c r="AK1761"/>
  <c r="AM1761"/>
  <c r="AO1761"/>
  <c r="AQ1761"/>
  <c r="AS1761"/>
  <c r="AU1761"/>
  <c r="AW1761"/>
  <c r="AY1761"/>
  <c r="BA1761"/>
  <c r="BC1761"/>
  <c r="BE1761"/>
  <c r="BG1761"/>
  <c r="M1762"/>
  <c r="O1762"/>
  <c r="Q1762"/>
  <c r="Y1762"/>
  <c r="AG1762"/>
  <c r="AI1762"/>
  <c r="AK1762"/>
  <c r="AM1762"/>
  <c r="AO1762"/>
  <c r="AQ1762"/>
  <c r="AS1762"/>
  <c r="AU1762"/>
  <c r="AW1762"/>
  <c r="AY1762"/>
  <c r="BA1762"/>
  <c r="BC1762"/>
  <c r="BE1762"/>
  <c r="BG1762"/>
  <c r="M1763"/>
  <c r="O1763"/>
  <c r="Q1763"/>
  <c r="Y1763"/>
  <c r="AG1763"/>
  <c r="AI1763"/>
  <c r="AK1763"/>
  <c r="AM1763"/>
  <c r="AO1763"/>
  <c r="AQ1763"/>
  <c r="AS1763"/>
  <c r="AU1763"/>
  <c r="AW1763"/>
  <c r="AY1763"/>
  <c r="BA1763"/>
  <c r="BC1763"/>
  <c r="BE1763"/>
  <c r="BG1763"/>
  <c r="M1764"/>
  <c r="O1764"/>
  <c r="Q1764"/>
  <c r="Y1764"/>
  <c r="AG1764"/>
  <c r="AI1764"/>
  <c r="AK1764"/>
  <c r="AM1764"/>
  <c r="AO1764"/>
  <c r="AQ1764"/>
  <c r="AS1764"/>
  <c r="AU1764"/>
  <c r="AW1764"/>
  <c r="AY1764"/>
  <c r="BA1764"/>
  <c r="BC1764"/>
  <c r="BE1764"/>
  <c r="BG1764"/>
  <c r="M1765"/>
  <c r="O1765"/>
  <c r="Q1765"/>
  <c r="Y1765"/>
  <c r="AG1765"/>
  <c r="AI1765"/>
  <c r="AK1765"/>
  <c r="AM1765"/>
  <c r="AO1765"/>
  <c r="AQ1765"/>
  <c r="AS1765"/>
  <c r="AU1765"/>
  <c r="AW1765"/>
  <c r="AY1765"/>
  <c r="BA1765"/>
  <c r="BC1765"/>
  <c r="BE1765"/>
  <c r="BG1765"/>
  <c r="M1766"/>
  <c r="O1766"/>
  <c r="Q1766"/>
  <c r="Y1766"/>
  <c r="AG1766"/>
  <c r="AI1766"/>
  <c r="AK1766"/>
  <c r="AM1766"/>
  <c r="AO1766"/>
  <c r="AQ1766"/>
  <c r="AS1766"/>
  <c r="AU1766"/>
  <c r="AW1766"/>
  <c r="AY1766"/>
  <c r="BA1766"/>
  <c r="BC1766"/>
  <c r="BE1766"/>
  <c r="BG1766"/>
  <c r="M1767"/>
  <c r="O1767"/>
  <c r="Q1767"/>
  <c r="Y1767"/>
  <c r="AG1767"/>
  <c r="AI1767"/>
  <c r="AK1767"/>
  <c r="AM1767"/>
  <c r="AO1767"/>
  <c r="AQ1767"/>
  <c r="AS1767"/>
  <c r="AU1767"/>
  <c r="AW1767"/>
  <c r="AY1767"/>
  <c r="BA1767"/>
  <c r="BC1767"/>
  <c r="BE1767"/>
  <c r="BG1767"/>
  <c r="M1768"/>
  <c r="O1768"/>
  <c r="Q1768"/>
  <c r="Y1768"/>
  <c r="AG1768"/>
  <c r="AI1768"/>
  <c r="AK1768"/>
  <c r="AM1768"/>
  <c r="AO1768"/>
  <c r="AQ1768"/>
  <c r="AS1768"/>
  <c r="AU1768"/>
  <c r="AW1768"/>
  <c r="AY1768"/>
  <c r="BA1768"/>
  <c r="BC1768"/>
  <c r="BE1768"/>
  <c r="BG1768"/>
  <c r="M1769"/>
  <c r="O1769"/>
  <c r="Q1769"/>
  <c r="Y1769"/>
  <c r="AG1769"/>
  <c r="AI1769"/>
  <c r="AK1769"/>
  <c r="AM1769"/>
  <c r="AO1769"/>
  <c r="AQ1769"/>
  <c r="AS1769"/>
  <c r="AU1769"/>
  <c r="AW1769"/>
  <c r="AY1769"/>
  <c r="BA1769"/>
  <c r="BC1769"/>
  <c r="BE1769"/>
  <c r="BG1769"/>
  <c r="M1770"/>
  <c r="O1770"/>
  <c r="Q1770"/>
  <c r="Y1770"/>
  <c r="AG1770"/>
  <c r="AI1770"/>
  <c r="AK1770"/>
  <c r="AM1770"/>
  <c r="AO1770"/>
  <c r="AQ1770"/>
  <c r="AS1770"/>
  <c r="AU1770"/>
  <c r="AW1770"/>
  <c r="AY1770"/>
  <c r="BA1770"/>
  <c r="BC1770"/>
  <c r="BE1770"/>
  <c r="BG1770"/>
  <c r="M1771"/>
  <c r="O1771"/>
  <c r="Q1771"/>
  <c r="Y1771"/>
  <c r="AG1771"/>
  <c r="AI1771"/>
  <c r="AK1771"/>
  <c r="AM1771"/>
  <c r="AO1771"/>
  <c r="AQ1771"/>
  <c r="AS1771"/>
  <c r="AU1771"/>
  <c r="AW1771"/>
  <c r="AY1771"/>
  <c r="BA1771"/>
  <c r="BC1771"/>
  <c r="BE1771"/>
  <c r="BG1771"/>
  <c r="M1772"/>
  <c r="O1772"/>
  <c r="Q1772"/>
  <c r="Y1772"/>
  <c r="AG1772"/>
  <c r="AI1772"/>
  <c r="AK1772"/>
  <c r="AM1772"/>
  <c r="AO1772"/>
  <c r="AQ1772"/>
  <c r="AS1772"/>
  <c r="AU1772"/>
  <c r="AW1772"/>
  <c r="AY1772"/>
  <c r="BA1772"/>
  <c r="BC1772"/>
  <c r="BE1772"/>
  <c r="BG1772"/>
  <c r="M1773"/>
  <c r="O1773"/>
  <c r="Q1773"/>
  <c r="Y1773"/>
  <c r="AG1773"/>
  <c r="AI1773"/>
  <c r="AK1773"/>
  <c r="AM1773"/>
  <c r="AO1773"/>
  <c r="AQ1773"/>
  <c r="AS1773"/>
  <c r="AU1773"/>
  <c r="AW1773"/>
  <c r="AY1773"/>
  <c r="BA1773"/>
  <c r="BC1773"/>
  <c r="BE1773"/>
  <c r="BG1773"/>
  <c r="M1774"/>
  <c r="O1774"/>
  <c r="Q1774"/>
  <c r="Y1774"/>
  <c r="AG1774"/>
  <c r="AI1774"/>
  <c r="AK1774"/>
  <c r="AM1774"/>
  <c r="AO1774"/>
  <c r="AQ1774"/>
  <c r="AS1774"/>
  <c r="AU1774"/>
  <c r="AW1774"/>
  <c r="AY1774"/>
  <c r="BA1774"/>
  <c r="BC1774"/>
  <c r="BE1774"/>
  <c r="BG1774"/>
  <c r="M1775"/>
  <c r="O1775"/>
  <c r="Q1775"/>
  <c r="Y1775"/>
  <c r="AG1775"/>
  <c r="AI1775"/>
  <c r="AK1775"/>
  <c r="AM1775"/>
  <c r="AO1775"/>
  <c r="AQ1775"/>
  <c r="AS1775"/>
  <c r="AU1775"/>
  <c r="AW1775"/>
  <c r="AY1775"/>
  <c r="BA1775"/>
  <c r="BC1775"/>
  <c r="BE1775"/>
  <c r="BG1775"/>
  <c r="M1776"/>
  <c r="O1776"/>
  <c r="Q1776"/>
  <c r="Y1776"/>
  <c r="AG1776"/>
  <c r="AI1776"/>
  <c r="AK1776"/>
  <c r="AM1776"/>
  <c r="AO1776"/>
  <c r="AQ1776"/>
  <c r="AS1776"/>
  <c r="AU1776"/>
  <c r="AW1776"/>
  <c r="AY1776"/>
  <c r="BA1776"/>
  <c r="BC1776"/>
  <c r="BE1776"/>
  <c r="BG1776"/>
  <c r="M1777"/>
  <c r="O1777"/>
  <c r="Q1777"/>
  <c r="Y1777"/>
  <c r="AG1777"/>
  <c r="AI1777"/>
  <c r="AK1777"/>
  <c r="AM1777"/>
  <c r="AO1777"/>
  <c r="AQ1777"/>
  <c r="AS1777"/>
  <c r="AU1777"/>
  <c r="AW1777"/>
  <c r="AY1777"/>
  <c r="BA1777"/>
  <c r="BC1777"/>
  <c r="BE1777"/>
  <c r="BG1777"/>
  <c r="M1778"/>
  <c r="O1778"/>
  <c r="Q1778"/>
  <c r="Y1778"/>
  <c r="AG1778"/>
  <c r="AI1778"/>
  <c r="AK1778"/>
  <c r="AM1778"/>
  <c r="AO1778"/>
  <c r="AQ1778"/>
  <c r="AS1778"/>
  <c r="AU1778"/>
  <c r="AW1778"/>
  <c r="AY1778"/>
  <c r="BA1778"/>
  <c r="BC1778"/>
  <c r="BE1778"/>
  <c r="BG1778"/>
  <c r="M1779"/>
  <c r="O1779"/>
  <c r="Q1779"/>
  <c r="Y1779"/>
  <c r="AG1779"/>
  <c r="AI1779"/>
  <c r="AK1779"/>
  <c r="AM1779"/>
  <c r="AO1779"/>
  <c r="AQ1779"/>
  <c r="AS1779"/>
  <c r="AU1779"/>
  <c r="AW1779"/>
  <c r="AY1779"/>
  <c r="BA1779"/>
  <c r="BC1779"/>
  <c r="BE1779"/>
  <c r="BG1779"/>
  <c r="M1780"/>
  <c r="O1780"/>
  <c r="Y1780"/>
  <c r="AG1780"/>
  <c r="AI1780"/>
  <c r="AK1780"/>
  <c r="AM1780"/>
  <c r="AO1780"/>
  <c r="AQ1780"/>
  <c r="AS1780"/>
  <c r="AU1780"/>
  <c r="AW1780"/>
  <c r="AY1780"/>
  <c r="BA1780"/>
  <c r="BC1780"/>
  <c r="BE1780"/>
  <c r="BG1780"/>
  <c r="M1781"/>
  <c r="O1781"/>
  <c r="Q1781"/>
  <c r="Y1781"/>
  <c r="AG1781"/>
  <c r="AI1781"/>
  <c r="AK1781"/>
  <c r="AM1781"/>
  <c r="AO1781"/>
  <c r="AQ1781"/>
  <c r="AS1781"/>
  <c r="AU1781"/>
  <c r="AW1781"/>
  <c r="AY1781"/>
  <c r="BA1781"/>
  <c r="BC1781"/>
  <c r="BE1781"/>
  <c r="BG1781"/>
  <c r="M1782"/>
  <c r="O1782"/>
  <c r="Q1782"/>
  <c r="Y1782"/>
  <c r="AG1782"/>
  <c r="AI1782"/>
  <c r="AK1782"/>
  <c r="AM1782"/>
  <c r="AO1782"/>
  <c r="AQ1782"/>
  <c r="AS1782"/>
  <c r="AU1782"/>
  <c r="AW1782"/>
  <c r="AY1782"/>
  <c r="BA1782"/>
  <c r="BC1782"/>
  <c r="BE1782"/>
  <c r="BG1782"/>
  <c r="M1800"/>
  <c r="O1800"/>
  <c r="Q1800"/>
  <c r="Y1800"/>
  <c r="AG1800"/>
  <c r="AI1800"/>
  <c r="AK1800"/>
  <c r="AM1800"/>
  <c r="AO1800"/>
  <c r="AQ1800"/>
  <c r="AS1800"/>
  <c r="AU1800"/>
  <c r="AW1800"/>
  <c r="AY1800"/>
  <c r="BA1800"/>
  <c r="BC1800"/>
  <c r="BE1800"/>
  <c r="BG1800"/>
  <c r="M1801"/>
  <c r="O1801"/>
  <c r="Q1801"/>
  <c r="Y1801"/>
  <c r="AG1801"/>
  <c r="AI1801"/>
  <c r="AK1801"/>
  <c r="AM1801"/>
  <c r="AO1801"/>
  <c r="AQ1801"/>
  <c r="AS1801"/>
  <c r="AU1801"/>
  <c r="AW1801"/>
  <c r="AY1801"/>
  <c r="BA1801"/>
  <c r="BC1801"/>
  <c r="BE1801"/>
  <c r="BG1801"/>
  <c r="M1802"/>
  <c r="O1802"/>
  <c r="Q1802"/>
  <c r="Y1802"/>
  <c r="AG1802"/>
  <c r="AI1802"/>
  <c r="AK1802"/>
  <c r="AM1802"/>
  <c r="AO1802"/>
  <c r="AQ1802"/>
  <c r="AS1802"/>
  <c r="AU1802"/>
  <c r="AW1802"/>
  <c r="AY1802"/>
  <c r="BA1802"/>
  <c r="BC1802"/>
  <c r="BE1802"/>
  <c r="BG1802"/>
  <c r="M1803"/>
  <c r="O1803"/>
  <c r="Q1803"/>
  <c r="Y1803"/>
  <c r="AG1803"/>
  <c r="AI1803"/>
  <c r="AK1803"/>
  <c r="AM1803"/>
  <c r="AO1803"/>
  <c r="AQ1803"/>
  <c r="AS1803"/>
  <c r="AU1803"/>
  <c r="AW1803"/>
  <c r="AY1803"/>
  <c r="BA1803"/>
  <c r="BC1803"/>
  <c r="BE1803"/>
  <c r="BG1803"/>
  <c r="M1804"/>
  <c r="O1804"/>
  <c r="Q1804"/>
  <c r="Y1804"/>
  <c r="AG1804"/>
  <c r="AI1804"/>
  <c r="AK1804"/>
  <c r="AM1804"/>
  <c r="AO1804"/>
  <c r="AQ1804"/>
  <c r="AS1804"/>
  <c r="AU1804"/>
  <c r="AW1804"/>
  <c r="AY1804"/>
  <c r="BA1804"/>
  <c r="BC1804"/>
  <c r="BE1804"/>
  <c r="BG1804"/>
  <c r="M1805"/>
  <c r="O1805"/>
  <c r="Q1805"/>
  <c r="Y1805"/>
  <c r="AG1805"/>
  <c r="AI1805"/>
  <c r="AK1805"/>
  <c r="AM1805"/>
  <c r="AO1805"/>
  <c r="AQ1805"/>
  <c r="AS1805"/>
  <c r="AU1805"/>
  <c r="AW1805"/>
  <c r="AY1805"/>
  <c r="BA1805"/>
  <c r="BC1805"/>
  <c r="BE1805"/>
  <c r="BG1805"/>
  <c r="M1806"/>
  <c r="O1806"/>
  <c r="Q1806"/>
  <c r="Y1806"/>
  <c r="AG1806"/>
  <c r="AI1806"/>
  <c r="AK1806"/>
  <c r="AM1806"/>
  <c r="AO1806"/>
  <c r="AQ1806"/>
  <c r="AS1806"/>
  <c r="AU1806"/>
  <c r="AW1806"/>
  <c r="AY1806"/>
  <c r="BA1806"/>
  <c r="BC1806"/>
  <c r="BE1806"/>
  <c r="BG1806"/>
  <c r="M1807"/>
  <c r="O1807"/>
  <c r="Q1807"/>
  <c r="Y1807"/>
  <c r="AG1807"/>
  <c r="AI1807"/>
  <c r="AK1807"/>
  <c r="AM1807"/>
  <c r="AO1807"/>
  <c r="AQ1807"/>
  <c r="AS1807"/>
  <c r="AU1807"/>
  <c r="AW1807"/>
  <c r="AY1807"/>
  <c r="BA1807"/>
  <c r="BC1807"/>
  <c r="BE1807"/>
  <c r="BG1807"/>
  <c r="M1808"/>
  <c r="O1808"/>
  <c r="Q1808"/>
  <c r="Y1808"/>
  <c r="AG1808"/>
  <c r="AI1808"/>
  <c r="AK1808"/>
  <c r="AM1808"/>
  <c r="AO1808"/>
  <c r="AQ1808"/>
  <c r="AS1808"/>
  <c r="AU1808"/>
  <c r="AW1808"/>
  <c r="AY1808"/>
  <c r="BA1808"/>
  <c r="BC1808"/>
  <c r="BE1808"/>
  <c r="BG1808"/>
  <c r="M1809"/>
  <c r="O1809"/>
  <c r="Q1809"/>
  <c r="Y1809"/>
  <c r="AG1809"/>
  <c r="AI1809"/>
  <c r="AK1809"/>
  <c r="AM1809"/>
  <c r="AO1809"/>
  <c r="AQ1809"/>
  <c r="AS1809"/>
  <c r="AU1809"/>
  <c r="AW1809"/>
  <c r="AY1809"/>
  <c r="BA1809"/>
  <c r="BC1809"/>
  <c r="BE1809"/>
  <c r="BG1809"/>
  <c r="M1810"/>
  <c r="O1810"/>
  <c r="Q1810"/>
  <c r="Y1810"/>
  <c r="AG1810"/>
  <c r="AI1810"/>
  <c r="AK1810"/>
  <c r="AM1810"/>
  <c r="AO1810"/>
  <c r="AQ1810"/>
  <c r="AS1810"/>
  <c r="AU1810"/>
  <c r="AW1810"/>
  <c r="AY1810"/>
  <c r="BA1810"/>
  <c r="BC1810"/>
  <c r="BE1810"/>
  <c r="BG1810"/>
  <c r="M1811"/>
  <c r="O1811"/>
  <c r="Q1811"/>
  <c r="Y1811"/>
  <c r="AG1811"/>
  <c r="AI1811"/>
  <c r="AK1811"/>
  <c r="AM1811"/>
  <c r="AO1811"/>
  <c r="AQ1811"/>
  <c r="AS1811"/>
  <c r="AU1811"/>
  <c r="AW1811"/>
  <c r="AY1811"/>
  <c r="BA1811"/>
  <c r="BC1811"/>
  <c r="BE1811"/>
  <c r="BG1811"/>
  <c r="M1812"/>
  <c r="O1812"/>
  <c r="Q1812"/>
  <c r="Y1812"/>
  <c r="AG1812"/>
  <c r="AI1812"/>
  <c r="AK1812"/>
  <c r="AM1812"/>
  <c r="AO1812"/>
  <c r="AQ1812"/>
  <c r="AS1812"/>
  <c r="AU1812"/>
  <c r="AW1812"/>
  <c r="AY1812"/>
  <c r="BA1812"/>
  <c r="BC1812"/>
  <c r="BE1812"/>
  <c r="BG1812"/>
  <c r="M1813"/>
  <c r="O1813"/>
  <c r="Q1813"/>
  <c r="Y1813"/>
  <c r="AG1813"/>
  <c r="AI1813"/>
  <c r="AK1813"/>
  <c r="AM1813"/>
  <c r="AO1813"/>
  <c r="AQ1813"/>
  <c r="AS1813"/>
  <c r="AU1813"/>
  <c r="AW1813"/>
  <c r="AY1813"/>
  <c r="BA1813"/>
  <c r="BC1813"/>
  <c r="BE1813"/>
  <c r="BG1813"/>
  <c r="M1814"/>
  <c r="O1814"/>
  <c r="Q1814"/>
  <c r="Y1814"/>
  <c r="AG1814"/>
  <c r="AI1814"/>
  <c r="AK1814"/>
  <c r="AM1814"/>
  <c r="AO1814"/>
  <c r="AQ1814"/>
  <c r="AS1814"/>
  <c r="AU1814"/>
  <c r="AW1814"/>
  <c r="AY1814"/>
  <c r="BA1814"/>
  <c r="BC1814"/>
  <c r="BE1814"/>
  <c r="BG1814"/>
  <c r="M1815"/>
  <c r="O1815"/>
  <c r="Q1815"/>
  <c r="Y1815"/>
  <c r="AG1815"/>
  <c r="AI1815"/>
  <c r="AK1815"/>
  <c r="AM1815"/>
  <c r="AO1815"/>
  <c r="AQ1815"/>
  <c r="AS1815"/>
  <c r="AU1815"/>
  <c r="AW1815"/>
  <c r="AY1815"/>
  <c r="BA1815"/>
  <c r="BC1815"/>
  <c r="BE1815"/>
  <c r="BG1815"/>
  <c r="M1816"/>
  <c r="O1816"/>
  <c r="Q1816"/>
  <c r="Y1816"/>
  <c r="AG1816"/>
  <c r="AI1816"/>
  <c r="AK1816"/>
  <c r="AM1816"/>
  <c r="AO1816"/>
  <c r="AQ1816"/>
  <c r="AS1816"/>
  <c r="AU1816"/>
  <c r="AW1816"/>
  <c r="AY1816"/>
  <c r="BA1816"/>
  <c r="BC1816"/>
  <c r="BE1816"/>
  <c r="BG1816"/>
  <c r="M1817"/>
  <c r="O1817"/>
  <c r="Q1817"/>
  <c r="Y1817"/>
  <c r="AG1817"/>
  <c r="AI1817"/>
  <c r="AK1817"/>
  <c r="AM1817"/>
  <c r="AO1817"/>
  <c r="AQ1817"/>
  <c r="AS1817"/>
  <c r="AU1817"/>
  <c r="AW1817"/>
  <c r="AY1817"/>
  <c r="BA1817"/>
  <c r="BC1817"/>
  <c r="BE1817"/>
  <c r="BG1817"/>
  <c r="M1818"/>
  <c r="O1818"/>
  <c r="Q1818"/>
  <c r="Y1818"/>
  <c r="AG1818"/>
  <c r="AI1818"/>
  <c r="AK1818"/>
  <c r="AM1818"/>
  <c r="AO1818"/>
  <c r="AQ1818"/>
  <c r="AS1818"/>
  <c r="AU1818"/>
  <c r="AW1818"/>
  <c r="AY1818"/>
  <c r="BA1818"/>
  <c r="BC1818"/>
  <c r="BE1818"/>
  <c r="BG1818"/>
  <c r="M1819"/>
  <c r="O1819"/>
  <c r="Q1819"/>
  <c r="Y1819"/>
  <c r="AG1819"/>
  <c r="AI1819"/>
  <c r="AK1819"/>
  <c r="AM1819"/>
  <c r="AO1819"/>
  <c r="AQ1819"/>
  <c r="AS1819"/>
  <c r="AU1819"/>
  <c r="AW1819"/>
  <c r="AY1819"/>
  <c r="BA1819"/>
  <c r="BC1819"/>
  <c r="BE1819"/>
  <c r="BG1819"/>
  <c r="M1820"/>
  <c r="O1820"/>
  <c r="Q1820"/>
  <c r="Y1820"/>
  <c r="AG1820"/>
  <c r="AI1820"/>
  <c r="AK1820"/>
  <c r="AM1820"/>
  <c r="AO1820"/>
  <c r="AQ1820"/>
  <c r="AS1820"/>
  <c r="AU1820"/>
  <c r="AW1820"/>
  <c r="AY1820"/>
  <c r="BA1820"/>
  <c r="BC1820"/>
  <c r="BE1820"/>
  <c r="BG1820"/>
  <c r="M1821"/>
  <c r="O1821"/>
  <c r="Q1821"/>
  <c r="Y1821"/>
  <c r="AG1821"/>
  <c r="AI1821"/>
  <c r="AK1821"/>
  <c r="AM1821"/>
  <c r="AO1821"/>
  <c r="AQ1821"/>
  <c r="AS1821"/>
  <c r="AU1821"/>
  <c r="AW1821"/>
  <c r="AY1821"/>
  <c r="BA1821"/>
  <c r="BC1821"/>
  <c r="BE1821"/>
  <c r="BG1821"/>
  <c r="M1822"/>
  <c r="O1822"/>
  <c r="Q1822"/>
  <c r="Y1822"/>
  <c r="AG1822"/>
  <c r="AI1822"/>
  <c r="AK1822"/>
  <c r="AM1822"/>
  <c r="AO1822"/>
  <c r="AQ1822"/>
  <c r="AS1822"/>
  <c r="AU1822"/>
  <c r="AW1822"/>
  <c r="AY1822"/>
  <c r="BA1822"/>
  <c r="BC1822"/>
  <c r="BE1822"/>
  <c r="BG1822"/>
  <c r="M1823"/>
  <c r="O1823"/>
  <c r="Q1823"/>
  <c r="Y1823"/>
  <c r="AG1823"/>
  <c r="AI1823"/>
  <c r="AK1823"/>
  <c r="AM1823"/>
  <c r="AO1823"/>
  <c r="AQ1823"/>
  <c r="AS1823"/>
  <c r="AU1823"/>
  <c r="AW1823"/>
  <c r="AY1823"/>
  <c r="BA1823"/>
  <c r="BC1823"/>
  <c r="BE1823"/>
  <c r="BG1823"/>
  <c r="M1824"/>
  <c r="O1824"/>
  <c r="Q1824"/>
  <c r="Y1824"/>
  <c r="AG1824"/>
  <c r="AI1824"/>
  <c r="AK1824"/>
  <c r="AM1824"/>
  <c r="AO1824"/>
  <c r="AQ1824"/>
  <c r="AS1824"/>
  <c r="AU1824"/>
  <c r="AW1824"/>
  <c r="AY1824"/>
  <c r="BA1824"/>
  <c r="BC1824"/>
  <c r="BE1824"/>
  <c r="BG1824"/>
  <c r="M1825"/>
  <c r="O1825"/>
  <c r="Q1825"/>
  <c r="Y1825"/>
  <c r="AG1825"/>
  <c r="AI1825"/>
  <c r="AK1825"/>
  <c r="AM1825"/>
  <c r="AO1825"/>
  <c r="AQ1825"/>
  <c r="AS1825"/>
  <c r="AU1825"/>
  <c r="AW1825"/>
  <c r="AY1825"/>
  <c r="BA1825"/>
  <c r="BC1825"/>
  <c r="BE1825"/>
  <c r="BG1825"/>
  <c r="M1826"/>
  <c r="O1826"/>
  <c r="Q1826"/>
  <c r="Y1826"/>
  <c r="AG1826"/>
  <c r="AI1826"/>
  <c r="AK1826"/>
  <c r="AM1826"/>
  <c r="AO1826"/>
  <c r="AQ1826"/>
  <c r="AS1826"/>
  <c r="AU1826"/>
  <c r="AW1826"/>
  <c r="AY1826"/>
  <c r="BA1826"/>
  <c r="BC1826"/>
  <c r="BE1826"/>
  <c r="BG1826"/>
  <c r="M1827"/>
  <c r="O1827"/>
  <c r="Q1827"/>
  <c r="Y1827"/>
  <c r="AG1827"/>
  <c r="AI1827"/>
  <c r="AK1827"/>
  <c r="AM1827"/>
  <c r="AO1827"/>
  <c r="AQ1827"/>
  <c r="AS1827"/>
  <c r="AU1827"/>
  <c r="AW1827"/>
  <c r="AY1827"/>
  <c r="BA1827"/>
  <c r="BC1827"/>
  <c r="BE1827"/>
  <c r="BG1827"/>
  <c r="M1828"/>
  <c r="O1828"/>
  <c r="Q1828"/>
  <c r="Y1828"/>
  <c r="AG1828"/>
  <c r="AI1828"/>
  <c r="AK1828"/>
  <c r="AM1828"/>
  <c r="AO1828"/>
  <c r="AQ1828"/>
  <c r="AS1828"/>
  <c r="AU1828"/>
  <c r="AW1828"/>
  <c r="AY1828"/>
  <c r="BA1828"/>
  <c r="BC1828"/>
  <c r="BE1828"/>
  <c r="BG1828"/>
  <c r="M1829"/>
  <c r="O1829"/>
  <c r="Q1829"/>
  <c r="Y1829"/>
  <c r="AG1829"/>
  <c r="AI1829"/>
  <c r="AK1829"/>
  <c r="AM1829"/>
  <c r="AO1829"/>
  <c r="AQ1829"/>
  <c r="AS1829"/>
  <c r="AU1829"/>
  <c r="AW1829"/>
  <c r="AY1829"/>
  <c r="BA1829"/>
  <c r="BC1829"/>
  <c r="BE1829"/>
  <c r="BG1829"/>
  <c r="M1830"/>
  <c r="O1830"/>
  <c r="Q1830"/>
  <c r="Y1830"/>
  <c r="AG1830"/>
  <c r="AI1830"/>
  <c r="AK1830"/>
  <c r="AM1830"/>
  <c r="AO1830"/>
  <c r="AQ1830"/>
  <c r="AS1830"/>
  <c r="AU1830"/>
  <c r="AW1830"/>
  <c r="AY1830"/>
  <c r="BA1830"/>
  <c r="BC1830"/>
  <c r="BE1830"/>
  <c r="BG1830"/>
  <c r="M1831"/>
  <c r="O1831"/>
  <c r="Q1831"/>
  <c r="Y1831"/>
  <c r="AG1831"/>
  <c r="AI1831"/>
  <c r="AK1831"/>
  <c r="AM1831"/>
  <c r="AO1831"/>
  <c r="AQ1831"/>
  <c r="AS1831"/>
  <c r="AU1831"/>
  <c r="AW1831"/>
  <c r="AY1831"/>
  <c r="BA1831"/>
  <c r="BC1831"/>
  <c r="BE1831"/>
  <c r="BG1831"/>
  <c r="M1832"/>
  <c r="O1832"/>
  <c r="Q1832"/>
  <c r="Y1832"/>
  <c r="AG1832"/>
  <c r="AI1832"/>
  <c r="AK1832"/>
  <c r="AM1832"/>
  <c r="AO1832"/>
  <c r="AQ1832"/>
  <c r="AS1832"/>
  <c r="AU1832"/>
  <c r="AW1832"/>
  <c r="AY1832"/>
  <c r="BA1832"/>
  <c r="BC1832"/>
  <c r="BE1832"/>
  <c r="BG1832"/>
  <c r="M1833"/>
  <c r="O1833"/>
  <c r="Q1833"/>
  <c r="Y1833"/>
  <c r="AG1833"/>
  <c r="AI1833"/>
  <c r="AK1833"/>
  <c r="AM1833"/>
  <c r="AO1833"/>
  <c r="AQ1833"/>
  <c r="AS1833"/>
  <c r="AU1833"/>
  <c r="AV1833"/>
  <c r="AY1833"/>
  <c r="BA1833"/>
  <c r="BC1833"/>
  <c r="BE1833"/>
  <c r="BG1833"/>
  <c r="M1834"/>
  <c r="O1834"/>
  <c r="Q1834"/>
  <c r="Y1834"/>
  <c r="AG1834"/>
  <c r="AI1834"/>
  <c r="AK1834"/>
  <c r="AM1834"/>
  <c r="AO1834"/>
  <c r="AQ1834"/>
  <c r="AS1834"/>
  <c r="AU1834"/>
  <c r="AW1834"/>
  <c r="AY1834"/>
  <c r="BA1834"/>
  <c r="BC1834"/>
  <c r="BE1834"/>
  <c r="BG1834"/>
  <c r="M1835"/>
  <c r="O1835"/>
  <c r="Q1835"/>
  <c r="Y1835"/>
  <c r="AG1835"/>
  <c r="AI1835"/>
  <c r="AK1835"/>
  <c r="AM1835"/>
  <c r="AO1835"/>
  <c r="AQ1835"/>
  <c r="AS1835"/>
  <c r="AU1835"/>
  <c r="AW1835"/>
  <c r="AY1835"/>
  <c r="BA1835"/>
  <c r="BC1835"/>
  <c r="BE1835"/>
  <c r="BG1835"/>
  <c r="M1836"/>
  <c r="O1836"/>
  <c r="Q1836"/>
  <c r="Y1836"/>
  <c r="AG1836"/>
  <c r="AI1836"/>
  <c r="AK1836"/>
  <c r="AM1836"/>
  <c r="AO1836"/>
  <c r="AQ1836"/>
  <c r="AS1836"/>
  <c r="AU1836"/>
  <c r="AW1836"/>
  <c r="AY1836"/>
  <c r="BA1836"/>
  <c r="BC1836"/>
  <c r="BE1836"/>
  <c r="BG1836"/>
  <c r="M1837"/>
  <c r="O1837"/>
  <c r="P1837"/>
  <c r="X1837"/>
  <c r="AG1837"/>
  <c r="AI1837"/>
  <c r="AK1837"/>
  <c r="AM1837"/>
  <c r="AO1837"/>
  <c r="AQ1837"/>
  <c r="AS1837"/>
  <c r="AU1837"/>
  <c r="AW1837"/>
  <c r="AY1837"/>
  <c r="BA1837"/>
  <c r="BC1837"/>
  <c r="BE1837"/>
  <c r="BG1837"/>
  <c r="M1838"/>
  <c r="O1838"/>
  <c r="X1838"/>
  <c r="AG1838"/>
  <c r="AI1838"/>
  <c r="AK1838"/>
  <c r="AM1838"/>
  <c r="AO1838"/>
  <c r="AQ1838"/>
  <c r="AS1838"/>
  <c r="AU1838"/>
  <c r="AW1838"/>
  <c r="AY1838"/>
  <c r="BA1838"/>
  <c r="BC1838"/>
  <c r="BE1838"/>
  <c r="BG1838"/>
  <c r="M1839"/>
  <c r="O1839"/>
  <c r="P1839"/>
  <c r="X1839"/>
  <c r="AG1839"/>
  <c r="AI1839"/>
  <c r="AK1839"/>
  <c r="AM1839"/>
  <c r="AO1839"/>
  <c r="AQ1839"/>
  <c r="AS1839"/>
  <c r="AU1839"/>
  <c r="AW1839"/>
  <c r="AY1839"/>
  <c r="BA1839"/>
  <c r="BC1839"/>
  <c r="BE1839"/>
  <c r="BG1839"/>
  <c r="M1840"/>
  <c r="O1840"/>
  <c r="P1840"/>
  <c r="X1840"/>
  <c r="AG1840"/>
  <c r="AI1840"/>
  <c r="AK1840"/>
  <c r="AM1840"/>
  <c r="AO1840"/>
  <c r="AQ1840"/>
  <c r="AS1840"/>
  <c r="AU1840"/>
  <c r="AW1840"/>
  <c r="AY1840"/>
  <c r="BA1840"/>
  <c r="BC1840"/>
  <c r="BE1840"/>
  <c r="BG1840"/>
  <c r="M1841"/>
  <c r="O1841"/>
  <c r="P1841"/>
  <c r="X1841"/>
  <c r="AG1841"/>
  <c r="AI1841"/>
  <c r="AK1841"/>
  <c r="AM1841"/>
  <c r="AO1841"/>
  <c r="AQ1841"/>
  <c r="AS1841"/>
  <c r="AU1841"/>
  <c r="AW1841"/>
  <c r="AY1841"/>
  <c r="BA1841"/>
  <c r="BC1841"/>
  <c r="BE1841"/>
  <c r="BG1841"/>
  <c r="M1842"/>
  <c r="O1842"/>
  <c r="P1842"/>
  <c r="X1842"/>
  <c r="AG1842"/>
  <c r="AI1842"/>
  <c r="AK1842"/>
  <c r="AM1842"/>
  <c r="AO1842"/>
  <c r="AQ1842"/>
  <c r="AS1842"/>
  <c r="AU1842"/>
  <c r="AW1842"/>
  <c r="AY1842"/>
  <c r="BA1842"/>
  <c r="BC1842"/>
  <c r="BE1842"/>
  <c r="BG1842"/>
  <c r="L1843"/>
  <c r="N1843"/>
  <c r="P1843"/>
  <c r="R1843"/>
  <c r="T1843"/>
  <c r="V1843"/>
  <c r="X1843"/>
  <c r="Z1843"/>
  <c r="AB1843"/>
  <c r="AD1843"/>
  <c r="AJ1843"/>
  <c r="AL1843"/>
  <c r="AT1843"/>
  <c r="L1844"/>
  <c r="N1844"/>
  <c r="R1844"/>
  <c r="T1844"/>
  <c r="V1844"/>
  <c r="X1844"/>
  <c r="AJ1844"/>
  <c r="AL1844"/>
  <c r="L1845"/>
  <c r="N1845"/>
  <c r="P1845"/>
  <c r="R1845"/>
  <c r="T1845"/>
  <c r="V1845"/>
  <c r="X1845"/>
  <c r="AJ1845"/>
  <c r="AL1845"/>
  <c r="L1846"/>
  <c r="N1846"/>
  <c r="P1846"/>
  <c r="R1846"/>
  <c r="T1846"/>
  <c r="V1846"/>
  <c r="X1846"/>
  <c r="AJ1846"/>
  <c r="AL1846"/>
  <c r="L1847"/>
  <c r="N1847"/>
  <c r="P1847"/>
  <c r="R1847"/>
  <c r="T1847"/>
  <c r="V1847"/>
  <c r="X1847"/>
  <c r="AJ1847"/>
  <c r="AL1847"/>
  <c r="AT1847"/>
  <c r="M1858"/>
  <c r="O1858"/>
  <c r="Q1858"/>
  <c r="Y1858"/>
  <c r="AG1858"/>
  <c r="AI1858"/>
  <c r="AK1858"/>
  <c r="AM1858"/>
  <c r="AO1858"/>
  <c r="AQ1858"/>
  <c r="AS1858"/>
  <c r="AU1858"/>
  <c r="AW1858"/>
  <c r="AY1858"/>
  <c r="BA1858"/>
  <c r="BC1858"/>
  <c r="BE1858"/>
  <c r="BG1858"/>
  <c r="M1859"/>
  <c r="O1859"/>
  <c r="Q1859"/>
  <c r="Y1859"/>
  <c r="AG1859"/>
  <c r="AI1859"/>
  <c r="AK1859"/>
  <c r="AM1859"/>
  <c r="AO1859"/>
  <c r="AQ1859"/>
  <c r="AS1859"/>
  <c r="AU1859"/>
  <c r="AW1859"/>
  <c r="AY1859"/>
  <c r="BA1859"/>
  <c r="BC1859"/>
  <c r="BE1859"/>
  <c r="BG1859"/>
  <c r="M1860"/>
  <c r="O1860"/>
  <c r="Q1860"/>
  <c r="Y1860"/>
  <c r="AG1860"/>
  <c r="AI1860"/>
  <c r="AK1860"/>
  <c r="AM1860"/>
  <c r="AO1860"/>
  <c r="AQ1860"/>
  <c r="AS1860"/>
  <c r="AU1860"/>
  <c r="AW1860"/>
  <c r="AY1860"/>
  <c r="BA1860"/>
  <c r="BC1860"/>
  <c r="BE1860"/>
  <c r="BG1860"/>
  <c r="M1861"/>
  <c r="O1861"/>
  <c r="Q1861"/>
  <c r="Y1861"/>
  <c r="AG1861"/>
  <c r="AI1861"/>
  <c r="AK1861"/>
  <c r="AM1861"/>
  <c r="AO1861"/>
  <c r="AQ1861"/>
  <c r="AS1861"/>
  <c r="AU1861"/>
  <c r="AW1861"/>
  <c r="AY1861"/>
  <c r="BA1861"/>
  <c r="BC1861"/>
  <c r="BE1861"/>
  <c r="BG1861"/>
  <c r="M1862"/>
  <c r="O1862"/>
  <c r="Q1862"/>
  <c r="Y1862"/>
  <c r="AG1862"/>
  <c r="AI1862"/>
  <c r="AK1862"/>
  <c r="AM1862"/>
  <c r="AO1862"/>
  <c r="AQ1862"/>
  <c r="AS1862"/>
  <c r="AU1862"/>
  <c r="AW1862"/>
  <c r="AY1862"/>
  <c r="BA1862"/>
  <c r="BC1862"/>
  <c r="BE1862"/>
  <c r="BG1862"/>
  <c r="M1863"/>
  <c r="O1863"/>
  <c r="Q1863"/>
  <c r="Y1863"/>
  <c r="AG1863"/>
  <c r="AI1863"/>
  <c r="AK1863"/>
  <c r="AM1863"/>
  <c r="AO1863"/>
  <c r="AQ1863"/>
  <c r="AS1863"/>
  <c r="AU1863"/>
  <c r="AW1863"/>
  <c r="AY1863"/>
  <c r="BA1863"/>
  <c r="BC1863"/>
  <c r="BE1863"/>
  <c r="BG1863"/>
  <c r="M1864"/>
  <c r="O1864"/>
  <c r="Q1864"/>
  <c r="Y1864"/>
  <c r="AG1864"/>
  <c r="AI1864"/>
  <c r="AK1864"/>
  <c r="AM1864"/>
  <c r="AO1864"/>
  <c r="AQ1864"/>
  <c r="AS1864"/>
  <c r="AU1864"/>
  <c r="AW1864"/>
  <c r="AY1864"/>
  <c r="BA1864"/>
  <c r="BC1864"/>
  <c r="BE1864"/>
  <c r="BG1864"/>
  <c r="M1865"/>
  <c r="O1865"/>
  <c r="Q1865"/>
  <c r="Y1865"/>
  <c r="AG1865"/>
  <c r="AI1865"/>
  <c r="AK1865"/>
  <c r="AM1865"/>
  <c r="AO1865"/>
  <c r="AQ1865"/>
  <c r="AS1865"/>
  <c r="AU1865"/>
  <c r="AW1865"/>
  <c r="AY1865"/>
  <c r="BA1865"/>
  <c r="BC1865"/>
  <c r="BE1865"/>
  <c r="BG1865"/>
  <c r="M1866"/>
  <c r="O1866"/>
  <c r="Q1866"/>
  <c r="Y1866"/>
  <c r="AG1866"/>
  <c r="AI1866"/>
  <c r="AK1866"/>
  <c r="AM1866"/>
  <c r="AO1866"/>
  <c r="AQ1866"/>
  <c r="AS1866"/>
  <c r="AU1866"/>
  <c r="AW1866"/>
  <c r="AY1866"/>
  <c r="BA1866"/>
  <c r="BC1866"/>
  <c r="BE1866"/>
  <c r="BG1866"/>
  <c r="M1867"/>
  <c r="O1867"/>
  <c r="Q1867"/>
  <c r="Y1867"/>
  <c r="AG1867"/>
  <c r="AI1867"/>
  <c r="AK1867"/>
  <c r="AM1867"/>
  <c r="AO1867"/>
  <c r="AQ1867"/>
  <c r="AS1867"/>
  <c r="AU1867"/>
  <c r="AW1867"/>
  <c r="AY1867"/>
  <c r="BA1867"/>
  <c r="BC1867"/>
  <c r="BE1867"/>
  <c r="BG1867"/>
  <c r="M1868"/>
  <c r="O1868"/>
  <c r="Q1868"/>
  <c r="Y1868"/>
  <c r="AG1868"/>
  <c r="AI1868"/>
  <c r="AK1868"/>
  <c r="AM1868"/>
  <c r="AO1868"/>
  <c r="AQ1868"/>
  <c r="AS1868"/>
  <c r="AU1868"/>
  <c r="AW1868"/>
  <c r="AY1868"/>
  <c r="BA1868"/>
  <c r="BC1868"/>
  <c r="BE1868"/>
  <c r="BG1868"/>
  <c r="M1869"/>
  <c r="O1869"/>
  <c r="Q1869"/>
  <c r="Y1869"/>
  <c r="AG1869"/>
  <c r="AI1869"/>
  <c r="AK1869"/>
  <c r="AM1869"/>
  <c r="AO1869"/>
  <c r="AQ1869"/>
  <c r="AS1869"/>
  <c r="AU1869"/>
  <c r="AW1869"/>
  <c r="AY1869"/>
  <c r="BA1869"/>
  <c r="BC1869"/>
  <c r="BE1869"/>
  <c r="BG1869"/>
  <c r="M1870"/>
  <c r="O1870"/>
  <c r="Q1870"/>
  <c r="Y1870"/>
  <c r="AG1870"/>
  <c r="AI1870"/>
  <c r="AK1870"/>
  <c r="AM1870"/>
  <c r="AO1870"/>
  <c r="AQ1870"/>
  <c r="AS1870"/>
  <c r="AU1870"/>
  <c r="AW1870"/>
  <c r="AY1870"/>
  <c r="BA1870"/>
  <c r="BC1870"/>
  <c r="BE1870"/>
  <c r="BG1870"/>
  <c r="M1871"/>
  <c r="O1871"/>
  <c r="Q1871"/>
  <c r="Y1871"/>
  <c r="AG1871"/>
  <c r="AI1871"/>
  <c r="AK1871"/>
  <c r="AM1871"/>
  <c r="AO1871"/>
  <c r="AQ1871"/>
  <c r="AS1871"/>
  <c r="AU1871"/>
  <c r="AW1871"/>
  <c r="AY1871"/>
  <c r="BA1871"/>
  <c r="BC1871"/>
  <c r="BE1871"/>
  <c r="BG1871"/>
  <c r="M1872"/>
  <c r="O1872"/>
  <c r="Q1872"/>
  <c r="Y1872"/>
  <c r="AG1872"/>
  <c r="AI1872"/>
  <c r="AK1872"/>
  <c r="AM1872"/>
  <c r="AO1872"/>
  <c r="AQ1872"/>
  <c r="AS1872"/>
  <c r="AU1872"/>
  <c r="AW1872"/>
  <c r="AY1872"/>
  <c r="BA1872"/>
  <c r="BC1872"/>
  <c r="BE1872"/>
  <c r="BG1872"/>
  <c r="M1873"/>
  <c r="O1873"/>
  <c r="Q1873"/>
  <c r="Y1873"/>
  <c r="AG1873"/>
  <c r="AI1873"/>
  <c r="AK1873"/>
  <c r="AM1873"/>
  <c r="AO1873"/>
  <c r="AQ1873"/>
  <c r="AS1873"/>
  <c r="AU1873"/>
  <c r="AW1873"/>
  <c r="AY1873"/>
  <c r="BA1873"/>
  <c r="BC1873"/>
  <c r="BE1873"/>
  <c r="BG1873"/>
  <c r="M1874"/>
  <c r="O1874"/>
  <c r="Q1874"/>
  <c r="Y1874"/>
  <c r="AG1874"/>
  <c r="AI1874"/>
  <c r="AK1874"/>
  <c r="AM1874"/>
  <c r="AO1874"/>
  <c r="AQ1874"/>
  <c r="AS1874"/>
  <c r="AU1874"/>
  <c r="AW1874"/>
  <c r="AY1874"/>
  <c r="BA1874"/>
  <c r="BC1874"/>
  <c r="BE1874"/>
  <c r="BG1874"/>
  <c r="M1875"/>
  <c r="O1875"/>
  <c r="Q1875"/>
  <c r="Y1875"/>
  <c r="AG1875"/>
  <c r="AI1875"/>
  <c r="AK1875"/>
  <c r="AM1875"/>
  <c r="AO1875"/>
  <c r="AQ1875"/>
  <c r="AS1875"/>
  <c r="AU1875"/>
  <c r="AW1875"/>
  <c r="AY1875"/>
  <c r="BA1875"/>
  <c r="BC1875"/>
  <c r="BE1875"/>
  <c r="BG1875"/>
  <c r="M1876"/>
  <c r="O1876"/>
  <c r="Q1876"/>
  <c r="Y1876"/>
  <c r="AG1876"/>
  <c r="AI1876"/>
  <c r="AK1876"/>
  <c r="AM1876"/>
  <c r="AO1876"/>
  <c r="AQ1876"/>
  <c r="AS1876"/>
  <c r="AU1876"/>
  <c r="AW1876"/>
  <c r="AY1876"/>
  <c r="BA1876"/>
  <c r="BC1876"/>
  <c r="BE1876"/>
  <c r="BG1876"/>
  <c r="M1877"/>
  <c r="O1877"/>
  <c r="Q1877"/>
  <c r="Y1877"/>
  <c r="AG1877"/>
  <c r="AI1877"/>
  <c r="AK1877"/>
  <c r="AM1877"/>
  <c r="AO1877"/>
  <c r="AQ1877"/>
  <c r="AS1877"/>
  <c r="AU1877"/>
  <c r="AW1877"/>
  <c r="AY1877"/>
  <c r="BA1877"/>
  <c r="BC1877"/>
  <c r="BE1877"/>
  <c r="BG1877"/>
  <c r="M1878"/>
  <c r="O1878"/>
  <c r="Q1878"/>
  <c r="Y1878"/>
  <c r="AG1878"/>
  <c r="AI1878"/>
  <c r="AK1878"/>
  <c r="AM1878"/>
  <c r="AO1878"/>
  <c r="AQ1878"/>
  <c r="AS1878"/>
  <c r="AU1878"/>
  <c r="AW1878"/>
  <c r="AY1878"/>
  <c r="BA1878"/>
  <c r="BC1878"/>
  <c r="BE1878"/>
  <c r="BG1878"/>
  <c r="M1879"/>
  <c r="O1879"/>
  <c r="Q1879"/>
  <c r="Y1879"/>
  <c r="AG1879"/>
  <c r="AI1879"/>
  <c r="AK1879"/>
  <c r="AM1879"/>
  <c r="AO1879"/>
  <c r="AQ1879"/>
  <c r="AS1879"/>
  <c r="AU1879"/>
  <c r="AW1879"/>
  <c r="AY1879"/>
  <c r="BA1879"/>
  <c r="BC1879"/>
  <c r="BE1879"/>
  <c r="BG1879"/>
  <c r="M1880"/>
  <c r="O1880"/>
  <c r="Q1880"/>
  <c r="Y1880"/>
  <c r="AG1880"/>
  <c r="AI1880"/>
  <c r="AK1880"/>
  <c r="AM1880"/>
  <c r="AO1880"/>
  <c r="AQ1880"/>
  <c r="AS1880"/>
  <c r="AU1880"/>
  <c r="AW1880"/>
  <c r="AY1880"/>
  <c r="BA1880"/>
  <c r="BC1880"/>
  <c r="BE1880"/>
  <c r="BG1880"/>
  <c r="M1881"/>
  <c r="O1881"/>
  <c r="Q1881"/>
  <c r="Y1881"/>
  <c r="AG1881"/>
  <c r="AI1881"/>
  <c r="AK1881"/>
  <c r="AM1881"/>
  <c r="AO1881"/>
  <c r="AQ1881"/>
  <c r="AS1881"/>
  <c r="AU1881"/>
  <c r="AW1881"/>
  <c r="AY1881"/>
  <c r="BA1881"/>
  <c r="BC1881"/>
  <c r="BE1881"/>
  <c r="BG1881"/>
  <c r="M1882"/>
  <c r="O1882"/>
  <c r="Q1882"/>
  <c r="Y1882"/>
  <c r="AG1882"/>
  <c r="AI1882"/>
  <c r="AK1882"/>
  <c r="AM1882"/>
  <c r="AO1882"/>
  <c r="AQ1882"/>
  <c r="AS1882"/>
  <c r="AU1882"/>
  <c r="AW1882"/>
  <c r="AY1882"/>
  <c r="BA1882"/>
  <c r="BC1882"/>
  <c r="BE1882"/>
  <c r="BG1882"/>
  <c r="M1883"/>
  <c r="O1883"/>
  <c r="Q1883"/>
  <c r="Y1883"/>
  <c r="AG1883"/>
  <c r="AI1883"/>
  <c r="AK1883"/>
  <c r="AM1883"/>
  <c r="AO1883"/>
  <c r="AQ1883"/>
  <c r="AS1883"/>
  <c r="AU1883"/>
  <c r="AW1883"/>
  <c r="AY1883"/>
  <c r="BA1883"/>
  <c r="BC1883"/>
  <c r="BE1883"/>
  <c r="BG1883"/>
  <c r="M1884"/>
  <c r="O1884"/>
  <c r="Q1884"/>
  <c r="Y1884"/>
  <c r="AG1884"/>
  <c r="AI1884"/>
  <c r="AK1884"/>
  <c r="AM1884"/>
  <c r="AO1884"/>
  <c r="AQ1884"/>
  <c r="AS1884"/>
  <c r="AU1884"/>
  <c r="AW1884"/>
  <c r="AY1884"/>
  <c r="BA1884"/>
  <c r="BC1884"/>
  <c r="BE1884"/>
  <c r="BG1884"/>
  <c r="M1885"/>
  <c r="O1885"/>
  <c r="Q1885"/>
  <c r="Y1885"/>
  <c r="AG1885"/>
  <c r="AI1885"/>
  <c r="AK1885"/>
  <c r="AM1885"/>
  <c r="AO1885"/>
  <c r="AQ1885"/>
  <c r="AS1885"/>
  <c r="AU1885"/>
  <c r="AW1885"/>
  <c r="AY1885"/>
  <c r="BA1885"/>
  <c r="BC1885"/>
  <c r="BE1885"/>
  <c r="BG1885"/>
  <c r="M1886"/>
  <c r="O1886"/>
  <c r="Q1886"/>
  <c r="Y1886"/>
  <c r="AG1886"/>
  <c r="AI1886"/>
  <c r="AK1886"/>
  <c r="AM1886"/>
  <c r="AO1886"/>
  <c r="AQ1886"/>
  <c r="AS1886"/>
  <c r="AU1886"/>
  <c r="AW1886"/>
  <c r="AY1886"/>
  <c r="BA1886"/>
  <c r="BC1886"/>
  <c r="BE1886"/>
  <c r="BG1886"/>
  <c r="M1887"/>
  <c r="O1887"/>
  <c r="Q1887"/>
  <c r="Y1887"/>
  <c r="AG1887"/>
  <c r="AI1887"/>
  <c r="AK1887"/>
  <c r="AM1887"/>
  <c r="AO1887"/>
  <c r="AQ1887"/>
  <c r="AS1887"/>
  <c r="AU1887"/>
  <c r="AW1887"/>
  <c r="AY1887"/>
  <c r="BA1887"/>
  <c r="BC1887"/>
  <c r="BE1887"/>
  <c r="BG1887"/>
  <c r="M1888"/>
  <c r="O1888"/>
  <c r="Q1888"/>
  <c r="Y1888"/>
  <c r="AG1888"/>
  <c r="AI1888"/>
  <c r="AK1888"/>
  <c r="AM1888"/>
  <c r="AO1888"/>
  <c r="AQ1888"/>
  <c r="AS1888"/>
  <c r="AU1888"/>
  <c r="AW1888"/>
  <c r="AY1888"/>
  <c r="BA1888"/>
  <c r="BC1888"/>
  <c r="BE1888"/>
  <c r="BG1888"/>
  <c r="M1889"/>
  <c r="O1889"/>
  <c r="Q1889"/>
  <c r="Y1889"/>
  <c r="AG1889"/>
  <c r="AI1889"/>
  <c r="AK1889"/>
  <c r="AM1889"/>
  <c r="AO1889"/>
  <c r="AQ1889"/>
  <c r="AS1889"/>
  <c r="AU1889"/>
  <c r="AW1889"/>
  <c r="AY1889"/>
  <c r="BA1889"/>
  <c r="BC1889"/>
  <c r="BE1889"/>
  <c r="BG1889"/>
  <c r="M1890"/>
  <c r="O1890"/>
  <c r="Q1890"/>
  <c r="Y1890"/>
  <c r="AG1890"/>
  <c r="AI1890"/>
  <c r="AK1890"/>
  <c r="AM1890"/>
  <c r="AO1890"/>
  <c r="AQ1890"/>
  <c r="AS1890"/>
  <c r="AU1890"/>
  <c r="AW1890"/>
  <c r="AY1890"/>
  <c r="BA1890"/>
  <c r="BC1890"/>
  <c r="BE1890"/>
  <c r="BG1890"/>
  <c r="M1891"/>
  <c r="O1891"/>
  <c r="Q1891"/>
  <c r="Y1891"/>
  <c r="AG1891"/>
  <c r="AI1891"/>
  <c r="AK1891"/>
  <c r="AM1891"/>
  <c r="AO1891"/>
  <c r="AQ1891"/>
  <c r="AS1891"/>
  <c r="AU1891"/>
  <c r="AW1891"/>
  <c r="AY1891"/>
  <c r="BA1891"/>
  <c r="BC1891"/>
  <c r="BE1891"/>
  <c r="BG1891"/>
  <c r="M1892"/>
  <c r="O1892"/>
  <c r="Q1892"/>
  <c r="Y1892"/>
  <c r="AG1892"/>
  <c r="AI1892"/>
  <c r="AK1892"/>
  <c r="AM1892"/>
  <c r="AO1892"/>
  <c r="AQ1892"/>
  <c r="AS1892"/>
  <c r="AU1892"/>
  <c r="AW1892"/>
  <c r="AY1892"/>
  <c r="BA1892"/>
  <c r="BC1892"/>
  <c r="BE1892"/>
  <c r="BG1892"/>
  <c r="M1893"/>
  <c r="O1893"/>
  <c r="Q1893"/>
  <c r="Y1893"/>
  <c r="AG1893"/>
  <c r="AI1893"/>
  <c r="AK1893"/>
  <c r="AM1893"/>
  <c r="AO1893"/>
  <c r="AQ1893"/>
  <c r="AS1893"/>
  <c r="AU1893"/>
  <c r="AW1893"/>
  <c r="AY1893"/>
  <c r="BA1893"/>
  <c r="BC1893"/>
  <c r="BE1893"/>
  <c r="BG1893"/>
  <c r="M1894"/>
  <c r="O1894"/>
  <c r="Q1894"/>
  <c r="Y1894"/>
  <c r="AG1894"/>
  <c r="AI1894"/>
  <c r="AK1894"/>
  <c r="AM1894"/>
  <c r="AO1894"/>
  <c r="AQ1894"/>
  <c r="AS1894"/>
  <c r="AU1894"/>
  <c r="AW1894"/>
  <c r="AY1894"/>
  <c r="BA1894"/>
  <c r="BC1894"/>
  <c r="BE1894"/>
  <c r="BG1894"/>
  <c r="M1895"/>
  <c r="O1895"/>
  <c r="Q1895"/>
  <c r="Y1895"/>
  <c r="AG1895"/>
  <c r="AI1895"/>
  <c r="AK1895"/>
  <c r="AM1895"/>
  <c r="AO1895"/>
  <c r="AQ1895"/>
  <c r="AS1895"/>
  <c r="AU1895"/>
  <c r="AW1895"/>
  <c r="AY1895"/>
  <c r="BA1895"/>
  <c r="BC1895"/>
  <c r="BE1895"/>
  <c r="BG1895"/>
  <c r="M1896"/>
  <c r="O1896"/>
  <c r="Y1896"/>
  <c r="AG1896"/>
  <c r="AI1896"/>
  <c r="AK1896"/>
  <c r="AM1896"/>
  <c r="AO1896"/>
  <c r="AQ1896"/>
  <c r="AS1896"/>
  <c r="AU1896"/>
  <c r="AW1896"/>
  <c r="AY1896"/>
  <c r="BA1896"/>
  <c r="BC1896"/>
  <c r="BE1896"/>
  <c r="BG1896"/>
  <c r="M1897"/>
  <c r="O1897"/>
  <c r="Q1897"/>
  <c r="Y1897"/>
  <c r="AG1897"/>
  <c r="AI1897"/>
  <c r="AK1897"/>
  <c r="AM1897"/>
  <c r="AO1897"/>
  <c r="AQ1897"/>
  <c r="AS1897"/>
  <c r="AU1897"/>
  <c r="AW1897"/>
  <c r="AY1897"/>
  <c r="BA1897"/>
  <c r="BC1897"/>
  <c r="BE1897"/>
  <c r="BG1897"/>
  <c r="M1898"/>
  <c r="O1898"/>
  <c r="Q1898"/>
  <c r="Y1898"/>
  <c r="AG1898"/>
  <c r="AI1898"/>
  <c r="AK1898"/>
  <c r="AM1898"/>
  <c r="AO1898"/>
  <c r="AQ1898"/>
  <c r="AS1898"/>
  <c r="AU1898"/>
  <c r="AW1898"/>
  <c r="AY1898"/>
  <c r="BA1898"/>
  <c r="BC1898"/>
  <c r="BE1898"/>
  <c r="BG1898"/>
  <c r="M1899"/>
  <c r="O1899"/>
  <c r="Q1899"/>
  <c r="Y1899"/>
  <c r="AG1899"/>
  <c r="AI1899"/>
  <c r="AK1899"/>
  <c r="AM1899"/>
  <c r="AO1899"/>
  <c r="AQ1899"/>
  <c r="AS1899"/>
  <c r="AU1899"/>
  <c r="AW1899"/>
  <c r="AY1899"/>
  <c r="BA1899"/>
  <c r="BC1899"/>
  <c r="BE1899"/>
  <c r="BG1899"/>
  <c r="M1900"/>
  <c r="O1900"/>
  <c r="Q1900"/>
  <c r="Y1900"/>
  <c r="AG1900"/>
  <c r="AI1900"/>
  <c r="AK1900"/>
  <c r="AM1900"/>
  <c r="AO1900"/>
  <c r="AQ1900"/>
  <c r="AS1900"/>
  <c r="AU1900"/>
  <c r="AW1900"/>
  <c r="AY1900"/>
  <c r="BA1900"/>
  <c r="BC1900"/>
  <c r="BE1900"/>
  <c r="BG1900"/>
  <c r="L1901"/>
  <c r="N1901"/>
  <c r="P1901"/>
  <c r="X1901"/>
  <c r="AJ1901"/>
  <c r="AR1901"/>
  <c r="AT1901"/>
  <c r="AZ1901"/>
  <c r="BB1901"/>
  <c r="L1902"/>
  <c r="N1902"/>
  <c r="P1902"/>
  <c r="X1902"/>
  <c r="AJ1902"/>
  <c r="AR1902"/>
  <c r="AT1902"/>
  <c r="L1903"/>
  <c r="N1903"/>
  <c r="P1903"/>
  <c r="X1903"/>
  <c r="AJ1903"/>
  <c r="AR1903"/>
  <c r="AT1903"/>
  <c r="AZ1903"/>
  <c r="L1904"/>
  <c r="N1904"/>
  <c r="P1904"/>
  <c r="X1904"/>
  <c r="AR1904"/>
  <c r="AT1904"/>
  <c r="AX1904"/>
  <c r="AZ1904"/>
  <c r="BB1904"/>
  <c r="L1905"/>
  <c r="N1905"/>
  <c r="P1905"/>
  <c r="X1905"/>
  <c r="AL1905"/>
  <c r="AR1905"/>
  <c r="AT1905"/>
  <c r="AX1905"/>
  <c r="AZ1905"/>
  <c r="BB1905"/>
  <c r="M1916"/>
  <c r="O1916"/>
  <c r="Q1916"/>
  <c r="Y1916"/>
  <c r="AG1916"/>
  <c r="AI1916"/>
  <c r="AK1916"/>
  <c r="AM1916"/>
  <c r="AO1916"/>
  <c r="AQ1916"/>
  <c r="AS1916"/>
  <c r="AU1916"/>
  <c r="AW1916"/>
  <c r="AY1916"/>
  <c r="BA1916"/>
  <c r="BC1916"/>
  <c r="BE1916"/>
  <c r="BG1916"/>
  <c r="M1917"/>
  <c r="O1917"/>
  <c r="Q1917"/>
  <c r="Y1917"/>
  <c r="AG1917"/>
  <c r="AI1917"/>
  <c r="AK1917"/>
  <c r="AM1917"/>
  <c r="AO1917"/>
  <c r="AQ1917"/>
  <c r="AS1917"/>
  <c r="AU1917"/>
  <c r="AW1917"/>
  <c r="AY1917"/>
  <c r="BA1917"/>
  <c r="BC1917"/>
  <c r="BE1917"/>
  <c r="BG1917"/>
  <c r="M1918"/>
  <c r="O1918"/>
  <c r="Q1918"/>
  <c r="Y1918"/>
  <c r="AG1918"/>
  <c r="AI1918"/>
  <c r="AK1918"/>
  <c r="AM1918"/>
  <c r="AO1918"/>
  <c r="AQ1918"/>
  <c r="AS1918"/>
  <c r="AU1918"/>
  <c r="AW1918"/>
  <c r="AY1918"/>
  <c r="BA1918"/>
  <c r="BC1918"/>
  <c r="BE1918"/>
  <c r="BG1918"/>
  <c r="M1919"/>
  <c r="O1919"/>
  <c r="Q1919"/>
  <c r="Y1919"/>
  <c r="AG1919"/>
  <c r="AI1919"/>
  <c r="AK1919"/>
  <c r="AM1919"/>
  <c r="AO1919"/>
  <c r="AQ1919"/>
  <c r="AS1919"/>
  <c r="AU1919"/>
  <c r="AW1919"/>
  <c r="AY1919"/>
  <c r="BA1919"/>
  <c r="BC1919"/>
  <c r="BE1919"/>
  <c r="BG1919"/>
  <c r="M1920"/>
  <c r="O1920"/>
  <c r="Q1920"/>
  <c r="Y1920"/>
  <c r="AG1920"/>
  <c r="AI1920"/>
  <c r="AK1920"/>
  <c r="AM1920"/>
  <c r="AO1920"/>
  <c r="AQ1920"/>
  <c r="AS1920"/>
  <c r="AU1920"/>
  <c r="AW1920"/>
  <c r="AY1920"/>
  <c r="BA1920"/>
  <c r="BC1920"/>
  <c r="BE1920"/>
  <c r="BG1920"/>
  <c r="M1921"/>
  <c r="O1921"/>
  <c r="Q1921"/>
  <c r="Y1921"/>
  <c r="AG1921"/>
  <c r="AI1921"/>
  <c r="AK1921"/>
  <c r="AM1921"/>
  <c r="AO1921"/>
  <c r="AQ1921"/>
  <c r="AS1921"/>
  <c r="AU1921"/>
  <c r="AW1921"/>
  <c r="AY1921"/>
  <c r="BA1921"/>
  <c r="BC1921"/>
  <c r="BE1921"/>
  <c r="BG1921"/>
  <c r="M1922"/>
  <c r="O1922"/>
  <c r="Q1922"/>
  <c r="Y1922"/>
  <c r="AG1922"/>
  <c r="AI1922"/>
  <c r="AK1922"/>
  <c r="AM1922"/>
  <c r="AO1922"/>
  <c r="AQ1922"/>
  <c r="AS1922"/>
  <c r="AU1922"/>
  <c r="AW1922"/>
  <c r="AY1922"/>
  <c r="BA1922"/>
  <c r="BC1922"/>
  <c r="BE1922"/>
  <c r="BG1922"/>
  <c r="M1923"/>
  <c r="O1923"/>
  <c r="Q1923"/>
  <c r="Y1923"/>
  <c r="AG1923"/>
  <c r="AI1923"/>
  <c r="AK1923"/>
  <c r="AM1923"/>
  <c r="AO1923"/>
  <c r="AQ1923"/>
  <c r="AS1923"/>
  <c r="AU1923"/>
  <c r="AW1923"/>
  <c r="AY1923"/>
  <c r="BA1923"/>
  <c r="BC1923"/>
  <c r="BE1923"/>
  <c r="BG1923"/>
  <c r="M1924"/>
  <c r="O1924"/>
  <c r="Q1924"/>
  <c r="Y1924"/>
  <c r="AG1924"/>
  <c r="AI1924"/>
  <c r="AK1924"/>
  <c r="AM1924"/>
  <c r="AO1924"/>
  <c r="AQ1924"/>
  <c r="AS1924"/>
  <c r="AU1924"/>
  <c r="AW1924"/>
  <c r="AY1924"/>
  <c r="BA1924"/>
  <c r="BC1924"/>
  <c r="BE1924"/>
  <c r="BG1924"/>
  <c r="M1925"/>
  <c r="O1925"/>
  <c r="Q1925"/>
  <c r="Y1925"/>
  <c r="AG1925"/>
  <c r="AI1925"/>
  <c r="AK1925"/>
  <c r="AM1925"/>
  <c r="AO1925"/>
  <c r="AQ1925"/>
  <c r="AS1925"/>
  <c r="AU1925"/>
  <c r="AW1925"/>
  <c r="AY1925"/>
  <c r="BA1925"/>
  <c r="BC1925"/>
  <c r="BE1925"/>
  <c r="BG1925"/>
  <c r="M1926"/>
  <c r="O1926"/>
  <c r="Q1926"/>
  <c r="Y1926"/>
  <c r="AG1926"/>
  <c r="AI1926"/>
  <c r="AK1926"/>
  <c r="AM1926"/>
  <c r="AO1926"/>
  <c r="AQ1926"/>
  <c r="AS1926"/>
  <c r="AU1926"/>
  <c r="AW1926"/>
  <c r="AY1926"/>
  <c r="BA1926"/>
  <c r="BC1926"/>
  <c r="BE1926"/>
  <c r="BG1926"/>
  <c r="M1927"/>
  <c r="O1927"/>
  <c r="Q1927"/>
  <c r="Y1927"/>
  <c r="AG1927"/>
  <c r="AI1927"/>
  <c r="AK1927"/>
  <c r="AM1927"/>
  <c r="AO1927"/>
  <c r="AQ1927"/>
  <c r="AS1927"/>
  <c r="AU1927"/>
  <c r="AW1927"/>
  <c r="AY1927"/>
  <c r="BA1927"/>
  <c r="BC1927"/>
  <c r="BE1927"/>
  <c r="BG1927"/>
  <c r="M1928"/>
  <c r="O1928"/>
  <c r="Q1928"/>
  <c r="Y1928"/>
  <c r="AG1928"/>
  <c r="AI1928"/>
  <c r="AK1928"/>
  <c r="AM1928"/>
  <c r="AO1928"/>
  <c r="AQ1928"/>
  <c r="AS1928"/>
  <c r="AU1928"/>
  <c r="AW1928"/>
  <c r="AY1928"/>
  <c r="BA1928"/>
  <c r="BC1928"/>
  <c r="BE1928"/>
  <c r="BG1928"/>
  <c r="M1929"/>
  <c r="O1929"/>
  <c r="Q1929"/>
  <c r="Y1929"/>
  <c r="AG1929"/>
  <c r="AI1929"/>
  <c r="AK1929"/>
  <c r="AM1929"/>
  <c r="AO1929"/>
  <c r="AQ1929"/>
  <c r="AS1929"/>
  <c r="AU1929"/>
  <c r="AW1929"/>
  <c r="AY1929"/>
  <c r="BA1929"/>
  <c r="BC1929"/>
  <c r="BE1929"/>
  <c r="BG1929"/>
  <c r="M1930"/>
  <c r="O1930"/>
  <c r="Q1930"/>
  <c r="Y1930"/>
  <c r="AG1930"/>
  <c r="AI1930"/>
  <c r="AK1930"/>
  <c r="AM1930"/>
  <c r="AO1930"/>
  <c r="AQ1930"/>
  <c r="AS1930"/>
  <c r="AU1930"/>
  <c r="AW1930"/>
  <c r="AY1930"/>
  <c r="BA1930"/>
  <c r="BC1930"/>
  <c r="BE1930"/>
  <c r="BG1930"/>
  <c r="M1931"/>
  <c r="O1931"/>
  <c r="Q1931"/>
  <c r="Y1931"/>
  <c r="AG1931"/>
  <c r="AI1931"/>
  <c r="AK1931"/>
  <c r="AM1931"/>
  <c r="AO1931"/>
  <c r="AQ1931"/>
  <c r="AS1931"/>
  <c r="AU1931"/>
  <c r="AW1931"/>
  <c r="AY1931"/>
  <c r="BA1931"/>
  <c r="BC1931"/>
  <c r="BE1931"/>
  <c r="BG1931"/>
  <c r="M1932"/>
  <c r="O1932"/>
  <c r="Q1932"/>
  <c r="Y1932"/>
  <c r="AG1932"/>
  <c r="AI1932"/>
  <c r="AK1932"/>
  <c r="AM1932"/>
  <c r="AO1932"/>
  <c r="AQ1932"/>
  <c r="AS1932"/>
  <c r="AU1932"/>
  <c r="AW1932"/>
  <c r="AY1932"/>
  <c r="BA1932"/>
  <c r="BC1932"/>
  <c r="BE1932"/>
  <c r="BG1932"/>
  <c r="M1933"/>
  <c r="O1933"/>
  <c r="Q1933"/>
  <c r="Y1933"/>
  <c r="AG1933"/>
  <c r="AI1933"/>
  <c r="AK1933"/>
  <c r="AM1933"/>
  <c r="AO1933"/>
  <c r="AQ1933"/>
  <c r="AS1933"/>
  <c r="AU1933"/>
  <c r="AW1933"/>
  <c r="AY1933"/>
  <c r="BA1933"/>
  <c r="BC1933"/>
  <c r="BE1933"/>
  <c r="BG1933"/>
  <c r="M1934"/>
  <c r="O1934"/>
  <c r="Q1934"/>
  <c r="Y1934"/>
  <c r="AG1934"/>
  <c r="AI1934"/>
  <c r="AK1934"/>
  <c r="AM1934"/>
  <c r="AO1934"/>
  <c r="AQ1934"/>
  <c r="AS1934"/>
  <c r="AU1934"/>
  <c r="AW1934"/>
  <c r="AY1934"/>
  <c r="BA1934"/>
  <c r="BC1934"/>
  <c r="BE1934"/>
  <c r="BG1934"/>
  <c r="M1935"/>
  <c r="O1935"/>
  <c r="Q1935"/>
  <c r="Y1935"/>
  <c r="AG1935"/>
  <c r="AI1935"/>
  <c r="AK1935"/>
  <c r="AM1935"/>
  <c r="AO1935"/>
  <c r="AQ1935"/>
  <c r="AS1935"/>
  <c r="AU1935"/>
  <c r="AW1935"/>
  <c r="AY1935"/>
  <c r="BA1935"/>
  <c r="BC1935"/>
  <c r="BE1935"/>
  <c r="BG1935"/>
  <c r="M1936"/>
  <c r="O1936"/>
  <c r="Q1936"/>
  <c r="Y1936"/>
  <c r="AG1936"/>
  <c r="AI1936"/>
  <c r="AK1936"/>
  <c r="AM1936"/>
  <c r="AO1936"/>
  <c r="AQ1936"/>
  <c r="AS1936"/>
  <c r="AU1936"/>
  <c r="AW1936"/>
  <c r="AY1936"/>
  <c r="BA1936"/>
  <c r="BC1936"/>
  <c r="BE1936"/>
  <c r="BG1936"/>
  <c r="M1937"/>
  <c r="O1937"/>
  <c r="Q1937"/>
  <c r="Y1937"/>
  <c r="AG1937"/>
  <c r="AI1937"/>
  <c r="AK1937"/>
  <c r="AM1937"/>
  <c r="AO1937"/>
  <c r="AQ1937"/>
  <c r="AS1937"/>
  <c r="AU1937"/>
  <c r="AW1937"/>
  <c r="AY1937"/>
  <c r="BA1937"/>
  <c r="BC1937"/>
  <c r="BE1937"/>
  <c r="BG1937"/>
  <c r="M1938"/>
  <c r="O1938"/>
  <c r="Q1938"/>
  <c r="Y1938"/>
  <c r="AG1938"/>
  <c r="AI1938"/>
  <c r="AK1938"/>
  <c r="AM1938"/>
  <c r="AO1938"/>
  <c r="AQ1938"/>
  <c r="AS1938"/>
  <c r="AU1938"/>
  <c r="AW1938"/>
  <c r="AY1938"/>
  <c r="BA1938"/>
  <c r="BC1938"/>
  <c r="BE1938"/>
  <c r="BG1938"/>
  <c r="M1939"/>
  <c r="O1939"/>
  <c r="Q1939"/>
  <c r="Y1939"/>
  <c r="AG1939"/>
  <c r="AI1939"/>
  <c r="AK1939"/>
  <c r="AM1939"/>
  <c r="AO1939"/>
  <c r="AQ1939"/>
  <c r="AS1939"/>
  <c r="AU1939"/>
  <c r="AW1939"/>
  <c r="AY1939"/>
  <c r="BA1939"/>
  <c r="BC1939"/>
  <c r="BE1939"/>
  <c r="BG1939"/>
  <c r="M1940"/>
  <c r="O1940"/>
  <c r="Q1940"/>
  <c r="Y1940"/>
  <c r="AG1940"/>
  <c r="AI1940"/>
  <c r="AK1940"/>
  <c r="AM1940"/>
  <c r="AO1940"/>
  <c r="AQ1940"/>
  <c r="AS1940"/>
  <c r="AU1940"/>
  <c r="AW1940"/>
  <c r="AY1940"/>
  <c r="BA1940"/>
  <c r="BC1940"/>
  <c r="BE1940"/>
  <c r="BG1940"/>
  <c r="M1941"/>
  <c r="O1941"/>
  <c r="Q1941"/>
  <c r="Y1941"/>
  <c r="AG1941"/>
  <c r="AI1941"/>
  <c r="AK1941"/>
  <c r="AM1941"/>
  <c r="AO1941"/>
  <c r="AQ1941"/>
  <c r="AS1941"/>
  <c r="AU1941"/>
  <c r="AW1941"/>
  <c r="AY1941"/>
  <c r="BA1941"/>
  <c r="BC1941"/>
  <c r="BE1941"/>
  <c r="BG1941"/>
  <c r="M1942"/>
  <c r="O1942"/>
  <c r="Q1942"/>
  <c r="Y1942"/>
  <c r="AG1942"/>
  <c r="AI1942"/>
  <c r="AK1942"/>
  <c r="AM1942"/>
  <c r="AO1942"/>
  <c r="AQ1942"/>
  <c r="AS1942"/>
  <c r="AU1942"/>
  <c r="AW1942"/>
  <c r="AY1942"/>
  <c r="BA1942"/>
  <c r="BC1942"/>
  <c r="BE1942"/>
  <c r="BG1942"/>
  <c r="M1943"/>
  <c r="O1943"/>
  <c r="Q1943"/>
  <c r="Y1943"/>
  <c r="AG1943"/>
  <c r="AI1943"/>
  <c r="AK1943"/>
  <c r="AM1943"/>
  <c r="AO1943"/>
  <c r="AQ1943"/>
  <c r="AS1943"/>
  <c r="AU1943"/>
  <c r="AW1943"/>
  <c r="AY1943"/>
  <c r="BA1943"/>
  <c r="BC1943"/>
  <c r="BE1943"/>
  <c r="BG1943"/>
  <c r="M1944"/>
  <c r="O1944"/>
  <c r="Q1944"/>
  <c r="Y1944"/>
  <c r="AG1944"/>
  <c r="AI1944"/>
  <c r="AK1944"/>
  <c r="AM1944"/>
  <c r="AO1944"/>
  <c r="AQ1944"/>
  <c r="AS1944"/>
  <c r="AU1944"/>
  <c r="AW1944"/>
  <c r="AY1944"/>
  <c r="BA1944"/>
  <c r="BC1944"/>
  <c r="BE1944"/>
  <c r="BG1944"/>
  <c r="M1945"/>
  <c r="O1945"/>
  <c r="Q1945"/>
  <c r="Y1945"/>
  <c r="AG1945"/>
  <c r="AI1945"/>
  <c r="AK1945"/>
  <c r="AM1945"/>
  <c r="AO1945"/>
  <c r="AQ1945"/>
  <c r="AS1945"/>
  <c r="AU1945"/>
  <c r="AW1945"/>
  <c r="AY1945"/>
  <c r="BA1945"/>
  <c r="BC1945"/>
  <c r="BE1945"/>
  <c r="BG1945"/>
  <c r="M1946"/>
  <c r="O1946"/>
  <c r="Q1946"/>
  <c r="Y1946"/>
  <c r="AG1946"/>
  <c r="AI1946"/>
  <c r="AK1946"/>
  <c r="AM1946"/>
  <c r="AO1946"/>
  <c r="AQ1946"/>
  <c r="AS1946"/>
  <c r="AU1946"/>
  <c r="AW1946"/>
  <c r="AY1946"/>
  <c r="BA1946"/>
  <c r="BC1946"/>
  <c r="BE1946"/>
  <c r="BG1946"/>
  <c r="M1947"/>
  <c r="O1947"/>
  <c r="Q1947"/>
  <c r="Y1947"/>
  <c r="AG1947"/>
  <c r="AI1947"/>
  <c r="AK1947"/>
  <c r="AM1947"/>
  <c r="AO1947"/>
  <c r="AQ1947"/>
  <c r="AS1947"/>
  <c r="AU1947"/>
  <c r="AW1947"/>
  <c r="AY1947"/>
  <c r="BA1947"/>
  <c r="BC1947"/>
  <c r="BE1947"/>
  <c r="BG1947"/>
  <c r="M1948"/>
  <c r="O1948"/>
  <c r="Q1948"/>
  <c r="Y1948"/>
  <c r="AG1948"/>
  <c r="AI1948"/>
  <c r="AK1948"/>
  <c r="AM1948"/>
  <c r="AO1948"/>
  <c r="AQ1948"/>
  <c r="AS1948"/>
  <c r="AU1948"/>
  <c r="AW1948"/>
  <c r="AY1948"/>
  <c r="BA1948"/>
  <c r="BC1948"/>
  <c r="BE1948"/>
  <c r="BG1948"/>
  <c r="M1949"/>
  <c r="O1949"/>
  <c r="Q1949"/>
  <c r="Y1949"/>
  <c r="AG1949"/>
  <c r="AI1949"/>
  <c r="AK1949"/>
  <c r="AM1949"/>
  <c r="AO1949"/>
  <c r="AQ1949"/>
  <c r="AS1949"/>
  <c r="AU1949"/>
  <c r="AW1949"/>
  <c r="AY1949"/>
  <c r="BA1949"/>
  <c r="BC1949"/>
  <c r="BE1949"/>
  <c r="BG1949"/>
  <c r="M1950"/>
  <c r="O1950"/>
  <c r="Q1950"/>
  <c r="Y1950"/>
  <c r="AG1950"/>
  <c r="AI1950"/>
  <c r="AK1950"/>
  <c r="AM1950"/>
  <c r="AO1950"/>
  <c r="AQ1950"/>
  <c r="AS1950"/>
  <c r="AU1950"/>
  <c r="AW1950"/>
  <c r="AY1950"/>
  <c r="BA1950"/>
  <c r="BC1950"/>
  <c r="BE1950"/>
  <c r="BG1950"/>
  <c r="M1951"/>
  <c r="O1951"/>
  <c r="Q1951"/>
  <c r="Y1951"/>
  <c r="AG1951"/>
  <c r="AI1951"/>
  <c r="AK1951"/>
  <c r="AM1951"/>
  <c r="AO1951"/>
  <c r="AQ1951"/>
  <c r="AS1951"/>
  <c r="AU1951"/>
  <c r="AW1951"/>
  <c r="AY1951"/>
  <c r="BA1951"/>
  <c r="BC1951"/>
  <c r="BE1951"/>
  <c r="BG1951"/>
  <c r="M1952"/>
  <c r="O1952"/>
  <c r="Q1952"/>
  <c r="X1952"/>
  <c r="AG1952"/>
  <c r="AI1952"/>
  <c r="AK1952"/>
  <c r="AM1952"/>
  <c r="AO1952"/>
  <c r="AQ1952"/>
  <c r="AS1952"/>
  <c r="AU1952"/>
  <c r="AW1952"/>
  <c r="AY1952"/>
  <c r="BA1952"/>
  <c r="BC1952"/>
  <c r="BE1952"/>
  <c r="BG1952"/>
  <c r="M1953"/>
  <c r="O1953"/>
  <c r="Q1953"/>
  <c r="X1953"/>
  <c r="AG1953"/>
  <c r="AI1953"/>
  <c r="AK1953"/>
  <c r="AM1953"/>
  <c r="AO1953"/>
  <c r="AQ1953"/>
  <c r="AS1953"/>
  <c r="AU1953"/>
  <c r="AW1953"/>
  <c r="AY1953"/>
  <c r="BA1953"/>
  <c r="BC1953"/>
  <c r="BE1953"/>
  <c r="BG1953"/>
  <c r="M1954"/>
  <c r="O1954"/>
  <c r="X1954"/>
  <c r="AG1954"/>
  <c r="AI1954"/>
  <c r="AK1954"/>
  <c r="AM1954"/>
  <c r="AO1954"/>
  <c r="AQ1954"/>
  <c r="AS1954"/>
  <c r="AU1954"/>
  <c r="AW1954"/>
  <c r="AY1954"/>
  <c r="BA1954"/>
  <c r="BC1954"/>
  <c r="BE1954"/>
  <c r="BG1954"/>
  <c r="M1955"/>
  <c r="O1955"/>
  <c r="Q1955"/>
  <c r="X1955"/>
  <c r="AG1955"/>
  <c r="AI1955"/>
  <c r="AK1955"/>
  <c r="AM1955"/>
  <c r="AO1955"/>
  <c r="AQ1955"/>
  <c r="AS1955"/>
  <c r="AU1955"/>
  <c r="AW1955"/>
  <c r="AY1955"/>
  <c r="BA1955"/>
  <c r="BC1955"/>
  <c r="BE1955"/>
  <c r="BG1955"/>
  <c r="M1956"/>
  <c r="O1956"/>
  <c r="Q1956"/>
  <c r="X1956"/>
  <c r="AG1956"/>
  <c r="AI1956"/>
  <c r="AK1956"/>
  <c r="AM1956"/>
  <c r="AO1956"/>
  <c r="AQ1956"/>
  <c r="AS1956"/>
  <c r="AU1956"/>
  <c r="AW1956"/>
  <c r="AY1956"/>
  <c r="BA1956"/>
  <c r="BC1956"/>
  <c r="BE1956"/>
  <c r="BG1956"/>
  <c r="M1957"/>
  <c r="O1957"/>
  <c r="Q1957"/>
  <c r="X1957"/>
  <c r="AG1957"/>
  <c r="AI1957"/>
  <c r="AK1957"/>
  <c r="AM1957"/>
  <c r="AO1957"/>
  <c r="AQ1957"/>
  <c r="AS1957"/>
  <c r="AU1957"/>
  <c r="AW1957"/>
  <c r="AY1957"/>
  <c r="BA1957"/>
  <c r="BC1957"/>
  <c r="BE1957"/>
  <c r="BG1957"/>
  <c r="M1958"/>
  <c r="O1958"/>
  <c r="Q1958"/>
  <c r="X1958"/>
  <c r="AG1958"/>
  <c r="AI1958"/>
  <c r="AK1958"/>
  <c r="AM1958"/>
  <c r="AO1958"/>
  <c r="AQ1958"/>
  <c r="AS1958"/>
  <c r="AU1958"/>
  <c r="AW1958"/>
  <c r="AY1958"/>
  <c r="BA1958"/>
  <c r="BC1958"/>
  <c r="BE1958"/>
  <c r="BG1958"/>
  <c r="N1959"/>
  <c r="Z1959"/>
  <c r="AN1959"/>
  <c r="AP1959"/>
  <c r="AT1959"/>
  <c r="N1960"/>
  <c r="X1960"/>
  <c r="Z1960"/>
  <c r="AT1960"/>
  <c r="M1974"/>
  <c r="O1974"/>
  <c r="Q1974"/>
  <c r="Y1974"/>
  <c r="AG1974"/>
  <c r="AI1974"/>
  <c r="AK1974"/>
  <c r="AM1974"/>
  <c r="AO1974"/>
  <c r="AQ1974"/>
  <c r="AS1974"/>
  <c r="AU1974"/>
  <c r="AW1974"/>
  <c r="AY1974"/>
  <c r="BA1974"/>
  <c r="BC1974"/>
  <c r="BE1974"/>
  <c r="BG1974"/>
  <c r="M1975"/>
  <c r="O1975"/>
  <c r="Q1975"/>
  <c r="Y1975"/>
  <c r="AG1975"/>
  <c r="AI1975"/>
  <c r="AK1975"/>
  <c r="AM1975"/>
  <c r="AO1975"/>
  <c r="AQ1975"/>
  <c r="AS1975"/>
  <c r="AU1975"/>
  <c r="AW1975"/>
  <c r="AY1975"/>
  <c r="BA1975"/>
  <c r="BC1975"/>
  <c r="BE1975"/>
  <c r="BG1975"/>
  <c r="M1976"/>
  <c r="O1976"/>
  <c r="Q1976"/>
  <c r="Y1976"/>
  <c r="AG1976"/>
  <c r="AI1976"/>
  <c r="AK1976"/>
  <c r="AM1976"/>
  <c r="AO1976"/>
  <c r="AQ1976"/>
  <c r="AS1976"/>
  <c r="AU1976"/>
  <c r="AW1976"/>
  <c r="AY1976"/>
  <c r="BA1976"/>
  <c r="BC1976"/>
  <c r="BE1976"/>
  <c r="BG1976"/>
  <c r="M1977"/>
  <c r="O1977"/>
  <c r="Q1977"/>
  <c r="Y1977"/>
  <c r="AG1977"/>
  <c r="AI1977"/>
  <c r="AK1977"/>
  <c r="AM1977"/>
  <c r="AO1977"/>
  <c r="AQ1977"/>
  <c r="AS1977"/>
  <c r="AU1977"/>
  <c r="AW1977"/>
  <c r="AY1977"/>
  <c r="BA1977"/>
  <c r="BC1977"/>
  <c r="BE1977"/>
  <c r="BG1977"/>
  <c r="M1978"/>
  <c r="O1978"/>
  <c r="Q1978"/>
  <c r="Y1978"/>
  <c r="AG1978"/>
  <c r="AI1978"/>
  <c r="AK1978"/>
  <c r="AM1978"/>
  <c r="AO1978"/>
  <c r="AQ1978"/>
  <c r="AS1978"/>
  <c r="AU1978"/>
  <c r="AW1978"/>
  <c r="AY1978"/>
  <c r="BA1978"/>
  <c r="BC1978"/>
  <c r="BE1978"/>
  <c r="BG1978"/>
  <c r="M1979"/>
  <c r="O1979"/>
  <c r="Q1979"/>
  <c r="Y1979"/>
  <c r="AG1979"/>
  <c r="AI1979"/>
  <c r="AK1979"/>
  <c r="AM1979"/>
  <c r="AO1979"/>
  <c r="AQ1979"/>
  <c r="AS1979"/>
  <c r="AU1979"/>
  <c r="AW1979"/>
  <c r="AY1979"/>
  <c r="BA1979"/>
  <c r="BC1979"/>
  <c r="BE1979"/>
  <c r="BG1979"/>
  <c r="M1980"/>
  <c r="O1980"/>
  <c r="Q1980"/>
  <c r="Y1980"/>
  <c r="AG1980"/>
  <c r="AI1980"/>
  <c r="AK1980"/>
  <c r="AM1980"/>
  <c r="AO1980"/>
  <c r="AQ1980"/>
  <c r="AS1980"/>
  <c r="AU1980"/>
  <c r="AW1980"/>
  <c r="AY1980"/>
  <c r="BA1980"/>
  <c r="BC1980"/>
  <c r="BE1980"/>
  <c r="BG1980"/>
  <c r="M1981"/>
  <c r="O1981"/>
  <c r="Q1981"/>
  <c r="Y1981"/>
  <c r="AG1981"/>
  <c r="AI1981"/>
  <c r="AK1981"/>
  <c r="AM1981"/>
  <c r="AO1981"/>
  <c r="AQ1981"/>
  <c r="AS1981"/>
  <c r="AU1981"/>
  <c r="AW1981"/>
  <c r="AY1981"/>
  <c r="BA1981"/>
  <c r="BC1981"/>
  <c r="BE1981"/>
  <c r="BG1981"/>
  <c r="M1982"/>
  <c r="O1982"/>
  <c r="Q1982"/>
  <c r="Y1982"/>
  <c r="AG1982"/>
  <c r="AI1982"/>
  <c r="AK1982"/>
  <c r="AM1982"/>
  <c r="AO1982"/>
  <c r="AQ1982"/>
  <c r="AS1982"/>
  <c r="AU1982"/>
  <c r="AW1982"/>
  <c r="AY1982"/>
  <c r="BA1982"/>
  <c r="BC1982"/>
  <c r="BE1982"/>
  <c r="BG1982"/>
  <c r="M1983"/>
  <c r="O1983"/>
  <c r="Q1983"/>
  <c r="Y1983"/>
  <c r="AG1983"/>
  <c r="AI1983"/>
  <c r="AK1983"/>
  <c r="AM1983"/>
  <c r="AO1983"/>
  <c r="AQ1983"/>
  <c r="AS1983"/>
  <c r="AU1983"/>
  <c r="AW1983"/>
  <c r="AY1983"/>
  <c r="BA1983"/>
  <c r="BC1983"/>
  <c r="BE1983"/>
  <c r="BG1983"/>
  <c r="M1984"/>
  <c r="O1984"/>
  <c r="Q1984"/>
  <c r="Y1984"/>
  <c r="AG1984"/>
  <c r="AI1984"/>
  <c r="AK1984"/>
  <c r="AM1984"/>
  <c r="AO1984"/>
  <c r="AQ1984"/>
  <c r="AS1984"/>
  <c r="AU1984"/>
  <c r="AW1984"/>
  <c r="AY1984"/>
  <c r="BA1984"/>
  <c r="BC1984"/>
  <c r="BE1984"/>
  <c r="BG1984"/>
  <c r="M1985"/>
  <c r="O1985"/>
  <c r="Q1985"/>
  <c r="Y1985"/>
  <c r="AG1985"/>
  <c r="AI1985"/>
  <c r="AK1985"/>
  <c r="AM1985"/>
  <c r="AO1985"/>
  <c r="AQ1985"/>
  <c r="AS1985"/>
  <c r="AU1985"/>
  <c r="AW1985"/>
  <c r="AY1985"/>
  <c r="BA1985"/>
  <c r="BC1985"/>
  <c r="BE1985"/>
  <c r="BG1985"/>
  <c r="M1986"/>
  <c r="O1986"/>
  <c r="Q1986"/>
  <c r="Y1986"/>
  <c r="AG1986"/>
  <c r="AI1986"/>
  <c r="AK1986"/>
  <c r="AM1986"/>
  <c r="AO1986"/>
  <c r="AQ1986"/>
  <c r="AS1986"/>
  <c r="AU1986"/>
  <c r="AW1986"/>
  <c r="AY1986"/>
  <c r="BA1986"/>
  <c r="BC1986"/>
  <c r="BE1986"/>
  <c r="BG1986"/>
  <c r="M1987"/>
  <c r="O1987"/>
  <c r="Q1987"/>
  <c r="Y1987"/>
  <c r="AG1987"/>
  <c r="AI1987"/>
  <c r="AK1987"/>
  <c r="AM1987"/>
  <c r="AO1987"/>
  <c r="AQ1987"/>
  <c r="AS1987"/>
  <c r="AU1987"/>
  <c r="AW1987"/>
  <c r="AY1987"/>
  <c r="BA1987"/>
  <c r="BC1987"/>
  <c r="BE1987"/>
  <c r="BG1987"/>
  <c r="M1988"/>
  <c r="O1988"/>
  <c r="Q1988"/>
  <c r="Y1988"/>
  <c r="AG1988"/>
  <c r="AI1988"/>
  <c r="AK1988"/>
  <c r="AM1988"/>
  <c r="AO1988"/>
  <c r="AQ1988"/>
  <c r="AS1988"/>
  <c r="AU1988"/>
  <c r="AW1988"/>
  <c r="AY1988"/>
  <c r="BA1988"/>
  <c r="BC1988"/>
  <c r="BE1988"/>
  <c r="BG1988"/>
  <c r="M1989"/>
  <c r="O1989"/>
  <c r="Q1989"/>
  <c r="Y1989"/>
  <c r="AG1989"/>
  <c r="AI1989"/>
  <c r="AK1989"/>
  <c r="AM1989"/>
  <c r="AO1989"/>
  <c r="AQ1989"/>
  <c r="AS1989"/>
  <c r="AU1989"/>
  <c r="AW1989"/>
  <c r="AY1989"/>
  <c r="BA1989"/>
  <c r="BC1989"/>
  <c r="BE1989"/>
  <c r="BG1989"/>
  <c r="M1990"/>
  <c r="O1990"/>
  <c r="Q1990"/>
  <c r="Y1990"/>
  <c r="AG1990"/>
  <c r="AI1990"/>
  <c r="AK1990"/>
  <c r="AM1990"/>
  <c r="AO1990"/>
  <c r="AQ1990"/>
  <c r="AS1990"/>
  <c r="AU1990"/>
  <c r="AW1990"/>
  <c r="AY1990"/>
  <c r="BA1990"/>
  <c r="BC1990"/>
  <c r="BE1990"/>
  <c r="BG1990"/>
  <c r="M1991"/>
  <c r="O1991"/>
  <c r="Q1991"/>
  <c r="Y1991"/>
  <c r="AG1991"/>
  <c r="AI1991"/>
  <c r="AK1991"/>
  <c r="AM1991"/>
  <c r="AO1991"/>
  <c r="AQ1991"/>
  <c r="AS1991"/>
  <c r="AU1991"/>
  <c r="AW1991"/>
  <c r="AY1991"/>
  <c r="BA1991"/>
  <c r="BC1991"/>
  <c r="BE1991"/>
  <c r="BG1991"/>
  <c r="M1992"/>
  <c r="O1992"/>
  <c r="Q1992"/>
  <c r="Y1992"/>
  <c r="AG1992"/>
  <c r="AI1992"/>
  <c r="AK1992"/>
  <c r="AM1992"/>
  <c r="AO1992"/>
  <c r="AQ1992"/>
  <c r="AS1992"/>
  <c r="AU1992"/>
  <c r="AW1992"/>
  <c r="AY1992"/>
  <c r="BA1992"/>
  <c r="BC1992"/>
  <c r="BE1992"/>
  <c r="BG1992"/>
  <c r="M1993"/>
  <c r="O1993"/>
  <c r="Q1993"/>
  <c r="Y1993"/>
  <c r="AG1993"/>
  <c r="AI1993"/>
  <c r="AK1993"/>
  <c r="AM1993"/>
  <c r="AO1993"/>
  <c r="AQ1993"/>
  <c r="AS1993"/>
  <c r="AU1993"/>
  <c r="AW1993"/>
  <c r="AY1993"/>
  <c r="BA1993"/>
  <c r="BC1993"/>
  <c r="BE1993"/>
  <c r="BG1993"/>
  <c r="M1994"/>
  <c r="O1994"/>
  <c r="Q1994"/>
  <c r="Y1994"/>
  <c r="AG1994"/>
  <c r="AI1994"/>
  <c r="AK1994"/>
  <c r="AM1994"/>
  <c r="AO1994"/>
  <c r="AQ1994"/>
  <c r="AS1994"/>
  <c r="AU1994"/>
  <c r="AW1994"/>
  <c r="AY1994"/>
  <c r="BA1994"/>
  <c r="BC1994"/>
  <c r="BE1994"/>
  <c r="BG1994"/>
  <c r="M1995"/>
  <c r="O1995"/>
  <c r="Q1995"/>
  <c r="Y1995"/>
  <c r="AG1995"/>
  <c r="AI1995"/>
  <c r="AK1995"/>
  <c r="AM1995"/>
  <c r="AO1995"/>
  <c r="AQ1995"/>
  <c r="AS1995"/>
  <c r="AU1995"/>
  <c r="AW1995"/>
  <c r="AY1995"/>
  <c r="BA1995"/>
  <c r="BC1995"/>
  <c r="BE1995"/>
  <c r="BG1995"/>
  <c r="M1996"/>
  <c r="O1996"/>
  <c r="Q1996"/>
  <c r="Y1996"/>
  <c r="AG1996"/>
  <c r="AI1996"/>
  <c r="AK1996"/>
  <c r="AM1996"/>
  <c r="AO1996"/>
  <c r="AQ1996"/>
  <c r="AS1996"/>
  <c r="AU1996"/>
  <c r="AW1996"/>
  <c r="AY1996"/>
  <c r="BA1996"/>
  <c r="BC1996"/>
  <c r="BE1996"/>
  <c r="BG1996"/>
  <c r="M1997"/>
  <c r="O1997"/>
  <c r="Q1997"/>
  <c r="Y1997"/>
  <c r="AG1997"/>
  <c r="AI1997"/>
  <c r="AK1997"/>
  <c r="AM1997"/>
  <c r="AO1997"/>
  <c r="AQ1997"/>
  <c r="AS1997"/>
  <c r="AU1997"/>
  <c r="AW1997"/>
  <c r="AY1997"/>
  <c r="BA1997"/>
  <c r="BC1997"/>
  <c r="BE1997"/>
  <c r="BG1997"/>
  <c r="M1998"/>
  <c r="O1998"/>
  <c r="Q1998"/>
  <c r="Y1998"/>
  <c r="AG1998"/>
  <c r="AI1998"/>
  <c r="AK1998"/>
  <c r="AM1998"/>
  <c r="AO1998"/>
  <c r="AQ1998"/>
  <c r="AS1998"/>
  <c r="AU1998"/>
  <c r="AW1998"/>
  <c r="AY1998"/>
  <c r="BA1998"/>
  <c r="BC1998"/>
  <c r="BE1998"/>
  <c r="BG1998"/>
  <c r="M1999"/>
  <c r="O1999"/>
  <c r="Q1999"/>
  <c r="Y1999"/>
  <c r="AG1999"/>
  <c r="AI1999"/>
  <c r="AK1999"/>
  <c r="AM1999"/>
  <c r="AO1999"/>
  <c r="AQ1999"/>
  <c r="AS1999"/>
  <c r="AU1999"/>
  <c r="AW1999"/>
  <c r="AY1999"/>
  <c r="BA1999"/>
  <c r="BC1999"/>
  <c r="BE1999"/>
  <c r="BG1999"/>
  <c r="M2000"/>
  <c r="O2000"/>
  <c r="Q2000"/>
  <c r="Y2000"/>
  <c r="AG2000"/>
  <c r="AI2000"/>
  <c r="AK2000"/>
  <c r="AM2000"/>
  <c r="AO2000"/>
  <c r="AQ2000"/>
  <c r="AS2000"/>
  <c r="AU2000"/>
  <c r="AW2000"/>
  <c r="AY2000"/>
  <c r="BA2000"/>
  <c r="BC2000"/>
  <c r="BE2000"/>
  <c r="BG2000"/>
  <c r="M2001"/>
  <c r="O2001"/>
  <c r="Q2001"/>
  <c r="Y2001"/>
  <c r="AG2001"/>
  <c r="AI2001"/>
  <c r="AK2001"/>
  <c r="AM2001"/>
  <c r="AO2001"/>
  <c r="AQ2001"/>
  <c r="AS2001"/>
  <c r="AU2001"/>
  <c r="AW2001"/>
  <c r="AY2001"/>
  <c r="BA2001"/>
  <c r="BC2001"/>
  <c r="BE2001"/>
  <c r="BG2001"/>
  <c r="M2002"/>
  <c r="O2002"/>
  <c r="Q2002"/>
  <c r="Y2002"/>
  <c r="AG2002"/>
  <c r="AI2002"/>
  <c r="AK2002"/>
  <c r="AM2002"/>
  <c r="AO2002"/>
  <c r="AQ2002"/>
  <c r="AS2002"/>
  <c r="AU2002"/>
  <c r="AW2002"/>
  <c r="AY2002"/>
  <c r="BA2002"/>
  <c r="BC2002"/>
  <c r="BE2002"/>
  <c r="BG2002"/>
  <c r="M2003"/>
  <c r="O2003"/>
  <c r="Q2003"/>
  <c r="Y2003"/>
  <c r="AG2003"/>
  <c r="AI2003"/>
  <c r="AK2003"/>
  <c r="AM2003"/>
  <c r="AO2003"/>
  <c r="AQ2003"/>
  <c r="AS2003"/>
  <c r="AU2003"/>
  <c r="AW2003"/>
  <c r="AY2003"/>
  <c r="BA2003"/>
  <c r="BC2003"/>
  <c r="BE2003"/>
  <c r="BG2003"/>
  <c r="M2004"/>
  <c r="O2004"/>
  <c r="Q2004"/>
  <c r="Y2004"/>
  <c r="AG2004"/>
  <c r="AI2004"/>
  <c r="AK2004"/>
  <c r="AM2004"/>
  <c r="AO2004"/>
  <c r="AQ2004"/>
  <c r="AS2004"/>
  <c r="AU2004"/>
  <c r="AW2004"/>
  <c r="AY2004"/>
  <c r="BA2004"/>
  <c r="BC2004"/>
  <c r="BE2004"/>
  <c r="BG2004"/>
  <c r="M2005"/>
  <c r="O2005"/>
  <c r="Q2005"/>
  <c r="Y2005"/>
  <c r="AG2005"/>
  <c r="AI2005"/>
  <c r="AK2005"/>
  <c r="AM2005"/>
  <c r="AO2005"/>
  <c r="AQ2005"/>
  <c r="AS2005"/>
  <c r="AU2005"/>
  <c r="AW2005"/>
  <c r="AY2005"/>
  <c r="BA2005"/>
  <c r="BC2005"/>
  <c r="BE2005"/>
  <c r="BG2005"/>
  <c r="M2006"/>
  <c r="O2006"/>
  <c r="Q2006"/>
  <c r="Y2006"/>
  <c r="AG2006"/>
  <c r="AI2006"/>
  <c r="AK2006"/>
  <c r="AM2006"/>
  <c r="AO2006"/>
  <c r="AQ2006"/>
  <c r="AS2006"/>
  <c r="AU2006"/>
  <c r="AW2006"/>
  <c r="AY2006"/>
  <c r="BA2006"/>
  <c r="BC2006"/>
  <c r="BE2006"/>
  <c r="BG2006"/>
  <c r="M2007"/>
  <c r="O2007"/>
  <c r="Q2007"/>
  <c r="Y2007"/>
  <c r="AG2007"/>
  <c r="AI2007"/>
  <c r="AK2007"/>
  <c r="AM2007"/>
  <c r="AO2007"/>
  <c r="AQ2007"/>
  <c r="AS2007"/>
  <c r="AU2007"/>
  <c r="AW2007"/>
  <c r="AY2007"/>
  <c r="BA2007"/>
  <c r="BC2007"/>
  <c r="BE2007"/>
  <c r="BG2007"/>
  <c r="M2008"/>
  <c r="O2008"/>
  <c r="Q2008"/>
  <c r="Y2008"/>
  <c r="AG2008"/>
  <c r="AI2008"/>
  <c r="AK2008"/>
  <c r="AM2008"/>
  <c r="AO2008"/>
  <c r="AQ2008"/>
  <c r="AS2008"/>
  <c r="AU2008"/>
  <c r="AW2008"/>
  <c r="AY2008"/>
  <c r="BA2008"/>
  <c r="BC2008"/>
  <c r="BE2008"/>
  <c r="BG2008"/>
  <c r="M2009"/>
  <c r="O2009"/>
  <c r="Q2009"/>
  <c r="Y2009"/>
  <c r="AG2009"/>
  <c r="AI2009"/>
  <c r="AK2009"/>
  <c r="AM2009"/>
  <c r="AO2009"/>
  <c r="AQ2009"/>
  <c r="AS2009"/>
  <c r="AU2009"/>
  <c r="AW2009"/>
  <c r="AY2009"/>
  <c r="BA2009"/>
  <c r="BC2009"/>
  <c r="BE2009"/>
  <c r="BG2009"/>
  <c r="M2010"/>
  <c r="O2010"/>
  <c r="Q2010"/>
  <c r="Y2010"/>
  <c r="AG2010"/>
  <c r="AI2010"/>
  <c r="AK2010"/>
  <c r="AM2010"/>
  <c r="AO2010"/>
  <c r="AQ2010"/>
  <c r="AS2010"/>
  <c r="AU2010"/>
  <c r="AW2010"/>
  <c r="AY2010"/>
  <c r="BA2010"/>
  <c r="BC2010"/>
  <c r="BE2010"/>
  <c r="BG2010"/>
  <c r="M2011"/>
  <c r="O2011"/>
  <c r="Q2011"/>
  <c r="Y2011"/>
  <c r="AG2011"/>
  <c r="AI2011"/>
  <c r="AK2011"/>
  <c r="AM2011"/>
  <c r="AO2011"/>
  <c r="AQ2011"/>
  <c r="AS2011"/>
  <c r="AU2011"/>
  <c r="AW2011"/>
  <c r="AY2011"/>
  <c r="BA2011"/>
  <c r="BC2011"/>
  <c r="BE2011"/>
  <c r="BG2011"/>
  <c r="M2012"/>
  <c r="O2012"/>
  <c r="Y2012"/>
  <c r="AG2012"/>
  <c r="AI2012"/>
  <c r="AK2012"/>
  <c r="AM2012"/>
  <c r="AO2012"/>
  <c r="AQ2012"/>
  <c r="AS2012"/>
  <c r="AU2012"/>
  <c r="AW2012"/>
  <c r="AY2012"/>
  <c r="BA2012"/>
  <c r="BC2012"/>
  <c r="BE2012"/>
  <c r="BG2012"/>
  <c r="M2013"/>
  <c r="O2013"/>
  <c r="Q2013"/>
  <c r="Y2013"/>
  <c r="AG2013"/>
  <c r="AI2013"/>
  <c r="AK2013"/>
  <c r="AM2013"/>
  <c r="AO2013"/>
  <c r="AQ2013"/>
  <c r="AS2013"/>
  <c r="AU2013"/>
  <c r="AW2013"/>
  <c r="AY2013"/>
  <c r="BA2013"/>
  <c r="BC2013"/>
  <c r="BE2013"/>
  <c r="BG2013"/>
  <c r="M2014"/>
  <c r="O2014"/>
  <c r="Q2014"/>
  <c r="Y2014"/>
  <c r="AG2014"/>
  <c r="AI2014"/>
  <c r="AK2014"/>
  <c r="AM2014"/>
  <c r="AO2014"/>
  <c r="AQ2014"/>
  <c r="AS2014"/>
  <c r="AU2014"/>
  <c r="AW2014"/>
  <c r="AY2014"/>
  <c r="BA2014"/>
  <c r="BC2014"/>
  <c r="BE2014"/>
  <c r="BG2014"/>
  <c r="M2015"/>
  <c r="O2015"/>
  <c r="Q2015"/>
  <c r="Y2015"/>
  <c r="AG2015"/>
  <c r="AI2015"/>
  <c r="AK2015"/>
  <c r="AM2015"/>
  <c r="AO2015"/>
  <c r="AQ2015"/>
  <c r="AS2015"/>
  <c r="AU2015"/>
  <c r="AW2015"/>
  <c r="AY2015"/>
  <c r="BA2015"/>
  <c r="BC2015"/>
  <c r="BE2015"/>
  <c r="M2016"/>
  <c r="O2016"/>
  <c r="Q2016"/>
  <c r="Y2016"/>
  <c r="AG2016"/>
  <c r="AI2016"/>
  <c r="AK2016"/>
  <c r="AM2016"/>
  <c r="AO2016"/>
  <c r="AQ2016"/>
  <c r="AS2016"/>
  <c r="AU2016"/>
  <c r="AW2016"/>
  <c r="AY2016"/>
  <c r="BA2016"/>
  <c r="BC2016"/>
  <c r="BE2016"/>
  <c r="N2017"/>
  <c r="N2018"/>
  <c r="AQ2020"/>
  <c r="BQ2020" s="1"/>
  <c r="M2032"/>
  <c r="O2032"/>
  <c r="Q2032"/>
  <c r="Y2032"/>
  <c r="AG2032"/>
  <c r="AI2032"/>
  <c r="AK2032"/>
  <c r="AM2032"/>
  <c r="AO2032"/>
  <c r="AQ2032"/>
  <c r="AS2032"/>
  <c r="AU2032"/>
  <c r="AW2032"/>
  <c r="AY2032"/>
  <c r="BA2032"/>
  <c r="BC2032"/>
  <c r="BE2032"/>
  <c r="BG2032"/>
  <c r="M2033"/>
  <c r="O2033"/>
  <c r="Q2033"/>
  <c r="Y2033"/>
  <c r="AG2033"/>
  <c r="AI2033"/>
  <c r="AK2033"/>
  <c r="AM2033"/>
  <c r="AO2033"/>
  <c r="AQ2033"/>
  <c r="AS2033"/>
  <c r="AU2033"/>
  <c r="AW2033"/>
  <c r="AY2033"/>
  <c r="BA2033"/>
  <c r="BC2033"/>
  <c r="BE2033"/>
  <c r="BG2033"/>
  <c r="M2034"/>
  <c r="O2034"/>
  <c r="Q2034"/>
  <c r="Y2034"/>
  <c r="AG2034"/>
  <c r="AI2034"/>
  <c r="AK2034"/>
  <c r="AM2034"/>
  <c r="AO2034"/>
  <c r="AQ2034"/>
  <c r="AS2034"/>
  <c r="AU2034"/>
  <c r="AW2034"/>
  <c r="AY2034"/>
  <c r="BA2034"/>
  <c r="BC2034"/>
  <c r="BE2034"/>
  <c r="BG2034"/>
  <c r="M2035"/>
  <c r="O2035"/>
  <c r="Q2035"/>
  <c r="Y2035"/>
  <c r="AG2035"/>
  <c r="AI2035"/>
  <c r="AK2035"/>
  <c r="AM2035"/>
  <c r="AO2035"/>
  <c r="AQ2035"/>
  <c r="AS2035"/>
  <c r="AU2035"/>
  <c r="AW2035"/>
  <c r="AY2035"/>
  <c r="BA2035"/>
  <c r="BC2035"/>
  <c r="BE2035"/>
  <c r="BG2035"/>
  <c r="M2036"/>
  <c r="O2036"/>
  <c r="Q2036"/>
  <c r="Y2036"/>
  <c r="AG2036"/>
  <c r="AI2036"/>
  <c r="AK2036"/>
  <c r="AM2036"/>
  <c r="AO2036"/>
  <c r="AQ2036"/>
  <c r="AS2036"/>
  <c r="AU2036"/>
  <c r="AW2036"/>
  <c r="AY2036"/>
  <c r="BA2036"/>
  <c r="BC2036"/>
  <c r="BE2036"/>
  <c r="BG2036"/>
  <c r="M2037"/>
  <c r="O2037"/>
  <c r="Q2037"/>
  <c r="Y2037"/>
  <c r="AG2037"/>
  <c r="AI2037"/>
  <c r="AK2037"/>
  <c r="AM2037"/>
  <c r="AO2037"/>
  <c r="AQ2037"/>
  <c r="AS2037"/>
  <c r="AU2037"/>
  <c r="AW2037"/>
  <c r="AY2037"/>
  <c r="BA2037"/>
  <c r="BC2037"/>
  <c r="BE2037"/>
  <c r="BG2037"/>
  <c r="M2038"/>
  <c r="O2038"/>
  <c r="Q2038"/>
  <c r="Y2038"/>
  <c r="AG2038"/>
  <c r="AI2038"/>
  <c r="AK2038"/>
  <c r="AM2038"/>
  <c r="AO2038"/>
  <c r="AQ2038"/>
  <c r="AS2038"/>
  <c r="AU2038"/>
  <c r="AW2038"/>
  <c r="AY2038"/>
  <c r="BA2038"/>
  <c r="BC2038"/>
  <c r="BE2038"/>
  <c r="BG2038"/>
  <c r="M2039"/>
  <c r="O2039"/>
  <c r="Q2039"/>
  <c r="Y2039"/>
  <c r="AG2039"/>
  <c r="AI2039"/>
  <c r="AK2039"/>
  <c r="AM2039"/>
  <c r="AO2039"/>
  <c r="AQ2039"/>
  <c r="AS2039"/>
  <c r="AU2039"/>
  <c r="AW2039"/>
  <c r="AY2039"/>
  <c r="BA2039"/>
  <c r="BC2039"/>
  <c r="BE2039"/>
  <c r="BG2039"/>
  <c r="M2040"/>
  <c r="O2040"/>
  <c r="Q2040"/>
  <c r="Y2040"/>
  <c r="AG2040"/>
  <c r="AI2040"/>
  <c r="AK2040"/>
  <c r="AM2040"/>
  <c r="AO2040"/>
  <c r="AQ2040"/>
  <c r="AS2040"/>
  <c r="AU2040"/>
  <c r="AW2040"/>
  <c r="AY2040"/>
  <c r="BA2040"/>
  <c r="BC2040"/>
  <c r="BE2040"/>
  <c r="BG2040"/>
  <c r="M2041"/>
  <c r="O2041"/>
  <c r="Q2041"/>
  <c r="Y2041"/>
  <c r="AG2041"/>
  <c r="AI2041"/>
  <c r="AK2041"/>
  <c r="AM2041"/>
  <c r="AO2041"/>
  <c r="AQ2041"/>
  <c r="AS2041"/>
  <c r="AU2041"/>
  <c r="AW2041"/>
  <c r="AY2041"/>
  <c r="BA2041"/>
  <c r="BC2041"/>
  <c r="BE2041"/>
  <c r="BG2041"/>
  <c r="M2042"/>
  <c r="O2042"/>
  <c r="Q2042"/>
  <c r="Y2042"/>
  <c r="AG2042"/>
  <c r="AI2042"/>
  <c r="AK2042"/>
  <c r="AM2042"/>
  <c r="AO2042"/>
  <c r="AQ2042"/>
  <c r="AS2042"/>
  <c r="AU2042"/>
  <c r="AW2042"/>
  <c r="AY2042"/>
  <c r="BA2042"/>
  <c r="BC2042"/>
  <c r="BE2042"/>
  <c r="BG2042"/>
  <c r="M2043"/>
  <c r="O2043"/>
  <c r="Q2043"/>
  <c r="Y2043"/>
  <c r="AG2043"/>
  <c r="AI2043"/>
  <c r="AK2043"/>
  <c r="AM2043"/>
  <c r="AO2043"/>
  <c r="AQ2043"/>
  <c r="AS2043"/>
  <c r="AU2043"/>
  <c r="AW2043"/>
  <c r="AY2043"/>
  <c r="BA2043"/>
  <c r="BC2043"/>
  <c r="BE2043"/>
  <c r="BG2043"/>
  <c r="M2044"/>
  <c r="O2044"/>
  <c r="Q2044"/>
  <c r="Y2044"/>
  <c r="AG2044"/>
  <c r="AI2044"/>
  <c r="AK2044"/>
  <c r="AM2044"/>
  <c r="AO2044"/>
  <c r="AQ2044"/>
  <c r="AS2044"/>
  <c r="AU2044"/>
  <c r="AW2044"/>
  <c r="AY2044"/>
  <c r="BA2044"/>
  <c r="BC2044"/>
  <c r="BE2044"/>
  <c r="BG2044"/>
  <c r="M2045"/>
  <c r="O2045"/>
  <c r="Q2045"/>
  <c r="Y2045"/>
  <c r="AG2045"/>
  <c r="AI2045"/>
  <c r="AK2045"/>
  <c r="AM2045"/>
  <c r="AO2045"/>
  <c r="AQ2045"/>
  <c r="AS2045"/>
  <c r="AU2045"/>
  <c r="AW2045"/>
  <c r="AY2045"/>
  <c r="BA2045"/>
  <c r="BC2045"/>
  <c r="BE2045"/>
  <c r="BG2045"/>
  <c r="M2046"/>
  <c r="O2046"/>
  <c r="Q2046"/>
  <c r="Y2046"/>
  <c r="AG2046"/>
  <c r="AI2046"/>
  <c r="AK2046"/>
  <c r="AM2046"/>
  <c r="AO2046"/>
  <c r="AQ2046"/>
  <c r="AS2046"/>
  <c r="AU2046"/>
  <c r="AW2046"/>
  <c r="AY2046"/>
  <c r="BA2046"/>
  <c r="BC2046"/>
  <c r="BE2046"/>
  <c r="BG2046"/>
  <c r="M2047"/>
  <c r="O2047"/>
  <c r="Q2047"/>
  <c r="Y2047"/>
  <c r="AG2047"/>
  <c r="AI2047"/>
  <c r="AK2047"/>
  <c r="AM2047"/>
  <c r="AO2047"/>
  <c r="AQ2047"/>
  <c r="AS2047"/>
  <c r="AU2047"/>
  <c r="AW2047"/>
  <c r="AY2047"/>
  <c r="BA2047"/>
  <c r="BC2047"/>
  <c r="BE2047"/>
  <c r="BG2047"/>
  <c r="M2048"/>
  <c r="O2048"/>
  <c r="Q2048"/>
  <c r="Y2048"/>
  <c r="AG2048"/>
  <c r="AI2048"/>
  <c r="AK2048"/>
  <c r="AM2048"/>
  <c r="AO2048"/>
  <c r="AQ2048"/>
  <c r="AS2048"/>
  <c r="AU2048"/>
  <c r="AW2048"/>
  <c r="AY2048"/>
  <c r="BA2048"/>
  <c r="BC2048"/>
  <c r="BE2048"/>
  <c r="BG2048"/>
  <c r="M2049"/>
  <c r="O2049"/>
  <c r="Q2049"/>
  <c r="Y2049"/>
  <c r="AG2049"/>
  <c r="AI2049"/>
  <c r="AK2049"/>
  <c r="AM2049"/>
  <c r="AO2049"/>
  <c r="AQ2049"/>
  <c r="AS2049"/>
  <c r="AU2049"/>
  <c r="AW2049"/>
  <c r="AY2049"/>
  <c r="BA2049"/>
  <c r="BC2049"/>
  <c r="BE2049"/>
  <c r="BG2049"/>
  <c r="M2050"/>
  <c r="O2050"/>
  <c r="Q2050"/>
  <c r="Y2050"/>
  <c r="AG2050"/>
  <c r="AI2050"/>
  <c r="AK2050"/>
  <c r="AM2050"/>
  <c r="AO2050"/>
  <c r="AQ2050"/>
  <c r="AS2050"/>
  <c r="AU2050"/>
  <c r="AW2050"/>
  <c r="AY2050"/>
  <c r="BA2050"/>
  <c r="BC2050"/>
  <c r="BE2050"/>
  <c r="BG2050"/>
  <c r="M2051"/>
  <c r="O2051"/>
  <c r="Q2051"/>
  <c r="Y2051"/>
  <c r="AG2051"/>
  <c r="AI2051"/>
  <c r="AK2051"/>
  <c r="AM2051"/>
  <c r="AO2051"/>
  <c r="AQ2051"/>
  <c r="AS2051"/>
  <c r="AU2051"/>
  <c r="AW2051"/>
  <c r="AY2051"/>
  <c r="BA2051"/>
  <c r="BC2051"/>
  <c r="BE2051"/>
  <c r="BG2051"/>
  <c r="M2052"/>
  <c r="O2052"/>
  <c r="Q2052"/>
  <c r="Y2052"/>
  <c r="AG2052"/>
  <c r="AI2052"/>
  <c r="AK2052"/>
  <c r="AM2052"/>
  <c r="AO2052"/>
  <c r="AQ2052"/>
  <c r="AS2052"/>
  <c r="AU2052"/>
  <c r="AW2052"/>
  <c r="AY2052"/>
  <c r="BA2052"/>
  <c r="BC2052"/>
  <c r="BE2052"/>
  <c r="BG2052"/>
  <c r="M2053"/>
  <c r="O2053"/>
  <c r="Q2053"/>
  <c r="Y2053"/>
  <c r="AG2053"/>
  <c r="AI2053"/>
  <c r="AK2053"/>
  <c r="AM2053"/>
  <c r="AO2053"/>
  <c r="AQ2053"/>
  <c r="AS2053"/>
  <c r="AU2053"/>
  <c r="AW2053"/>
  <c r="AY2053"/>
  <c r="BA2053"/>
  <c r="BC2053"/>
  <c r="BE2053"/>
  <c r="BG2053"/>
  <c r="M2054"/>
  <c r="O2054"/>
  <c r="Q2054"/>
  <c r="Y2054"/>
  <c r="AG2054"/>
  <c r="AI2054"/>
  <c r="AK2054"/>
  <c r="AM2054"/>
  <c r="AO2054"/>
  <c r="AQ2054"/>
  <c r="AS2054"/>
  <c r="AU2054"/>
  <c r="AW2054"/>
  <c r="AY2054"/>
  <c r="BA2054"/>
  <c r="BC2054"/>
  <c r="BE2054"/>
  <c r="BG2054"/>
  <c r="M2055"/>
  <c r="O2055"/>
  <c r="Q2055"/>
  <c r="Y2055"/>
  <c r="AG2055"/>
  <c r="AI2055"/>
  <c r="AK2055"/>
  <c r="AM2055"/>
  <c r="AO2055"/>
  <c r="AQ2055"/>
  <c r="AS2055"/>
  <c r="AU2055"/>
  <c r="AW2055"/>
  <c r="AY2055"/>
  <c r="BA2055"/>
  <c r="BC2055"/>
  <c r="BE2055"/>
  <c r="BG2055"/>
  <c r="M2056"/>
  <c r="O2056"/>
  <c r="Q2056"/>
  <c r="Y2056"/>
  <c r="AG2056"/>
  <c r="AI2056"/>
  <c r="AK2056"/>
  <c r="AM2056"/>
  <c r="AO2056"/>
  <c r="AQ2056"/>
  <c r="AS2056"/>
  <c r="AU2056"/>
  <c r="AW2056"/>
  <c r="AY2056"/>
  <c r="BA2056"/>
  <c r="BC2056"/>
  <c r="BE2056"/>
  <c r="BG2056"/>
  <c r="M2057"/>
  <c r="O2057"/>
  <c r="Q2057"/>
  <c r="Y2057"/>
  <c r="AG2057"/>
  <c r="AI2057"/>
  <c r="AK2057"/>
  <c r="AM2057"/>
  <c r="AO2057"/>
  <c r="AQ2057"/>
  <c r="AS2057"/>
  <c r="AU2057"/>
  <c r="AW2057"/>
  <c r="AY2057"/>
  <c r="BA2057"/>
  <c r="BC2057"/>
  <c r="BE2057"/>
  <c r="BG2057"/>
  <c r="M2058"/>
  <c r="O2058"/>
  <c r="Q2058"/>
  <c r="Y2058"/>
  <c r="AG2058"/>
  <c r="AI2058"/>
  <c r="AK2058"/>
  <c r="AM2058"/>
  <c r="AO2058"/>
  <c r="AQ2058"/>
  <c r="AS2058"/>
  <c r="AU2058"/>
  <c r="AW2058"/>
  <c r="AY2058"/>
  <c r="BA2058"/>
  <c r="BC2058"/>
  <c r="BE2058"/>
  <c r="BG2058"/>
  <c r="M2059"/>
  <c r="O2059"/>
  <c r="Q2059"/>
  <c r="Y2059"/>
  <c r="AG2059"/>
  <c r="AI2059"/>
  <c r="AK2059"/>
  <c r="AM2059"/>
  <c r="AO2059"/>
  <c r="AQ2059"/>
  <c r="AS2059"/>
  <c r="AU2059"/>
  <c r="AW2059"/>
  <c r="AY2059"/>
  <c r="BA2059"/>
  <c r="BC2059"/>
  <c r="BE2059"/>
  <c r="BG2059"/>
  <c r="M2060"/>
  <c r="O2060"/>
  <c r="Q2060"/>
  <c r="Y2060"/>
  <c r="AG2060"/>
  <c r="AI2060"/>
  <c r="AK2060"/>
  <c r="AM2060"/>
  <c r="AO2060"/>
  <c r="AQ2060"/>
  <c r="AS2060"/>
  <c r="AU2060"/>
  <c r="AW2060"/>
  <c r="AY2060"/>
  <c r="BA2060"/>
  <c r="BC2060"/>
  <c r="BE2060"/>
  <c r="BG2060"/>
  <c r="M2061"/>
  <c r="O2061"/>
  <c r="Q2061"/>
  <c r="Y2061"/>
  <c r="AG2061"/>
  <c r="AI2061"/>
  <c r="AK2061"/>
  <c r="AM2061"/>
  <c r="AO2061"/>
  <c r="AQ2061"/>
  <c r="AS2061"/>
  <c r="AU2061"/>
  <c r="AW2061"/>
  <c r="AY2061"/>
  <c r="BA2061"/>
  <c r="BC2061"/>
  <c r="BE2061"/>
  <c r="BG2061"/>
  <c r="M2062"/>
  <c r="O2062"/>
  <c r="Q2062"/>
  <c r="Y2062"/>
  <c r="AG2062"/>
  <c r="AI2062"/>
  <c r="AK2062"/>
  <c r="AM2062"/>
  <c r="AO2062"/>
  <c r="AQ2062"/>
  <c r="AS2062"/>
  <c r="AU2062"/>
  <c r="AW2062"/>
  <c r="AY2062"/>
  <c r="BA2062"/>
  <c r="BC2062"/>
  <c r="BE2062"/>
  <c r="BG2062"/>
  <c r="M2063"/>
  <c r="O2063"/>
  <c r="Q2063"/>
  <c r="Y2063"/>
  <c r="AG2063"/>
  <c r="AI2063"/>
  <c r="AK2063"/>
  <c r="AM2063"/>
  <c r="AO2063"/>
  <c r="AQ2063"/>
  <c r="AS2063"/>
  <c r="AU2063"/>
  <c r="AW2063"/>
  <c r="AY2063"/>
  <c r="BA2063"/>
  <c r="BC2063"/>
  <c r="BE2063"/>
  <c r="BG2063"/>
  <c r="M2064"/>
  <c r="O2064"/>
  <c r="Q2064"/>
  <c r="Y2064"/>
  <c r="AG2064"/>
  <c r="AI2064"/>
  <c r="AK2064"/>
  <c r="AM2064"/>
  <c r="AO2064"/>
  <c r="AQ2064"/>
  <c r="AS2064"/>
  <c r="AU2064"/>
  <c r="AW2064"/>
  <c r="AY2064"/>
  <c r="BA2064"/>
  <c r="BC2064"/>
  <c r="BE2064"/>
  <c r="BG2064"/>
  <c r="M2065"/>
  <c r="O2065"/>
  <c r="Q2065"/>
  <c r="Y2065"/>
  <c r="AG2065"/>
  <c r="AI2065"/>
  <c r="AK2065"/>
  <c r="AM2065"/>
  <c r="AO2065"/>
  <c r="AQ2065"/>
  <c r="AS2065"/>
  <c r="AU2065"/>
  <c r="AW2065"/>
  <c r="AY2065"/>
  <c r="BA2065"/>
  <c r="BC2065"/>
  <c r="BE2065"/>
  <c r="BG2065"/>
  <c r="M2066"/>
  <c r="O2066"/>
  <c r="Q2066"/>
  <c r="Y2066"/>
  <c r="AG2066"/>
  <c r="AI2066"/>
  <c r="AK2066"/>
  <c r="AM2066"/>
  <c r="AO2066"/>
  <c r="AQ2066"/>
  <c r="AS2066"/>
  <c r="AU2066"/>
  <c r="AW2066"/>
  <c r="AY2066"/>
  <c r="BA2066"/>
  <c r="BC2066"/>
  <c r="BE2066"/>
  <c r="BG2066"/>
  <c r="M2067"/>
  <c r="O2067"/>
  <c r="Q2067"/>
  <c r="Y2067"/>
  <c r="AG2067"/>
  <c r="AI2067"/>
  <c r="AK2067"/>
  <c r="AM2067"/>
  <c r="AO2067"/>
  <c r="AQ2067"/>
  <c r="AS2067"/>
  <c r="AU2067"/>
  <c r="AW2067"/>
  <c r="AY2067"/>
  <c r="BA2067"/>
  <c r="BC2067"/>
  <c r="BE2067"/>
  <c r="BG2067"/>
  <c r="M2068"/>
  <c r="O2068"/>
  <c r="Q2068"/>
  <c r="Y2068"/>
  <c r="AG2068"/>
  <c r="AI2068"/>
  <c r="AK2068"/>
  <c r="AM2068"/>
  <c r="AO2068"/>
  <c r="AQ2068"/>
  <c r="AS2068"/>
  <c r="AU2068"/>
  <c r="AW2068"/>
  <c r="AY2068"/>
  <c r="BA2068"/>
  <c r="BC2068"/>
  <c r="BE2068"/>
  <c r="BG2068"/>
  <c r="M2069"/>
  <c r="O2069"/>
  <c r="Q2069"/>
  <c r="Y2069"/>
  <c r="AG2069"/>
  <c r="AI2069"/>
  <c r="AK2069"/>
  <c r="AM2069"/>
  <c r="AO2069"/>
  <c r="AQ2069"/>
  <c r="AS2069"/>
  <c r="AU2069"/>
  <c r="AW2069"/>
  <c r="AY2069"/>
  <c r="BA2069"/>
  <c r="BC2069"/>
  <c r="BE2069"/>
  <c r="BG2069"/>
  <c r="M2070"/>
  <c r="O2070"/>
  <c r="Y2070"/>
  <c r="AG2070"/>
  <c r="AI2070"/>
  <c r="AK2070"/>
  <c r="AM2070"/>
  <c r="AO2070"/>
  <c r="AQ2070"/>
  <c r="AS2070"/>
  <c r="AU2070"/>
  <c r="AW2070"/>
  <c r="AY2070"/>
  <c r="BA2070"/>
  <c r="BC2070"/>
  <c r="BE2070"/>
  <c r="BG2070"/>
  <c r="M2071"/>
  <c r="O2071"/>
  <c r="Q2071"/>
  <c r="Y2071"/>
  <c r="AG2071"/>
  <c r="AI2071"/>
  <c r="AK2071"/>
  <c r="AM2071"/>
  <c r="AO2071"/>
  <c r="AQ2071"/>
  <c r="AS2071"/>
  <c r="AU2071"/>
  <c r="AW2071"/>
  <c r="AY2071"/>
  <c r="BA2071"/>
  <c r="BC2071"/>
  <c r="BE2071"/>
  <c r="BG2071"/>
  <c r="M2072"/>
  <c r="O2072"/>
  <c r="Q2072"/>
  <c r="Y2072"/>
  <c r="AG2072"/>
  <c r="AI2072"/>
  <c r="AK2072"/>
  <c r="AM2072"/>
  <c r="AO2072"/>
  <c r="AQ2072"/>
  <c r="AS2072"/>
  <c r="AU2072"/>
  <c r="AW2072"/>
  <c r="AY2072"/>
  <c r="BA2072"/>
  <c r="BC2072"/>
  <c r="BE2072"/>
  <c r="BG2072"/>
  <c r="M2073"/>
  <c r="O2073"/>
  <c r="Q2073"/>
  <c r="Y2073"/>
  <c r="AG2073"/>
  <c r="AI2073"/>
  <c r="AK2073"/>
  <c r="AM2073"/>
  <c r="AO2073"/>
  <c r="AQ2073"/>
  <c r="AS2073"/>
  <c r="AU2073"/>
  <c r="AW2073"/>
  <c r="AY2073"/>
  <c r="BA2073"/>
  <c r="BC2073"/>
  <c r="BE2073"/>
  <c r="BG2073"/>
  <c r="L2074"/>
  <c r="L2075"/>
  <c r="BN2075" s="1"/>
  <c r="L2076"/>
  <c r="BN2076" s="1"/>
  <c r="L2077"/>
  <c r="BN2077" s="1"/>
  <c r="L2078"/>
  <c r="BN2078" s="1"/>
  <c r="L2079"/>
  <c r="BN2079" s="1"/>
  <c r="M2090"/>
  <c r="O2090"/>
  <c r="Q2090"/>
  <c r="Y2090"/>
  <c r="AG2090"/>
  <c r="AI2090"/>
  <c r="AK2090"/>
  <c r="AM2090"/>
  <c r="AO2090"/>
  <c r="AQ2090"/>
  <c r="AS2090"/>
  <c r="AU2090"/>
  <c r="AW2090"/>
  <c r="AY2090"/>
  <c r="BA2090"/>
  <c r="BC2090"/>
  <c r="BE2090"/>
  <c r="BG2090"/>
  <c r="M2091"/>
  <c r="O2091"/>
  <c r="Q2091"/>
  <c r="Y2091"/>
  <c r="AG2091"/>
  <c r="AI2091"/>
  <c r="AK2091"/>
  <c r="AM2091"/>
  <c r="AO2091"/>
  <c r="AQ2091"/>
  <c r="AS2091"/>
  <c r="AU2091"/>
  <c r="AW2091"/>
  <c r="AY2091"/>
  <c r="BA2091"/>
  <c r="BC2091"/>
  <c r="BE2091"/>
  <c r="BG2091"/>
  <c r="M2092"/>
  <c r="O2092"/>
  <c r="Q2092"/>
  <c r="Y2092"/>
  <c r="AG2092"/>
  <c r="AI2092"/>
  <c r="AK2092"/>
  <c r="AM2092"/>
  <c r="AO2092"/>
  <c r="AQ2092"/>
  <c r="AS2092"/>
  <c r="AU2092"/>
  <c r="AW2092"/>
  <c r="AY2092"/>
  <c r="BA2092"/>
  <c r="BC2092"/>
  <c r="BE2092"/>
  <c r="BG2092"/>
  <c r="M2093"/>
  <c r="O2093"/>
  <c r="Q2093"/>
  <c r="Y2093"/>
  <c r="AG2093"/>
  <c r="AI2093"/>
  <c r="AK2093"/>
  <c r="AM2093"/>
  <c r="AO2093"/>
  <c r="AQ2093"/>
  <c r="AS2093"/>
  <c r="AU2093"/>
  <c r="AW2093"/>
  <c r="AY2093"/>
  <c r="BA2093"/>
  <c r="BC2093"/>
  <c r="BE2093"/>
  <c r="BG2093"/>
  <c r="M2094"/>
  <c r="O2094"/>
  <c r="Q2094"/>
  <c r="Y2094"/>
  <c r="AG2094"/>
  <c r="AI2094"/>
  <c r="AK2094"/>
  <c r="AM2094"/>
  <c r="AO2094"/>
  <c r="AQ2094"/>
  <c r="AS2094"/>
  <c r="AU2094"/>
  <c r="AW2094"/>
  <c r="AY2094"/>
  <c r="BA2094"/>
  <c r="BC2094"/>
  <c r="BE2094"/>
  <c r="BG2094"/>
  <c r="M2095"/>
  <c r="O2095"/>
  <c r="Q2095"/>
  <c r="Y2095"/>
  <c r="AG2095"/>
  <c r="AI2095"/>
  <c r="AK2095"/>
  <c r="AM2095"/>
  <c r="AO2095"/>
  <c r="AQ2095"/>
  <c r="AS2095"/>
  <c r="AU2095"/>
  <c r="AW2095"/>
  <c r="AY2095"/>
  <c r="BA2095"/>
  <c r="BC2095"/>
  <c r="BE2095"/>
  <c r="BG2095"/>
  <c r="M2096"/>
  <c r="O2096"/>
  <c r="Q2096"/>
  <c r="Y2096"/>
  <c r="AG2096"/>
  <c r="AI2096"/>
  <c r="AK2096"/>
  <c r="AM2096"/>
  <c r="AO2096"/>
  <c r="AQ2096"/>
  <c r="AS2096"/>
  <c r="AU2096"/>
  <c r="AW2096"/>
  <c r="AY2096"/>
  <c r="BA2096"/>
  <c r="BC2096"/>
  <c r="BE2096"/>
  <c r="BG2096"/>
  <c r="M2097"/>
  <c r="O2097"/>
  <c r="Q2097"/>
  <c r="Y2097"/>
  <c r="AG2097"/>
  <c r="AI2097"/>
  <c r="AK2097"/>
  <c r="AM2097"/>
  <c r="AO2097"/>
  <c r="AQ2097"/>
  <c r="AS2097"/>
  <c r="AU2097"/>
  <c r="AW2097"/>
  <c r="AY2097"/>
  <c r="BA2097"/>
  <c r="BC2097"/>
  <c r="BE2097"/>
  <c r="BG2097"/>
  <c r="M2098"/>
  <c r="O2098"/>
  <c r="Q2098"/>
  <c r="Y2098"/>
  <c r="AG2098"/>
  <c r="AI2098"/>
  <c r="AK2098"/>
  <c r="AM2098"/>
  <c r="AO2098"/>
  <c r="AQ2098"/>
  <c r="AS2098"/>
  <c r="AU2098"/>
  <c r="AW2098"/>
  <c r="AY2098"/>
  <c r="BA2098"/>
  <c r="BC2098"/>
  <c r="BE2098"/>
  <c r="BG2098"/>
  <c r="M2099"/>
  <c r="O2099"/>
  <c r="Q2099"/>
  <c r="Y2099"/>
  <c r="AG2099"/>
  <c r="AI2099"/>
  <c r="AK2099"/>
  <c r="AM2099"/>
  <c r="AO2099"/>
  <c r="AQ2099"/>
  <c r="AS2099"/>
  <c r="AU2099"/>
  <c r="AW2099"/>
  <c r="AY2099"/>
  <c r="BA2099"/>
  <c r="BC2099"/>
  <c r="BE2099"/>
  <c r="BG2099"/>
  <c r="M2100"/>
  <c r="O2100"/>
  <c r="Q2100"/>
  <c r="Y2100"/>
  <c r="AG2100"/>
  <c r="AI2100"/>
  <c r="AK2100"/>
  <c r="AM2100"/>
  <c r="AO2100"/>
  <c r="AQ2100"/>
  <c r="AS2100"/>
  <c r="AU2100"/>
  <c r="AW2100"/>
  <c r="AY2100"/>
  <c r="BA2100"/>
  <c r="BC2100"/>
  <c r="BE2100"/>
  <c r="BG2100"/>
  <c r="M2101"/>
  <c r="O2101"/>
  <c r="Q2101"/>
  <c r="Y2101"/>
  <c r="AG2101"/>
  <c r="AI2101"/>
  <c r="AK2101"/>
  <c r="AM2101"/>
  <c r="AO2101"/>
  <c r="AQ2101"/>
  <c r="AS2101"/>
  <c r="AU2101"/>
  <c r="AW2101"/>
  <c r="AY2101"/>
  <c r="BA2101"/>
  <c r="BC2101"/>
  <c r="BE2101"/>
  <c r="BG2101"/>
  <c r="M2102"/>
  <c r="O2102"/>
  <c r="Q2102"/>
  <c r="Y2102"/>
  <c r="AG2102"/>
  <c r="AI2102"/>
  <c r="AK2102"/>
  <c r="AM2102"/>
  <c r="AO2102"/>
  <c r="AQ2102"/>
  <c r="AS2102"/>
  <c r="AU2102"/>
  <c r="AW2102"/>
  <c r="AY2102"/>
  <c r="BA2102"/>
  <c r="BC2102"/>
  <c r="BE2102"/>
  <c r="BG2102"/>
  <c r="M2103"/>
  <c r="O2103"/>
  <c r="Q2103"/>
  <c r="Y2103"/>
  <c r="AG2103"/>
  <c r="AI2103"/>
  <c r="AK2103"/>
  <c r="AM2103"/>
  <c r="AO2103"/>
  <c r="AQ2103"/>
  <c r="AS2103"/>
  <c r="AU2103"/>
  <c r="AW2103"/>
  <c r="AY2103"/>
  <c r="BA2103"/>
  <c r="BC2103"/>
  <c r="BE2103"/>
  <c r="BG2103"/>
  <c r="M2104"/>
  <c r="O2104"/>
  <c r="Q2104"/>
  <c r="Y2104"/>
  <c r="AG2104"/>
  <c r="AI2104"/>
  <c r="AK2104"/>
  <c r="AM2104"/>
  <c r="AO2104"/>
  <c r="AQ2104"/>
  <c r="AS2104"/>
  <c r="AU2104"/>
  <c r="AW2104"/>
  <c r="AY2104"/>
  <c r="BA2104"/>
  <c r="BC2104"/>
  <c r="BE2104"/>
  <c r="BG2104"/>
  <c r="M2105"/>
  <c r="O2105"/>
  <c r="Q2105"/>
  <c r="Y2105"/>
  <c r="AG2105"/>
  <c r="AI2105"/>
  <c r="AK2105"/>
  <c r="AM2105"/>
  <c r="AO2105"/>
  <c r="AQ2105"/>
  <c r="AS2105"/>
  <c r="AU2105"/>
  <c r="AW2105"/>
  <c r="AY2105"/>
  <c r="BA2105"/>
  <c r="BC2105"/>
  <c r="BE2105"/>
  <c r="BG2105"/>
  <c r="M2106"/>
  <c r="O2106"/>
  <c r="Q2106"/>
  <c r="Y2106"/>
  <c r="AG2106"/>
  <c r="AI2106"/>
  <c r="AK2106"/>
  <c r="AM2106"/>
  <c r="AO2106"/>
  <c r="AQ2106"/>
  <c r="AS2106"/>
  <c r="AU2106"/>
  <c r="AW2106"/>
  <c r="AY2106"/>
  <c r="BA2106"/>
  <c r="BC2106"/>
  <c r="BE2106"/>
  <c r="BG2106"/>
  <c r="M2107"/>
  <c r="O2107"/>
  <c r="Q2107"/>
  <c r="Y2107"/>
  <c r="AG2107"/>
  <c r="AI2107"/>
  <c r="AK2107"/>
  <c r="AM2107"/>
  <c r="AO2107"/>
  <c r="AQ2107"/>
  <c r="AS2107"/>
  <c r="AU2107"/>
  <c r="AW2107"/>
  <c r="AY2107"/>
  <c r="BA2107"/>
  <c r="BC2107"/>
  <c r="BE2107"/>
  <c r="BG2107"/>
  <c r="M2108"/>
  <c r="O2108"/>
  <c r="Q2108"/>
  <c r="Y2108"/>
  <c r="AG2108"/>
  <c r="AI2108"/>
  <c r="AK2108"/>
  <c r="AM2108"/>
  <c r="AO2108"/>
  <c r="AQ2108"/>
  <c r="AS2108"/>
  <c r="AU2108"/>
  <c r="AW2108"/>
  <c r="AY2108"/>
  <c r="BA2108"/>
  <c r="BC2108"/>
  <c r="BE2108"/>
  <c r="BG2108"/>
  <c r="M2109"/>
  <c r="O2109"/>
  <c r="Q2109"/>
  <c r="Y2109"/>
  <c r="AG2109"/>
  <c r="AI2109"/>
  <c r="AK2109"/>
  <c r="AM2109"/>
  <c r="AO2109"/>
  <c r="AQ2109"/>
  <c r="AS2109"/>
  <c r="AU2109"/>
  <c r="AW2109"/>
  <c r="AY2109"/>
  <c r="BA2109"/>
  <c r="BC2109"/>
  <c r="BE2109"/>
  <c r="BG2109"/>
  <c r="M2110"/>
  <c r="O2110"/>
  <c r="Q2110"/>
  <c r="Y2110"/>
  <c r="AG2110"/>
  <c r="AI2110"/>
  <c r="AK2110"/>
  <c r="AM2110"/>
  <c r="AO2110"/>
  <c r="AQ2110"/>
  <c r="AS2110"/>
  <c r="AU2110"/>
  <c r="AW2110"/>
  <c r="AY2110"/>
  <c r="BA2110"/>
  <c r="BC2110"/>
  <c r="BE2110"/>
  <c r="BG2110"/>
  <c r="M2111"/>
  <c r="O2111"/>
  <c r="Q2111"/>
  <c r="Y2111"/>
  <c r="AG2111"/>
  <c r="AI2111"/>
  <c r="AK2111"/>
  <c r="AM2111"/>
  <c r="AO2111"/>
  <c r="AQ2111"/>
  <c r="AS2111"/>
  <c r="AU2111"/>
  <c r="AW2111"/>
  <c r="AY2111"/>
  <c r="BA2111"/>
  <c r="BC2111"/>
  <c r="BE2111"/>
  <c r="BG2111"/>
  <c r="M2112"/>
  <c r="O2112"/>
  <c r="Q2112"/>
  <c r="Y2112"/>
  <c r="AG2112"/>
  <c r="AI2112"/>
  <c r="AK2112"/>
  <c r="AM2112"/>
  <c r="AO2112"/>
  <c r="AQ2112"/>
  <c r="AS2112"/>
  <c r="AU2112"/>
  <c r="AW2112"/>
  <c r="AY2112"/>
  <c r="BA2112"/>
  <c r="BC2112"/>
  <c r="BE2112"/>
  <c r="BG2112"/>
  <c r="M2113"/>
  <c r="O2113"/>
  <c r="Q2113"/>
  <c r="Y2113"/>
  <c r="AG2113"/>
  <c r="AI2113"/>
  <c r="AK2113"/>
  <c r="AM2113"/>
  <c r="AO2113"/>
  <c r="AQ2113"/>
  <c r="AS2113"/>
  <c r="AU2113"/>
  <c r="AW2113"/>
  <c r="AY2113"/>
  <c r="BA2113"/>
  <c r="BC2113"/>
  <c r="BE2113"/>
  <c r="BG2113"/>
  <c r="M2114"/>
  <c r="O2114"/>
  <c r="Q2114"/>
  <c r="Y2114"/>
  <c r="AG2114"/>
  <c r="AI2114"/>
  <c r="AK2114"/>
  <c r="AM2114"/>
  <c r="AO2114"/>
  <c r="AQ2114"/>
  <c r="AS2114"/>
  <c r="AU2114"/>
  <c r="AW2114"/>
  <c r="AY2114"/>
  <c r="BA2114"/>
  <c r="BC2114"/>
  <c r="BE2114"/>
  <c r="BG2114"/>
  <c r="M2115"/>
  <c r="O2115"/>
  <c r="Q2115"/>
  <c r="Y2115"/>
  <c r="AG2115"/>
  <c r="AI2115"/>
  <c r="AK2115"/>
  <c r="AM2115"/>
  <c r="AO2115"/>
  <c r="AQ2115"/>
  <c r="AS2115"/>
  <c r="AU2115"/>
  <c r="AW2115"/>
  <c r="AY2115"/>
  <c r="BA2115"/>
  <c r="BC2115"/>
  <c r="BE2115"/>
  <c r="BG2115"/>
  <c r="M2116"/>
  <c r="O2116"/>
  <c r="Q2116"/>
  <c r="Y2116"/>
  <c r="AG2116"/>
  <c r="AI2116"/>
  <c r="AK2116"/>
  <c r="AM2116"/>
  <c r="AO2116"/>
  <c r="AQ2116"/>
  <c r="AS2116"/>
  <c r="AU2116"/>
  <c r="AW2116"/>
  <c r="AY2116"/>
  <c r="BA2116"/>
  <c r="BC2116"/>
  <c r="BE2116"/>
  <c r="BG2116"/>
  <c r="M2117"/>
  <c r="O2117"/>
  <c r="Q2117"/>
  <c r="Y2117"/>
  <c r="AG2117"/>
  <c r="AI2117"/>
  <c r="AK2117"/>
  <c r="AM2117"/>
  <c r="AO2117"/>
  <c r="AQ2117"/>
  <c r="AS2117"/>
  <c r="AU2117"/>
  <c r="AW2117"/>
  <c r="AY2117"/>
  <c r="BA2117"/>
  <c r="BC2117"/>
  <c r="BE2117"/>
  <c r="BG2117"/>
  <c r="M2118"/>
  <c r="O2118"/>
  <c r="Q2118"/>
  <c r="Y2118"/>
  <c r="AG2118"/>
  <c r="AI2118"/>
  <c r="AK2118"/>
  <c r="AM2118"/>
  <c r="AO2118"/>
  <c r="AQ2118"/>
  <c r="AS2118"/>
  <c r="AU2118"/>
  <c r="AW2118"/>
  <c r="AY2118"/>
  <c r="BA2118"/>
  <c r="BC2118"/>
  <c r="BE2118"/>
  <c r="BG2118"/>
  <c r="M2119"/>
  <c r="O2119"/>
  <c r="Q2119"/>
  <c r="Y2119"/>
  <c r="AG2119"/>
  <c r="AI2119"/>
  <c r="AK2119"/>
  <c r="AM2119"/>
  <c r="AO2119"/>
  <c r="AQ2119"/>
  <c r="AS2119"/>
  <c r="AU2119"/>
  <c r="AW2119"/>
  <c r="AY2119"/>
  <c r="BA2119"/>
  <c r="BC2119"/>
  <c r="BE2119"/>
  <c r="BG2119"/>
  <c r="M2120"/>
  <c r="O2120"/>
  <c r="Q2120"/>
  <c r="Y2120"/>
  <c r="AG2120"/>
  <c r="AI2120"/>
  <c r="AK2120"/>
  <c r="AM2120"/>
  <c r="AO2120"/>
  <c r="AQ2120"/>
  <c r="AS2120"/>
  <c r="AU2120"/>
  <c r="AW2120"/>
  <c r="AY2120"/>
  <c r="BA2120"/>
  <c r="BC2120"/>
  <c r="BE2120"/>
  <c r="BG2120"/>
  <c r="M2121"/>
  <c r="O2121"/>
  <c r="Q2121"/>
  <c r="Y2121"/>
  <c r="AG2121"/>
  <c r="AI2121"/>
  <c r="AK2121"/>
  <c r="AM2121"/>
  <c r="AO2121"/>
  <c r="AQ2121"/>
  <c r="AS2121"/>
  <c r="AU2121"/>
  <c r="AW2121"/>
  <c r="AY2121"/>
  <c r="BA2121"/>
  <c r="BC2121"/>
  <c r="BE2121"/>
  <c r="BG2121"/>
  <c r="M2122"/>
  <c r="O2122"/>
  <c r="Q2122"/>
  <c r="Y2122"/>
  <c r="AG2122"/>
  <c r="AI2122"/>
  <c r="AK2122"/>
  <c r="AM2122"/>
  <c r="AO2122"/>
  <c r="AQ2122"/>
  <c r="AS2122"/>
  <c r="AU2122"/>
  <c r="AW2122"/>
  <c r="AY2122"/>
  <c r="BA2122"/>
  <c r="BC2122"/>
  <c r="BE2122"/>
  <c r="BG2122"/>
  <c r="M2123"/>
  <c r="O2123"/>
  <c r="Q2123"/>
  <c r="Y2123"/>
  <c r="AG2123"/>
  <c r="AI2123"/>
  <c r="AK2123"/>
  <c r="AM2123"/>
  <c r="AO2123"/>
  <c r="AQ2123"/>
  <c r="AS2123"/>
  <c r="AU2123"/>
  <c r="AW2123"/>
  <c r="AY2123"/>
  <c r="BA2123"/>
  <c r="BC2123"/>
  <c r="BE2123"/>
  <c r="BG2123"/>
  <c r="M2124"/>
  <c r="O2124"/>
  <c r="Q2124"/>
  <c r="Y2124"/>
  <c r="AG2124"/>
  <c r="AI2124"/>
  <c r="AK2124"/>
  <c r="AM2124"/>
  <c r="AO2124"/>
  <c r="AQ2124"/>
  <c r="AS2124"/>
  <c r="AU2124"/>
  <c r="AW2124"/>
  <c r="AY2124"/>
  <c r="BA2124"/>
  <c r="BC2124"/>
  <c r="BE2124"/>
  <c r="BG2124"/>
  <c r="M2125"/>
  <c r="O2125"/>
  <c r="Q2125"/>
  <c r="Y2125"/>
  <c r="AG2125"/>
  <c r="AI2125"/>
  <c r="AK2125"/>
  <c r="AM2125"/>
  <c r="AO2125"/>
  <c r="AQ2125"/>
  <c r="AS2125"/>
  <c r="AU2125"/>
  <c r="AW2125"/>
  <c r="AY2125"/>
  <c r="BA2125"/>
  <c r="BC2125"/>
  <c r="BE2125"/>
  <c r="BG2125"/>
  <c r="M2126"/>
  <c r="O2126"/>
  <c r="Q2126"/>
  <c r="Y2126"/>
  <c r="AG2126"/>
  <c r="AI2126"/>
  <c r="AK2126"/>
  <c r="AM2126"/>
  <c r="AO2126"/>
  <c r="AQ2126"/>
  <c r="AS2126"/>
  <c r="AU2126"/>
  <c r="AW2126"/>
  <c r="AY2126"/>
  <c r="BA2126"/>
  <c r="BC2126"/>
  <c r="BE2126"/>
  <c r="BG2126"/>
  <c r="M2127"/>
  <c r="O2127"/>
  <c r="Q2127"/>
  <c r="Y2127"/>
  <c r="AG2127"/>
  <c r="AI2127"/>
  <c r="AK2127"/>
  <c r="AM2127"/>
  <c r="AO2127"/>
  <c r="AQ2127"/>
  <c r="AS2127"/>
  <c r="AU2127"/>
  <c r="AW2127"/>
  <c r="AY2127"/>
  <c r="BA2127"/>
  <c r="BC2127"/>
  <c r="BE2127"/>
  <c r="BG2127"/>
  <c r="M2128"/>
  <c r="O2128"/>
  <c r="Y2128"/>
  <c r="AG2128"/>
  <c r="AI2128"/>
  <c r="AK2128"/>
  <c r="AM2128"/>
  <c r="AO2128"/>
  <c r="AQ2128"/>
  <c r="AS2128"/>
  <c r="AU2128"/>
  <c r="AW2128"/>
  <c r="AY2128"/>
  <c r="BA2128"/>
  <c r="BC2128"/>
  <c r="BE2128"/>
  <c r="BG2128"/>
  <c r="M2129"/>
  <c r="O2129"/>
  <c r="Q2129"/>
  <c r="Y2129"/>
  <c r="AG2129"/>
  <c r="AI2129"/>
  <c r="AK2129"/>
  <c r="AM2129"/>
  <c r="AO2129"/>
  <c r="AQ2129"/>
  <c r="AS2129"/>
  <c r="AU2129"/>
  <c r="AW2129"/>
  <c r="AY2129"/>
  <c r="BA2129"/>
  <c r="BC2129"/>
  <c r="BE2129"/>
  <c r="BG2129"/>
  <c r="M2130"/>
  <c r="Q2130"/>
  <c r="Y2130"/>
  <c r="AG2130"/>
  <c r="AI2130"/>
  <c r="AK2130"/>
  <c r="AM2130"/>
  <c r="AO2130"/>
  <c r="AQ2130"/>
  <c r="AS2130"/>
  <c r="AU2130"/>
  <c r="AW2130"/>
  <c r="AY2130"/>
  <c r="BA2130"/>
  <c r="BC2130"/>
  <c r="BE2130"/>
  <c r="BG2130"/>
  <c r="M2131"/>
  <c r="BO2131" s="1"/>
  <c r="M2132"/>
  <c r="BO2132" s="1"/>
  <c r="M2133"/>
  <c r="BO2133" s="1"/>
  <c r="M2134"/>
  <c r="BO2134" s="1"/>
  <c r="M2135"/>
  <c r="BO2135" s="1"/>
  <c r="M2136"/>
  <c r="BO2136" s="1"/>
  <c r="M2137"/>
  <c r="BO2137" s="1"/>
  <c r="M2148"/>
  <c r="O2148"/>
  <c r="Q2148"/>
  <c r="Y2148"/>
  <c r="AG2148"/>
  <c r="AI2148"/>
  <c r="AK2148"/>
  <c r="AM2148"/>
  <c r="AO2148"/>
  <c r="AQ2148"/>
  <c r="AS2148"/>
  <c r="AU2148"/>
  <c r="AW2148"/>
  <c r="AY2148"/>
  <c r="BA2148"/>
  <c r="BC2148"/>
  <c r="BE2148"/>
  <c r="BG2148"/>
  <c r="M2149"/>
  <c r="O2149"/>
  <c r="Q2149"/>
  <c r="Y2149"/>
  <c r="AG2149"/>
  <c r="AI2149"/>
  <c r="AK2149"/>
  <c r="AM2149"/>
  <c r="AO2149"/>
  <c r="AQ2149"/>
  <c r="AS2149"/>
  <c r="AU2149"/>
  <c r="AW2149"/>
  <c r="AY2149"/>
  <c r="BA2149"/>
  <c r="BC2149"/>
  <c r="BE2149"/>
  <c r="BG2149"/>
  <c r="M2150"/>
  <c r="O2150"/>
  <c r="Q2150"/>
  <c r="Y2150"/>
  <c r="AG2150"/>
  <c r="AI2150"/>
  <c r="AK2150"/>
  <c r="AM2150"/>
  <c r="AO2150"/>
  <c r="AQ2150"/>
  <c r="AS2150"/>
  <c r="AU2150"/>
  <c r="AW2150"/>
  <c r="AY2150"/>
  <c r="BA2150"/>
  <c r="BC2150"/>
  <c r="BE2150"/>
  <c r="BG2150"/>
  <c r="M2151"/>
  <c r="O2151"/>
  <c r="Q2151"/>
  <c r="Y2151"/>
  <c r="AG2151"/>
  <c r="AI2151"/>
  <c r="AK2151"/>
  <c r="AM2151"/>
  <c r="AO2151"/>
  <c r="AQ2151"/>
  <c r="AS2151"/>
  <c r="AU2151"/>
  <c r="AW2151"/>
  <c r="AY2151"/>
  <c r="BA2151"/>
  <c r="BC2151"/>
  <c r="BE2151"/>
  <c r="BG2151"/>
  <c r="M2152"/>
  <c r="O2152"/>
  <c r="Q2152"/>
  <c r="Y2152"/>
  <c r="AG2152"/>
  <c r="AI2152"/>
  <c r="AK2152"/>
  <c r="AM2152"/>
  <c r="AO2152"/>
  <c r="AQ2152"/>
  <c r="AS2152"/>
  <c r="AU2152"/>
  <c r="AW2152"/>
  <c r="AY2152"/>
  <c r="BA2152"/>
  <c r="BC2152"/>
  <c r="BE2152"/>
  <c r="BG2152"/>
  <c r="M2153"/>
  <c r="O2153"/>
  <c r="Q2153"/>
  <c r="Y2153"/>
  <c r="AG2153"/>
  <c r="AI2153"/>
  <c r="AK2153"/>
  <c r="AM2153"/>
  <c r="AO2153"/>
  <c r="AQ2153"/>
  <c r="AS2153"/>
  <c r="AU2153"/>
  <c r="AW2153"/>
  <c r="AY2153"/>
  <c r="BA2153"/>
  <c r="BC2153"/>
  <c r="BE2153"/>
  <c r="BG2153"/>
  <c r="M2154"/>
  <c r="O2154"/>
  <c r="Q2154"/>
  <c r="Y2154"/>
  <c r="AG2154"/>
  <c r="AI2154"/>
  <c r="AK2154"/>
  <c r="AM2154"/>
  <c r="AO2154"/>
  <c r="AQ2154"/>
  <c r="AS2154"/>
  <c r="AU2154"/>
  <c r="AW2154"/>
  <c r="AY2154"/>
  <c r="BA2154"/>
  <c r="BC2154"/>
  <c r="BE2154"/>
  <c r="BG2154"/>
  <c r="M2155"/>
  <c r="O2155"/>
  <c r="Q2155"/>
  <c r="Y2155"/>
  <c r="AG2155"/>
  <c r="AI2155"/>
  <c r="AK2155"/>
  <c r="AM2155"/>
  <c r="AO2155"/>
  <c r="AQ2155"/>
  <c r="AS2155"/>
  <c r="AU2155"/>
  <c r="AW2155"/>
  <c r="AY2155"/>
  <c r="BA2155"/>
  <c r="BC2155"/>
  <c r="BE2155"/>
  <c r="BG2155"/>
  <c r="M2156"/>
  <c r="O2156"/>
  <c r="Q2156"/>
  <c r="Y2156"/>
  <c r="AG2156"/>
  <c r="AI2156"/>
  <c r="AK2156"/>
  <c r="AM2156"/>
  <c r="AO2156"/>
  <c r="AQ2156"/>
  <c r="AS2156"/>
  <c r="AU2156"/>
  <c r="AW2156"/>
  <c r="AY2156"/>
  <c r="BA2156"/>
  <c r="BC2156"/>
  <c r="BE2156"/>
  <c r="BG2156"/>
  <c r="M2157"/>
  <c r="O2157"/>
  <c r="Q2157"/>
  <c r="Y2157"/>
  <c r="AG2157"/>
  <c r="AI2157"/>
  <c r="AK2157"/>
  <c r="AM2157"/>
  <c r="AO2157"/>
  <c r="AQ2157"/>
  <c r="AS2157"/>
  <c r="AU2157"/>
  <c r="AW2157"/>
  <c r="AY2157"/>
  <c r="BA2157"/>
  <c r="BC2157"/>
  <c r="BE2157"/>
  <c r="BG2157"/>
  <c r="M2158"/>
  <c r="O2158"/>
  <c r="Q2158"/>
  <c r="Y2158"/>
  <c r="AG2158"/>
  <c r="AI2158"/>
  <c r="AK2158"/>
  <c r="AM2158"/>
  <c r="AO2158"/>
  <c r="AQ2158"/>
  <c r="AS2158"/>
  <c r="AU2158"/>
  <c r="AW2158"/>
  <c r="AY2158"/>
  <c r="BA2158"/>
  <c r="BC2158"/>
  <c r="BE2158"/>
  <c r="BG2158"/>
  <c r="M2159"/>
  <c r="O2159"/>
  <c r="Q2159"/>
  <c r="Y2159"/>
  <c r="AG2159"/>
  <c r="AI2159"/>
  <c r="AK2159"/>
  <c r="AM2159"/>
  <c r="AO2159"/>
  <c r="AQ2159"/>
  <c r="AS2159"/>
  <c r="AU2159"/>
  <c r="AW2159"/>
  <c r="AY2159"/>
  <c r="BA2159"/>
  <c r="BC2159"/>
  <c r="BE2159"/>
  <c r="BG2159"/>
  <c r="M2160"/>
  <c r="O2160"/>
  <c r="Q2160"/>
  <c r="Y2160"/>
  <c r="AG2160"/>
  <c r="AI2160"/>
  <c r="AK2160"/>
  <c r="AM2160"/>
  <c r="AO2160"/>
  <c r="AQ2160"/>
  <c r="AS2160"/>
  <c r="AU2160"/>
  <c r="AW2160"/>
  <c r="AY2160"/>
  <c r="BA2160"/>
  <c r="BC2160"/>
  <c r="BE2160"/>
  <c r="BG2160"/>
  <c r="M2161"/>
  <c r="O2161"/>
  <c r="Q2161"/>
  <c r="Y2161"/>
  <c r="AG2161"/>
  <c r="AI2161"/>
  <c r="AK2161"/>
  <c r="AM2161"/>
  <c r="AO2161"/>
  <c r="AQ2161"/>
  <c r="AS2161"/>
  <c r="AU2161"/>
  <c r="AW2161"/>
  <c r="AY2161"/>
  <c r="BA2161"/>
  <c r="BC2161"/>
  <c r="BE2161"/>
  <c r="BG2161"/>
  <c r="M2162"/>
  <c r="O2162"/>
  <c r="Q2162"/>
  <c r="Y2162"/>
  <c r="AG2162"/>
  <c r="AI2162"/>
  <c r="AK2162"/>
  <c r="AM2162"/>
  <c r="AO2162"/>
  <c r="AQ2162"/>
  <c r="AS2162"/>
  <c r="AU2162"/>
  <c r="AW2162"/>
  <c r="AY2162"/>
  <c r="BA2162"/>
  <c r="BC2162"/>
  <c r="BE2162"/>
  <c r="BG2162"/>
  <c r="M2163"/>
  <c r="O2163"/>
  <c r="Q2163"/>
  <c r="Y2163"/>
  <c r="AG2163"/>
  <c r="AI2163"/>
  <c r="AK2163"/>
  <c r="AM2163"/>
  <c r="AO2163"/>
  <c r="AQ2163"/>
  <c r="AS2163"/>
  <c r="AU2163"/>
  <c r="AW2163"/>
  <c r="AY2163"/>
  <c r="BA2163"/>
  <c r="BC2163"/>
  <c r="BE2163"/>
  <c r="BG2163"/>
  <c r="M2164"/>
  <c r="O2164"/>
  <c r="Q2164"/>
  <c r="Y2164"/>
  <c r="AG2164"/>
  <c r="AI2164"/>
  <c r="AK2164"/>
  <c r="AM2164"/>
  <c r="AO2164"/>
  <c r="AQ2164"/>
  <c r="AS2164"/>
  <c r="AU2164"/>
  <c r="AW2164"/>
  <c r="AY2164"/>
  <c r="BA2164"/>
  <c r="BC2164"/>
  <c r="BE2164"/>
  <c r="BG2164"/>
  <c r="M2165"/>
  <c r="O2165"/>
  <c r="Q2165"/>
  <c r="Y2165"/>
  <c r="AG2165"/>
  <c r="AI2165"/>
  <c r="AK2165"/>
  <c r="AM2165"/>
  <c r="AO2165"/>
  <c r="AQ2165"/>
  <c r="AS2165"/>
  <c r="AU2165"/>
  <c r="AW2165"/>
  <c r="AY2165"/>
  <c r="BA2165"/>
  <c r="BC2165"/>
  <c r="BE2165"/>
  <c r="BG2165"/>
  <c r="M2166"/>
  <c r="O2166"/>
  <c r="Q2166"/>
  <c r="Y2166"/>
  <c r="AG2166"/>
  <c r="AI2166"/>
  <c r="AK2166"/>
  <c r="AM2166"/>
  <c r="AO2166"/>
  <c r="AQ2166"/>
  <c r="AS2166"/>
  <c r="AU2166"/>
  <c r="AW2166"/>
  <c r="AY2166"/>
  <c r="BA2166"/>
  <c r="BC2166"/>
  <c r="BE2166"/>
  <c r="BG2166"/>
  <c r="M2167"/>
  <c r="O2167"/>
  <c r="Q2167"/>
  <c r="Y2167"/>
  <c r="AG2167"/>
  <c r="AI2167"/>
  <c r="AK2167"/>
  <c r="AM2167"/>
  <c r="AO2167"/>
  <c r="AQ2167"/>
  <c r="AS2167"/>
  <c r="AU2167"/>
  <c r="AW2167"/>
  <c r="AY2167"/>
  <c r="BA2167"/>
  <c r="BC2167"/>
  <c r="BE2167"/>
  <c r="BG2167"/>
  <c r="M2168"/>
  <c r="O2168"/>
  <c r="Q2168"/>
  <c r="Y2168"/>
  <c r="AG2168"/>
  <c r="AI2168"/>
  <c r="AK2168"/>
  <c r="AM2168"/>
  <c r="AO2168"/>
  <c r="AQ2168"/>
  <c r="AS2168"/>
  <c r="AU2168"/>
  <c r="AW2168"/>
  <c r="AY2168"/>
  <c r="BA2168"/>
  <c r="BC2168"/>
  <c r="BE2168"/>
  <c r="BG2168"/>
  <c r="M2169"/>
  <c r="O2169"/>
  <c r="Q2169"/>
  <c r="Y2169"/>
  <c r="AG2169"/>
  <c r="AI2169"/>
  <c r="AK2169"/>
  <c r="AM2169"/>
  <c r="AO2169"/>
  <c r="AQ2169"/>
  <c r="AS2169"/>
  <c r="AU2169"/>
  <c r="AW2169"/>
  <c r="AY2169"/>
  <c r="BA2169"/>
  <c r="BC2169"/>
  <c r="BE2169"/>
  <c r="BG2169"/>
  <c r="M2170"/>
  <c r="O2170"/>
  <c r="Q2170"/>
  <c r="Y2170"/>
  <c r="AG2170"/>
  <c r="AI2170"/>
  <c r="AK2170"/>
  <c r="AM2170"/>
  <c r="AO2170"/>
  <c r="AQ2170"/>
  <c r="AS2170"/>
  <c r="AU2170"/>
  <c r="AW2170"/>
  <c r="AY2170"/>
  <c r="BA2170"/>
  <c r="BC2170"/>
  <c r="BE2170"/>
  <c r="BG2170"/>
  <c r="M2171"/>
  <c r="O2171"/>
  <c r="Q2171"/>
  <c r="Y2171"/>
  <c r="AG2171"/>
  <c r="AI2171"/>
  <c r="AK2171"/>
  <c r="AM2171"/>
  <c r="AO2171"/>
  <c r="AQ2171"/>
  <c r="AS2171"/>
  <c r="AU2171"/>
  <c r="AW2171"/>
  <c r="AY2171"/>
  <c r="BA2171"/>
  <c r="BC2171"/>
  <c r="BE2171"/>
  <c r="BG2171"/>
  <c r="M2172"/>
  <c r="O2172"/>
  <c r="Q2172"/>
  <c r="Y2172"/>
  <c r="AG2172"/>
  <c r="AI2172"/>
  <c r="AK2172"/>
  <c r="AM2172"/>
  <c r="AO2172"/>
  <c r="AQ2172"/>
  <c r="AS2172"/>
  <c r="AU2172"/>
  <c r="AW2172"/>
  <c r="AY2172"/>
  <c r="BA2172"/>
  <c r="BC2172"/>
  <c r="BE2172"/>
  <c r="BG2172"/>
  <c r="M2173"/>
  <c r="O2173"/>
  <c r="Q2173"/>
  <c r="Y2173"/>
  <c r="AG2173"/>
  <c r="AI2173"/>
  <c r="AK2173"/>
  <c r="AM2173"/>
  <c r="AO2173"/>
  <c r="AQ2173"/>
  <c r="AS2173"/>
  <c r="AU2173"/>
  <c r="AW2173"/>
  <c r="AY2173"/>
  <c r="BA2173"/>
  <c r="BC2173"/>
  <c r="BE2173"/>
  <c r="BG2173"/>
  <c r="M2174"/>
  <c r="O2174"/>
  <c r="Q2174"/>
  <c r="Y2174"/>
  <c r="AG2174"/>
  <c r="AI2174"/>
  <c r="AK2174"/>
  <c r="AM2174"/>
  <c r="AO2174"/>
  <c r="AQ2174"/>
  <c r="AS2174"/>
  <c r="AU2174"/>
  <c r="AW2174"/>
  <c r="AY2174"/>
  <c r="BA2174"/>
  <c r="BC2174"/>
  <c r="BE2174"/>
  <c r="BG2174"/>
  <c r="M2175"/>
  <c r="O2175"/>
  <c r="Q2175"/>
  <c r="Y2175"/>
  <c r="AG2175"/>
  <c r="AI2175"/>
  <c r="AK2175"/>
  <c r="AM2175"/>
  <c r="AO2175"/>
  <c r="AQ2175"/>
  <c r="AS2175"/>
  <c r="AU2175"/>
  <c r="AW2175"/>
  <c r="AY2175"/>
  <c r="BA2175"/>
  <c r="BC2175"/>
  <c r="BE2175"/>
  <c r="BG2175"/>
  <c r="M2176"/>
  <c r="O2176"/>
  <c r="Q2176"/>
  <c r="Y2176"/>
  <c r="AG2176"/>
  <c r="AI2176"/>
  <c r="AK2176"/>
  <c r="AM2176"/>
  <c r="AO2176"/>
  <c r="AQ2176"/>
  <c r="AS2176"/>
  <c r="AU2176"/>
  <c r="AW2176"/>
  <c r="AY2176"/>
  <c r="BA2176"/>
  <c r="BC2176"/>
  <c r="BE2176"/>
  <c r="BG2176"/>
  <c r="M2177"/>
  <c r="O2177"/>
  <c r="Q2177"/>
  <c r="Y2177"/>
  <c r="AG2177"/>
  <c r="AI2177"/>
  <c r="AK2177"/>
  <c r="AM2177"/>
  <c r="AO2177"/>
  <c r="AQ2177"/>
  <c r="AS2177"/>
  <c r="AU2177"/>
  <c r="AW2177"/>
  <c r="AY2177"/>
  <c r="BA2177"/>
  <c r="BC2177"/>
  <c r="BE2177"/>
  <c r="BG2177"/>
  <c r="M2178"/>
  <c r="O2178"/>
  <c r="Q2178"/>
  <c r="Y2178"/>
  <c r="AG2178"/>
  <c r="AI2178"/>
  <c r="AK2178"/>
  <c r="AM2178"/>
  <c r="AO2178"/>
  <c r="AQ2178"/>
  <c r="AS2178"/>
  <c r="AU2178"/>
  <c r="AW2178"/>
  <c r="AY2178"/>
  <c r="BA2178"/>
  <c r="BC2178"/>
  <c r="BE2178"/>
  <c r="BG2178"/>
  <c r="M2179"/>
  <c r="O2179"/>
  <c r="Q2179"/>
  <c r="Y2179"/>
  <c r="AG2179"/>
  <c r="AI2179"/>
  <c r="AK2179"/>
  <c r="AM2179"/>
  <c r="AO2179"/>
  <c r="AQ2179"/>
  <c r="AS2179"/>
  <c r="AU2179"/>
  <c r="AW2179"/>
  <c r="AY2179"/>
  <c r="BA2179"/>
  <c r="BC2179"/>
  <c r="BE2179"/>
  <c r="BG2179"/>
  <c r="M2180"/>
  <c r="O2180"/>
  <c r="Q2180"/>
  <c r="Y2180"/>
  <c r="AG2180"/>
  <c r="AI2180"/>
  <c r="AK2180"/>
  <c r="AM2180"/>
  <c r="AO2180"/>
  <c r="AQ2180"/>
  <c r="AS2180"/>
  <c r="AU2180"/>
  <c r="AW2180"/>
  <c r="AY2180"/>
  <c r="BA2180"/>
  <c r="BC2180"/>
  <c r="BE2180"/>
  <c r="BG2180"/>
  <c r="M2181"/>
  <c r="O2181"/>
  <c r="Q2181"/>
  <c r="Y2181"/>
  <c r="AG2181"/>
  <c r="AI2181"/>
  <c r="AK2181"/>
  <c r="AM2181"/>
  <c r="AO2181"/>
  <c r="AQ2181"/>
  <c r="AS2181"/>
  <c r="AU2181"/>
  <c r="AW2181"/>
  <c r="AY2181"/>
  <c r="BA2181"/>
  <c r="BC2181"/>
  <c r="BE2181"/>
  <c r="BG2181"/>
  <c r="M2182"/>
  <c r="O2182"/>
  <c r="Q2182"/>
  <c r="Y2182"/>
  <c r="AG2182"/>
  <c r="AI2182"/>
  <c r="AK2182"/>
  <c r="AM2182"/>
  <c r="AO2182"/>
  <c r="AQ2182"/>
  <c r="AS2182"/>
  <c r="AU2182"/>
  <c r="AW2182"/>
  <c r="AY2182"/>
  <c r="BA2182"/>
  <c r="BC2182"/>
  <c r="BE2182"/>
  <c r="BG2182"/>
  <c r="M2183"/>
  <c r="O2183"/>
  <c r="Q2183"/>
  <c r="Y2183"/>
  <c r="AG2183"/>
  <c r="AI2183"/>
  <c r="AK2183"/>
  <c r="AM2183"/>
  <c r="AO2183"/>
  <c r="AQ2183"/>
  <c r="AS2183"/>
  <c r="AU2183"/>
  <c r="AW2183"/>
  <c r="AY2183"/>
  <c r="BA2183"/>
  <c r="BC2183"/>
  <c r="BE2183"/>
  <c r="BG2183"/>
  <c r="M2184"/>
  <c r="O2184"/>
  <c r="Q2184"/>
  <c r="Y2184"/>
  <c r="AG2184"/>
  <c r="AI2184"/>
  <c r="AK2184"/>
  <c r="AM2184"/>
  <c r="AO2184"/>
  <c r="AQ2184"/>
  <c r="AS2184"/>
  <c r="AU2184"/>
  <c r="AW2184"/>
  <c r="AY2184"/>
  <c r="BA2184"/>
  <c r="BC2184"/>
  <c r="BE2184"/>
  <c r="BG2184"/>
  <c r="M2185"/>
  <c r="O2185"/>
  <c r="Q2185"/>
  <c r="Y2185"/>
  <c r="AG2185"/>
  <c r="AI2185"/>
  <c r="AK2185"/>
  <c r="AM2185"/>
  <c r="AO2185"/>
  <c r="AQ2185"/>
  <c r="AS2185"/>
  <c r="AU2185"/>
  <c r="AW2185"/>
  <c r="AY2185"/>
  <c r="BA2185"/>
  <c r="BC2185"/>
  <c r="BE2185"/>
  <c r="BG2185"/>
  <c r="M2186"/>
  <c r="O2186"/>
  <c r="Y2186"/>
  <c r="AG2186"/>
  <c r="AI2186"/>
  <c r="AK2186"/>
  <c r="AM2186"/>
  <c r="AO2186"/>
  <c r="AQ2186"/>
  <c r="AS2186"/>
  <c r="AU2186"/>
  <c r="AW2186"/>
  <c r="AY2186"/>
  <c r="BA2186"/>
  <c r="BC2186"/>
  <c r="BE2186"/>
  <c r="BG2186"/>
  <c r="M2187"/>
  <c r="O2187"/>
  <c r="Q2187"/>
  <c r="Y2187"/>
  <c r="AG2187"/>
  <c r="AI2187"/>
  <c r="AK2187"/>
  <c r="AM2187"/>
  <c r="AO2187"/>
  <c r="AQ2187"/>
  <c r="AS2187"/>
  <c r="AU2187"/>
  <c r="AW2187"/>
  <c r="AY2187"/>
  <c r="BA2187"/>
  <c r="BC2187"/>
  <c r="BE2187"/>
  <c r="BG2187"/>
  <c r="M2188"/>
  <c r="O2188"/>
  <c r="Q2188"/>
  <c r="Y2188"/>
  <c r="AG2188"/>
  <c r="AI2188"/>
  <c r="AK2188"/>
  <c r="AM2188"/>
  <c r="AO2188"/>
  <c r="AQ2188"/>
  <c r="AS2188"/>
  <c r="AU2188"/>
  <c r="AW2188"/>
  <c r="AY2188"/>
  <c r="BA2188"/>
  <c r="BC2188"/>
  <c r="BE2188"/>
  <c r="BG2188"/>
  <c r="M2189"/>
  <c r="O2189"/>
  <c r="Q2189"/>
  <c r="Y2189"/>
  <c r="AG2189"/>
  <c r="AI2189"/>
  <c r="AK2189"/>
  <c r="AM2189"/>
  <c r="AO2189"/>
  <c r="AQ2189"/>
  <c r="AS2189"/>
  <c r="AU2189"/>
  <c r="AW2189"/>
  <c r="AY2189"/>
  <c r="BA2189"/>
  <c r="BC2189"/>
  <c r="BE2189"/>
  <c r="BG2189"/>
  <c r="M2190"/>
  <c r="O2190"/>
  <c r="Q2190"/>
  <c r="Y2190"/>
  <c r="AG2190"/>
  <c r="AI2190"/>
  <c r="AM2190"/>
  <c r="AO2190"/>
  <c r="AQ2190"/>
  <c r="AS2190"/>
  <c r="AU2190"/>
  <c r="AW2190"/>
  <c r="AY2190"/>
  <c r="BA2190"/>
  <c r="BC2190"/>
  <c r="BE2190"/>
  <c r="BG2190"/>
  <c r="AT2193"/>
  <c r="BP2193" s="1"/>
  <c r="M2206"/>
  <c r="O2206"/>
  <c r="Q2206"/>
  <c r="Y2206"/>
  <c r="AG2206"/>
  <c r="AI2206"/>
  <c r="AK2206"/>
  <c r="AM2206"/>
  <c r="AO2206"/>
  <c r="AQ2206"/>
  <c r="AS2206"/>
  <c r="AU2206"/>
  <c r="AW2206"/>
  <c r="AY2206"/>
  <c r="BA2206"/>
  <c r="BC2206"/>
  <c r="BE2206"/>
  <c r="BG2206"/>
  <c r="M2207"/>
  <c r="O2207"/>
  <c r="Q2207"/>
  <c r="Y2207"/>
  <c r="AG2207"/>
  <c r="AI2207"/>
  <c r="AK2207"/>
  <c r="AM2207"/>
  <c r="AO2207"/>
  <c r="AQ2207"/>
  <c r="AS2207"/>
  <c r="AU2207"/>
  <c r="AW2207"/>
  <c r="AY2207"/>
  <c r="BA2207"/>
  <c r="BC2207"/>
  <c r="BE2207"/>
  <c r="BG2207"/>
  <c r="M2208"/>
  <c r="O2208"/>
  <c r="Q2208"/>
  <c r="Y2208"/>
  <c r="AG2208"/>
  <c r="AI2208"/>
  <c r="AK2208"/>
  <c r="AM2208"/>
  <c r="AO2208"/>
  <c r="AQ2208"/>
  <c r="AS2208"/>
  <c r="AU2208"/>
  <c r="AW2208"/>
  <c r="AY2208"/>
  <c r="BA2208"/>
  <c r="BC2208"/>
  <c r="BE2208"/>
  <c r="BG2208"/>
  <c r="M2209"/>
  <c r="O2209"/>
  <c r="Q2209"/>
  <c r="Y2209"/>
  <c r="AG2209"/>
  <c r="AI2209"/>
  <c r="AK2209"/>
  <c r="AM2209"/>
  <c r="AO2209"/>
  <c r="AQ2209"/>
  <c r="AS2209"/>
  <c r="AU2209"/>
  <c r="AW2209"/>
  <c r="AY2209"/>
  <c r="BA2209"/>
  <c r="BC2209"/>
  <c r="BE2209"/>
  <c r="BG2209"/>
  <c r="M2210"/>
  <c r="O2210"/>
  <c r="Q2210"/>
  <c r="Y2210"/>
  <c r="AG2210"/>
  <c r="AI2210"/>
  <c r="AK2210"/>
  <c r="AM2210"/>
  <c r="AO2210"/>
  <c r="AQ2210"/>
  <c r="AS2210"/>
  <c r="AU2210"/>
  <c r="AW2210"/>
  <c r="AY2210"/>
  <c r="BA2210"/>
  <c r="BC2210"/>
  <c r="BE2210"/>
  <c r="BG2210"/>
  <c r="M2211"/>
  <c r="O2211"/>
  <c r="Q2211"/>
  <c r="Y2211"/>
  <c r="AG2211"/>
  <c r="AI2211"/>
  <c r="AK2211"/>
  <c r="AM2211"/>
  <c r="AO2211"/>
  <c r="AQ2211"/>
  <c r="AS2211"/>
  <c r="AU2211"/>
  <c r="AW2211"/>
  <c r="AY2211"/>
  <c r="BA2211"/>
  <c r="BC2211"/>
  <c r="BE2211"/>
  <c r="BG2211"/>
  <c r="M2212"/>
  <c r="O2212"/>
  <c r="Q2212"/>
  <c r="Y2212"/>
  <c r="AG2212"/>
  <c r="AI2212"/>
  <c r="AK2212"/>
  <c r="AM2212"/>
  <c r="AO2212"/>
  <c r="AQ2212"/>
  <c r="AS2212"/>
  <c r="AU2212"/>
  <c r="AW2212"/>
  <c r="AY2212"/>
  <c r="BA2212"/>
  <c r="BC2212"/>
  <c r="BE2212"/>
  <c r="BG2212"/>
  <c r="M2213"/>
  <c r="O2213"/>
  <c r="Q2213"/>
  <c r="Y2213"/>
  <c r="AG2213"/>
  <c r="AI2213"/>
  <c r="AK2213"/>
  <c r="AM2213"/>
  <c r="AO2213"/>
  <c r="AQ2213"/>
  <c r="AS2213"/>
  <c r="AU2213"/>
  <c r="AW2213"/>
  <c r="AY2213"/>
  <c r="BA2213"/>
  <c r="BC2213"/>
  <c r="BE2213"/>
  <c r="BG2213"/>
  <c r="M2214"/>
  <c r="O2214"/>
  <c r="Q2214"/>
  <c r="Y2214"/>
  <c r="AG2214"/>
  <c r="AI2214"/>
  <c r="AK2214"/>
  <c r="AM2214"/>
  <c r="AO2214"/>
  <c r="AQ2214"/>
  <c r="AS2214"/>
  <c r="AU2214"/>
  <c r="AW2214"/>
  <c r="AY2214"/>
  <c r="BA2214"/>
  <c r="BC2214"/>
  <c r="BE2214"/>
  <c r="BG2214"/>
  <c r="M2215"/>
  <c r="O2215"/>
  <c r="Q2215"/>
  <c r="Y2215"/>
  <c r="AG2215"/>
  <c r="AI2215"/>
  <c r="AK2215"/>
  <c r="AM2215"/>
  <c r="AO2215"/>
  <c r="AQ2215"/>
  <c r="AS2215"/>
  <c r="AU2215"/>
  <c r="AW2215"/>
  <c r="AY2215"/>
  <c r="BA2215"/>
  <c r="BC2215"/>
  <c r="BE2215"/>
  <c r="BG2215"/>
  <c r="M2216"/>
  <c r="O2216"/>
  <c r="Q2216"/>
  <c r="Y2216"/>
  <c r="AG2216"/>
  <c r="AI2216"/>
  <c r="AK2216"/>
  <c r="AM2216"/>
  <c r="AO2216"/>
  <c r="AQ2216"/>
  <c r="AS2216"/>
  <c r="AU2216"/>
  <c r="AW2216"/>
  <c r="AY2216"/>
  <c r="BA2216"/>
  <c r="BC2216"/>
  <c r="BE2216"/>
  <c r="BG2216"/>
  <c r="M2217"/>
  <c r="O2217"/>
  <c r="Q2217"/>
  <c r="Y2217"/>
  <c r="AG2217"/>
  <c r="AI2217"/>
  <c r="AK2217"/>
  <c r="AM2217"/>
  <c r="AO2217"/>
  <c r="AQ2217"/>
  <c r="AS2217"/>
  <c r="AU2217"/>
  <c r="AW2217"/>
  <c r="AY2217"/>
  <c r="BA2217"/>
  <c r="BC2217"/>
  <c r="BE2217"/>
  <c r="BG2217"/>
  <c r="M2218"/>
  <c r="O2218"/>
  <c r="Q2218"/>
  <c r="Y2218"/>
  <c r="AG2218"/>
  <c r="AI2218"/>
  <c r="AK2218"/>
  <c r="AM2218"/>
  <c r="AO2218"/>
  <c r="AQ2218"/>
  <c r="AS2218"/>
  <c r="AU2218"/>
  <c r="AW2218"/>
  <c r="AY2218"/>
  <c r="BA2218"/>
  <c r="BC2218"/>
  <c r="BE2218"/>
  <c r="BG2218"/>
  <c r="M2219"/>
  <c r="O2219"/>
  <c r="Q2219"/>
  <c r="Y2219"/>
  <c r="AG2219"/>
  <c r="AI2219"/>
  <c r="AK2219"/>
  <c r="AM2219"/>
  <c r="AO2219"/>
  <c r="AQ2219"/>
  <c r="AS2219"/>
  <c r="AU2219"/>
  <c r="AW2219"/>
  <c r="AY2219"/>
  <c r="BA2219"/>
  <c r="BC2219"/>
  <c r="BE2219"/>
  <c r="BG2219"/>
  <c r="M2220"/>
  <c r="O2220"/>
  <c r="Q2220"/>
  <c r="Y2220"/>
  <c r="AG2220"/>
  <c r="AI2220"/>
  <c r="AK2220"/>
  <c r="AM2220"/>
  <c r="AO2220"/>
  <c r="AQ2220"/>
  <c r="AS2220"/>
  <c r="AU2220"/>
  <c r="AW2220"/>
  <c r="AY2220"/>
  <c r="BA2220"/>
  <c r="BC2220"/>
  <c r="BE2220"/>
  <c r="BG2220"/>
  <c r="M2221"/>
  <c r="O2221"/>
  <c r="Q2221"/>
  <c r="Y2221"/>
  <c r="AG2221"/>
  <c r="AI2221"/>
  <c r="AK2221"/>
  <c r="AM2221"/>
  <c r="AO2221"/>
  <c r="AQ2221"/>
  <c r="AS2221"/>
  <c r="AU2221"/>
  <c r="AW2221"/>
  <c r="AY2221"/>
  <c r="BA2221"/>
  <c r="BC2221"/>
  <c r="BE2221"/>
  <c r="BG2221"/>
  <c r="M2222"/>
  <c r="O2222"/>
  <c r="Q2222"/>
  <c r="Y2222"/>
  <c r="AG2222"/>
  <c r="AI2222"/>
  <c r="AK2222"/>
  <c r="AM2222"/>
  <c r="AO2222"/>
  <c r="AQ2222"/>
  <c r="AS2222"/>
  <c r="AU2222"/>
  <c r="AW2222"/>
  <c r="AY2222"/>
  <c r="BA2222"/>
  <c r="BC2222"/>
  <c r="BE2222"/>
  <c r="BG2222"/>
  <c r="M2223"/>
  <c r="O2223"/>
  <c r="Q2223"/>
  <c r="Y2223"/>
  <c r="AG2223"/>
  <c r="AI2223"/>
  <c r="AK2223"/>
  <c r="AM2223"/>
  <c r="AO2223"/>
  <c r="AQ2223"/>
  <c r="AS2223"/>
  <c r="AU2223"/>
  <c r="AW2223"/>
  <c r="AY2223"/>
  <c r="BA2223"/>
  <c r="BC2223"/>
  <c r="BE2223"/>
  <c r="BG2223"/>
  <c r="M2224"/>
  <c r="O2224"/>
  <c r="Q2224"/>
  <c r="Y2224"/>
  <c r="AG2224"/>
  <c r="AI2224"/>
  <c r="AK2224"/>
  <c r="AM2224"/>
  <c r="AO2224"/>
  <c r="AQ2224"/>
  <c r="AS2224"/>
  <c r="AU2224"/>
  <c r="AW2224"/>
  <c r="AY2224"/>
  <c r="BA2224"/>
  <c r="BC2224"/>
  <c r="BE2224"/>
  <c r="BG2224"/>
  <c r="M2225"/>
  <c r="O2225"/>
  <c r="Q2225"/>
  <c r="Y2225"/>
  <c r="AG2225"/>
  <c r="AI2225"/>
  <c r="AK2225"/>
  <c r="AM2225"/>
  <c r="AO2225"/>
  <c r="AQ2225"/>
  <c r="AS2225"/>
  <c r="AU2225"/>
  <c r="AW2225"/>
  <c r="AY2225"/>
  <c r="BA2225"/>
  <c r="BC2225"/>
  <c r="BE2225"/>
  <c r="BG2225"/>
  <c r="M2226"/>
  <c r="O2226"/>
  <c r="Q2226"/>
  <c r="Y2226"/>
  <c r="AG2226"/>
  <c r="AI2226"/>
  <c r="AK2226"/>
  <c r="AM2226"/>
  <c r="AO2226"/>
  <c r="AQ2226"/>
  <c r="AS2226"/>
  <c r="AU2226"/>
  <c r="AW2226"/>
  <c r="AY2226"/>
  <c r="BA2226"/>
  <c r="BC2226"/>
  <c r="BE2226"/>
  <c r="BG2226"/>
  <c r="M2227"/>
  <c r="O2227"/>
  <c r="Q2227"/>
  <c r="Y2227"/>
  <c r="AG2227"/>
  <c r="AI2227"/>
  <c r="AK2227"/>
  <c r="AM2227"/>
  <c r="AO2227"/>
  <c r="AQ2227"/>
  <c r="AS2227"/>
  <c r="AU2227"/>
  <c r="AW2227"/>
  <c r="AY2227"/>
  <c r="BA2227"/>
  <c r="BC2227"/>
  <c r="BE2227"/>
  <c r="BG2227"/>
  <c r="M2228"/>
  <c r="O2228"/>
  <c r="Q2228"/>
  <c r="Y2228"/>
  <c r="AG2228"/>
  <c r="AI2228"/>
  <c r="AK2228"/>
  <c r="AM2228"/>
  <c r="AO2228"/>
  <c r="AQ2228"/>
  <c r="AS2228"/>
  <c r="AU2228"/>
  <c r="AW2228"/>
  <c r="AY2228"/>
  <c r="BA2228"/>
  <c r="BC2228"/>
  <c r="BE2228"/>
  <c r="BG2228"/>
  <c r="M2229"/>
  <c r="O2229"/>
  <c r="Q2229"/>
  <c r="Y2229"/>
  <c r="AG2229"/>
  <c r="AI2229"/>
  <c r="AK2229"/>
  <c r="AM2229"/>
  <c r="AO2229"/>
  <c r="AQ2229"/>
  <c r="AS2229"/>
  <c r="AU2229"/>
  <c r="AW2229"/>
  <c r="AY2229"/>
  <c r="BA2229"/>
  <c r="BC2229"/>
  <c r="BE2229"/>
  <c r="BG2229"/>
  <c r="M2230"/>
  <c r="O2230"/>
  <c r="Q2230"/>
  <c r="Y2230"/>
  <c r="AG2230"/>
  <c r="AI2230"/>
  <c r="AK2230"/>
  <c r="AM2230"/>
  <c r="AO2230"/>
  <c r="AQ2230"/>
  <c r="AS2230"/>
  <c r="AU2230"/>
  <c r="AW2230"/>
  <c r="AY2230"/>
  <c r="BA2230"/>
  <c r="BC2230"/>
  <c r="BE2230"/>
  <c r="BG2230"/>
  <c r="M2231"/>
  <c r="O2231"/>
  <c r="Q2231"/>
  <c r="Y2231"/>
  <c r="AG2231"/>
  <c r="AI2231"/>
  <c r="AK2231"/>
  <c r="AM2231"/>
  <c r="AO2231"/>
  <c r="AQ2231"/>
  <c r="AS2231"/>
  <c r="AU2231"/>
  <c r="AW2231"/>
  <c r="AY2231"/>
  <c r="BA2231"/>
  <c r="BC2231"/>
  <c r="BE2231"/>
  <c r="BG2231"/>
  <c r="M2232"/>
  <c r="O2232"/>
  <c r="Q2232"/>
  <c r="Y2232"/>
  <c r="AG2232"/>
  <c r="AI2232"/>
  <c r="AK2232"/>
  <c r="AM2232"/>
  <c r="AO2232"/>
  <c r="AQ2232"/>
  <c r="AS2232"/>
  <c r="AU2232"/>
  <c r="AW2232"/>
  <c r="AY2232"/>
  <c r="BA2232"/>
  <c r="BC2232"/>
  <c r="BE2232"/>
  <c r="BG2232"/>
  <c r="M2233"/>
  <c r="O2233"/>
  <c r="Q2233"/>
  <c r="Y2233"/>
  <c r="AG2233"/>
  <c r="AI2233"/>
  <c r="AK2233"/>
  <c r="AM2233"/>
  <c r="AO2233"/>
  <c r="AQ2233"/>
  <c r="AS2233"/>
  <c r="AU2233"/>
  <c r="AW2233"/>
  <c r="AY2233"/>
  <c r="BA2233"/>
  <c r="BC2233"/>
  <c r="BE2233"/>
  <c r="BG2233"/>
  <c r="M2234"/>
  <c r="O2234"/>
  <c r="Q2234"/>
  <c r="Y2234"/>
  <c r="AG2234"/>
  <c r="AI2234"/>
  <c r="AK2234"/>
  <c r="AM2234"/>
  <c r="AO2234"/>
  <c r="AQ2234"/>
  <c r="AS2234"/>
  <c r="AU2234"/>
  <c r="AW2234"/>
  <c r="AY2234"/>
  <c r="BA2234"/>
  <c r="BC2234"/>
  <c r="BE2234"/>
  <c r="BG2234"/>
  <c r="M2235"/>
  <c r="O2235"/>
  <c r="Q2235"/>
  <c r="Y2235"/>
  <c r="AG2235"/>
  <c r="AI2235"/>
  <c r="AK2235"/>
  <c r="AM2235"/>
  <c r="AO2235"/>
  <c r="AQ2235"/>
  <c r="AS2235"/>
  <c r="AU2235"/>
  <c r="AW2235"/>
  <c r="AY2235"/>
  <c r="BA2235"/>
  <c r="BC2235"/>
  <c r="BE2235"/>
  <c r="BG2235"/>
  <c r="M2236"/>
  <c r="O2236"/>
  <c r="Q2236"/>
  <c r="Y2236"/>
  <c r="AG2236"/>
  <c r="AI2236"/>
  <c r="AK2236"/>
  <c r="AM2236"/>
  <c r="AO2236"/>
  <c r="AQ2236"/>
  <c r="AS2236"/>
  <c r="AU2236"/>
  <c r="AW2236"/>
  <c r="AY2236"/>
  <c r="BA2236"/>
  <c r="BC2236"/>
  <c r="BE2236"/>
  <c r="BG2236"/>
  <c r="M2237"/>
  <c r="O2237"/>
  <c r="Q2237"/>
  <c r="Y2237"/>
  <c r="AG2237"/>
  <c r="AI2237"/>
  <c r="AK2237"/>
  <c r="AM2237"/>
  <c r="AO2237"/>
  <c r="AQ2237"/>
  <c r="AS2237"/>
  <c r="AU2237"/>
  <c r="AW2237"/>
  <c r="AY2237"/>
  <c r="BA2237"/>
  <c r="BC2237"/>
  <c r="BE2237"/>
  <c r="BG2237"/>
  <c r="M2238"/>
  <c r="O2238"/>
  <c r="Q2238"/>
  <c r="Y2238"/>
  <c r="AG2238"/>
  <c r="AI2238"/>
  <c r="AK2238"/>
  <c r="AM2238"/>
  <c r="AO2238"/>
  <c r="AQ2238"/>
  <c r="AS2238"/>
  <c r="AU2238"/>
  <c r="AW2238"/>
  <c r="AY2238"/>
  <c r="BA2238"/>
  <c r="BC2238"/>
  <c r="BE2238"/>
  <c r="BG2238"/>
  <c r="M2239"/>
  <c r="O2239"/>
  <c r="Q2239"/>
  <c r="Y2239"/>
  <c r="AG2239"/>
  <c r="AI2239"/>
  <c r="AK2239"/>
  <c r="AM2239"/>
  <c r="AO2239"/>
  <c r="AQ2239"/>
  <c r="AS2239"/>
  <c r="AU2239"/>
  <c r="AW2239"/>
  <c r="AY2239"/>
  <c r="BA2239"/>
  <c r="BC2239"/>
  <c r="BE2239"/>
  <c r="BG2239"/>
  <c r="M2240"/>
  <c r="O2240"/>
  <c r="Q2240"/>
  <c r="Y2240"/>
  <c r="AG2240"/>
  <c r="AI2240"/>
  <c r="AK2240"/>
  <c r="AM2240"/>
  <c r="AO2240"/>
  <c r="AQ2240"/>
  <c r="AS2240"/>
  <c r="AU2240"/>
  <c r="AW2240"/>
  <c r="AY2240"/>
  <c r="BA2240"/>
  <c r="BC2240"/>
  <c r="BE2240"/>
  <c r="BG2240"/>
  <c r="M2241"/>
  <c r="O2241"/>
  <c r="Q2241"/>
  <c r="Y2241"/>
  <c r="AG2241"/>
  <c r="AI2241"/>
  <c r="AK2241"/>
  <c r="AM2241"/>
  <c r="AO2241"/>
  <c r="AQ2241"/>
  <c r="AS2241"/>
  <c r="AU2241"/>
  <c r="AW2241"/>
  <c r="AY2241"/>
  <c r="BA2241"/>
  <c r="BC2241"/>
  <c r="BE2241"/>
  <c r="BG2241"/>
  <c r="M2242"/>
  <c r="O2242"/>
  <c r="Q2242"/>
  <c r="Y2242"/>
  <c r="AG2242"/>
  <c r="AI2242"/>
  <c r="AK2242"/>
  <c r="AM2242"/>
  <c r="AO2242"/>
  <c r="AQ2242"/>
  <c r="AS2242"/>
  <c r="AU2242"/>
  <c r="AW2242"/>
  <c r="AY2242"/>
  <c r="BA2242"/>
  <c r="BC2242"/>
  <c r="BE2242"/>
  <c r="BG2242"/>
  <c r="M2243"/>
  <c r="O2243"/>
  <c r="Q2243"/>
  <c r="Y2243"/>
  <c r="AG2243"/>
  <c r="AI2243"/>
  <c r="AK2243"/>
  <c r="AM2243"/>
  <c r="AO2243"/>
  <c r="AQ2243"/>
  <c r="AS2243"/>
  <c r="AU2243"/>
  <c r="AW2243"/>
  <c r="AY2243"/>
  <c r="BA2243"/>
  <c r="BC2243"/>
  <c r="BE2243"/>
  <c r="BG2243"/>
  <c r="M2244"/>
  <c r="O2244"/>
  <c r="Y2244"/>
  <c r="AG2244"/>
  <c r="AI2244"/>
  <c r="AK2244"/>
  <c r="AM2244"/>
  <c r="AO2244"/>
  <c r="AQ2244"/>
  <c r="AS2244"/>
  <c r="AU2244"/>
  <c r="AW2244"/>
  <c r="AY2244"/>
  <c r="BA2244"/>
  <c r="BC2244"/>
  <c r="BE2244"/>
  <c r="BG2244"/>
  <c r="M2245"/>
  <c r="O2245"/>
  <c r="Q2245"/>
  <c r="Y2245"/>
  <c r="AG2245"/>
  <c r="AI2245"/>
  <c r="AK2245"/>
  <c r="AM2245"/>
  <c r="AO2245"/>
  <c r="AQ2245"/>
  <c r="AS2245"/>
  <c r="AU2245"/>
  <c r="AW2245"/>
  <c r="AY2245"/>
  <c r="BA2245"/>
  <c r="BC2245"/>
  <c r="BE2245"/>
  <c r="BG2245"/>
  <c r="M2246"/>
  <c r="O2246"/>
  <c r="Q2246"/>
  <c r="Y2246"/>
  <c r="AG2246"/>
  <c r="AI2246"/>
  <c r="AK2246"/>
  <c r="AM2246"/>
  <c r="AO2246"/>
  <c r="AQ2246"/>
  <c r="AS2246"/>
  <c r="AU2246"/>
  <c r="AW2246"/>
  <c r="AY2246"/>
  <c r="BA2246"/>
  <c r="BC2246"/>
  <c r="BE2246"/>
  <c r="BG2246"/>
  <c r="M2264"/>
  <c r="O2264"/>
  <c r="Q2264"/>
  <c r="Y2264"/>
  <c r="AG2264"/>
  <c r="AI2264"/>
  <c r="AK2264"/>
  <c r="AM2264"/>
  <c r="AO2264"/>
  <c r="AQ2264"/>
  <c r="AS2264"/>
  <c r="AU2264"/>
  <c r="AW2264"/>
  <c r="AY2264"/>
  <c r="BA2264"/>
  <c r="BC2264"/>
  <c r="BE2264"/>
  <c r="BG2264"/>
  <c r="M2265"/>
  <c r="O2265"/>
  <c r="Q2265"/>
  <c r="Y2265"/>
  <c r="AG2265"/>
  <c r="AI2265"/>
  <c r="AK2265"/>
  <c r="AM2265"/>
  <c r="AO2265"/>
  <c r="AQ2265"/>
  <c r="AS2265"/>
  <c r="AU2265"/>
  <c r="AW2265"/>
  <c r="AY2265"/>
  <c r="BA2265"/>
  <c r="BC2265"/>
  <c r="BE2265"/>
  <c r="BG2265"/>
  <c r="M2266"/>
  <c r="O2266"/>
  <c r="Q2266"/>
  <c r="Y2266"/>
  <c r="AG2266"/>
  <c r="AI2266"/>
  <c r="AK2266"/>
  <c r="AM2266"/>
  <c r="AO2266"/>
  <c r="AQ2266"/>
  <c r="AS2266"/>
  <c r="AU2266"/>
  <c r="AW2266"/>
  <c r="AY2266"/>
  <c r="BA2266"/>
  <c r="BC2266"/>
  <c r="BE2266"/>
  <c r="BG2266"/>
  <c r="M2267"/>
  <c r="O2267"/>
  <c r="Q2267"/>
  <c r="Y2267"/>
  <c r="AG2267"/>
  <c r="AI2267"/>
  <c r="AK2267"/>
  <c r="AM2267"/>
  <c r="AO2267"/>
  <c r="AQ2267"/>
  <c r="AS2267"/>
  <c r="AU2267"/>
  <c r="AW2267"/>
  <c r="AY2267"/>
  <c r="BA2267"/>
  <c r="BC2267"/>
  <c r="BE2267"/>
  <c r="BG2267"/>
  <c r="M2268"/>
  <c r="O2268"/>
  <c r="Q2268"/>
  <c r="Y2268"/>
  <c r="AG2268"/>
  <c r="AI2268"/>
  <c r="AK2268"/>
  <c r="AM2268"/>
  <c r="AO2268"/>
  <c r="AQ2268"/>
  <c r="AS2268"/>
  <c r="AU2268"/>
  <c r="AW2268"/>
  <c r="AY2268"/>
  <c r="BA2268"/>
  <c r="BC2268"/>
  <c r="BE2268"/>
  <c r="BG2268"/>
  <c r="M2269"/>
  <c r="O2269"/>
  <c r="Q2269"/>
  <c r="Y2269"/>
  <c r="AG2269"/>
  <c r="AI2269"/>
  <c r="AK2269"/>
  <c r="AM2269"/>
  <c r="AO2269"/>
  <c r="AQ2269"/>
  <c r="AS2269"/>
  <c r="AU2269"/>
  <c r="AW2269"/>
  <c r="AY2269"/>
  <c r="BA2269"/>
  <c r="BC2269"/>
  <c r="BE2269"/>
  <c r="BG2269"/>
  <c r="M2270"/>
  <c r="O2270"/>
  <c r="Q2270"/>
  <c r="Y2270"/>
  <c r="AG2270"/>
  <c r="AI2270"/>
  <c r="AK2270"/>
  <c r="AM2270"/>
  <c r="AO2270"/>
  <c r="AQ2270"/>
  <c r="AS2270"/>
  <c r="AU2270"/>
  <c r="AW2270"/>
  <c r="AY2270"/>
  <c r="BA2270"/>
  <c r="BC2270"/>
  <c r="BE2270"/>
  <c r="BG2270"/>
  <c r="M2271"/>
  <c r="O2271"/>
  <c r="Q2271"/>
  <c r="Y2271"/>
  <c r="AG2271"/>
  <c r="AI2271"/>
  <c r="AK2271"/>
  <c r="AM2271"/>
  <c r="AO2271"/>
  <c r="AQ2271"/>
  <c r="AS2271"/>
  <c r="AU2271"/>
  <c r="AW2271"/>
  <c r="AY2271"/>
  <c r="BA2271"/>
  <c r="BC2271"/>
  <c r="BE2271"/>
  <c r="BG2271"/>
  <c r="M2272"/>
  <c r="O2272"/>
  <c r="Q2272"/>
  <c r="Y2272"/>
  <c r="AG2272"/>
  <c r="AI2272"/>
  <c r="AK2272"/>
  <c r="AM2272"/>
  <c r="AO2272"/>
  <c r="AQ2272"/>
  <c r="AS2272"/>
  <c r="AU2272"/>
  <c r="AW2272"/>
  <c r="AY2272"/>
  <c r="BA2272"/>
  <c r="BC2272"/>
  <c r="BE2272"/>
  <c r="BG2272"/>
  <c r="M2273"/>
  <c r="O2273"/>
  <c r="Q2273"/>
  <c r="Y2273"/>
  <c r="AG2273"/>
  <c r="AI2273"/>
  <c r="AK2273"/>
  <c r="AM2273"/>
  <c r="AO2273"/>
  <c r="AQ2273"/>
  <c r="AS2273"/>
  <c r="AU2273"/>
  <c r="AW2273"/>
  <c r="AY2273"/>
  <c r="BA2273"/>
  <c r="BC2273"/>
  <c r="BE2273"/>
  <c r="BG2273"/>
  <c r="M2274"/>
  <c r="O2274"/>
  <c r="Q2274"/>
  <c r="Y2274"/>
  <c r="AG2274"/>
  <c r="AI2274"/>
  <c r="AK2274"/>
  <c r="AM2274"/>
  <c r="AO2274"/>
  <c r="AQ2274"/>
  <c r="AS2274"/>
  <c r="AU2274"/>
  <c r="AW2274"/>
  <c r="AY2274"/>
  <c r="BA2274"/>
  <c r="BC2274"/>
  <c r="BE2274"/>
  <c r="BG2274"/>
  <c r="M2275"/>
  <c r="O2275"/>
  <c r="Q2275"/>
  <c r="Y2275"/>
  <c r="AG2275"/>
  <c r="AI2275"/>
  <c r="AK2275"/>
  <c r="AM2275"/>
  <c r="AO2275"/>
  <c r="AQ2275"/>
  <c r="AS2275"/>
  <c r="AU2275"/>
  <c r="AW2275"/>
  <c r="AY2275"/>
  <c r="BA2275"/>
  <c r="BC2275"/>
  <c r="BE2275"/>
  <c r="BG2275"/>
  <c r="M2276"/>
  <c r="O2276"/>
  <c r="Q2276"/>
  <c r="Y2276"/>
  <c r="AG2276"/>
  <c r="AI2276"/>
  <c r="AK2276"/>
  <c r="AM2276"/>
  <c r="AO2276"/>
  <c r="AQ2276"/>
  <c r="AS2276"/>
  <c r="AU2276"/>
  <c r="AW2276"/>
  <c r="AY2276"/>
  <c r="BA2276"/>
  <c r="BC2276"/>
  <c r="BE2276"/>
  <c r="BG2276"/>
  <c r="M2277"/>
  <c r="O2277"/>
  <c r="Q2277"/>
  <c r="Y2277"/>
  <c r="AG2277"/>
  <c r="AI2277"/>
  <c r="AK2277"/>
  <c r="AM2277"/>
  <c r="AO2277"/>
  <c r="AQ2277"/>
  <c r="AS2277"/>
  <c r="AU2277"/>
  <c r="AW2277"/>
  <c r="AY2277"/>
  <c r="BA2277"/>
  <c r="BC2277"/>
  <c r="BE2277"/>
  <c r="BG2277"/>
  <c r="M2278"/>
  <c r="O2278"/>
  <c r="Q2278"/>
  <c r="Y2278"/>
  <c r="AG2278"/>
  <c r="AI2278"/>
  <c r="AK2278"/>
  <c r="AM2278"/>
  <c r="AO2278"/>
  <c r="AQ2278"/>
  <c r="AS2278"/>
  <c r="AU2278"/>
  <c r="AW2278"/>
  <c r="AY2278"/>
  <c r="BA2278"/>
  <c r="BC2278"/>
  <c r="BE2278"/>
  <c r="BG2278"/>
  <c r="M2279"/>
  <c r="O2279"/>
  <c r="Q2279"/>
  <c r="Y2279"/>
  <c r="AG2279"/>
  <c r="AI2279"/>
  <c r="AK2279"/>
  <c r="AM2279"/>
  <c r="AO2279"/>
  <c r="AQ2279"/>
  <c r="AS2279"/>
  <c r="AU2279"/>
  <c r="AW2279"/>
  <c r="AY2279"/>
  <c r="BA2279"/>
  <c r="BC2279"/>
  <c r="BE2279"/>
  <c r="BG2279"/>
  <c r="M2280"/>
  <c r="O2280"/>
  <c r="Q2280"/>
  <c r="Y2280"/>
  <c r="AG2280"/>
  <c r="AI2280"/>
  <c r="AK2280"/>
  <c r="AM2280"/>
  <c r="AO2280"/>
  <c r="AQ2280"/>
  <c r="AS2280"/>
  <c r="AU2280"/>
  <c r="AW2280"/>
  <c r="AY2280"/>
  <c r="BA2280"/>
  <c r="BC2280"/>
  <c r="BE2280"/>
  <c r="BG2280"/>
  <c r="M2281"/>
  <c r="O2281"/>
  <c r="Q2281"/>
  <c r="Y2281"/>
  <c r="AG2281"/>
  <c r="AI2281"/>
  <c r="AK2281"/>
  <c r="AM2281"/>
  <c r="AO2281"/>
  <c r="AQ2281"/>
  <c r="AS2281"/>
  <c r="AU2281"/>
  <c r="AW2281"/>
  <c r="AY2281"/>
  <c r="BA2281"/>
  <c r="BC2281"/>
  <c r="BE2281"/>
  <c r="BG2281"/>
  <c r="M2282"/>
  <c r="O2282"/>
  <c r="Q2282"/>
  <c r="Y2282"/>
  <c r="AG2282"/>
  <c r="AI2282"/>
  <c r="AK2282"/>
  <c r="AM2282"/>
  <c r="AO2282"/>
  <c r="AQ2282"/>
  <c r="AS2282"/>
  <c r="AU2282"/>
  <c r="AW2282"/>
  <c r="AY2282"/>
  <c r="BA2282"/>
  <c r="BC2282"/>
  <c r="BE2282"/>
  <c r="BG2282"/>
  <c r="M2283"/>
  <c r="O2283"/>
  <c r="Q2283"/>
  <c r="Y2283"/>
  <c r="AG2283"/>
  <c r="AI2283"/>
  <c r="AK2283"/>
  <c r="AM2283"/>
  <c r="AO2283"/>
  <c r="AQ2283"/>
  <c r="AS2283"/>
  <c r="AU2283"/>
  <c r="AW2283"/>
  <c r="AY2283"/>
  <c r="BA2283"/>
  <c r="BC2283"/>
  <c r="BE2283"/>
  <c r="BG2283"/>
  <c r="M2284"/>
  <c r="O2284"/>
  <c r="Q2284"/>
  <c r="Y2284"/>
  <c r="AG2284"/>
  <c r="AI2284"/>
  <c r="AK2284"/>
  <c r="AM2284"/>
  <c r="AO2284"/>
  <c r="AQ2284"/>
  <c r="AS2284"/>
  <c r="AU2284"/>
  <c r="AW2284"/>
  <c r="AY2284"/>
  <c r="BA2284"/>
  <c r="BC2284"/>
  <c r="BE2284"/>
  <c r="BG2284"/>
  <c r="M2285"/>
  <c r="O2285"/>
  <c r="Q2285"/>
  <c r="Y2285"/>
  <c r="AG2285"/>
  <c r="AI2285"/>
  <c r="AK2285"/>
  <c r="AM2285"/>
  <c r="AO2285"/>
  <c r="AQ2285"/>
  <c r="AS2285"/>
  <c r="AU2285"/>
  <c r="AW2285"/>
  <c r="AY2285"/>
  <c r="BA2285"/>
  <c r="BC2285"/>
  <c r="BE2285"/>
  <c r="BG2285"/>
  <c r="M2286"/>
  <c r="O2286"/>
  <c r="Q2286"/>
  <c r="Y2286"/>
  <c r="AG2286"/>
  <c r="AI2286"/>
  <c r="AK2286"/>
  <c r="AM2286"/>
  <c r="AO2286"/>
  <c r="AQ2286"/>
  <c r="AS2286"/>
  <c r="AU2286"/>
  <c r="AW2286"/>
  <c r="AY2286"/>
  <c r="BA2286"/>
  <c r="BC2286"/>
  <c r="BE2286"/>
  <c r="BG2286"/>
  <c r="M2287"/>
  <c r="O2287"/>
  <c r="Q2287"/>
  <c r="Y2287"/>
  <c r="AG2287"/>
  <c r="AI2287"/>
  <c r="AK2287"/>
  <c r="AM2287"/>
  <c r="AO2287"/>
  <c r="AQ2287"/>
  <c r="AS2287"/>
  <c r="AU2287"/>
  <c r="AW2287"/>
  <c r="AY2287"/>
  <c r="BA2287"/>
  <c r="BC2287"/>
  <c r="BE2287"/>
  <c r="BG2287"/>
  <c r="M2288"/>
  <c r="O2288"/>
  <c r="Q2288"/>
  <c r="Y2288"/>
  <c r="AG2288"/>
  <c r="AI2288"/>
  <c r="AK2288"/>
  <c r="AM2288"/>
  <c r="AO2288"/>
  <c r="AQ2288"/>
  <c r="AS2288"/>
  <c r="AU2288"/>
  <c r="AW2288"/>
  <c r="AY2288"/>
  <c r="BA2288"/>
  <c r="BC2288"/>
  <c r="BE2288"/>
  <c r="BG2288"/>
  <c r="M2289"/>
  <c r="O2289"/>
  <c r="Q2289"/>
  <c r="Y2289"/>
  <c r="AG2289"/>
  <c r="AI2289"/>
  <c r="AK2289"/>
  <c r="AM2289"/>
  <c r="AO2289"/>
  <c r="AQ2289"/>
  <c r="AS2289"/>
  <c r="AU2289"/>
  <c r="AW2289"/>
  <c r="AY2289"/>
  <c r="BA2289"/>
  <c r="BC2289"/>
  <c r="BE2289"/>
  <c r="BG2289"/>
  <c r="M2290"/>
  <c r="O2290"/>
  <c r="Q2290"/>
  <c r="Y2290"/>
  <c r="AG2290"/>
  <c r="AI2290"/>
  <c r="AK2290"/>
  <c r="AM2290"/>
  <c r="AO2290"/>
  <c r="AQ2290"/>
  <c r="AS2290"/>
  <c r="AU2290"/>
  <c r="AW2290"/>
  <c r="AY2290"/>
  <c r="BA2290"/>
  <c r="BC2290"/>
  <c r="BE2290"/>
  <c r="BG2290"/>
  <c r="M2291"/>
  <c r="O2291"/>
  <c r="Q2291"/>
  <c r="Y2291"/>
  <c r="AG2291"/>
  <c r="AI2291"/>
  <c r="AK2291"/>
  <c r="AM2291"/>
  <c r="AO2291"/>
  <c r="AQ2291"/>
  <c r="AS2291"/>
  <c r="AU2291"/>
  <c r="AW2291"/>
  <c r="AY2291"/>
  <c r="BA2291"/>
  <c r="BC2291"/>
  <c r="BE2291"/>
  <c r="BG2291"/>
  <c r="M2292"/>
  <c r="O2292"/>
  <c r="Q2292"/>
  <c r="Y2292"/>
  <c r="AG2292"/>
  <c r="AI2292"/>
  <c r="AK2292"/>
  <c r="AM2292"/>
  <c r="AO2292"/>
  <c r="AQ2292"/>
  <c r="AS2292"/>
  <c r="AU2292"/>
  <c r="AW2292"/>
  <c r="AY2292"/>
  <c r="BA2292"/>
  <c r="BC2292"/>
  <c r="BE2292"/>
  <c r="BG2292"/>
  <c r="M2293"/>
  <c r="O2293"/>
  <c r="Q2293"/>
  <c r="Y2293"/>
  <c r="AG2293"/>
  <c r="AI2293"/>
  <c r="AK2293"/>
  <c r="AM2293"/>
  <c r="AO2293"/>
  <c r="AQ2293"/>
  <c r="AS2293"/>
  <c r="AU2293"/>
  <c r="AW2293"/>
  <c r="AY2293"/>
  <c r="BA2293"/>
  <c r="BC2293"/>
  <c r="BE2293"/>
  <c r="BG2293"/>
  <c r="M2294"/>
  <c r="O2294"/>
  <c r="Q2294"/>
  <c r="Y2294"/>
  <c r="AG2294"/>
  <c r="AI2294"/>
  <c r="AK2294"/>
  <c r="AM2294"/>
  <c r="AO2294"/>
  <c r="AQ2294"/>
  <c r="AS2294"/>
  <c r="AU2294"/>
  <c r="AW2294"/>
  <c r="AY2294"/>
  <c r="BA2294"/>
  <c r="BC2294"/>
  <c r="BE2294"/>
  <c r="BG2294"/>
  <c r="M2295"/>
  <c r="O2295"/>
  <c r="Q2295"/>
  <c r="Y2295"/>
  <c r="AG2295"/>
  <c r="AI2295"/>
  <c r="AK2295"/>
  <c r="AM2295"/>
  <c r="AO2295"/>
  <c r="AQ2295"/>
  <c r="AS2295"/>
  <c r="AU2295"/>
  <c r="AW2295"/>
  <c r="AY2295"/>
  <c r="BA2295"/>
  <c r="BC2295"/>
  <c r="BE2295"/>
  <c r="BG2295"/>
  <c r="M2296"/>
  <c r="O2296"/>
  <c r="Q2296"/>
  <c r="Y2296"/>
  <c r="AG2296"/>
  <c r="AI2296"/>
  <c r="AK2296"/>
  <c r="AM2296"/>
  <c r="AO2296"/>
  <c r="AQ2296"/>
  <c r="AS2296"/>
  <c r="AU2296"/>
  <c r="AW2296"/>
  <c r="AY2296"/>
  <c r="BA2296"/>
  <c r="BC2296"/>
  <c r="BE2296"/>
  <c r="BG2296"/>
  <c r="M2297"/>
  <c r="O2297"/>
  <c r="Q2297"/>
  <c r="Y2297"/>
  <c r="AG2297"/>
  <c r="AI2297"/>
  <c r="AK2297"/>
  <c r="AM2297"/>
  <c r="AO2297"/>
  <c r="AQ2297"/>
  <c r="AS2297"/>
  <c r="AU2297"/>
  <c r="AW2297"/>
  <c r="AY2297"/>
  <c r="BA2297"/>
  <c r="BC2297"/>
  <c r="BE2297"/>
  <c r="BG2297"/>
  <c r="M2298"/>
  <c r="O2298"/>
  <c r="Q2298"/>
  <c r="Y2298"/>
  <c r="AG2298"/>
  <c r="AI2298"/>
  <c r="AK2298"/>
  <c r="AM2298"/>
  <c r="AO2298"/>
  <c r="AQ2298"/>
  <c r="AS2298"/>
  <c r="AU2298"/>
  <c r="AW2298"/>
  <c r="AY2298"/>
  <c r="BA2298"/>
  <c r="BC2298"/>
  <c r="BE2298"/>
  <c r="BG2298"/>
  <c r="M2299"/>
  <c r="O2299"/>
  <c r="Q2299"/>
  <c r="Y2299"/>
  <c r="AG2299"/>
  <c r="AI2299"/>
  <c r="AK2299"/>
  <c r="AM2299"/>
  <c r="AO2299"/>
  <c r="AQ2299"/>
  <c r="AS2299"/>
  <c r="AU2299"/>
  <c r="AW2299"/>
  <c r="AY2299"/>
  <c r="BA2299"/>
  <c r="BC2299"/>
  <c r="BE2299"/>
  <c r="BG2299"/>
  <c r="M2300"/>
  <c r="O2300"/>
  <c r="Q2300"/>
  <c r="Y2300"/>
  <c r="AG2300"/>
  <c r="AI2300"/>
  <c r="AK2300"/>
  <c r="AM2300"/>
  <c r="AO2300"/>
  <c r="AQ2300"/>
  <c r="AS2300"/>
  <c r="AU2300"/>
  <c r="AW2300"/>
  <c r="AY2300"/>
  <c r="BA2300"/>
  <c r="BC2300"/>
  <c r="BE2300"/>
  <c r="BG2300"/>
  <c r="M2301"/>
  <c r="O2301"/>
  <c r="Q2301"/>
  <c r="Y2301"/>
  <c r="AG2301"/>
  <c r="AI2301"/>
  <c r="AK2301"/>
  <c r="AM2301"/>
  <c r="AO2301"/>
  <c r="AQ2301"/>
  <c r="AS2301"/>
  <c r="AU2301"/>
  <c r="AW2301"/>
  <c r="AY2301"/>
  <c r="BA2301"/>
  <c r="BC2301"/>
  <c r="BE2301"/>
  <c r="BG2301"/>
  <c r="M2302"/>
  <c r="O2302"/>
  <c r="Y2302"/>
  <c r="AG2302"/>
  <c r="AI2302"/>
  <c r="AK2302"/>
  <c r="AM2302"/>
  <c r="AO2302"/>
  <c r="AQ2302"/>
  <c r="AS2302"/>
  <c r="AU2302"/>
  <c r="AW2302"/>
  <c r="AY2302"/>
  <c r="BA2302"/>
  <c r="BC2302"/>
  <c r="BE2302"/>
  <c r="BG2302"/>
  <c r="M2303"/>
  <c r="O2303"/>
  <c r="Q2303"/>
  <c r="Y2303"/>
  <c r="AG2303"/>
  <c r="AI2303"/>
  <c r="AK2303"/>
  <c r="AM2303"/>
  <c r="AO2303"/>
  <c r="AQ2303"/>
  <c r="AS2303"/>
  <c r="AU2303"/>
  <c r="AW2303"/>
  <c r="AY2303"/>
  <c r="BA2303"/>
  <c r="BC2303"/>
  <c r="BE2303"/>
  <c r="BG2303"/>
  <c r="M2304"/>
  <c r="O2304"/>
  <c r="Q2304"/>
  <c r="Y2304"/>
  <c r="AG2304"/>
  <c r="AI2304"/>
  <c r="AK2304"/>
  <c r="AM2304"/>
  <c r="AO2304"/>
  <c r="AQ2304"/>
  <c r="AS2304"/>
  <c r="AU2304"/>
  <c r="AW2304"/>
  <c r="AY2304"/>
  <c r="BA2304"/>
  <c r="BC2304"/>
  <c r="BE2304"/>
  <c r="BG2304"/>
  <c r="M2305"/>
  <c r="O2305"/>
  <c r="Q2305"/>
  <c r="Y2305"/>
  <c r="AG2305"/>
  <c r="AI2305"/>
  <c r="AK2305"/>
  <c r="AM2305"/>
  <c r="AO2305"/>
  <c r="AQ2305"/>
  <c r="AS2305"/>
  <c r="AU2305"/>
  <c r="AW2305"/>
  <c r="AY2305"/>
  <c r="BA2305"/>
  <c r="BC2305"/>
  <c r="BE2305"/>
  <c r="BG2305"/>
  <c r="M2306"/>
  <c r="O2306"/>
  <c r="Q2306"/>
  <c r="Y2306"/>
  <c r="AG2306"/>
  <c r="AI2306"/>
  <c r="AK2306"/>
  <c r="AM2306"/>
  <c r="AO2306"/>
  <c r="AQ2306"/>
  <c r="AS2306"/>
  <c r="AU2306"/>
  <c r="AW2306"/>
  <c r="AY2306"/>
  <c r="BA2306"/>
  <c r="BC2306"/>
  <c r="BE2306"/>
  <c r="BG2306"/>
  <c r="N2307"/>
  <c r="AP2307"/>
  <c r="N2308"/>
  <c r="AP2308"/>
  <c r="N2310"/>
  <c r="AP2311"/>
  <c r="BP2311" s="1"/>
  <c r="M2322"/>
  <c r="O2322"/>
  <c r="Q2322"/>
  <c r="Y2322"/>
  <c r="AG2322"/>
  <c r="AI2322"/>
  <c r="AK2322"/>
  <c r="AM2322"/>
  <c r="AO2322"/>
  <c r="AQ2322"/>
  <c r="AS2322"/>
  <c r="AU2322"/>
  <c r="AW2322"/>
  <c r="AY2322"/>
  <c r="BA2322"/>
  <c r="BC2322"/>
  <c r="BE2322"/>
  <c r="BG2322"/>
  <c r="M2323"/>
  <c r="O2323"/>
  <c r="Q2323"/>
  <c r="Y2323"/>
  <c r="AG2323"/>
  <c r="AI2323"/>
  <c r="AK2323"/>
  <c r="AM2323"/>
  <c r="AO2323"/>
  <c r="AQ2323"/>
  <c r="AS2323"/>
  <c r="AU2323"/>
  <c r="AW2323"/>
  <c r="AY2323"/>
  <c r="BA2323"/>
  <c r="BC2323"/>
  <c r="BE2323"/>
  <c r="BG2323"/>
  <c r="M2324"/>
  <c r="O2324"/>
  <c r="Q2324"/>
  <c r="Y2324"/>
  <c r="AG2324"/>
  <c r="AI2324"/>
  <c r="AK2324"/>
  <c r="AM2324"/>
  <c r="AO2324"/>
  <c r="AQ2324"/>
  <c r="AS2324"/>
  <c r="AU2324"/>
  <c r="AW2324"/>
  <c r="AY2324"/>
  <c r="BA2324"/>
  <c r="BC2324"/>
  <c r="BE2324"/>
  <c r="BG2324"/>
  <c r="M2325"/>
  <c r="O2325"/>
  <c r="Q2325"/>
  <c r="Y2325"/>
  <c r="AG2325"/>
  <c r="AI2325"/>
  <c r="AK2325"/>
  <c r="AM2325"/>
  <c r="AO2325"/>
  <c r="AQ2325"/>
  <c r="AS2325"/>
  <c r="AU2325"/>
  <c r="AW2325"/>
  <c r="AY2325"/>
  <c r="BA2325"/>
  <c r="BC2325"/>
  <c r="BE2325"/>
  <c r="BG2325"/>
  <c r="M2326"/>
  <c r="O2326"/>
  <c r="Q2326"/>
  <c r="Y2326"/>
  <c r="AG2326"/>
  <c r="AI2326"/>
  <c r="AK2326"/>
  <c r="AM2326"/>
  <c r="AO2326"/>
  <c r="AQ2326"/>
  <c r="AS2326"/>
  <c r="AU2326"/>
  <c r="AW2326"/>
  <c r="AY2326"/>
  <c r="BA2326"/>
  <c r="BC2326"/>
  <c r="BE2326"/>
  <c r="BG2326"/>
  <c r="M2327"/>
  <c r="O2327"/>
  <c r="Q2327"/>
  <c r="Y2327"/>
  <c r="AG2327"/>
  <c r="AI2327"/>
  <c r="AK2327"/>
  <c r="AM2327"/>
  <c r="AO2327"/>
  <c r="AQ2327"/>
  <c r="AS2327"/>
  <c r="AU2327"/>
  <c r="AW2327"/>
  <c r="AY2327"/>
  <c r="BA2327"/>
  <c r="BC2327"/>
  <c r="BE2327"/>
  <c r="BG2327"/>
  <c r="M2328"/>
  <c r="O2328"/>
  <c r="Q2328"/>
  <c r="Y2328"/>
  <c r="AG2328"/>
  <c r="AI2328"/>
  <c r="AK2328"/>
  <c r="AM2328"/>
  <c r="AO2328"/>
  <c r="AQ2328"/>
  <c r="AS2328"/>
  <c r="AU2328"/>
  <c r="AW2328"/>
  <c r="AY2328"/>
  <c r="BA2328"/>
  <c r="BC2328"/>
  <c r="BE2328"/>
  <c r="BG2328"/>
  <c r="M2329"/>
  <c r="O2329"/>
  <c r="Q2329"/>
  <c r="Y2329"/>
  <c r="AG2329"/>
  <c r="AI2329"/>
  <c r="AK2329"/>
  <c r="AM2329"/>
  <c r="AO2329"/>
  <c r="AQ2329"/>
  <c r="AS2329"/>
  <c r="AU2329"/>
  <c r="AW2329"/>
  <c r="AY2329"/>
  <c r="BA2329"/>
  <c r="BC2329"/>
  <c r="BE2329"/>
  <c r="BG2329"/>
  <c r="M2330"/>
  <c r="O2330"/>
  <c r="Q2330"/>
  <c r="Y2330"/>
  <c r="AG2330"/>
  <c r="AI2330"/>
  <c r="AK2330"/>
  <c r="AM2330"/>
  <c r="AO2330"/>
  <c r="AQ2330"/>
  <c r="AS2330"/>
  <c r="AU2330"/>
  <c r="AW2330"/>
  <c r="AY2330"/>
  <c r="BA2330"/>
  <c r="BC2330"/>
  <c r="BE2330"/>
  <c r="BG2330"/>
  <c r="M2331"/>
  <c r="O2331"/>
  <c r="Q2331"/>
  <c r="Y2331"/>
  <c r="AG2331"/>
  <c r="AI2331"/>
  <c r="AK2331"/>
  <c r="AM2331"/>
  <c r="AO2331"/>
  <c r="AQ2331"/>
  <c r="AS2331"/>
  <c r="AU2331"/>
  <c r="AW2331"/>
  <c r="AY2331"/>
  <c r="BA2331"/>
  <c r="BC2331"/>
  <c r="BE2331"/>
  <c r="BG2331"/>
  <c r="M2332"/>
  <c r="O2332"/>
  <c r="Q2332"/>
  <c r="Y2332"/>
  <c r="AG2332"/>
  <c r="AI2332"/>
  <c r="AK2332"/>
  <c r="AM2332"/>
  <c r="AO2332"/>
  <c r="AQ2332"/>
  <c r="AS2332"/>
  <c r="AU2332"/>
  <c r="AW2332"/>
  <c r="AY2332"/>
  <c r="BA2332"/>
  <c r="BC2332"/>
  <c r="BE2332"/>
  <c r="BG2332"/>
  <c r="M2333"/>
  <c r="O2333"/>
  <c r="Q2333"/>
  <c r="Y2333"/>
  <c r="AG2333"/>
  <c r="AI2333"/>
  <c r="AK2333"/>
  <c r="AM2333"/>
  <c r="AO2333"/>
  <c r="AQ2333"/>
  <c r="AS2333"/>
  <c r="AU2333"/>
  <c r="AW2333"/>
  <c r="AY2333"/>
  <c r="BA2333"/>
  <c r="BC2333"/>
  <c r="BE2333"/>
  <c r="BG2333"/>
  <c r="M2334"/>
  <c r="O2334"/>
  <c r="Q2334"/>
  <c r="Y2334"/>
  <c r="AG2334"/>
  <c r="AI2334"/>
  <c r="AK2334"/>
  <c r="AM2334"/>
  <c r="AO2334"/>
  <c r="AQ2334"/>
  <c r="AS2334"/>
  <c r="AU2334"/>
  <c r="AW2334"/>
  <c r="AY2334"/>
  <c r="BA2334"/>
  <c r="BC2334"/>
  <c r="BE2334"/>
  <c r="BG2334"/>
  <c r="M2335"/>
  <c r="O2335"/>
  <c r="Q2335"/>
  <c r="Y2335"/>
  <c r="AG2335"/>
  <c r="AI2335"/>
  <c r="AK2335"/>
  <c r="AM2335"/>
  <c r="AO2335"/>
  <c r="AQ2335"/>
  <c r="AS2335"/>
  <c r="AU2335"/>
  <c r="AW2335"/>
  <c r="AY2335"/>
  <c r="BA2335"/>
  <c r="BC2335"/>
  <c r="BE2335"/>
  <c r="BG2335"/>
  <c r="M2336"/>
  <c r="O2336"/>
  <c r="Q2336"/>
  <c r="Y2336"/>
  <c r="AG2336"/>
  <c r="AI2336"/>
  <c r="AK2336"/>
  <c r="AM2336"/>
  <c r="AO2336"/>
  <c r="AQ2336"/>
  <c r="AS2336"/>
  <c r="AU2336"/>
  <c r="AW2336"/>
  <c r="AY2336"/>
  <c r="BA2336"/>
  <c r="BC2336"/>
  <c r="BE2336"/>
  <c r="BG2336"/>
  <c r="M2337"/>
  <c r="O2337"/>
  <c r="Q2337"/>
  <c r="Y2337"/>
  <c r="AG2337"/>
  <c r="AI2337"/>
  <c r="AK2337"/>
  <c r="AM2337"/>
  <c r="AO2337"/>
  <c r="AQ2337"/>
  <c r="AS2337"/>
  <c r="AU2337"/>
  <c r="AW2337"/>
  <c r="AY2337"/>
  <c r="BA2337"/>
  <c r="BC2337"/>
  <c r="BE2337"/>
  <c r="BG2337"/>
  <c r="M2338"/>
  <c r="O2338"/>
  <c r="Q2338"/>
  <c r="Y2338"/>
  <c r="AG2338"/>
  <c r="AI2338"/>
  <c r="AK2338"/>
  <c r="AM2338"/>
  <c r="AO2338"/>
  <c r="AQ2338"/>
  <c r="AS2338"/>
  <c r="AU2338"/>
  <c r="AW2338"/>
  <c r="AY2338"/>
  <c r="BA2338"/>
  <c r="BC2338"/>
  <c r="BE2338"/>
  <c r="BG2338"/>
  <c r="M2339"/>
  <c r="O2339"/>
  <c r="Q2339"/>
  <c r="Y2339"/>
  <c r="AG2339"/>
  <c r="AI2339"/>
  <c r="AK2339"/>
  <c r="AM2339"/>
  <c r="AO2339"/>
  <c r="AQ2339"/>
  <c r="AS2339"/>
  <c r="AU2339"/>
  <c r="AW2339"/>
  <c r="AY2339"/>
  <c r="BA2339"/>
  <c r="BC2339"/>
  <c r="BE2339"/>
  <c r="BG2339"/>
  <c r="M2340"/>
  <c r="O2340"/>
  <c r="Q2340"/>
  <c r="Y2340"/>
  <c r="AG2340"/>
  <c r="AI2340"/>
  <c r="AK2340"/>
  <c r="AM2340"/>
  <c r="AO2340"/>
  <c r="AQ2340"/>
  <c r="AS2340"/>
  <c r="AU2340"/>
  <c r="AW2340"/>
  <c r="AY2340"/>
  <c r="BA2340"/>
  <c r="BC2340"/>
  <c r="BE2340"/>
  <c r="BG2340"/>
  <c r="M2341"/>
  <c r="O2341"/>
  <c r="Q2341"/>
  <c r="Y2341"/>
  <c r="AG2341"/>
  <c r="AI2341"/>
  <c r="AK2341"/>
  <c r="AM2341"/>
  <c r="AO2341"/>
  <c r="AQ2341"/>
  <c r="AS2341"/>
  <c r="AU2341"/>
  <c r="AW2341"/>
  <c r="AY2341"/>
  <c r="BA2341"/>
  <c r="BC2341"/>
  <c r="BE2341"/>
  <c r="BG2341"/>
  <c r="M2342"/>
  <c r="O2342"/>
  <c r="Q2342"/>
  <c r="Y2342"/>
  <c r="AG2342"/>
  <c r="AI2342"/>
  <c r="AK2342"/>
  <c r="AM2342"/>
  <c r="AO2342"/>
  <c r="AQ2342"/>
  <c r="AS2342"/>
  <c r="AU2342"/>
  <c r="AW2342"/>
  <c r="AY2342"/>
  <c r="BA2342"/>
  <c r="BC2342"/>
  <c r="BE2342"/>
  <c r="BG2342"/>
  <c r="M2343"/>
  <c r="O2343"/>
  <c r="Q2343"/>
  <c r="Y2343"/>
  <c r="AG2343"/>
  <c r="AI2343"/>
  <c r="AK2343"/>
  <c r="AM2343"/>
  <c r="AO2343"/>
  <c r="AQ2343"/>
  <c r="AS2343"/>
  <c r="AU2343"/>
  <c r="AW2343"/>
  <c r="AY2343"/>
  <c r="BA2343"/>
  <c r="BC2343"/>
  <c r="BE2343"/>
  <c r="BG2343"/>
  <c r="M2344"/>
  <c r="O2344"/>
  <c r="Q2344"/>
  <c r="Y2344"/>
  <c r="AG2344"/>
  <c r="AI2344"/>
  <c r="AK2344"/>
  <c r="AM2344"/>
  <c r="AO2344"/>
  <c r="AQ2344"/>
  <c r="AS2344"/>
  <c r="AU2344"/>
  <c r="AW2344"/>
  <c r="AY2344"/>
  <c r="BA2344"/>
  <c r="BC2344"/>
  <c r="BE2344"/>
  <c r="BG2344"/>
  <c r="M2345"/>
  <c r="O2345"/>
  <c r="Q2345"/>
  <c r="Y2345"/>
  <c r="AG2345"/>
  <c r="AI2345"/>
  <c r="AK2345"/>
  <c r="AM2345"/>
  <c r="AO2345"/>
  <c r="AQ2345"/>
  <c r="AS2345"/>
  <c r="AU2345"/>
  <c r="AW2345"/>
  <c r="AY2345"/>
  <c r="BA2345"/>
  <c r="BC2345"/>
  <c r="BE2345"/>
  <c r="BG2345"/>
  <c r="M2346"/>
  <c r="O2346"/>
  <c r="Q2346"/>
  <c r="Y2346"/>
  <c r="AG2346"/>
  <c r="AI2346"/>
  <c r="AK2346"/>
  <c r="AM2346"/>
  <c r="AO2346"/>
  <c r="AQ2346"/>
  <c r="AS2346"/>
  <c r="AU2346"/>
  <c r="AW2346"/>
  <c r="AY2346"/>
  <c r="BA2346"/>
  <c r="BC2346"/>
  <c r="BE2346"/>
  <c r="BG2346"/>
  <c r="M2347"/>
  <c r="O2347"/>
  <c r="Q2347"/>
  <c r="Y2347"/>
  <c r="AG2347"/>
  <c r="AI2347"/>
  <c r="AK2347"/>
  <c r="AM2347"/>
  <c r="AO2347"/>
  <c r="AQ2347"/>
  <c r="AS2347"/>
  <c r="AU2347"/>
  <c r="AW2347"/>
  <c r="AY2347"/>
  <c r="BA2347"/>
  <c r="BC2347"/>
  <c r="BE2347"/>
  <c r="BG2347"/>
  <c r="M2348"/>
  <c r="O2348"/>
  <c r="Q2348"/>
  <c r="Y2348"/>
  <c r="AG2348"/>
  <c r="AI2348"/>
  <c r="AK2348"/>
  <c r="AM2348"/>
  <c r="AO2348"/>
  <c r="AQ2348"/>
  <c r="AS2348"/>
  <c r="AU2348"/>
  <c r="AW2348"/>
  <c r="AY2348"/>
  <c r="BA2348"/>
  <c r="BC2348"/>
  <c r="BE2348"/>
  <c r="BG2348"/>
  <c r="M2349"/>
  <c r="O2349"/>
  <c r="Q2349"/>
  <c r="Y2349"/>
  <c r="AG2349"/>
  <c r="AI2349"/>
  <c r="AK2349"/>
  <c r="AM2349"/>
  <c r="AO2349"/>
  <c r="AQ2349"/>
  <c r="AS2349"/>
  <c r="AU2349"/>
  <c r="AW2349"/>
  <c r="AY2349"/>
  <c r="BA2349"/>
  <c r="BC2349"/>
  <c r="BE2349"/>
  <c r="BG2349"/>
  <c r="M2350"/>
  <c r="O2350"/>
  <c r="Q2350"/>
  <c r="Y2350"/>
  <c r="AG2350"/>
  <c r="AI2350"/>
  <c r="AK2350"/>
  <c r="AM2350"/>
  <c r="AO2350"/>
  <c r="AQ2350"/>
  <c r="AS2350"/>
  <c r="AU2350"/>
  <c r="AW2350"/>
  <c r="AY2350"/>
  <c r="BA2350"/>
  <c r="BC2350"/>
  <c r="BE2350"/>
  <c r="BG2350"/>
  <c r="M2351"/>
  <c r="O2351"/>
  <c r="Q2351"/>
  <c r="Y2351"/>
  <c r="AG2351"/>
  <c r="AI2351"/>
  <c r="AK2351"/>
  <c r="AM2351"/>
  <c r="AO2351"/>
  <c r="AQ2351"/>
  <c r="AS2351"/>
  <c r="AU2351"/>
  <c r="AW2351"/>
  <c r="AY2351"/>
  <c r="BA2351"/>
  <c r="BC2351"/>
  <c r="BE2351"/>
  <c r="BG2351"/>
  <c r="M2352"/>
  <c r="O2352"/>
  <c r="Q2352"/>
  <c r="Y2352"/>
  <c r="AG2352"/>
  <c r="AI2352"/>
  <c r="AK2352"/>
  <c r="AM2352"/>
  <c r="AO2352"/>
  <c r="AQ2352"/>
  <c r="AS2352"/>
  <c r="AU2352"/>
  <c r="AW2352"/>
  <c r="AY2352"/>
  <c r="BA2352"/>
  <c r="BC2352"/>
  <c r="BE2352"/>
  <c r="BG2352"/>
  <c r="M2353"/>
  <c r="O2353"/>
  <c r="Q2353"/>
  <c r="Y2353"/>
  <c r="AG2353"/>
  <c r="AI2353"/>
  <c r="AK2353"/>
  <c r="AM2353"/>
  <c r="AO2353"/>
  <c r="AQ2353"/>
  <c r="AS2353"/>
  <c r="AU2353"/>
  <c r="AW2353"/>
  <c r="AY2353"/>
  <c r="BA2353"/>
  <c r="BC2353"/>
  <c r="BE2353"/>
  <c r="BG2353"/>
  <c r="M2354"/>
  <c r="O2354"/>
  <c r="Q2354"/>
  <c r="Y2354"/>
  <c r="AG2354"/>
  <c r="AI2354"/>
  <c r="AK2354"/>
  <c r="AM2354"/>
  <c r="AO2354"/>
  <c r="AQ2354"/>
  <c r="AS2354"/>
  <c r="AU2354"/>
  <c r="AW2354"/>
  <c r="AY2354"/>
  <c r="BA2354"/>
  <c r="BC2354"/>
  <c r="BE2354"/>
  <c r="BG2354"/>
  <c r="M2355"/>
  <c r="O2355"/>
  <c r="Q2355"/>
  <c r="Y2355"/>
  <c r="AG2355"/>
  <c r="AI2355"/>
  <c r="AK2355"/>
  <c r="AM2355"/>
  <c r="AO2355"/>
  <c r="AQ2355"/>
  <c r="AS2355"/>
  <c r="AU2355"/>
  <c r="AW2355"/>
  <c r="AY2355"/>
  <c r="BA2355"/>
  <c r="BC2355"/>
  <c r="BE2355"/>
  <c r="BG2355"/>
  <c r="M2356"/>
  <c r="O2356"/>
  <c r="Q2356"/>
  <c r="Y2356"/>
  <c r="AG2356"/>
  <c r="AI2356"/>
  <c r="AK2356"/>
  <c r="AM2356"/>
  <c r="AO2356"/>
  <c r="AQ2356"/>
  <c r="AS2356"/>
  <c r="AU2356"/>
  <c r="AW2356"/>
  <c r="AY2356"/>
  <c r="BA2356"/>
  <c r="BC2356"/>
  <c r="BE2356"/>
  <c r="BG2356"/>
  <c r="M2357"/>
  <c r="O2357"/>
  <c r="Q2357"/>
  <c r="Y2357"/>
  <c r="AG2357"/>
  <c r="AI2357"/>
  <c r="AK2357"/>
  <c r="AM2357"/>
  <c r="AO2357"/>
  <c r="AQ2357"/>
  <c r="AS2357"/>
  <c r="AU2357"/>
  <c r="AW2357"/>
  <c r="AY2357"/>
  <c r="BA2357"/>
  <c r="BC2357"/>
  <c r="BE2357"/>
  <c r="BG2357"/>
  <c r="M2358"/>
  <c r="O2358"/>
  <c r="Q2358"/>
  <c r="Y2358"/>
  <c r="AG2358"/>
  <c r="AI2358"/>
  <c r="AK2358"/>
  <c r="AM2358"/>
  <c r="AO2358"/>
  <c r="AQ2358"/>
  <c r="AS2358"/>
  <c r="AU2358"/>
  <c r="AW2358"/>
  <c r="AY2358"/>
  <c r="BA2358"/>
  <c r="BC2358"/>
  <c r="BE2358"/>
  <c r="BG2358"/>
  <c r="M2359"/>
  <c r="O2359"/>
  <c r="Q2359"/>
  <c r="Y2359"/>
  <c r="AG2359"/>
  <c r="AI2359"/>
  <c r="AK2359"/>
  <c r="AM2359"/>
  <c r="AO2359"/>
  <c r="AQ2359"/>
  <c r="AS2359"/>
  <c r="AU2359"/>
  <c r="AW2359"/>
  <c r="AY2359"/>
  <c r="BA2359"/>
  <c r="BC2359"/>
  <c r="BE2359"/>
  <c r="BG2359"/>
  <c r="M2360"/>
  <c r="O2360"/>
  <c r="Y2360"/>
  <c r="AG2360"/>
  <c r="AI2360"/>
  <c r="AK2360"/>
  <c r="AM2360"/>
  <c r="AO2360"/>
  <c r="AQ2360"/>
  <c r="AS2360"/>
  <c r="AU2360"/>
  <c r="AW2360"/>
  <c r="AY2360"/>
  <c r="BA2360"/>
  <c r="BC2360"/>
  <c r="BE2360"/>
  <c r="BG2360"/>
  <c r="M2361"/>
  <c r="O2361"/>
  <c r="Q2361"/>
  <c r="Y2361"/>
  <c r="AG2361"/>
  <c r="AI2361"/>
  <c r="AK2361"/>
  <c r="AM2361"/>
  <c r="AO2361"/>
  <c r="AQ2361"/>
  <c r="AS2361"/>
  <c r="AU2361"/>
  <c r="AW2361"/>
  <c r="AY2361"/>
  <c r="BA2361"/>
  <c r="BC2361"/>
  <c r="BE2361"/>
  <c r="BG2361"/>
  <c r="M2362"/>
  <c r="O2362"/>
  <c r="Q2362"/>
  <c r="Y2362"/>
  <c r="AG2362"/>
  <c r="AI2362"/>
  <c r="AK2362"/>
  <c r="AM2362"/>
  <c r="AO2362"/>
  <c r="AQ2362"/>
  <c r="AS2362"/>
  <c r="AU2362"/>
  <c r="AW2362"/>
  <c r="AY2362"/>
  <c r="BA2362"/>
  <c r="BC2362"/>
  <c r="BE2362"/>
  <c r="BG2362"/>
  <c r="M2380"/>
  <c r="O2380"/>
  <c r="Q2380"/>
  <c r="Y2380"/>
  <c r="AG2380"/>
  <c r="AI2380"/>
  <c r="AK2380"/>
  <c r="AM2380"/>
  <c r="AO2380"/>
  <c r="AQ2380"/>
  <c r="AS2380"/>
  <c r="AU2380"/>
  <c r="AW2380"/>
  <c r="AY2380"/>
  <c r="BA2380"/>
  <c r="BC2380"/>
  <c r="BE2380"/>
  <c r="BG2380"/>
  <c r="M2381"/>
  <c r="O2381"/>
  <c r="Q2381"/>
  <c r="Y2381"/>
  <c r="AG2381"/>
  <c r="AI2381"/>
  <c r="AK2381"/>
  <c r="AM2381"/>
  <c r="AO2381"/>
  <c r="AQ2381"/>
  <c r="AS2381"/>
  <c r="AU2381"/>
  <c r="AW2381"/>
  <c r="AY2381"/>
  <c r="BA2381"/>
  <c r="BC2381"/>
  <c r="BE2381"/>
  <c r="BG2381"/>
  <c r="M2382"/>
  <c r="O2382"/>
  <c r="Q2382"/>
  <c r="Y2382"/>
  <c r="AG2382"/>
  <c r="AI2382"/>
  <c r="AK2382"/>
  <c r="AM2382"/>
  <c r="AO2382"/>
  <c r="AQ2382"/>
  <c r="AS2382"/>
  <c r="AU2382"/>
  <c r="AW2382"/>
  <c r="AY2382"/>
  <c r="BA2382"/>
  <c r="BC2382"/>
  <c r="BE2382"/>
  <c r="BG2382"/>
  <c r="M2383"/>
  <c r="O2383"/>
  <c r="Q2383"/>
  <c r="Y2383"/>
  <c r="AG2383"/>
  <c r="AI2383"/>
  <c r="AK2383"/>
  <c r="AM2383"/>
  <c r="AO2383"/>
  <c r="AQ2383"/>
  <c r="AS2383"/>
  <c r="AU2383"/>
  <c r="AW2383"/>
  <c r="AY2383"/>
  <c r="BA2383"/>
  <c r="BC2383"/>
  <c r="BE2383"/>
  <c r="BG2383"/>
  <c r="M2384"/>
  <c r="O2384"/>
  <c r="Q2384"/>
  <c r="Y2384"/>
  <c r="AG2384"/>
  <c r="AI2384"/>
  <c r="AK2384"/>
  <c r="AM2384"/>
  <c r="AO2384"/>
  <c r="AQ2384"/>
  <c r="AS2384"/>
  <c r="AU2384"/>
  <c r="AW2384"/>
  <c r="AY2384"/>
  <c r="BA2384"/>
  <c r="BC2384"/>
  <c r="BE2384"/>
  <c r="BG2384"/>
  <c r="M2385"/>
  <c r="O2385"/>
  <c r="Q2385"/>
  <c r="Y2385"/>
  <c r="AG2385"/>
  <c r="AI2385"/>
  <c r="AK2385"/>
  <c r="AM2385"/>
  <c r="AO2385"/>
  <c r="AQ2385"/>
  <c r="AS2385"/>
  <c r="AU2385"/>
  <c r="AW2385"/>
  <c r="AY2385"/>
  <c r="BA2385"/>
  <c r="BC2385"/>
  <c r="BE2385"/>
  <c r="BG2385"/>
  <c r="M2386"/>
  <c r="O2386"/>
  <c r="Q2386"/>
  <c r="Y2386"/>
  <c r="AG2386"/>
  <c r="AI2386"/>
  <c r="AK2386"/>
  <c r="AM2386"/>
  <c r="AO2386"/>
  <c r="AQ2386"/>
  <c r="AS2386"/>
  <c r="AU2386"/>
  <c r="AW2386"/>
  <c r="AY2386"/>
  <c r="BA2386"/>
  <c r="BC2386"/>
  <c r="BE2386"/>
  <c r="BG2386"/>
  <c r="M2387"/>
  <c r="O2387"/>
  <c r="Q2387"/>
  <c r="Y2387"/>
  <c r="AG2387"/>
  <c r="AI2387"/>
  <c r="AK2387"/>
  <c r="AM2387"/>
  <c r="AO2387"/>
  <c r="AQ2387"/>
  <c r="AS2387"/>
  <c r="AU2387"/>
  <c r="AW2387"/>
  <c r="AY2387"/>
  <c r="BA2387"/>
  <c r="BC2387"/>
  <c r="BE2387"/>
  <c r="BG2387"/>
  <c r="M2388"/>
  <c r="O2388"/>
  <c r="Q2388"/>
  <c r="Y2388"/>
  <c r="AG2388"/>
  <c r="AI2388"/>
  <c r="AK2388"/>
  <c r="AM2388"/>
  <c r="AO2388"/>
  <c r="AQ2388"/>
  <c r="AS2388"/>
  <c r="AU2388"/>
  <c r="AW2388"/>
  <c r="AY2388"/>
  <c r="BA2388"/>
  <c r="BC2388"/>
  <c r="BE2388"/>
  <c r="BG2388"/>
  <c r="M2389"/>
  <c r="O2389"/>
  <c r="Q2389"/>
  <c r="Y2389"/>
  <c r="AG2389"/>
  <c r="AI2389"/>
  <c r="AK2389"/>
  <c r="AM2389"/>
  <c r="AO2389"/>
  <c r="AQ2389"/>
  <c r="AS2389"/>
  <c r="AU2389"/>
  <c r="AW2389"/>
  <c r="AY2389"/>
  <c r="BA2389"/>
  <c r="BC2389"/>
  <c r="BE2389"/>
  <c r="BG2389"/>
  <c r="M2390"/>
  <c r="O2390"/>
  <c r="Q2390"/>
  <c r="Y2390"/>
  <c r="AG2390"/>
  <c r="AI2390"/>
  <c r="AK2390"/>
  <c r="AM2390"/>
  <c r="AO2390"/>
  <c r="AQ2390"/>
  <c r="AS2390"/>
  <c r="AU2390"/>
  <c r="AW2390"/>
  <c r="AY2390"/>
  <c r="BA2390"/>
  <c r="BC2390"/>
  <c r="BE2390"/>
  <c r="BG2390"/>
  <c r="M2391"/>
  <c r="O2391"/>
  <c r="Q2391"/>
  <c r="Y2391"/>
  <c r="AG2391"/>
  <c r="AI2391"/>
  <c r="AK2391"/>
  <c r="AM2391"/>
  <c r="AO2391"/>
  <c r="AQ2391"/>
  <c r="AS2391"/>
  <c r="AU2391"/>
  <c r="AW2391"/>
  <c r="AY2391"/>
  <c r="BA2391"/>
  <c r="BC2391"/>
  <c r="BE2391"/>
  <c r="BG2391"/>
  <c r="M2392"/>
  <c r="O2392"/>
  <c r="Q2392"/>
  <c r="Y2392"/>
  <c r="AG2392"/>
  <c r="AI2392"/>
  <c r="AK2392"/>
  <c r="AM2392"/>
  <c r="AO2392"/>
  <c r="AQ2392"/>
  <c r="AS2392"/>
  <c r="AU2392"/>
  <c r="AW2392"/>
  <c r="AY2392"/>
  <c r="BA2392"/>
  <c r="BC2392"/>
  <c r="BE2392"/>
  <c r="BG2392"/>
  <c r="M2393"/>
  <c r="O2393"/>
  <c r="Q2393"/>
  <c r="Y2393"/>
  <c r="AG2393"/>
  <c r="AI2393"/>
  <c r="AK2393"/>
  <c r="AM2393"/>
  <c r="AO2393"/>
  <c r="AQ2393"/>
  <c r="AS2393"/>
  <c r="AU2393"/>
  <c r="AW2393"/>
  <c r="AY2393"/>
  <c r="BA2393"/>
  <c r="BC2393"/>
  <c r="BE2393"/>
  <c r="BG2393"/>
  <c r="M2394"/>
  <c r="O2394"/>
  <c r="Q2394"/>
  <c r="Y2394"/>
  <c r="AG2394"/>
  <c r="AI2394"/>
  <c r="AK2394"/>
  <c r="AM2394"/>
  <c r="AO2394"/>
  <c r="AQ2394"/>
  <c r="AS2394"/>
  <c r="AU2394"/>
  <c r="AW2394"/>
  <c r="AY2394"/>
  <c r="BA2394"/>
  <c r="BC2394"/>
  <c r="BE2394"/>
  <c r="BG2394"/>
  <c r="M2395"/>
  <c r="O2395"/>
  <c r="Q2395"/>
  <c r="Y2395"/>
  <c r="AG2395"/>
  <c r="AI2395"/>
  <c r="AK2395"/>
  <c r="AM2395"/>
  <c r="AO2395"/>
  <c r="AQ2395"/>
  <c r="AS2395"/>
  <c r="AU2395"/>
  <c r="AW2395"/>
  <c r="AY2395"/>
  <c r="BA2395"/>
  <c r="BC2395"/>
  <c r="BE2395"/>
  <c r="BG2395"/>
  <c r="M2396"/>
  <c r="O2396"/>
  <c r="Q2396"/>
  <c r="Y2396"/>
  <c r="AG2396"/>
  <c r="AI2396"/>
  <c r="AK2396"/>
  <c r="AM2396"/>
  <c r="AO2396"/>
  <c r="AQ2396"/>
  <c r="AS2396"/>
  <c r="AU2396"/>
  <c r="AW2396"/>
  <c r="AY2396"/>
  <c r="BA2396"/>
  <c r="BC2396"/>
  <c r="BE2396"/>
  <c r="BG2396"/>
  <c r="M2397"/>
  <c r="O2397"/>
  <c r="Q2397"/>
  <c r="Y2397"/>
  <c r="AG2397"/>
  <c r="AI2397"/>
  <c r="AK2397"/>
  <c r="AM2397"/>
  <c r="AO2397"/>
  <c r="AQ2397"/>
  <c r="AS2397"/>
  <c r="AU2397"/>
  <c r="AW2397"/>
  <c r="AY2397"/>
  <c r="BA2397"/>
  <c r="BC2397"/>
  <c r="BE2397"/>
  <c r="BG2397"/>
  <c r="M2398"/>
  <c r="O2398"/>
  <c r="Q2398"/>
  <c r="Y2398"/>
  <c r="AG2398"/>
  <c r="AI2398"/>
  <c r="AK2398"/>
  <c r="AM2398"/>
  <c r="AO2398"/>
  <c r="AQ2398"/>
  <c r="AS2398"/>
  <c r="AU2398"/>
  <c r="AW2398"/>
  <c r="AY2398"/>
  <c r="BA2398"/>
  <c r="BC2398"/>
  <c r="BE2398"/>
  <c r="BG2398"/>
  <c r="M2399"/>
  <c r="O2399"/>
  <c r="Q2399"/>
  <c r="Y2399"/>
  <c r="AG2399"/>
  <c r="AI2399"/>
  <c r="AK2399"/>
  <c r="AM2399"/>
  <c r="AO2399"/>
  <c r="AQ2399"/>
  <c r="AS2399"/>
  <c r="AU2399"/>
  <c r="AW2399"/>
  <c r="AY2399"/>
  <c r="BA2399"/>
  <c r="BC2399"/>
  <c r="BE2399"/>
  <c r="BG2399"/>
  <c r="M2400"/>
  <c r="O2400"/>
  <c r="Q2400"/>
  <c r="Y2400"/>
  <c r="AG2400"/>
  <c r="AI2400"/>
  <c r="AK2400"/>
  <c r="AM2400"/>
  <c r="AO2400"/>
  <c r="AQ2400"/>
  <c r="AS2400"/>
  <c r="AU2400"/>
  <c r="AW2400"/>
  <c r="AY2400"/>
  <c r="BA2400"/>
  <c r="BC2400"/>
  <c r="BE2400"/>
  <c r="BG2400"/>
  <c r="M2401"/>
  <c r="O2401"/>
  <c r="Q2401"/>
  <c r="Y2401"/>
  <c r="AG2401"/>
  <c r="AI2401"/>
  <c r="AK2401"/>
  <c r="AM2401"/>
  <c r="AO2401"/>
  <c r="AQ2401"/>
  <c r="AS2401"/>
  <c r="AU2401"/>
  <c r="AW2401"/>
  <c r="AY2401"/>
  <c r="BA2401"/>
  <c r="BC2401"/>
  <c r="BE2401"/>
  <c r="BG2401"/>
  <c r="M2402"/>
  <c r="O2402"/>
  <c r="Q2402"/>
  <c r="Y2402"/>
  <c r="AG2402"/>
  <c r="AI2402"/>
  <c r="AK2402"/>
  <c r="AM2402"/>
  <c r="AO2402"/>
  <c r="AQ2402"/>
  <c r="AS2402"/>
  <c r="AU2402"/>
  <c r="AW2402"/>
  <c r="AY2402"/>
  <c r="BA2402"/>
  <c r="BC2402"/>
  <c r="BE2402"/>
  <c r="BG2402"/>
  <c r="M2403"/>
  <c r="O2403"/>
  <c r="Q2403"/>
  <c r="Y2403"/>
  <c r="AG2403"/>
  <c r="AI2403"/>
  <c r="AK2403"/>
  <c r="AM2403"/>
  <c r="AO2403"/>
  <c r="AQ2403"/>
  <c r="AS2403"/>
  <c r="AU2403"/>
  <c r="AW2403"/>
  <c r="AY2403"/>
  <c r="BA2403"/>
  <c r="BC2403"/>
  <c r="BE2403"/>
  <c r="BG2403"/>
  <c r="M2404"/>
  <c r="O2404"/>
  <c r="Q2404"/>
  <c r="Y2404"/>
  <c r="AG2404"/>
  <c r="AI2404"/>
  <c r="AK2404"/>
  <c r="AM2404"/>
  <c r="AO2404"/>
  <c r="AQ2404"/>
  <c r="AS2404"/>
  <c r="AU2404"/>
  <c r="AW2404"/>
  <c r="AY2404"/>
  <c r="BA2404"/>
  <c r="BC2404"/>
  <c r="BE2404"/>
  <c r="BG2404"/>
  <c r="M2405"/>
  <c r="O2405"/>
  <c r="Q2405"/>
  <c r="Y2405"/>
  <c r="AG2405"/>
  <c r="AI2405"/>
  <c r="AK2405"/>
  <c r="AM2405"/>
  <c r="AO2405"/>
  <c r="AQ2405"/>
  <c r="AS2405"/>
  <c r="AU2405"/>
  <c r="AW2405"/>
  <c r="AY2405"/>
  <c r="BA2405"/>
  <c r="BC2405"/>
  <c r="BE2405"/>
  <c r="BG2405"/>
  <c r="M2406"/>
  <c r="O2406"/>
  <c r="Q2406"/>
  <c r="Y2406"/>
  <c r="AG2406"/>
  <c r="AI2406"/>
  <c r="AK2406"/>
  <c r="AM2406"/>
  <c r="AO2406"/>
  <c r="AQ2406"/>
  <c r="AS2406"/>
  <c r="AU2406"/>
  <c r="AW2406"/>
  <c r="AY2406"/>
  <c r="BA2406"/>
  <c r="BC2406"/>
  <c r="BE2406"/>
  <c r="BG2406"/>
  <c r="M2407"/>
  <c r="O2407"/>
  <c r="Q2407"/>
  <c r="Y2407"/>
  <c r="AG2407"/>
  <c r="AI2407"/>
  <c r="AK2407"/>
  <c r="AM2407"/>
  <c r="AO2407"/>
  <c r="AQ2407"/>
  <c r="AS2407"/>
  <c r="AU2407"/>
  <c r="AW2407"/>
  <c r="AY2407"/>
  <c r="BA2407"/>
  <c r="BC2407"/>
  <c r="BE2407"/>
  <c r="BG2407"/>
  <c r="M2408"/>
  <c r="O2408"/>
  <c r="Q2408"/>
  <c r="Y2408"/>
  <c r="AG2408"/>
  <c r="AI2408"/>
  <c r="AK2408"/>
  <c r="AM2408"/>
  <c r="AO2408"/>
  <c r="AQ2408"/>
  <c r="AS2408"/>
  <c r="AU2408"/>
  <c r="AW2408"/>
  <c r="AY2408"/>
  <c r="BA2408"/>
  <c r="BC2408"/>
  <c r="BE2408"/>
  <c r="BG2408"/>
  <c r="M2409"/>
  <c r="O2409"/>
  <c r="Q2409"/>
  <c r="Y2409"/>
  <c r="AG2409"/>
  <c r="AI2409"/>
  <c r="AK2409"/>
  <c r="AM2409"/>
  <c r="AO2409"/>
  <c r="AQ2409"/>
  <c r="AS2409"/>
  <c r="AU2409"/>
  <c r="AW2409"/>
  <c r="AY2409"/>
  <c r="BA2409"/>
  <c r="BC2409"/>
  <c r="BE2409"/>
  <c r="BG2409"/>
  <c r="M2410"/>
  <c r="O2410"/>
  <c r="Q2410"/>
  <c r="Y2410"/>
  <c r="AG2410"/>
  <c r="AI2410"/>
  <c r="AK2410"/>
  <c r="AM2410"/>
  <c r="AO2410"/>
  <c r="AQ2410"/>
  <c r="AS2410"/>
  <c r="AU2410"/>
  <c r="AW2410"/>
  <c r="AY2410"/>
  <c r="BA2410"/>
  <c r="BC2410"/>
  <c r="BE2410"/>
  <c r="BG2410"/>
  <c r="M2411"/>
  <c r="O2411"/>
  <c r="Q2411"/>
  <c r="Y2411"/>
  <c r="AG2411"/>
  <c r="AI2411"/>
  <c r="AK2411"/>
  <c r="AM2411"/>
  <c r="AO2411"/>
  <c r="AQ2411"/>
  <c r="AS2411"/>
  <c r="AU2411"/>
  <c r="AW2411"/>
  <c r="AY2411"/>
  <c r="BA2411"/>
  <c r="BC2411"/>
  <c r="BE2411"/>
  <c r="BG2411"/>
  <c r="M2412"/>
  <c r="O2412"/>
  <c r="Q2412"/>
  <c r="Y2412"/>
  <c r="AG2412"/>
  <c r="AI2412"/>
  <c r="AK2412"/>
  <c r="AM2412"/>
  <c r="AO2412"/>
  <c r="AQ2412"/>
  <c r="AS2412"/>
  <c r="AU2412"/>
  <c r="AW2412"/>
  <c r="AY2412"/>
  <c r="BA2412"/>
  <c r="BC2412"/>
  <c r="BE2412"/>
  <c r="BG2412"/>
  <c r="M2413"/>
  <c r="O2413"/>
  <c r="Q2413"/>
  <c r="Y2413"/>
  <c r="AG2413"/>
  <c r="AI2413"/>
  <c r="AK2413"/>
  <c r="AM2413"/>
  <c r="AO2413"/>
  <c r="AQ2413"/>
  <c r="AS2413"/>
  <c r="AU2413"/>
  <c r="AW2413"/>
  <c r="AY2413"/>
  <c r="BA2413"/>
  <c r="BC2413"/>
  <c r="BE2413"/>
  <c r="BG2413"/>
  <c r="M2414"/>
  <c r="O2414"/>
  <c r="Q2414"/>
  <c r="Y2414"/>
  <c r="AG2414"/>
  <c r="AI2414"/>
  <c r="AK2414"/>
  <c r="AM2414"/>
  <c r="AO2414"/>
  <c r="AQ2414"/>
  <c r="AS2414"/>
  <c r="AU2414"/>
  <c r="AW2414"/>
  <c r="AY2414"/>
  <c r="BA2414"/>
  <c r="BC2414"/>
  <c r="BE2414"/>
  <c r="BG2414"/>
  <c r="M2415"/>
  <c r="O2415"/>
  <c r="Q2415"/>
  <c r="Y2415"/>
  <c r="AG2415"/>
  <c r="AI2415"/>
  <c r="AK2415"/>
  <c r="AM2415"/>
  <c r="AO2415"/>
  <c r="AQ2415"/>
  <c r="AS2415"/>
  <c r="AU2415"/>
  <c r="AW2415"/>
  <c r="AY2415"/>
  <c r="BA2415"/>
  <c r="BC2415"/>
  <c r="BE2415"/>
  <c r="BG2415"/>
  <c r="M2416"/>
  <c r="O2416"/>
  <c r="Q2416"/>
  <c r="Y2416"/>
  <c r="AG2416"/>
  <c r="AI2416"/>
  <c r="AK2416"/>
  <c r="AM2416"/>
  <c r="AO2416"/>
  <c r="AQ2416"/>
  <c r="AS2416"/>
  <c r="AU2416"/>
  <c r="AW2416"/>
  <c r="AY2416"/>
  <c r="BA2416"/>
  <c r="BC2416"/>
  <c r="BE2416"/>
  <c r="BG2416"/>
  <c r="M2417"/>
  <c r="O2417"/>
  <c r="Q2417"/>
  <c r="Y2417"/>
  <c r="AG2417"/>
  <c r="AI2417"/>
  <c r="AK2417"/>
  <c r="AM2417"/>
  <c r="AO2417"/>
  <c r="AQ2417"/>
  <c r="AS2417"/>
  <c r="AU2417"/>
  <c r="AW2417"/>
  <c r="AY2417"/>
  <c r="BA2417"/>
  <c r="BC2417"/>
  <c r="BE2417"/>
  <c r="BG2417"/>
  <c r="M2418"/>
  <c r="O2418"/>
  <c r="Y2418"/>
  <c r="AG2418"/>
  <c r="AI2418"/>
  <c r="AK2418"/>
  <c r="AM2418"/>
  <c r="AO2418"/>
  <c r="AQ2418"/>
  <c r="AS2418"/>
  <c r="AU2418"/>
  <c r="AW2418"/>
  <c r="AY2418"/>
  <c r="BA2418"/>
  <c r="BC2418"/>
  <c r="BE2418"/>
  <c r="BG2418"/>
  <c r="M2419"/>
  <c r="O2419"/>
  <c r="P2419"/>
  <c r="Y2419"/>
  <c r="AG2419"/>
  <c r="AI2419"/>
  <c r="AK2419"/>
  <c r="AM2419"/>
  <c r="AO2419"/>
  <c r="AQ2419"/>
  <c r="AS2419"/>
  <c r="AU2419"/>
  <c r="AW2419"/>
  <c r="AY2419"/>
  <c r="BA2419"/>
  <c r="BC2419"/>
  <c r="BE2419"/>
  <c r="BG2419"/>
  <c r="M2420"/>
  <c r="O2420"/>
  <c r="Q2420"/>
  <c r="X2420"/>
  <c r="AG2420"/>
  <c r="AI2420"/>
  <c r="AK2420"/>
  <c r="AM2420"/>
  <c r="AO2420"/>
  <c r="AQ2420"/>
  <c r="AS2420"/>
  <c r="AU2420"/>
  <c r="AW2420"/>
  <c r="AY2420"/>
  <c r="BA2420"/>
  <c r="BC2420"/>
  <c r="BE2420"/>
  <c r="BG2420"/>
  <c r="M2421"/>
  <c r="O2421"/>
  <c r="P2421"/>
  <c r="Y2421"/>
  <c r="AG2421"/>
  <c r="AI2421"/>
  <c r="AK2421"/>
  <c r="AM2421"/>
  <c r="AO2421"/>
  <c r="AQ2421"/>
  <c r="AS2421"/>
  <c r="AU2421"/>
  <c r="AW2421"/>
  <c r="AY2421"/>
  <c r="BA2421"/>
  <c r="BC2421"/>
  <c r="BE2421"/>
  <c r="BG2421"/>
  <c r="M2422"/>
  <c r="O2422"/>
  <c r="P2422"/>
  <c r="Y2422"/>
  <c r="AG2422"/>
  <c r="AI2422"/>
  <c r="AK2422"/>
  <c r="AM2422"/>
  <c r="AO2422"/>
  <c r="AQ2422"/>
  <c r="AS2422"/>
  <c r="AU2422"/>
  <c r="AW2422"/>
  <c r="AY2422"/>
  <c r="BA2422"/>
  <c r="BC2422"/>
  <c r="BE2422"/>
  <c r="BG2422"/>
  <c r="M2423"/>
  <c r="O2423"/>
  <c r="Q2423"/>
  <c r="Y2423"/>
  <c r="AK2423"/>
  <c r="AM2423"/>
  <c r="L2424"/>
  <c r="N2424"/>
  <c r="P2424"/>
  <c r="X2424"/>
  <c r="AJ2424"/>
  <c r="AL2424"/>
  <c r="N2426"/>
  <c r="P2426"/>
  <c r="X2426"/>
  <c r="AK2426"/>
  <c r="BO2426" s="1"/>
  <c r="AM2426"/>
  <c r="BQ2426" s="1"/>
  <c r="M2427"/>
  <c r="O2427"/>
  <c r="Q2427"/>
  <c r="Y2427"/>
  <c r="AK2427"/>
  <c r="AM2427"/>
  <c r="M2438"/>
  <c r="O2438"/>
  <c r="Q2438"/>
  <c r="Y2438"/>
  <c r="AG2438"/>
  <c r="AI2438"/>
  <c r="AK2438"/>
  <c r="AM2438"/>
  <c r="AO2438"/>
  <c r="AQ2438"/>
  <c r="AS2438"/>
  <c r="AU2438"/>
  <c r="AW2438"/>
  <c r="AY2438"/>
  <c r="BA2438"/>
  <c r="BC2438"/>
  <c r="BE2438"/>
  <c r="BG2438"/>
  <c r="M2439"/>
  <c r="O2439"/>
  <c r="Q2439"/>
  <c r="Y2439"/>
  <c r="AG2439"/>
  <c r="AI2439"/>
  <c r="AK2439"/>
  <c r="AM2439"/>
  <c r="AO2439"/>
  <c r="AQ2439"/>
  <c r="AS2439"/>
  <c r="AU2439"/>
  <c r="AW2439"/>
  <c r="AY2439"/>
  <c r="BA2439"/>
  <c r="BC2439"/>
  <c r="BE2439"/>
  <c r="BG2439"/>
  <c r="M2440"/>
  <c r="O2440"/>
  <c r="Q2440"/>
  <c r="Y2440"/>
  <c r="AG2440"/>
  <c r="AI2440"/>
  <c r="AK2440"/>
  <c r="AM2440"/>
  <c r="AO2440"/>
  <c r="AQ2440"/>
  <c r="AS2440"/>
  <c r="AU2440"/>
  <c r="AW2440"/>
  <c r="AY2440"/>
  <c r="BA2440"/>
  <c r="BC2440"/>
  <c r="BE2440"/>
  <c r="BG2440"/>
  <c r="M2441"/>
  <c r="O2441"/>
  <c r="Q2441"/>
  <c r="Y2441"/>
  <c r="AG2441"/>
  <c r="AI2441"/>
  <c r="AK2441"/>
  <c r="AM2441"/>
  <c r="AO2441"/>
  <c r="AQ2441"/>
  <c r="AS2441"/>
  <c r="AU2441"/>
  <c r="AW2441"/>
  <c r="AY2441"/>
  <c r="BA2441"/>
  <c r="BC2441"/>
  <c r="BE2441"/>
  <c r="BG2441"/>
  <c r="M2442"/>
  <c r="O2442"/>
  <c r="Q2442"/>
  <c r="Y2442"/>
  <c r="AG2442"/>
  <c r="AI2442"/>
  <c r="AK2442"/>
  <c r="AM2442"/>
  <c r="AO2442"/>
  <c r="AQ2442"/>
  <c r="AS2442"/>
  <c r="AU2442"/>
  <c r="AW2442"/>
  <c r="AY2442"/>
  <c r="BA2442"/>
  <c r="BC2442"/>
  <c r="BE2442"/>
  <c r="BG2442"/>
  <c r="M2443"/>
  <c r="O2443"/>
  <c r="Q2443"/>
  <c r="Y2443"/>
  <c r="AG2443"/>
  <c r="AI2443"/>
  <c r="AK2443"/>
  <c r="AM2443"/>
  <c r="AO2443"/>
  <c r="AQ2443"/>
  <c r="AS2443"/>
  <c r="AU2443"/>
  <c r="AW2443"/>
  <c r="AY2443"/>
  <c r="BA2443"/>
  <c r="BC2443"/>
  <c r="BE2443"/>
  <c r="BG2443"/>
  <c r="M2444"/>
  <c r="O2444"/>
  <c r="Q2444"/>
  <c r="Y2444"/>
  <c r="AG2444"/>
  <c r="AI2444"/>
  <c r="AK2444"/>
  <c r="AM2444"/>
  <c r="AO2444"/>
  <c r="AQ2444"/>
  <c r="AS2444"/>
  <c r="AU2444"/>
  <c r="AW2444"/>
  <c r="AY2444"/>
  <c r="BA2444"/>
  <c r="BC2444"/>
  <c r="BE2444"/>
  <c r="BG2444"/>
  <c r="M2445"/>
  <c r="O2445"/>
  <c r="Q2445"/>
  <c r="Y2445"/>
  <c r="AG2445"/>
  <c r="AI2445"/>
  <c r="AK2445"/>
  <c r="AM2445"/>
  <c r="AO2445"/>
  <c r="AQ2445"/>
  <c r="AS2445"/>
  <c r="AU2445"/>
  <c r="AW2445"/>
  <c r="AY2445"/>
  <c r="BA2445"/>
  <c r="BC2445"/>
  <c r="BE2445"/>
  <c r="BG2445"/>
  <c r="M2446"/>
  <c r="O2446"/>
  <c r="Q2446"/>
  <c r="Y2446"/>
  <c r="AG2446"/>
  <c r="AI2446"/>
  <c r="AK2446"/>
  <c r="AM2446"/>
  <c r="AO2446"/>
  <c r="AQ2446"/>
  <c r="AS2446"/>
  <c r="AU2446"/>
  <c r="AW2446"/>
  <c r="AY2446"/>
  <c r="BA2446"/>
  <c r="BC2446"/>
  <c r="BE2446"/>
  <c r="BG2446"/>
  <c r="M2447"/>
  <c r="O2447"/>
  <c r="Q2447"/>
  <c r="Y2447"/>
  <c r="AG2447"/>
  <c r="AI2447"/>
  <c r="AK2447"/>
  <c r="AM2447"/>
  <c r="AO2447"/>
  <c r="AQ2447"/>
  <c r="AS2447"/>
  <c r="AU2447"/>
  <c r="AW2447"/>
  <c r="AY2447"/>
  <c r="BA2447"/>
  <c r="BC2447"/>
  <c r="BE2447"/>
  <c r="BG2447"/>
  <c r="M2448"/>
  <c r="O2448"/>
  <c r="Q2448"/>
  <c r="Y2448"/>
  <c r="AG2448"/>
  <c r="AI2448"/>
  <c r="AK2448"/>
  <c r="AM2448"/>
  <c r="AO2448"/>
  <c r="AQ2448"/>
  <c r="AS2448"/>
  <c r="AU2448"/>
  <c r="AW2448"/>
  <c r="AY2448"/>
  <c r="BA2448"/>
  <c r="BC2448"/>
  <c r="BE2448"/>
  <c r="BG2448"/>
  <c r="M2449"/>
  <c r="O2449"/>
  <c r="Q2449"/>
  <c r="Y2449"/>
  <c r="AG2449"/>
  <c r="AI2449"/>
  <c r="AK2449"/>
  <c r="AM2449"/>
  <c r="AO2449"/>
  <c r="AQ2449"/>
  <c r="AS2449"/>
  <c r="AU2449"/>
  <c r="AW2449"/>
  <c r="AY2449"/>
  <c r="BA2449"/>
  <c r="BC2449"/>
  <c r="BE2449"/>
  <c r="BG2449"/>
  <c r="M2450"/>
  <c r="O2450"/>
  <c r="Q2450"/>
  <c r="Y2450"/>
  <c r="AG2450"/>
  <c r="AI2450"/>
  <c r="AK2450"/>
  <c r="AM2450"/>
  <c r="AO2450"/>
  <c r="AQ2450"/>
  <c r="AS2450"/>
  <c r="AU2450"/>
  <c r="AW2450"/>
  <c r="AY2450"/>
  <c r="BA2450"/>
  <c r="BC2450"/>
  <c r="BE2450"/>
  <c r="BG2450"/>
  <c r="M2451"/>
  <c r="O2451"/>
  <c r="Q2451"/>
  <c r="Y2451"/>
  <c r="AG2451"/>
  <c r="AI2451"/>
  <c r="AK2451"/>
  <c r="AM2451"/>
  <c r="AO2451"/>
  <c r="AQ2451"/>
  <c r="AS2451"/>
  <c r="AU2451"/>
  <c r="AW2451"/>
  <c r="AY2451"/>
  <c r="BA2451"/>
  <c r="BC2451"/>
  <c r="BE2451"/>
  <c r="BG2451"/>
  <c r="M2452"/>
  <c r="O2452"/>
  <c r="Q2452"/>
  <c r="Y2452"/>
  <c r="AG2452"/>
  <c r="AI2452"/>
  <c r="AK2452"/>
  <c r="AM2452"/>
  <c r="AO2452"/>
  <c r="AQ2452"/>
  <c r="AS2452"/>
  <c r="AU2452"/>
  <c r="AW2452"/>
  <c r="AY2452"/>
  <c r="BA2452"/>
  <c r="BC2452"/>
  <c r="BE2452"/>
  <c r="BG2452"/>
  <c r="M2453"/>
  <c r="O2453"/>
  <c r="Q2453"/>
  <c r="Y2453"/>
  <c r="AG2453"/>
  <c r="AI2453"/>
  <c r="AK2453"/>
  <c r="AM2453"/>
  <c r="AO2453"/>
  <c r="AQ2453"/>
  <c r="AS2453"/>
  <c r="AU2453"/>
  <c r="AW2453"/>
  <c r="AY2453"/>
  <c r="BA2453"/>
  <c r="BC2453"/>
  <c r="BE2453"/>
  <c r="BG2453"/>
  <c r="M2454"/>
  <c r="O2454"/>
  <c r="Q2454"/>
  <c r="Y2454"/>
  <c r="AG2454"/>
  <c r="AI2454"/>
  <c r="AK2454"/>
  <c r="AM2454"/>
  <c r="AO2454"/>
  <c r="AQ2454"/>
  <c r="AS2454"/>
  <c r="AU2454"/>
  <c r="AW2454"/>
  <c r="AY2454"/>
  <c r="BA2454"/>
  <c r="BC2454"/>
  <c r="BE2454"/>
  <c r="BG2454"/>
  <c r="M2455"/>
  <c r="O2455"/>
  <c r="Q2455"/>
  <c r="Y2455"/>
  <c r="AG2455"/>
  <c r="AI2455"/>
  <c r="AK2455"/>
  <c r="AM2455"/>
  <c r="AO2455"/>
  <c r="AQ2455"/>
  <c r="AS2455"/>
  <c r="AU2455"/>
  <c r="AW2455"/>
  <c r="AY2455"/>
  <c r="BA2455"/>
  <c r="BC2455"/>
  <c r="BE2455"/>
  <c r="BG2455"/>
  <c r="M2456"/>
  <c r="O2456"/>
  <c r="Q2456"/>
  <c r="Y2456"/>
  <c r="AG2456"/>
  <c r="AI2456"/>
  <c r="AK2456"/>
  <c r="AM2456"/>
  <c r="AO2456"/>
  <c r="AQ2456"/>
  <c r="AS2456"/>
  <c r="AU2456"/>
  <c r="AW2456"/>
  <c r="AY2456"/>
  <c r="BA2456"/>
  <c r="BC2456"/>
  <c r="BE2456"/>
  <c r="BG2456"/>
  <c r="M2457"/>
  <c r="O2457"/>
  <c r="Q2457"/>
  <c r="Y2457"/>
  <c r="AG2457"/>
  <c r="AI2457"/>
  <c r="AK2457"/>
  <c r="AM2457"/>
  <c r="AO2457"/>
  <c r="AQ2457"/>
  <c r="AS2457"/>
  <c r="AU2457"/>
  <c r="AW2457"/>
  <c r="AY2457"/>
  <c r="BA2457"/>
  <c r="BC2457"/>
  <c r="BE2457"/>
  <c r="BG2457"/>
  <c r="M2458"/>
  <c r="O2458"/>
  <c r="Q2458"/>
  <c r="Y2458"/>
  <c r="AG2458"/>
  <c r="AI2458"/>
  <c r="AK2458"/>
  <c r="AM2458"/>
  <c r="AO2458"/>
  <c r="AQ2458"/>
  <c r="AS2458"/>
  <c r="AU2458"/>
  <c r="AW2458"/>
  <c r="AY2458"/>
  <c r="BA2458"/>
  <c r="BC2458"/>
  <c r="BE2458"/>
  <c r="BG2458"/>
  <c r="M2459"/>
  <c r="O2459"/>
  <c r="Q2459"/>
  <c r="Y2459"/>
  <c r="AG2459"/>
  <c r="AI2459"/>
  <c r="AK2459"/>
  <c r="AM2459"/>
  <c r="AO2459"/>
  <c r="AQ2459"/>
  <c r="AS2459"/>
  <c r="AU2459"/>
  <c r="AW2459"/>
  <c r="AY2459"/>
  <c r="BA2459"/>
  <c r="BC2459"/>
  <c r="BE2459"/>
  <c r="BG2459"/>
  <c r="M2460"/>
  <c r="O2460"/>
  <c r="Q2460"/>
  <c r="Y2460"/>
  <c r="AG2460"/>
  <c r="AI2460"/>
  <c r="AK2460"/>
  <c r="AM2460"/>
  <c r="AO2460"/>
  <c r="AQ2460"/>
  <c r="AS2460"/>
  <c r="AU2460"/>
  <c r="AW2460"/>
  <c r="AY2460"/>
  <c r="BA2460"/>
  <c r="BC2460"/>
  <c r="BE2460"/>
  <c r="BG2460"/>
  <c r="M2461"/>
  <c r="O2461"/>
  <c r="Q2461"/>
  <c r="Y2461"/>
  <c r="AG2461"/>
  <c r="AI2461"/>
  <c r="AK2461"/>
  <c r="AM2461"/>
  <c r="AO2461"/>
  <c r="AQ2461"/>
  <c r="AS2461"/>
  <c r="AU2461"/>
  <c r="AW2461"/>
  <c r="AY2461"/>
  <c r="BA2461"/>
  <c r="BC2461"/>
  <c r="BE2461"/>
  <c r="BG2461"/>
  <c r="M2462"/>
  <c r="O2462"/>
  <c r="Q2462"/>
  <c r="Y2462"/>
  <c r="AG2462"/>
  <c r="AI2462"/>
  <c r="AK2462"/>
  <c r="AM2462"/>
  <c r="AO2462"/>
  <c r="AQ2462"/>
  <c r="AS2462"/>
  <c r="AU2462"/>
  <c r="AW2462"/>
  <c r="AY2462"/>
  <c r="BA2462"/>
  <c r="BC2462"/>
  <c r="BE2462"/>
  <c r="BG2462"/>
  <c r="M2463"/>
  <c r="O2463"/>
  <c r="Q2463"/>
  <c r="Y2463"/>
  <c r="AG2463"/>
  <c r="AI2463"/>
  <c r="AK2463"/>
  <c r="AM2463"/>
  <c r="AO2463"/>
  <c r="AQ2463"/>
  <c r="AS2463"/>
  <c r="AU2463"/>
  <c r="AW2463"/>
  <c r="AY2463"/>
  <c r="BA2463"/>
  <c r="BC2463"/>
  <c r="BE2463"/>
  <c r="BG2463"/>
  <c r="M2464"/>
  <c r="O2464"/>
  <c r="Q2464"/>
  <c r="Y2464"/>
  <c r="AG2464"/>
  <c r="AI2464"/>
  <c r="AK2464"/>
  <c r="AM2464"/>
  <c r="AO2464"/>
  <c r="AQ2464"/>
  <c r="AS2464"/>
  <c r="AU2464"/>
  <c r="AW2464"/>
  <c r="AY2464"/>
  <c r="BA2464"/>
  <c r="BC2464"/>
  <c r="BE2464"/>
  <c r="BG2464"/>
  <c r="M2465"/>
  <c r="O2465"/>
  <c r="Q2465"/>
  <c r="Y2465"/>
  <c r="AG2465"/>
  <c r="AI2465"/>
  <c r="AK2465"/>
  <c r="AM2465"/>
  <c r="AO2465"/>
  <c r="AQ2465"/>
  <c r="AS2465"/>
  <c r="AU2465"/>
  <c r="AW2465"/>
  <c r="AY2465"/>
  <c r="BA2465"/>
  <c r="BC2465"/>
  <c r="BE2465"/>
  <c r="BG2465"/>
  <c r="M2466"/>
  <c r="O2466"/>
  <c r="Q2466"/>
  <c r="Y2466"/>
  <c r="AG2466"/>
  <c r="AI2466"/>
  <c r="AK2466"/>
  <c r="AM2466"/>
  <c r="AO2466"/>
  <c r="AQ2466"/>
  <c r="AS2466"/>
  <c r="AU2466"/>
  <c r="AW2466"/>
  <c r="AY2466"/>
  <c r="BA2466"/>
  <c r="BC2466"/>
  <c r="BE2466"/>
  <c r="BG2466"/>
  <c r="M2467"/>
  <c r="O2467"/>
  <c r="Q2467"/>
  <c r="Y2467"/>
  <c r="AG2467"/>
  <c r="AI2467"/>
  <c r="AK2467"/>
  <c r="AM2467"/>
  <c r="AO2467"/>
  <c r="AQ2467"/>
  <c r="AS2467"/>
  <c r="AU2467"/>
  <c r="AW2467"/>
  <c r="AY2467"/>
  <c r="BA2467"/>
  <c r="BC2467"/>
  <c r="BE2467"/>
  <c r="BG2467"/>
  <c r="M2468"/>
  <c r="O2468"/>
  <c r="Q2468"/>
  <c r="Y2468"/>
  <c r="AG2468"/>
  <c r="AI2468"/>
  <c r="AK2468"/>
  <c r="AM2468"/>
  <c r="AO2468"/>
  <c r="AQ2468"/>
  <c r="AS2468"/>
  <c r="AU2468"/>
  <c r="AW2468"/>
  <c r="AY2468"/>
  <c r="BA2468"/>
  <c r="BC2468"/>
  <c r="BE2468"/>
  <c r="BG2468"/>
  <c r="M2469"/>
  <c r="O2469"/>
  <c r="Q2469"/>
  <c r="Y2469"/>
  <c r="AG2469"/>
  <c r="AI2469"/>
  <c r="AK2469"/>
  <c r="AM2469"/>
  <c r="AO2469"/>
  <c r="AQ2469"/>
  <c r="AS2469"/>
  <c r="AU2469"/>
  <c r="AW2469"/>
  <c r="AY2469"/>
  <c r="BA2469"/>
  <c r="BC2469"/>
  <c r="BE2469"/>
  <c r="BG2469"/>
  <c r="M2470"/>
  <c r="O2470"/>
  <c r="Q2470"/>
  <c r="Y2470"/>
  <c r="AG2470"/>
  <c r="AI2470"/>
  <c r="AK2470"/>
  <c r="AM2470"/>
  <c r="AO2470"/>
  <c r="AQ2470"/>
  <c r="AS2470"/>
  <c r="AU2470"/>
  <c r="AW2470"/>
  <c r="AY2470"/>
  <c r="BA2470"/>
  <c r="BC2470"/>
  <c r="BE2470"/>
  <c r="BG2470"/>
  <c r="M2471"/>
  <c r="O2471"/>
  <c r="Q2471"/>
  <c r="Y2471"/>
  <c r="AG2471"/>
  <c r="AI2471"/>
  <c r="AK2471"/>
  <c r="AM2471"/>
  <c r="AO2471"/>
  <c r="AQ2471"/>
  <c r="AS2471"/>
  <c r="AU2471"/>
  <c r="AW2471"/>
  <c r="AY2471"/>
  <c r="BA2471"/>
  <c r="BC2471"/>
  <c r="BE2471"/>
  <c r="BG2471"/>
  <c r="M2472"/>
  <c r="O2472"/>
  <c r="Q2472"/>
  <c r="Y2472"/>
  <c r="AG2472"/>
  <c r="AI2472"/>
  <c r="AK2472"/>
  <c r="AM2472"/>
  <c r="AO2472"/>
  <c r="AQ2472"/>
  <c r="AS2472"/>
  <c r="AU2472"/>
  <c r="AW2472"/>
  <c r="AY2472"/>
  <c r="BA2472"/>
  <c r="BC2472"/>
  <c r="BE2472"/>
  <c r="BG2472"/>
  <c r="M2473"/>
  <c r="O2473"/>
  <c r="Q2473"/>
  <c r="Y2473"/>
  <c r="AG2473"/>
  <c r="AI2473"/>
  <c r="AK2473"/>
  <c r="AM2473"/>
  <c r="AO2473"/>
  <c r="AQ2473"/>
  <c r="AS2473"/>
  <c r="AU2473"/>
  <c r="AW2473"/>
  <c r="AY2473"/>
  <c r="BA2473"/>
  <c r="BC2473"/>
  <c r="BE2473"/>
  <c r="BG2473"/>
  <c r="M2474"/>
  <c r="O2474"/>
  <c r="Q2474"/>
  <c r="Y2474"/>
  <c r="AG2474"/>
  <c r="AI2474"/>
  <c r="AK2474"/>
  <c r="AM2474"/>
  <c r="AO2474"/>
  <c r="AQ2474"/>
  <c r="AS2474"/>
  <c r="AU2474"/>
  <c r="AW2474"/>
  <c r="AY2474"/>
  <c r="BA2474"/>
  <c r="BC2474"/>
  <c r="BE2474"/>
  <c r="BG2474"/>
  <c r="M2475"/>
  <c r="O2475"/>
  <c r="Q2475"/>
  <c r="Y2475"/>
  <c r="AG2475"/>
  <c r="AI2475"/>
  <c r="AK2475"/>
  <c r="AM2475"/>
  <c r="AO2475"/>
  <c r="AQ2475"/>
  <c r="AS2475"/>
  <c r="AU2475"/>
  <c r="AW2475"/>
  <c r="AY2475"/>
  <c r="BA2475"/>
  <c r="BC2475"/>
  <c r="BE2475"/>
  <c r="BG2475"/>
  <c r="M2476"/>
  <c r="O2476"/>
  <c r="Y2476"/>
  <c r="AG2476"/>
  <c r="AI2476"/>
  <c r="AK2476"/>
  <c r="AM2476"/>
  <c r="AO2476"/>
  <c r="AQ2476"/>
  <c r="AS2476"/>
  <c r="AU2476"/>
  <c r="AW2476"/>
  <c r="AY2476"/>
  <c r="BA2476"/>
  <c r="BC2476"/>
  <c r="BE2476"/>
  <c r="BG2476"/>
  <c r="M2477"/>
  <c r="O2477"/>
  <c r="Q2477"/>
  <c r="Y2477"/>
  <c r="AG2477"/>
  <c r="AI2477"/>
  <c r="AK2477"/>
  <c r="AM2477"/>
  <c r="AO2477"/>
  <c r="AQ2477"/>
  <c r="AS2477"/>
  <c r="AU2477"/>
  <c r="AW2477"/>
  <c r="AY2477"/>
  <c r="BA2477"/>
  <c r="BC2477"/>
  <c r="BE2477"/>
  <c r="BG2477"/>
  <c r="M2478"/>
  <c r="O2478"/>
  <c r="Q2478"/>
  <c r="Y2478"/>
  <c r="AG2478"/>
  <c r="AI2478"/>
  <c r="AK2478"/>
  <c r="AO2478"/>
  <c r="AQ2478"/>
  <c r="AS2478"/>
  <c r="AU2478"/>
  <c r="AW2478"/>
  <c r="AY2478"/>
  <c r="BA2478"/>
  <c r="BC2478"/>
  <c r="BE2478"/>
  <c r="BG2478"/>
  <c r="M2479"/>
  <c r="O2479"/>
  <c r="Q2479"/>
  <c r="Y2479"/>
  <c r="AG2479"/>
  <c r="AI2479"/>
  <c r="AK2479"/>
  <c r="AO2479"/>
  <c r="AQ2479"/>
  <c r="AS2479"/>
  <c r="AU2479"/>
  <c r="AW2479"/>
  <c r="AY2479"/>
  <c r="BA2479"/>
  <c r="BC2479"/>
  <c r="BE2479"/>
  <c r="BG2479"/>
  <c r="M2480"/>
  <c r="O2480"/>
  <c r="Q2480"/>
  <c r="Y2480"/>
  <c r="AG2480"/>
  <c r="AI2480"/>
  <c r="AK2480"/>
  <c r="AO2480"/>
  <c r="AQ2480"/>
  <c r="AS2480"/>
  <c r="AU2480"/>
  <c r="AW2480"/>
  <c r="AY2480"/>
  <c r="BA2480"/>
  <c r="BC2480"/>
  <c r="BE2480"/>
  <c r="BG2480"/>
  <c r="N2481"/>
  <c r="X2481"/>
  <c r="BN2481" s="1"/>
  <c r="AH2481"/>
  <c r="AP2481"/>
  <c r="N2482"/>
  <c r="X2482"/>
  <c r="BN2482" s="1"/>
  <c r="AH2482"/>
  <c r="AP2482"/>
  <c r="M2496"/>
  <c r="O2496"/>
  <c r="Q2496"/>
  <c r="Y2496"/>
  <c r="AG2496"/>
  <c r="AI2496"/>
  <c r="AK2496"/>
  <c r="AM2496"/>
  <c r="AO2496"/>
  <c r="AQ2496"/>
  <c r="AS2496"/>
  <c r="AU2496"/>
  <c r="AW2496"/>
  <c r="AY2496"/>
  <c r="BA2496"/>
  <c r="BC2496"/>
  <c r="BE2496"/>
  <c r="BG2496"/>
  <c r="M2497"/>
  <c r="O2497"/>
  <c r="Q2497"/>
  <c r="Y2497"/>
  <c r="AG2497"/>
  <c r="AI2497"/>
  <c r="AK2497"/>
  <c r="AM2497"/>
  <c r="AO2497"/>
  <c r="AQ2497"/>
  <c r="AS2497"/>
  <c r="AU2497"/>
  <c r="AW2497"/>
  <c r="AY2497"/>
  <c r="BA2497"/>
  <c r="BC2497"/>
  <c r="BE2497"/>
  <c r="BG2497"/>
  <c r="M2498"/>
  <c r="O2498"/>
  <c r="Q2498"/>
  <c r="Y2498"/>
  <c r="AG2498"/>
  <c r="AI2498"/>
  <c r="AK2498"/>
  <c r="AM2498"/>
  <c r="AO2498"/>
  <c r="AQ2498"/>
  <c r="AS2498"/>
  <c r="AU2498"/>
  <c r="AW2498"/>
  <c r="AY2498"/>
  <c r="BA2498"/>
  <c r="BC2498"/>
  <c r="BE2498"/>
  <c r="BG2498"/>
  <c r="M2499"/>
  <c r="O2499"/>
  <c r="Q2499"/>
  <c r="Y2499"/>
  <c r="AG2499"/>
  <c r="AI2499"/>
  <c r="AK2499"/>
  <c r="AM2499"/>
  <c r="AO2499"/>
  <c r="AQ2499"/>
  <c r="AS2499"/>
  <c r="AU2499"/>
  <c r="AW2499"/>
  <c r="AY2499"/>
  <c r="BA2499"/>
  <c r="BC2499"/>
  <c r="BE2499"/>
  <c r="BG2499"/>
  <c r="M2500"/>
  <c r="O2500"/>
  <c r="Q2500"/>
  <c r="Y2500"/>
  <c r="AG2500"/>
  <c r="AI2500"/>
  <c r="AK2500"/>
  <c r="AM2500"/>
  <c r="AO2500"/>
  <c r="AQ2500"/>
  <c r="AS2500"/>
  <c r="AU2500"/>
  <c r="AW2500"/>
  <c r="AY2500"/>
  <c r="BA2500"/>
  <c r="BC2500"/>
  <c r="BE2500"/>
  <c r="BG2500"/>
  <c r="M2501"/>
  <c r="O2501"/>
  <c r="Q2501"/>
  <c r="Y2501"/>
  <c r="AG2501"/>
  <c r="AI2501"/>
  <c r="AK2501"/>
  <c r="AM2501"/>
  <c r="AO2501"/>
  <c r="AQ2501"/>
  <c r="AS2501"/>
  <c r="AU2501"/>
  <c r="AW2501"/>
  <c r="AY2501"/>
  <c r="BA2501"/>
  <c r="BC2501"/>
  <c r="BE2501"/>
  <c r="BG2501"/>
  <c r="M2502"/>
  <c r="O2502"/>
  <c r="Q2502"/>
  <c r="Y2502"/>
  <c r="AG2502"/>
  <c r="AI2502"/>
  <c r="AK2502"/>
  <c r="AM2502"/>
  <c r="AO2502"/>
  <c r="AQ2502"/>
  <c r="AS2502"/>
  <c r="AU2502"/>
  <c r="AW2502"/>
  <c r="AY2502"/>
  <c r="BA2502"/>
  <c r="BC2502"/>
  <c r="BE2502"/>
  <c r="BG2502"/>
  <c r="M2503"/>
  <c r="O2503"/>
  <c r="Q2503"/>
  <c r="Y2503"/>
  <c r="AG2503"/>
  <c r="AI2503"/>
  <c r="AK2503"/>
  <c r="AM2503"/>
  <c r="AO2503"/>
  <c r="AQ2503"/>
  <c r="AS2503"/>
  <c r="AU2503"/>
  <c r="AW2503"/>
  <c r="AY2503"/>
  <c r="BA2503"/>
  <c r="BC2503"/>
  <c r="BE2503"/>
  <c r="BG2503"/>
  <c r="M2504"/>
  <c r="O2504"/>
  <c r="Q2504"/>
  <c r="Y2504"/>
  <c r="AG2504"/>
  <c r="AI2504"/>
  <c r="AK2504"/>
  <c r="AM2504"/>
  <c r="AO2504"/>
  <c r="AQ2504"/>
  <c r="AS2504"/>
  <c r="AU2504"/>
  <c r="AW2504"/>
  <c r="AY2504"/>
  <c r="BA2504"/>
  <c r="BC2504"/>
  <c r="BE2504"/>
  <c r="BG2504"/>
  <c r="M2505"/>
  <c r="O2505"/>
  <c r="Q2505"/>
  <c r="Y2505"/>
  <c r="AG2505"/>
  <c r="AI2505"/>
  <c r="AK2505"/>
  <c r="AM2505"/>
  <c r="AO2505"/>
  <c r="AQ2505"/>
  <c r="AS2505"/>
  <c r="AU2505"/>
  <c r="AW2505"/>
  <c r="AY2505"/>
  <c r="BA2505"/>
  <c r="BC2505"/>
  <c r="BE2505"/>
  <c r="BG2505"/>
  <c r="M2506"/>
  <c r="O2506"/>
  <c r="Q2506"/>
  <c r="Y2506"/>
  <c r="AG2506"/>
  <c r="AI2506"/>
  <c r="AK2506"/>
  <c r="AM2506"/>
  <c r="AO2506"/>
  <c r="AQ2506"/>
  <c r="AS2506"/>
  <c r="AU2506"/>
  <c r="AW2506"/>
  <c r="AY2506"/>
  <c r="BA2506"/>
  <c r="BC2506"/>
  <c r="BE2506"/>
  <c r="BG2506"/>
  <c r="M2507"/>
  <c r="O2507"/>
  <c r="Q2507"/>
  <c r="Y2507"/>
  <c r="AG2507"/>
  <c r="AI2507"/>
  <c r="AK2507"/>
  <c r="AM2507"/>
  <c r="AO2507"/>
  <c r="AQ2507"/>
  <c r="AS2507"/>
  <c r="AU2507"/>
  <c r="AW2507"/>
  <c r="AY2507"/>
  <c r="BA2507"/>
  <c r="BC2507"/>
  <c r="BE2507"/>
  <c r="BG2507"/>
  <c r="M2508"/>
  <c r="O2508"/>
  <c r="Q2508"/>
  <c r="Y2508"/>
  <c r="AG2508"/>
  <c r="AI2508"/>
  <c r="AK2508"/>
  <c r="AM2508"/>
  <c r="AO2508"/>
  <c r="AQ2508"/>
  <c r="AS2508"/>
  <c r="AU2508"/>
  <c r="AW2508"/>
  <c r="AY2508"/>
  <c r="BA2508"/>
  <c r="BC2508"/>
  <c r="BE2508"/>
  <c r="BG2508"/>
  <c r="M2509"/>
  <c r="O2509"/>
  <c r="Q2509"/>
  <c r="Y2509"/>
  <c r="AG2509"/>
  <c r="AI2509"/>
  <c r="AK2509"/>
  <c r="AM2509"/>
  <c r="AO2509"/>
  <c r="AQ2509"/>
  <c r="AS2509"/>
  <c r="AU2509"/>
  <c r="AW2509"/>
  <c r="AY2509"/>
  <c r="BA2509"/>
  <c r="BC2509"/>
  <c r="BE2509"/>
  <c r="BG2509"/>
  <c r="M2510"/>
  <c r="O2510"/>
  <c r="Q2510"/>
  <c r="Y2510"/>
  <c r="AG2510"/>
  <c r="AI2510"/>
  <c r="AK2510"/>
  <c r="AM2510"/>
  <c r="AO2510"/>
  <c r="AQ2510"/>
  <c r="AS2510"/>
  <c r="AU2510"/>
  <c r="AW2510"/>
  <c r="AY2510"/>
  <c r="BA2510"/>
  <c r="BC2510"/>
  <c r="BE2510"/>
  <c r="BG2510"/>
  <c r="M2511"/>
  <c r="O2511"/>
  <c r="Q2511"/>
  <c r="Y2511"/>
  <c r="AG2511"/>
  <c r="AI2511"/>
  <c r="AK2511"/>
  <c r="AM2511"/>
  <c r="AO2511"/>
  <c r="AQ2511"/>
  <c r="AS2511"/>
  <c r="AU2511"/>
  <c r="AW2511"/>
  <c r="AY2511"/>
  <c r="BA2511"/>
  <c r="BC2511"/>
  <c r="BE2511"/>
  <c r="BG2511"/>
  <c r="M2512"/>
  <c r="O2512"/>
  <c r="Q2512"/>
  <c r="Y2512"/>
  <c r="AG2512"/>
  <c r="AI2512"/>
  <c r="AK2512"/>
  <c r="AM2512"/>
  <c r="AO2512"/>
  <c r="AQ2512"/>
  <c r="AS2512"/>
  <c r="AU2512"/>
  <c r="AW2512"/>
  <c r="AY2512"/>
  <c r="BA2512"/>
  <c r="BC2512"/>
  <c r="BE2512"/>
  <c r="BG2512"/>
  <c r="M2513"/>
  <c r="O2513"/>
  <c r="Q2513"/>
  <c r="Y2513"/>
  <c r="AG2513"/>
  <c r="AI2513"/>
  <c r="AK2513"/>
  <c r="AM2513"/>
  <c r="AO2513"/>
  <c r="AQ2513"/>
  <c r="AS2513"/>
  <c r="AU2513"/>
  <c r="AW2513"/>
  <c r="AY2513"/>
  <c r="BA2513"/>
  <c r="BC2513"/>
  <c r="BE2513"/>
  <c r="BG2513"/>
  <c r="M2514"/>
  <c r="O2514"/>
  <c r="Q2514"/>
  <c r="Y2514"/>
  <c r="AG2514"/>
  <c r="AI2514"/>
  <c r="AK2514"/>
  <c r="AM2514"/>
  <c r="AO2514"/>
  <c r="AQ2514"/>
  <c r="AS2514"/>
  <c r="AU2514"/>
  <c r="AW2514"/>
  <c r="AY2514"/>
  <c r="BA2514"/>
  <c r="BC2514"/>
  <c r="BE2514"/>
  <c r="BG2514"/>
  <c r="M2515"/>
  <c r="O2515"/>
  <c r="Q2515"/>
  <c r="Y2515"/>
  <c r="AG2515"/>
  <c r="AI2515"/>
  <c r="AK2515"/>
  <c r="AM2515"/>
  <c r="AO2515"/>
  <c r="AQ2515"/>
  <c r="AS2515"/>
  <c r="AU2515"/>
  <c r="AW2515"/>
  <c r="AY2515"/>
  <c r="BA2515"/>
  <c r="BC2515"/>
  <c r="BE2515"/>
  <c r="BG2515"/>
  <c r="M2516"/>
  <c r="O2516"/>
  <c r="Q2516"/>
  <c r="Y2516"/>
  <c r="AG2516"/>
  <c r="AI2516"/>
  <c r="AK2516"/>
  <c r="AM2516"/>
  <c r="AO2516"/>
  <c r="AQ2516"/>
  <c r="AS2516"/>
  <c r="AU2516"/>
  <c r="AW2516"/>
  <c r="AY2516"/>
  <c r="BA2516"/>
  <c r="BC2516"/>
  <c r="BE2516"/>
  <c r="BG2516"/>
  <c r="M2517"/>
  <c r="O2517"/>
  <c r="Q2517"/>
  <c r="Y2517"/>
  <c r="AG2517"/>
  <c r="AI2517"/>
  <c r="AK2517"/>
  <c r="AM2517"/>
  <c r="AO2517"/>
  <c r="AQ2517"/>
  <c r="AS2517"/>
  <c r="AU2517"/>
  <c r="AW2517"/>
  <c r="AY2517"/>
  <c r="BA2517"/>
  <c r="BC2517"/>
  <c r="BE2517"/>
  <c r="BG2517"/>
  <c r="M2518"/>
  <c r="O2518"/>
  <c r="Q2518"/>
  <c r="Y2518"/>
  <c r="AG2518"/>
  <c r="AI2518"/>
  <c r="AK2518"/>
  <c r="AM2518"/>
  <c r="AO2518"/>
  <c r="AQ2518"/>
  <c r="AS2518"/>
  <c r="AU2518"/>
  <c r="AW2518"/>
  <c r="AY2518"/>
  <c r="BA2518"/>
  <c r="BC2518"/>
  <c r="BE2518"/>
  <c r="BG2518"/>
  <c r="M2519"/>
  <c r="O2519"/>
  <c r="Q2519"/>
  <c r="Y2519"/>
  <c r="AG2519"/>
  <c r="AI2519"/>
  <c r="AK2519"/>
  <c r="AM2519"/>
  <c r="AO2519"/>
  <c r="AQ2519"/>
  <c r="AS2519"/>
  <c r="AU2519"/>
  <c r="AW2519"/>
  <c r="AY2519"/>
  <c r="BA2519"/>
  <c r="BC2519"/>
  <c r="BE2519"/>
  <c r="BG2519"/>
  <c r="M2520"/>
  <c r="O2520"/>
  <c r="Q2520"/>
  <c r="Y2520"/>
  <c r="AG2520"/>
  <c r="AI2520"/>
  <c r="AK2520"/>
  <c r="AM2520"/>
  <c r="AO2520"/>
  <c r="AQ2520"/>
  <c r="AS2520"/>
  <c r="AU2520"/>
  <c r="AW2520"/>
  <c r="AY2520"/>
  <c r="BA2520"/>
  <c r="BC2520"/>
  <c r="BE2520"/>
  <c r="BG2520"/>
  <c r="M2521"/>
  <c r="O2521"/>
  <c r="Q2521"/>
  <c r="Y2521"/>
  <c r="AG2521"/>
  <c r="AI2521"/>
  <c r="AK2521"/>
  <c r="AM2521"/>
  <c r="AO2521"/>
  <c r="AQ2521"/>
  <c r="AS2521"/>
  <c r="AU2521"/>
  <c r="AW2521"/>
  <c r="AY2521"/>
  <c r="BA2521"/>
  <c r="BC2521"/>
  <c r="BE2521"/>
  <c r="BG2521"/>
  <c r="M2522"/>
  <c r="O2522"/>
  <c r="Q2522"/>
  <c r="Y2522"/>
  <c r="AG2522"/>
  <c r="AI2522"/>
  <c r="AK2522"/>
  <c r="AM2522"/>
  <c r="AO2522"/>
  <c r="AQ2522"/>
  <c r="AS2522"/>
  <c r="AU2522"/>
  <c r="AW2522"/>
  <c r="AY2522"/>
  <c r="BA2522"/>
  <c r="BC2522"/>
  <c r="BE2522"/>
  <c r="BG2522"/>
  <c r="M2523"/>
  <c r="O2523"/>
  <c r="Q2523"/>
  <c r="Y2523"/>
  <c r="AG2523"/>
  <c r="AI2523"/>
  <c r="AK2523"/>
  <c r="AM2523"/>
  <c r="AO2523"/>
  <c r="AQ2523"/>
  <c r="AS2523"/>
  <c r="AU2523"/>
  <c r="AW2523"/>
  <c r="AY2523"/>
  <c r="BA2523"/>
  <c r="BC2523"/>
  <c r="BE2523"/>
  <c r="BG2523"/>
  <c r="M2524"/>
  <c r="O2524"/>
  <c r="Q2524"/>
  <c r="Y2524"/>
  <c r="AG2524"/>
  <c r="AI2524"/>
  <c r="AK2524"/>
  <c r="AM2524"/>
  <c r="AO2524"/>
  <c r="AQ2524"/>
  <c r="AS2524"/>
  <c r="AU2524"/>
  <c r="AW2524"/>
  <c r="AY2524"/>
  <c r="BA2524"/>
  <c r="BC2524"/>
  <c r="BE2524"/>
  <c r="BG2524"/>
  <c r="M2525"/>
  <c r="O2525"/>
  <c r="Q2525"/>
  <c r="Y2525"/>
  <c r="AG2525"/>
  <c r="AI2525"/>
  <c r="AK2525"/>
  <c r="AM2525"/>
  <c r="AO2525"/>
  <c r="AQ2525"/>
  <c r="AS2525"/>
  <c r="AU2525"/>
  <c r="AW2525"/>
  <c r="AY2525"/>
  <c r="BA2525"/>
  <c r="BC2525"/>
  <c r="BE2525"/>
  <c r="BG2525"/>
  <c r="M2526"/>
  <c r="O2526"/>
  <c r="Q2526"/>
  <c r="Y2526"/>
  <c r="AG2526"/>
  <c r="AI2526"/>
  <c r="AK2526"/>
  <c r="AM2526"/>
  <c r="AO2526"/>
  <c r="AQ2526"/>
  <c r="AS2526"/>
  <c r="AU2526"/>
  <c r="AW2526"/>
  <c r="AY2526"/>
  <c r="BA2526"/>
  <c r="BC2526"/>
  <c r="BE2526"/>
  <c r="BG2526"/>
  <c r="M2527"/>
  <c r="O2527"/>
  <c r="Q2527"/>
  <c r="Y2527"/>
  <c r="AG2527"/>
  <c r="AI2527"/>
  <c r="AK2527"/>
  <c r="AM2527"/>
  <c r="AO2527"/>
  <c r="AQ2527"/>
  <c r="AS2527"/>
  <c r="AU2527"/>
  <c r="AW2527"/>
  <c r="AY2527"/>
  <c r="BA2527"/>
  <c r="BC2527"/>
  <c r="BE2527"/>
  <c r="BG2527"/>
  <c r="M2528"/>
  <c r="O2528"/>
  <c r="Q2528"/>
  <c r="Y2528"/>
  <c r="AG2528"/>
  <c r="AI2528"/>
  <c r="AK2528"/>
  <c r="AM2528"/>
  <c r="AO2528"/>
  <c r="AQ2528"/>
  <c r="AS2528"/>
  <c r="AU2528"/>
  <c r="AW2528"/>
  <c r="AY2528"/>
  <c r="BA2528"/>
  <c r="BC2528"/>
  <c r="BE2528"/>
  <c r="BG2528"/>
  <c r="M2529"/>
  <c r="O2529"/>
  <c r="P2529"/>
  <c r="Y2529"/>
  <c r="AG2529"/>
  <c r="AI2529"/>
  <c r="AK2529"/>
  <c r="AM2529"/>
  <c r="AO2529"/>
  <c r="AQ2529"/>
  <c r="AS2529"/>
  <c r="AU2529"/>
  <c r="AW2529"/>
  <c r="AY2529"/>
  <c r="BA2529"/>
  <c r="BC2529"/>
  <c r="BE2529"/>
  <c r="BG2529"/>
  <c r="M2530"/>
  <c r="O2530"/>
  <c r="Q2530"/>
  <c r="Y2530"/>
  <c r="AG2530"/>
  <c r="AI2530"/>
  <c r="AK2530"/>
  <c r="AM2530"/>
  <c r="AO2530"/>
  <c r="AQ2530"/>
  <c r="AS2530"/>
  <c r="AU2530"/>
  <c r="AW2530"/>
  <c r="AY2530"/>
  <c r="BA2530"/>
  <c r="BC2530"/>
  <c r="BE2530"/>
  <c r="BG2530"/>
  <c r="M2531"/>
  <c r="O2531"/>
  <c r="Q2531"/>
  <c r="Y2531"/>
  <c r="AG2531"/>
  <c r="AI2531"/>
  <c r="AK2531"/>
  <c r="AM2531"/>
  <c r="AO2531"/>
  <c r="AQ2531"/>
  <c r="AS2531"/>
  <c r="AU2531"/>
  <c r="AW2531"/>
  <c r="AY2531"/>
  <c r="BA2531"/>
  <c r="BC2531"/>
  <c r="BE2531"/>
  <c r="BG2531"/>
  <c r="M2532"/>
  <c r="O2532"/>
  <c r="Q2532"/>
  <c r="Y2532"/>
  <c r="AG2532"/>
  <c r="AI2532"/>
  <c r="AK2532"/>
  <c r="AM2532"/>
  <c r="AO2532"/>
  <c r="AQ2532"/>
  <c r="AS2532"/>
  <c r="AU2532"/>
  <c r="AW2532"/>
  <c r="AY2532"/>
  <c r="BA2532"/>
  <c r="BC2532"/>
  <c r="BE2532"/>
  <c r="BG2532"/>
  <c r="M2533"/>
  <c r="O2533"/>
  <c r="P2533"/>
  <c r="X2533"/>
  <c r="AG2533"/>
  <c r="AI2533"/>
  <c r="AK2533"/>
  <c r="AM2533"/>
  <c r="AO2533"/>
  <c r="AQ2533"/>
  <c r="AS2533"/>
  <c r="AU2533"/>
  <c r="AW2533"/>
  <c r="AY2533"/>
  <c r="BA2533"/>
  <c r="BC2533"/>
  <c r="BE2533"/>
  <c r="BG2533"/>
  <c r="M2534"/>
  <c r="O2534"/>
  <c r="X2534"/>
  <c r="AG2534"/>
  <c r="AI2534"/>
  <c r="AK2534"/>
  <c r="AM2534"/>
  <c r="AO2534"/>
  <c r="AQ2534"/>
  <c r="AS2534"/>
  <c r="AU2534"/>
  <c r="AW2534"/>
  <c r="AY2534"/>
  <c r="BA2534"/>
  <c r="BC2534"/>
  <c r="BE2534"/>
  <c r="BG2534"/>
  <c r="M2535"/>
  <c r="O2535"/>
  <c r="P2535"/>
  <c r="Y2535"/>
  <c r="AG2535"/>
  <c r="AI2535"/>
  <c r="AK2535"/>
  <c r="AM2535"/>
  <c r="AO2535"/>
  <c r="AQ2535"/>
  <c r="AS2535"/>
  <c r="AU2535"/>
  <c r="AW2535"/>
  <c r="AY2535"/>
  <c r="BA2535"/>
  <c r="BC2535"/>
  <c r="BE2535"/>
  <c r="BG2535"/>
  <c r="M2536"/>
  <c r="O2536"/>
  <c r="P2536"/>
  <c r="Y2536"/>
  <c r="AG2536"/>
  <c r="AI2536"/>
  <c r="AK2536"/>
  <c r="AM2536"/>
  <c r="AO2536"/>
  <c r="AQ2536"/>
  <c r="AS2536"/>
  <c r="AU2536"/>
  <c r="AW2536"/>
  <c r="AY2536"/>
  <c r="BA2536"/>
  <c r="BC2536"/>
  <c r="BE2536"/>
  <c r="BG2536"/>
  <c r="M2537"/>
  <c r="O2537"/>
  <c r="P2537"/>
  <c r="Y2537"/>
  <c r="AG2537"/>
  <c r="AI2537"/>
  <c r="AK2537"/>
  <c r="AM2537"/>
  <c r="AO2537"/>
  <c r="AQ2537"/>
  <c r="AS2537"/>
  <c r="AU2537"/>
  <c r="AW2537"/>
  <c r="AY2537"/>
  <c r="BA2537"/>
  <c r="BC2537"/>
  <c r="BE2537"/>
  <c r="BG2537"/>
  <c r="M2538"/>
  <c r="O2538"/>
  <c r="P2538"/>
  <c r="Y2538"/>
  <c r="AG2538"/>
  <c r="AI2538"/>
  <c r="AK2538"/>
  <c r="AM2538"/>
  <c r="AO2538"/>
  <c r="AQ2538"/>
  <c r="AS2538"/>
  <c r="AU2538"/>
  <c r="AW2538"/>
  <c r="AY2538"/>
  <c r="BA2538"/>
  <c r="BC2538"/>
  <c r="BE2538"/>
  <c r="BG2538"/>
  <c r="L2539"/>
  <c r="N2539"/>
  <c r="R2539"/>
  <c r="T2539"/>
  <c r="V2539"/>
  <c r="X2539"/>
  <c r="AF2539"/>
  <c r="AH2539"/>
  <c r="AJ2539"/>
  <c r="AL2539"/>
  <c r="AV2539"/>
  <c r="AX2539"/>
  <c r="L2540"/>
  <c r="N2540"/>
  <c r="R2540"/>
  <c r="T2540"/>
  <c r="V2540"/>
  <c r="X2540"/>
  <c r="AF2540"/>
  <c r="AH2540"/>
  <c r="AJ2540"/>
  <c r="AL2540"/>
  <c r="AV2540"/>
  <c r="AX2540"/>
  <c r="L2541"/>
  <c r="O2541"/>
  <c r="BQ2541" s="1"/>
  <c r="R2541"/>
  <c r="T2541"/>
  <c r="V2541"/>
  <c r="X2541"/>
  <c r="AF2541"/>
  <c r="AH2541"/>
  <c r="AJ2541"/>
  <c r="AL2541"/>
  <c r="AV2541"/>
  <c r="AX2541"/>
  <c r="L2542"/>
  <c r="R2542"/>
  <c r="T2542"/>
  <c r="V2542"/>
  <c r="X2542"/>
  <c r="AF2542"/>
  <c r="AH2542"/>
  <c r="AJ2542"/>
  <c r="AL2542"/>
  <c r="L2543"/>
  <c r="N2543"/>
  <c r="R2543"/>
  <c r="T2543"/>
  <c r="V2543"/>
  <c r="X2543"/>
  <c r="AF2543"/>
  <c r="AH2543"/>
  <c r="AJ2543"/>
  <c r="AL2543"/>
  <c r="AX2543"/>
  <c r="M2554"/>
  <c r="O2554"/>
  <c r="Q2554"/>
  <c r="Y2554"/>
  <c r="AG2554"/>
  <c r="AI2554"/>
  <c r="AK2554"/>
  <c r="AM2554"/>
  <c r="AO2554"/>
  <c r="AQ2554"/>
  <c r="AS2554"/>
  <c r="AU2554"/>
  <c r="AW2554"/>
  <c r="AY2554"/>
  <c r="BA2554"/>
  <c r="BC2554"/>
  <c r="BE2554"/>
  <c r="BG2554"/>
  <c r="M2555"/>
  <c r="O2555"/>
  <c r="Q2555"/>
  <c r="Y2555"/>
  <c r="AG2555"/>
  <c r="AI2555"/>
  <c r="AK2555"/>
  <c r="AM2555"/>
  <c r="AO2555"/>
  <c r="AQ2555"/>
  <c r="AS2555"/>
  <c r="AU2555"/>
  <c r="AW2555"/>
  <c r="AY2555"/>
  <c r="BA2555"/>
  <c r="BC2555"/>
  <c r="BE2555"/>
  <c r="BG2555"/>
  <c r="M2556"/>
  <c r="O2556"/>
  <c r="Q2556"/>
  <c r="Y2556"/>
  <c r="AG2556"/>
  <c r="AI2556"/>
  <c r="AK2556"/>
  <c r="AM2556"/>
  <c r="AO2556"/>
  <c r="AQ2556"/>
  <c r="AS2556"/>
  <c r="AU2556"/>
  <c r="AW2556"/>
  <c r="AY2556"/>
  <c r="BA2556"/>
  <c r="BC2556"/>
  <c r="BE2556"/>
  <c r="BG2556"/>
  <c r="M2557"/>
  <c r="O2557"/>
  <c r="Q2557"/>
  <c r="Y2557"/>
  <c r="AG2557"/>
  <c r="AI2557"/>
  <c r="AK2557"/>
  <c r="AM2557"/>
  <c r="AO2557"/>
  <c r="AQ2557"/>
  <c r="AS2557"/>
  <c r="AU2557"/>
  <c r="AW2557"/>
  <c r="AY2557"/>
  <c r="BA2557"/>
  <c r="BC2557"/>
  <c r="BE2557"/>
  <c r="BG2557"/>
  <c r="M2558"/>
  <c r="O2558"/>
  <c r="Q2558"/>
  <c r="Y2558"/>
  <c r="AG2558"/>
  <c r="AI2558"/>
  <c r="AK2558"/>
  <c r="AM2558"/>
  <c r="AO2558"/>
  <c r="AQ2558"/>
  <c r="AS2558"/>
  <c r="AU2558"/>
  <c r="AW2558"/>
  <c r="AY2558"/>
  <c r="BA2558"/>
  <c r="BC2558"/>
  <c r="BE2558"/>
  <c r="BG2558"/>
  <c r="M2559"/>
  <c r="O2559"/>
  <c r="Q2559"/>
  <c r="Y2559"/>
  <c r="AG2559"/>
  <c r="AI2559"/>
  <c r="AK2559"/>
  <c r="AM2559"/>
  <c r="AO2559"/>
  <c r="AQ2559"/>
  <c r="AS2559"/>
  <c r="AU2559"/>
  <c r="AW2559"/>
  <c r="AY2559"/>
  <c r="BA2559"/>
  <c r="BC2559"/>
  <c r="BE2559"/>
  <c r="BG2559"/>
  <c r="M2560"/>
  <c r="O2560"/>
  <c r="Q2560"/>
  <c r="Y2560"/>
  <c r="AG2560"/>
  <c r="AI2560"/>
  <c r="AK2560"/>
  <c r="AM2560"/>
  <c r="AO2560"/>
  <c r="AQ2560"/>
  <c r="AS2560"/>
  <c r="AU2560"/>
  <c r="AW2560"/>
  <c r="AY2560"/>
  <c r="BA2560"/>
  <c r="BC2560"/>
  <c r="BE2560"/>
  <c r="BG2560"/>
  <c r="M2561"/>
  <c r="O2561"/>
  <c r="Q2561"/>
  <c r="Y2561"/>
  <c r="AG2561"/>
  <c r="AI2561"/>
  <c r="AK2561"/>
  <c r="AM2561"/>
  <c r="AO2561"/>
  <c r="AQ2561"/>
  <c r="AS2561"/>
  <c r="AU2561"/>
  <c r="AW2561"/>
  <c r="AY2561"/>
  <c r="BA2561"/>
  <c r="BC2561"/>
  <c r="BE2561"/>
  <c r="BG2561"/>
  <c r="M2562"/>
  <c r="O2562"/>
  <c r="Q2562"/>
  <c r="Y2562"/>
  <c r="AG2562"/>
  <c r="AI2562"/>
  <c r="AK2562"/>
  <c r="AM2562"/>
  <c r="AO2562"/>
  <c r="AQ2562"/>
  <c r="AS2562"/>
  <c r="AU2562"/>
  <c r="AW2562"/>
  <c r="AY2562"/>
  <c r="BA2562"/>
  <c r="BC2562"/>
  <c r="BE2562"/>
  <c r="BG2562"/>
  <c r="M2563"/>
  <c r="O2563"/>
  <c r="Q2563"/>
  <c r="Y2563"/>
  <c r="AG2563"/>
  <c r="AI2563"/>
  <c r="AK2563"/>
  <c r="AM2563"/>
  <c r="AO2563"/>
  <c r="AQ2563"/>
  <c r="AS2563"/>
  <c r="AU2563"/>
  <c r="AW2563"/>
  <c r="AY2563"/>
  <c r="BA2563"/>
  <c r="BC2563"/>
  <c r="BE2563"/>
  <c r="BG2563"/>
  <c r="M2564"/>
  <c r="O2564"/>
  <c r="Q2564"/>
  <c r="Y2564"/>
  <c r="AG2564"/>
  <c r="AI2564"/>
  <c r="AK2564"/>
  <c r="AM2564"/>
  <c r="AO2564"/>
  <c r="AQ2564"/>
  <c r="AS2564"/>
  <c r="AU2564"/>
  <c r="AW2564"/>
  <c r="AY2564"/>
  <c r="BA2564"/>
  <c r="BC2564"/>
  <c r="BE2564"/>
  <c r="BG2564"/>
  <c r="M2565"/>
  <c r="O2565"/>
  <c r="Q2565"/>
  <c r="Y2565"/>
  <c r="AG2565"/>
  <c r="AI2565"/>
  <c r="AK2565"/>
  <c r="AM2565"/>
  <c r="AO2565"/>
  <c r="AQ2565"/>
  <c r="AS2565"/>
  <c r="AU2565"/>
  <c r="AW2565"/>
  <c r="AY2565"/>
  <c r="BA2565"/>
  <c r="BC2565"/>
  <c r="BE2565"/>
  <c r="BG2565"/>
  <c r="M2566"/>
  <c r="O2566"/>
  <c r="Q2566"/>
  <c r="Y2566"/>
  <c r="AG2566"/>
  <c r="AI2566"/>
  <c r="AK2566"/>
  <c r="AM2566"/>
  <c r="AO2566"/>
  <c r="AQ2566"/>
  <c r="AS2566"/>
  <c r="AU2566"/>
  <c r="AW2566"/>
  <c r="AY2566"/>
  <c r="BA2566"/>
  <c r="BC2566"/>
  <c r="BE2566"/>
  <c r="BG2566"/>
  <c r="M2567"/>
  <c r="O2567"/>
  <c r="Q2567"/>
  <c r="Y2567"/>
  <c r="AG2567"/>
  <c r="AI2567"/>
  <c r="AK2567"/>
  <c r="AM2567"/>
  <c r="AO2567"/>
  <c r="AQ2567"/>
  <c r="AS2567"/>
  <c r="AU2567"/>
  <c r="AW2567"/>
  <c r="AY2567"/>
  <c r="BA2567"/>
  <c r="BC2567"/>
  <c r="BE2567"/>
  <c r="BG2567"/>
  <c r="M2568"/>
  <c r="O2568"/>
  <c r="Q2568"/>
  <c r="Y2568"/>
  <c r="AG2568"/>
  <c r="AI2568"/>
  <c r="AK2568"/>
  <c r="AM2568"/>
  <c r="AO2568"/>
  <c r="AQ2568"/>
  <c r="AS2568"/>
  <c r="AU2568"/>
  <c r="AW2568"/>
  <c r="AY2568"/>
  <c r="BA2568"/>
  <c r="BC2568"/>
  <c r="BE2568"/>
  <c r="BG2568"/>
  <c r="M2569"/>
  <c r="O2569"/>
  <c r="Q2569"/>
  <c r="Y2569"/>
  <c r="AG2569"/>
  <c r="AI2569"/>
  <c r="AK2569"/>
  <c r="AM2569"/>
  <c r="AO2569"/>
  <c r="AQ2569"/>
  <c r="AS2569"/>
  <c r="AU2569"/>
  <c r="AW2569"/>
  <c r="AY2569"/>
  <c r="BA2569"/>
  <c r="BC2569"/>
  <c r="BE2569"/>
  <c r="BG2569"/>
  <c r="M2570"/>
  <c r="O2570"/>
  <c r="Q2570"/>
  <c r="Y2570"/>
  <c r="AG2570"/>
  <c r="AI2570"/>
  <c r="AK2570"/>
  <c r="AM2570"/>
  <c r="AO2570"/>
  <c r="AQ2570"/>
  <c r="AS2570"/>
  <c r="AU2570"/>
  <c r="AW2570"/>
  <c r="AY2570"/>
  <c r="BA2570"/>
  <c r="BC2570"/>
  <c r="BE2570"/>
  <c r="BG2570"/>
  <c r="M2571"/>
  <c r="O2571"/>
  <c r="Q2571"/>
  <c r="Y2571"/>
  <c r="AG2571"/>
  <c r="AI2571"/>
  <c r="AK2571"/>
  <c r="AM2571"/>
  <c r="AO2571"/>
  <c r="AQ2571"/>
  <c r="AS2571"/>
  <c r="AU2571"/>
  <c r="AW2571"/>
  <c r="AY2571"/>
  <c r="BA2571"/>
  <c r="BC2571"/>
  <c r="BE2571"/>
  <c r="BG2571"/>
  <c r="M2572"/>
  <c r="O2572"/>
  <c r="Q2572"/>
  <c r="Y2572"/>
  <c r="AG2572"/>
  <c r="AI2572"/>
  <c r="AK2572"/>
  <c r="AM2572"/>
  <c r="AO2572"/>
  <c r="AQ2572"/>
  <c r="AS2572"/>
  <c r="AU2572"/>
  <c r="AW2572"/>
  <c r="AY2572"/>
  <c r="BA2572"/>
  <c r="BC2572"/>
  <c r="BE2572"/>
  <c r="BG2572"/>
  <c r="M2573"/>
  <c r="O2573"/>
  <c r="Q2573"/>
  <c r="Y2573"/>
  <c r="AG2573"/>
  <c r="AI2573"/>
  <c r="AK2573"/>
  <c r="AM2573"/>
  <c r="AO2573"/>
  <c r="AQ2573"/>
  <c r="AS2573"/>
  <c r="AU2573"/>
  <c r="AW2573"/>
  <c r="AY2573"/>
  <c r="BA2573"/>
  <c r="BC2573"/>
  <c r="BE2573"/>
  <c r="BG2573"/>
  <c r="M2574"/>
  <c r="O2574"/>
  <c r="Q2574"/>
  <c r="Y2574"/>
  <c r="AG2574"/>
  <c r="AI2574"/>
  <c r="AK2574"/>
  <c r="AM2574"/>
  <c r="AO2574"/>
  <c r="AQ2574"/>
  <c r="AS2574"/>
  <c r="AU2574"/>
  <c r="AW2574"/>
  <c r="AY2574"/>
  <c r="BA2574"/>
  <c r="BC2574"/>
  <c r="BE2574"/>
  <c r="BG2574"/>
  <c r="M2575"/>
  <c r="O2575"/>
  <c r="Q2575"/>
  <c r="Y2575"/>
  <c r="AG2575"/>
  <c r="AI2575"/>
  <c r="AK2575"/>
  <c r="AM2575"/>
  <c r="AO2575"/>
  <c r="AQ2575"/>
  <c r="AS2575"/>
  <c r="AU2575"/>
  <c r="AW2575"/>
  <c r="AY2575"/>
  <c r="BA2575"/>
  <c r="BC2575"/>
  <c r="BE2575"/>
  <c r="BG2575"/>
  <c r="M2576"/>
  <c r="O2576"/>
  <c r="Q2576"/>
  <c r="Y2576"/>
  <c r="AG2576"/>
  <c r="AI2576"/>
  <c r="AK2576"/>
  <c r="AM2576"/>
  <c r="AO2576"/>
  <c r="AQ2576"/>
  <c r="AS2576"/>
  <c r="AU2576"/>
  <c r="AW2576"/>
  <c r="AY2576"/>
  <c r="BA2576"/>
  <c r="BC2576"/>
  <c r="BE2576"/>
  <c r="BG2576"/>
  <c r="M2577"/>
  <c r="O2577"/>
  <c r="Q2577"/>
  <c r="Y2577"/>
  <c r="AG2577"/>
  <c r="AI2577"/>
  <c r="AK2577"/>
  <c r="AM2577"/>
  <c r="AO2577"/>
  <c r="AQ2577"/>
  <c r="AS2577"/>
  <c r="AU2577"/>
  <c r="AW2577"/>
  <c r="AY2577"/>
  <c r="BA2577"/>
  <c r="BC2577"/>
  <c r="BE2577"/>
  <c r="BG2577"/>
  <c r="M2578"/>
  <c r="O2578"/>
  <c r="Q2578"/>
  <c r="Y2578"/>
  <c r="AG2578"/>
  <c r="AI2578"/>
  <c r="AK2578"/>
  <c r="AM2578"/>
  <c r="AO2578"/>
  <c r="AQ2578"/>
  <c r="AS2578"/>
  <c r="AU2578"/>
  <c r="AW2578"/>
  <c r="AY2578"/>
  <c r="BA2578"/>
  <c r="BC2578"/>
  <c r="BE2578"/>
  <c r="BG2578"/>
  <c r="M2579"/>
  <c r="O2579"/>
  <c r="Q2579"/>
  <c r="Y2579"/>
  <c r="AG2579"/>
  <c r="AI2579"/>
  <c r="AK2579"/>
  <c r="AM2579"/>
  <c r="AO2579"/>
  <c r="AQ2579"/>
  <c r="AS2579"/>
  <c r="AU2579"/>
  <c r="AW2579"/>
  <c r="AY2579"/>
  <c r="BA2579"/>
  <c r="BC2579"/>
  <c r="BE2579"/>
  <c r="BG2579"/>
  <c r="M2580"/>
  <c r="O2580"/>
  <c r="Q2580"/>
  <c r="Y2580"/>
  <c r="AG2580"/>
  <c r="AI2580"/>
  <c r="AK2580"/>
  <c r="AM2580"/>
  <c r="AO2580"/>
  <c r="AQ2580"/>
  <c r="AS2580"/>
  <c r="AU2580"/>
  <c r="AW2580"/>
  <c r="AY2580"/>
  <c r="BA2580"/>
  <c r="BC2580"/>
  <c r="BE2580"/>
  <c r="BG2580"/>
  <c r="M2581"/>
  <c r="O2581"/>
  <c r="Q2581"/>
  <c r="Y2581"/>
  <c r="AG2581"/>
  <c r="AI2581"/>
  <c r="AK2581"/>
  <c r="AM2581"/>
  <c r="AO2581"/>
  <c r="AQ2581"/>
  <c r="AS2581"/>
  <c r="AU2581"/>
  <c r="AW2581"/>
  <c r="AY2581"/>
  <c r="BA2581"/>
  <c r="BC2581"/>
  <c r="BE2581"/>
  <c r="BG2581"/>
  <c r="M2582"/>
  <c r="O2582"/>
  <c r="Q2582"/>
  <c r="Y2582"/>
  <c r="AG2582"/>
  <c r="AI2582"/>
  <c r="AK2582"/>
  <c r="AM2582"/>
  <c r="AO2582"/>
  <c r="AQ2582"/>
  <c r="AS2582"/>
  <c r="AU2582"/>
  <c r="AW2582"/>
  <c r="AY2582"/>
  <c r="BA2582"/>
  <c r="BC2582"/>
  <c r="BE2582"/>
  <c r="BG2582"/>
  <c r="M2583"/>
  <c r="O2583"/>
  <c r="Q2583"/>
  <c r="Y2583"/>
  <c r="AG2583"/>
  <c r="AI2583"/>
  <c r="AK2583"/>
  <c r="AM2583"/>
  <c r="AO2583"/>
  <c r="AQ2583"/>
  <c r="AS2583"/>
  <c r="AU2583"/>
  <c r="AW2583"/>
  <c r="AY2583"/>
  <c r="BA2583"/>
  <c r="BC2583"/>
  <c r="BE2583"/>
  <c r="BG2583"/>
  <c r="M2584"/>
  <c r="O2584"/>
  <c r="Q2584"/>
  <c r="Y2584"/>
  <c r="AG2584"/>
  <c r="AI2584"/>
  <c r="AK2584"/>
  <c r="AM2584"/>
  <c r="AO2584"/>
  <c r="AQ2584"/>
  <c r="AS2584"/>
  <c r="AU2584"/>
  <c r="AW2584"/>
  <c r="AY2584"/>
  <c r="BA2584"/>
  <c r="BC2584"/>
  <c r="BE2584"/>
  <c r="BG2584"/>
  <c r="M2585"/>
  <c r="O2585"/>
  <c r="Q2585"/>
  <c r="Y2585"/>
  <c r="AG2585"/>
  <c r="AI2585"/>
  <c r="AK2585"/>
  <c r="AM2585"/>
  <c r="AO2585"/>
  <c r="AQ2585"/>
  <c r="AS2585"/>
  <c r="AU2585"/>
  <c r="AW2585"/>
  <c r="AY2585"/>
  <c r="BA2585"/>
  <c r="BC2585"/>
  <c r="BE2585"/>
  <c r="BG2585"/>
  <c r="M2586"/>
  <c r="O2586"/>
  <c r="Q2586"/>
  <c r="Y2586"/>
  <c r="AG2586"/>
  <c r="AI2586"/>
  <c r="AK2586"/>
  <c r="AM2586"/>
  <c r="AO2586"/>
  <c r="AQ2586"/>
  <c r="AS2586"/>
  <c r="AU2586"/>
  <c r="AW2586"/>
  <c r="AY2586"/>
  <c r="BA2586"/>
  <c r="BC2586"/>
  <c r="BE2586"/>
  <c r="BG2586"/>
  <c r="M2587"/>
  <c r="O2587"/>
  <c r="Q2587"/>
  <c r="Y2587"/>
  <c r="AG2587"/>
  <c r="AI2587"/>
  <c r="AK2587"/>
  <c r="AM2587"/>
  <c r="AO2587"/>
  <c r="AQ2587"/>
  <c r="AS2587"/>
  <c r="AU2587"/>
  <c r="AW2587"/>
  <c r="AY2587"/>
  <c r="BA2587"/>
  <c r="BC2587"/>
  <c r="BE2587"/>
  <c r="BG2587"/>
  <c r="M2588"/>
  <c r="O2588"/>
  <c r="Q2588"/>
  <c r="Y2588"/>
  <c r="AG2588"/>
  <c r="AI2588"/>
  <c r="AK2588"/>
  <c r="AM2588"/>
  <c r="AO2588"/>
  <c r="AQ2588"/>
  <c r="AS2588"/>
  <c r="AU2588"/>
  <c r="AW2588"/>
  <c r="AY2588"/>
  <c r="BA2588"/>
  <c r="BC2588"/>
  <c r="BE2588"/>
  <c r="BG2588"/>
  <c r="M2589"/>
  <c r="O2589"/>
  <c r="Q2589"/>
  <c r="Y2589"/>
  <c r="AG2589"/>
  <c r="AI2589"/>
  <c r="AK2589"/>
  <c r="AM2589"/>
  <c r="AO2589"/>
  <c r="AQ2589"/>
  <c r="AS2589"/>
  <c r="AU2589"/>
  <c r="AW2589"/>
  <c r="AY2589"/>
  <c r="BA2589"/>
  <c r="BC2589"/>
  <c r="BE2589"/>
  <c r="BG2589"/>
  <c r="M2590"/>
  <c r="O2590"/>
  <c r="Q2590"/>
  <c r="Y2590"/>
  <c r="AG2590"/>
  <c r="AI2590"/>
  <c r="AK2590"/>
  <c r="AM2590"/>
  <c r="AO2590"/>
  <c r="AQ2590"/>
  <c r="AS2590"/>
  <c r="AU2590"/>
  <c r="AW2590"/>
  <c r="AY2590"/>
  <c r="BA2590"/>
  <c r="BC2590"/>
  <c r="BE2590"/>
  <c r="BG2590"/>
  <c r="M2591"/>
  <c r="O2591"/>
  <c r="Q2591"/>
  <c r="Y2591"/>
  <c r="AG2591"/>
  <c r="AI2591"/>
  <c r="AK2591"/>
  <c r="AM2591"/>
  <c r="AO2591"/>
  <c r="AQ2591"/>
  <c r="AS2591"/>
  <c r="AU2591"/>
  <c r="AW2591"/>
  <c r="AY2591"/>
  <c r="BA2591"/>
  <c r="BC2591"/>
  <c r="BE2591"/>
  <c r="BG2591"/>
  <c r="M2592"/>
  <c r="O2592"/>
  <c r="Y2592"/>
  <c r="AG2592"/>
  <c r="AI2592"/>
  <c r="AK2592"/>
  <c r="AM2592"/>
  <c r="AO2592"/>
  <c r="AQ2592"/>
  <c r="AS2592"/>
  <c r="AU2592"/>
  <c r="AW2592"/>
  <c r="AY2592"/>
  <c r="BA2592"/>
  <c r="BC2592"/>
  <c r="BE2592"/>
  <c r="BG2592"/>
  <c r="M2593"/>
  <c r="O2593"/>
  <c r="Q2593"/>
  <c r="Y2593"/>
  <c r="AG2593"/>
  <c r="AI2593"/>
  <c r="AK2593"/>
  <c r="AM2593"/>
  <c r="AO2593"/>
  <c r="AQ2593"/>
  <c r="AS2593"/>
  <c r="AU2593"/>
  <c r="AW2593"/>
  <c r="AY2593"/>
  <c r="BA2593"/>
  <c r="BC2593"/>
  <c r="BE2593"/>
  <c r="BG2593"/>
  <c r="I2594"/>
  <c r="M2594"/>
  <c r="O2594"/>
  <c r="Q2594"/>
  <c r="Y2594"/>
  <c r="AG2594"/>
  <c r="AI2594"/>
  <c r="AK2594"/>
  <c r="AM2594"/>
  <c r="AO2594"/>
  <c r="AQ2594"/>
  <c r="AS2594"/>
  <c r="AU2594"/>
  <c r="AW2594"/>
  <c r="AY2594"/>
  <c r="BA2594"/>
  <c r="BC2594"/>
  <c r="BE2594"/>
  <c r="BG2594"/>
  <c r="M2595"/>
  <c r="O2595"/>
  <c r="P2595"/>
  <c r="Y2595"/>
  <c r="AG2595"/>
  <c r="AI2595"/>
  <c r="AK2595"/>
  <c r="AM2595"/>
  <c r="AO2595"/>
  <c r="AQ2595"/>
  <c r="AS2595"/>
  <c r="AU2595"/>
  <c r="AW2595"/>
  <c r="AY2595"/>
  <c r="BA2595"/>
  <c r="BC2595"/>
  <c r="BE2595"/>
  <c r="BG2595"/>
  <c r="M2596"/>
  <c r="O2596"/>
  <c r="Q2596"/>
  <c r="Y2596"/>
  <c r="AG2596"/>
  <c r="AI2596"/>
  <c r="AK2596"/>
  <c r="AM2596"/>
  <c r="AO2596"/>
  <c r="AQ2596"/>
  <c r="AS2596"/>
  <c r="AU2596"/>
  <c r="AW2596"/>
  <c r="AY2596"/>
  <c r="BA2596"/>
  <c r="BC2596"/>
  <c r="BE2596"/>
  <c r="BG2596"/>
  <c r="L2597"/>
  <c r="P2597"/>
  <c r="X2597"/>
  <c r="AF2597"/>
  <c r="AH2597"/>
  <c r="AJ2597"/>
  <c r="L2598"/>
  <c r="N2598"/>
  <c r="P2598"/>
  <c r="X2598"/>
  <c r="AF2598"/>
  <c r="AH2598"/>
  <c r="AJ2598"/>
  <c r="L2599"/>
  <c r="P2599"/>
  <c r="X2599"/>
  <c r="AF2599"/>
  <c r="AH2599"/>
  <c r="AJ2599"/>
  <c r="AL2599"/>
  <c r="L2600"/>
  <c r="N2600"/>
  <c r="P2600"/>
  <c r="X2600"/>
  <c r="AF2600"/>
  <c r="AH2600"/>
  <c r="AJ2600"/>
  <c r="L2601"/>
  <c r="N2601"/>
  <c r="P2601"/>
  <c r="X2601"/>
  <c r="AF2601"/>
  <c r="AH2601"/>
  <c r="AJ2601"/>
  <c r="M2612"/>
  <c r="O2612"/>
  <c r="Q2612"/>
  <c r="Y2612"/>
  <c r="AG2612"/>
  <c r="AI2612"/>
  <c r="AK2612"/>
  <c r="AM2612"/>
  <c r="AO2612"/>
  <c r="AQ2612"/>
  <c r="AS2612"/>
  <c r="AU2612"/>
  <c r="AW2612"/>
  <c r="AY2612"/>
  <c r="BA2612"/>
  <c r="BC2612"/>
  <c r="BE2612"/>
  <c r="BG2612"/>
  <c r="M2613"/>
  <c r="O2613"/>
  <c r="Q2613"/>
  <c r="Y2613"/>
  <c r="AG2613"/>
  <c r="AI2613"/>
  <c r="AK2613"/>
  <c r="AM2613"/>
  <c r="AO2613"/>
  <c r="AQ2613"/>
  <c r="AS2613"/>
  <c r="AU2613"/>
  <c r="AW2613"/>
  <c r="AY2613"/>
  <c r="BA2613"/>
  <c r="BC2613"/>
  <c r="BE2613"/>
  <c r="BG2613"/>
  <c r="M2614"/>
  <c r="O2614"/>
  <c r="Q2614"/>
  <c r="Y2614"/>
  <c r="AG2614"/>
  <c r="AI2614"/>
  <c r="AK2614"/>
  <c r="AM2614"/>
  <c r="AO2614"/>
  <c r="AQ2614"/>
  <c r="AS2614"/>
  <c r="AU2614"/>
  <c r="AW2614"/>
  <c r="AY2614"/>
  <c r="BA2614"/>
  <c r="BC2614"/>
  <c r="BE2614"/>
  <c r="BG2614"/>
  <c r="M2615"/>
  <c r="O2615"/>
  <c r="Q2615"/>
  <c r="Y2615"/>
  <c r="AG2615"/>
  <c r="AI2615"/>
  <c r="AK2615"/>
  <c r="AM2615"/>
  <c r="AO2615"/>
  <c r="AQ2615"/>
  <c r="AS2615"/>
  <c r="AU2615"/>
  <c r="AW2615"/>
  <c r="AY2615"/>
  <c r="BA2615"/>
  <c r="BC2615"/>
  <c r="BE2615"/>
  <c r="BG2615"/>
  <c r="M2616"/>
  <c r="O2616"/>
  <c r="Q2616"/>
  <c r="Y2616"/>
  <c r="AG2616"/>
  <c r="AI2616"/>
  <c r="AK2616"/>
  <c r="AM2616"/>
  <c r="AO2616"/>
  <c r="AQ2616"/>
  <c r="AS2616"/>
  <c r="AU2616"/>
  <c r="AW2616"/>
  <c r="AY2616"/>
  <c r="BA2616"/>
  <c r="BC2616"/>
  <c r="BE2616"/>
  <c r="BG2616"/>
  <c r="M2617"/>
  <c r="O2617"/>
  <c r="Q2617"/>
  <c r="Y2617"/>
  <c r="AG2617"/>
  <c r="AI2617"/>
  <c r="AK2617"/>
  <c r="AM2617"/>
  <c r="AO2617"/>
  <c r="AQ2617"/>
  <c r="AS2617"/>
  <c r="AU2617"/>
  <c r="AW2617"/>
  <c r="AY2617"/>
  <c r="BA2617"/>
  <c r="BC2617"/>
  <c r="BE2617"/>
  <c r="BG2617"/>
  <c r="M2618"/>
  <c r="O2618"/>
  <c r="Q2618"/>
  <c r="Y2618"/>
  <c r="AG2618"/>
  <c r="AI2618"/>
  <c r="AK2618"/>
  <c r="AM2618"/>
  <c r="AO2618"/>
  <c r="AQ2618"/>
  <c r="AS2618"/>
  <c r="AU2618"/>
  <c r="AW2618"/>
  <c r="AY2618"/>
  <c r="BA2618"/>
  <c r="BC2618"/>
  <c r="BE2618"/>
  <c r="BG2618"/>
  <c r="M2619"/>
  <c r="O2619"/>
  <c r="Q2619"/>
  <c r="Y2619"/>
  <c r="AG2619"/>
  <c r="AI2619"/>
  <c r="AK2619"/>
  <c r="AM2619"/>
  <c r="AO2619"/>
  <c r="AQ2619"/>
  <c r="AS2619"/>
  <c r="AU2619"/>
  <c r="AW2619"/>
  <c r="AY2619"/>
  <c r="BA2619"/>
  <c r="BC2619"/>
  <c r="BE2619"/>
  <c r="BG2619"/>
  <c r="M2620"/>
  <c r="O2620"/>
  <c r="Q2620"/>
  <c r="Y2620"/>
  <c r="AG2620"/>
  <c r="AI2620"/>
  <c r="AK2620"/>
  <c r="AM2620"/>
  <c r="AO2620"/>
  <c r="AQ2620"/>
  <c r="AS2620"/>
  <c r="AU2620"/>
  <c r="AW2620"/>
  <c r="AY2620"/>
  <c r="BA2620"/>
  <c r="BC2620"/>
  <c r="BE2620"/>
  <c r="BG2620"/>
  <c r="M2621"/>
  <c r="O2621"/>
  <c r="Q2621"/>
  <c r="Y2621"/>
  <c r="AG2621"/>
  <c r="AI2621"/>
  <c r="AK2621"/>
  <c r="AM2621"/>
  <c r="AO2621"/>
  <c r="AQ2621"/>
  <c r="AS2621"/>
  <c r="AU2621"/>
  <c r="AW2621"/>
  <c r="AY2621"/>
  <c r="BA2621"/>
  <c r="BC2621"/>
  <c r="BE2621"/>
  <c r="BG2621"/>
  <c r="M2622"/>
  <c r="O2622"/>
  <c r="Q2622"/>
  <c r="Y2622"/>
  <c r="AG2622"/>
  <c r="AI2622"/>
  <c r="AK2622"/>
  <c r="AM2622"/>
  <c r="AO2622"/>
  <c r="AQ2622"/>
  <c r="AS2622"/>
  <c r="AU2622"/>
  <c r="AW2622"/>
  <c r="AY2622"/>
  <c r="BA2622"/>
  <c r="BC2622"/>
  <c r="BE2622"/>
  <c r="BG2622"/>
  <c r="M2623"/>
  <c r="O2623"/>
  <c r="Q2623"/>
  <c r="Y2623"/>
  <c r="AG2623"/>
  <c r="AI2623"/>
  <c r="AK2623"/>
  <c r="AM2623"/>
  <c r="AO2623"/>
  <c r="AQ2623"/>
  <c r="AS2623"/>
  <c r="AU2623"/>
  <c r="AW2623"/>
  <c r="AY2623"/>
  <c r="BA2623"/>
  <c r="BC2623"/>
  <c r="BE2623"/>
  <c r="BG2623"/>
  <c r="M2624"/>
  <c r="O2624"/>
  <c r="Q2624"/>
  <c r="Y2624"/>
  <c r="AG2624"/>
  <c r="AI2624"/>
  <c r="AK2624"/>
  <c r="AM2624"/>
  <c r="AO2624"/>
  <c r="AQ2624"/>
  <c r="AS2624"/>
  <c r="AU2624"/>
  <c r="AW2624"/>
  <c r="AY2624"/>
  <c r="BA2624"/>
  <c r="BC2624"/>
  <c r="BE2624"/>
  <c r="BG2624"/>
  <c r="M2625"/>
  <c r="O2625"/>
  <c r="Q2625"/>
  <c r="Y2625"/>
  <c r="AG2625"/>
  <c r="AI2625"/>
  <c r="AK2625"/>
  <c r="AM2625"/>
  <c r="AO2625"/>
  <c r="AQ2625"/>
  <c r="AS2625"/>
  <c r="AU2625"/>
  <c r="AW2625"/>
  <c r="AY2625"/>
  <c r="BA2625"/>
  <c r="BC2625"/>
  <c r="BE2625"/>
  <c r="BG2625"/>
  <c r="M2626"/>
  <c r="O2626"/>
  <c r="Q2626"/>
  <c r="Y2626"/>
  <c r="AG2626"/>
  <c r="AI2626"/>
  <c r="AK2626"/>
  <c r="AM2626"/>
  <c r="AO2626"/>
  <c r="AQ2626"/>
  <c r="AS2626"/>
  <c r="AU2626"/>
  <c r="AW2626"/>
  <c r="AY2626"/>
  <c r="BA2626"/>
  <c r="BC2626"/>
  <c r="BE2626"/>
  <c r="BG2626"/>
  <c r="M2627"/>
  <c r="O2627"/>
  <c r="Q2627"/>
  <c r="Y2627"/>
  <c r="AG2627"/>
  <c r="AI2627"/>
  <c r="AK2627"/>
  <c r="AM2627"/>
  <c r="AO2627"/>
  <c r="AQ2627"/>
  <c r="AS2627"/>
  <c r="AU2627"/>
  <c r="AW2627"/>
  <c r="AY2627"/>
  <c r="BA2627"/>
  <c r="BC2627"/>
  <c r="BE2627"/>
  <c r="BG2627"/>
  <c r="M2628"/>
  <c r="O2628"/>
  <c r="Q2628"/>
  <c r="Y2628"/>
  <c r="AG2628"/>
  <c r="AI2628"/>
  <c r="AK2628"/>
  <c r="AM2628"/>
  <c r="AO2628"/>
  <c r="AQ2628"/>
  <c r="AS2628"/>
  <c r="AU2628"/>
  <c r="AW2628"/>
  <c r="AY2628"/>
  <c r="BA2628"/>
  <c r="BC2628"/>
  <c r="BE2628"/>
  <c r="BG2628"/>
  <c r="M2629"/>
  <c r="O2629"/>
  <c r="Q2629"/>
  <c r="Y2629"/>
  <c r="AG2629"/>
  <c r="AI2629"/>
  <c r="AK2629"/>
  <c r="AM2629"/>
  <c r="AO2629"/>
  <c r="AQ2629"/>
  <c r="AS2629"/>
  <c r="AU2629"/>
  <c r="AW2629"/>
  <c r="AY2629"/>
  <c r="BA2629"/>
  <c r="BC2629"/>
  <c r="BE2629"/>
  <c r="BG2629"/>
  <c r="M2630"/>
  <c r="O2630"/>
  <c r="Q2630"/>
  <c r="Y2630"/>
  <c r="AG2630"/>
  <c r="AI2630"/>
  <c r="AK2630"/>
  <c r="AM2630"/>
  <c r="AO2630"/>
  <c r="AQ2630"/>
  <c r="AS2630"/>
  <c r="AU2630"/>
  <c r="AW2630"/>
  <c r="AY2630"/>
  <c r="BA2630"/>
  <c r="BC2630"/>
  <c r="BE2630"/>
  <c r="BG2630"/>
  <c r="M2631"/>
  <c r="O2631"/>
  <c r="Q2631"/>
  <c r="Y2631"/>
  <c r="AG2631"/>
  <c r="AI2631"/>
  <c r="AK2631"/>
  <c r="AM2631"/>
  <c r="AO2631"/>
  <c r="AQ2631"/>
  <c r="AS2631"/>
  <c r="AU2631"/>
  <c r="AW2631"/>
  <c r="AY2631"/>
  <c r="BA2631"/>
  <c r="BC2631"/>
  <c r="BE2631"/>
  <c r="BG2631"/>
  <c r="M2632"/>
  <c r="O2632"/>
  <c r="Q2632"/>
  <c r="Y2632"/>
  <c r="AG2632"/>
  <c r="AI2632"/>
  <c r="AK2632"/>
  <c r="AM2632"/>
  <c r="AO2632"/>
  <c r="AQ2632"/>
  <c r="AS2632"/>
  <c r="AU2632"/>
  <c r="AW2632"/>
  <c r="AY2632"/>
  <c r="BA2632"/>
  <c r="BC2632"/>
  <c r="BE2632"/>
  <c r="BG2632"/>
  <c r="M2633"/>
  <c r="O2633"/>
  <c r="Q2633"/>
  <c r="Y2633"/>
  <c r="AG2633"/>
  <c r="AI2633"/>
  <c r="AK2633"/>
  <c r="AM2633"/>
  <c r="AO2633"/>
  <c r="AQ2633"/>
  <c r="AS2633"/>
  <c r="AU2633"/>
  <c r="AW2633"/>
  <c r="AY2633"/>
  <c r="BA2633"/>
  <c r="BC2633"/>
  <c r="BE2633"/>
  <c r="BG2633"/>
  <c r="M2634"/>
  <c r="O2634"/>
  <c r="Q2634"/>
  <c r="Y2634"/>
  <c r="AG2634"/>
  <c r="AI2634"/>
  <c r="AK2634"/>
  <c r="AM2634"/>
  <c r="AO2634"/>
  <c r="AQ2634"/>
  <c r="AS2634"/>
  <c r="AU2634"/>
  <c r="AW2634"/>
  <c r="AY2634"/>
  <c r="BA2634"/>
  <c r="BC2634"/>
  <c r="BE2634"/>
  <c r="BG2634"/>
  <c r="M2635"/>
  <c r="O2635"/>
  <c r="Q2635"/>
  <c r="Y2635"/>
  <c r="AG2635"/>
  <c r="AI2635"/>
  <c r="AK2635"/>
  <c r="AM2635"/>
  <c r="AO2635"/>
  <c r="AQ2635"/>
  <c r="AS2635"/>
  <c r="AU2635"/>
  <c r="AW2635"/>
  <c r="AY2635"/>
  <c r="BA2635"/>
  <c r="BC2635"/>
  <c r="BE2635"/>
  <c r="BG2635"/>
  <c r="M2636"/>
  <c r="O2636"/>
  <c r="Q2636"/>
  <c r="Y2636"/>
  <c r="AG2636"/>
  <c r="AI2636"/>
  <c r="AK2636"/>
  <c r="AM2636"/>
  <c r="AO2636"/>
  <c r="AQ2636"/>
  <c r="AS2636"/>
  <c r="AU2636"/>
  <c r="AW2636"/>
  <c r="AY2636"/>
  <c r="BA2636"/>
  <c r="BC2636"/>
  <c r="BE2636"/>
  <c r="BG2636"/>
  <c r="M2637"/>
  <c r="O2637"/>
  <c r="Q2637"/>
  <c r="Y2637"/>
  <c r="AG2637"/>
  <c r="AI2637"/>
  <c r="AK2637"/>
  <c r="AM2637"/>
  <c r="AO2637"/>
  <c r="AQ2637"/>
  <c r="AS2637"/>
  <c r="AU2637"/>
  <c r="AW2637"/>
  <c r="AY2637"/>
  <c r="BA2637"/>
  <c r="BC2637"/>
  <c r="BE2637"/>
  <c r="BG2637"/>
  <c r="M2638"/>
  <c r="O2638"/>
  <c r="Q2638"/>
  <c r="Y2638"/>
  <c r="AG2638"/>
  <c r="AI2638"/>
  <c r="AK2638"/>
  <c r="AM2638"/>
  <c r="AO2638"/>
  <c r="AQ2638"/>
  <c r="AS2638"/>
  <c r="AU2638"/>
  <c r="AW2638"/>
  <c r="AY2638"/>
  <c r="BA2638"/>
  <c r="BC2638"/>
  <c r="BE2638"/>
  <c r="BG2638"/>
  <c r="M2639"/>
  <c r="O2639"/>
  <c r="Q2639"/>
  <c r="Y2639"/>
  <c r="AG2639"/>
  <c r="AI2639"/>
  <c r="AK2639"/>
  <c r="AM2639"/>
  <c r="AO2639"/>
  <c r="AQ2639"/>
  <c r="AS2639"/>
  <c r="AU2639"/>
  <c r="AW2639"/>
  <c r="AY2639"/>
  <c r="BA2639"/>
  <c r="BC2639"/>
  <c r="BE2639"/>
  <c r="BG2639"/>
  <c r="M2640"/>
  <c r="O2640"/>
  <c r="Q2640"/>
  <c r="Y2640"/>
  <c r="AG2640"/>
  <c r="AI2640"/>
  <c r="AK2640"/>
  <c r="AM2640"/>
  <c r="AO2640"/>
  <c r="AQ2640"/>
  <c r="AS2640"/>
  <c r="AU2640"/>
  <c r="AW2640"/>
  <c r="AY2640"/>
  <c r="BA2640"/>
  <c r="BC2640"/>
  <c r="BE2640"/>
  <c r="BG2640"/>
  <c r="M2641"/>
  <c r="O2641"/>
  <c r="Q2641"/>
  <c r="Y2641"/>
  <c r="AG2641"/>
  <c r="AI2641"/>
  <c r="AK2641"/>
  <c r="AM2641"/>
  <c r="AO2641"/>
  <c r="AQ2641"/>
  <c r="AS2641"/>
  <c r="AU2641"/>
  <c r="AW2641"/>
  <c r="AY2641"/>
  <c r="BA2641"/>
  <c r="BC2641"/>
  <c r="BE2641"/>
  <c r="BG2641"/>
  <c r="M2642"/>
  <c r="O2642"/>
  <c r="Q2642"/>
  <c r="Y2642"/>
  <c r="AG2642"/>
  <c r="AI2642"/>
  <c r="AK2642"/>
  <c r="AM2642"/>
  <c r="AO2642"/>
  <c r="AQ2642"/>
  <c r="AS2642"/>
  <c r="AU2642"/>
  <c r="AW2642"/>
  <c r="AY2642"/>
  <c r="BA2642"/>
  <c r="BC2642"/>
  <c r="BE2642"/>
  <c r="BG2642"/>
  <c r="M2643"/>
  <c r="O2643"/>
  <c r="Q2643"/>
  <c r="Y2643"/>
  <c r="AG2643"/>
  <c r="AI2643"/>
  <c r="AK2643"/>
  <c r="AM2643"/>
  <c r="AO2643"/>
  <c r="AQ2643"/>
  <c r="AS2643"/>
  <c r="AU2643"/>
  <c r="AW2643"/>
  <c r="AY2643"/>
  <c r="BA2643"/>
  <c r="BC2643"/>
  <c r="BE2643"/>
  <c r="BG2643"/>
  <c r="M2644"/>
  <c r="O2644"/>
  <c r="Q2644"/>
  <c r="Y2644"/>
  <c r="AG2644"/>
  <c r="AI2644"/>
  <c r="AK2644"/>
  <c r="AM2644"/>
  <c r="AO2644"/>
  <c r="AQ2644"/>
  <c r="AS2644"/>
  <c r="AU2644"/>
  <c r="AW2644"/>
  <c r="AY2644"/>
  <c r="BA2644"/>
  <c r="BC2644"/>
  <c r="BE2644"/>
  <c r="BG2644"/>
  <c r="M2645"/>
  <c r="O2645"/>
  <c r="P2645"/>
  <c r="X2645"/>
  <c r="AG2645"/>
  <c r="AI2645"/>
  <c r="AK2645"/>
  <c r="AM2645"/>
  <c r="AO2645"/>
  <c r="AQ2645"/>
  <c r="AS2645"/>
  <c r="AU2645"/>
  <c r="AW2645"/>
  <c r="AY2645"/>
  <c r="BA2645"/>
  <c r="BC2645"/>
  <c r="BE2645"/>
  <c r="BG2645"/>
  <c r="M2646"/>
  <c r="O2646"/>
  <c r="Q2646"/>
  <c r="Y2646"/>
  <c r="AG2646"/>
  <c r="AI2646"/>
  <c r="AK2646"/>
  <c r="AM2646"/>
  <c r="AO2646"/>
  <c r="AQ2646"/>
  <c r="AS2646"/>
  <c r="AU2646"/>
  <c r="AW2646"/>
  <c r="AY2646"/>
  <c r="BA2646"/>
  <c r="BC2646"/>
  <c r="BE2646"/>
  <c r="BG2646"/>
  <c r="M2647"/>
  <c r="O2647"/>
  <c r="Q2647"/>
  <c r="Y2647"/>
  <c r="AG2647"/>
  <c r="AI2647"/>
  <c r="AK2647"/>
  <c r="AM2647"/>
  <c r="AO2647"/>
  <c r="AQ2647"/>
  <c r="AS2647"/>
  <c r="AU2647"/>
  <c r="AW2647"/>
  <c r="AY2647"/>
  <c r="BA2647"/>
  <c r="BC2647"/>
  <c r="BE2647"/>
  <c r="BG2647"/>
  <c r="M2648"/>
  <c r="O2648"/>
  <c r="Q2648"/>
  <c r="Y2648"/>
  <c r="AG2648"/>
  <c r="AI2648"/>
  <c r="AK2648"/>
  <c r="AM2648"/>
  <c r="AO2648"/>
  <c r="AQ2648"/>
  <c r="AS2648"/>
  <c r="AU2648"/>
  <c r="AW2648"/>
  <c r="AY2648"/>
  <c r="BA2648"/>
  <c r="BC2648"/>
  <c r="BE2648"/>
  <c r="BG2648"/>
  <c r="M2649"/>
  <c r="O2649"/>
  <c r="P2649"/>
  <c r="X2649"/>
  <c r="AG2649"/>
  <c r="AI2649"/>
  <c r="AK2649"/>
  <c r="AM2649"/>
  <c r="AO2649"/>
  <c r="AQ2649"/>
  <c r="AS2649"/>
  <c r="AU2649"/>
  <c r="AW2649"/>
  <c r="AY2649"/>
  <c r="BA2649"/>
  <c r="BC2649"/>
  <c r="BE2649"/>
  <c r="BG2649"/>
  <c r="M2650"/>
  <c r="O2650"/>
  <c r="X2650"/>
  <c r="AG2650"/>
  <c r="AI2650"/>
  <c r="AK2650"/>
  <c r="AM2650"/>
  <c r="AO2650"/>
  <c r="AQ2650"/>
  <c r="AS2650"/>
  <c r="AU2650"/>
  <c r="AW2650"/>
  <c r="AY2650"/>
  <c r="BA2650"/>
  <c r="BC2650"/>
  <c r="BE2650"/>
  <c r="BG2650"/>
  <c r="M2651"/>
  <c r="O2651"/>
  <c r="P2651"/>
  <c r="X2651"/>
  <c r="AG2651"/>
  <c r="AI2651"/>
  <c r="AK2651"/>
  <c r="AM2651"/>
  <c r="AO2651"/>
  <c r="AQ2651"/>
  <c r="AS2651"/>
  <c r="AU2651"/>
  <c r="AW2651"/>
  <c r="AY2651"/>
  <c r="BA2651"/>
  <c r="BC2651"/>
  <c r="BE2651"/>
  <c r="BG2651"/>
  <c r="M2652"/>
  <c r="O2652"/>
  <c r="P2652"/>
  <c r="X2652"/>
  <c r="AG2652"/>
  <c r="AI2652"/>
  <c r="AK2652"/>
  <c r="AM2652"/>
  <c r="AO2652"/>
  <c r="AQ2652"/>
  <c r="AR2652"/>
  <c r="AS2652" s="1"/>
  <c r="AT2652"/>
  <c r="AU2652" s="1"/>
  <c r="AW2652"/>
  <c r="AY2652"/>
  <c r="BA2652"/>
  <c r="BC2652"/>
  <c r="BE2652"/>
  <c r="BG2652"/>
  <c r="M2653"/>
  <c r="O2653"/>
  <c r="P2653"/>
  <c r="X2653"/>
  <c r="AG2653"/>
  <c r="AI2653"/>
  <c r="AK2653"/>
  <c r="AM2653"/>
  <c r="AO2653"/>
  <c r="AQ2653"/>
  <c r="AS2653"/>
  <c r="AU2653"/>
  <c r="AW2653"/>
  <c r="AY2653"/>
  <c r="BA2653"/>
  <c r="BC2653"/>
  <c r="BE2653"/>
  <c r="BG2653"/>
  <c r="M2654"/>
  <c r="O2654"/>
  <c r="P2654"/>
  <c r="Y2654"/>
  <c r="AG2654"/>
  <c r="AI2654"/>
  <c r="AK2654"/>
  <c r="AM2654"/>
  <c r="AO2654"/>
  <c r="AQ2654"/>
  <c r="AS2654"/>
  <c r="AU2654"/>
  <c r="AW2654"/>
  <c r="AY2654"/>
  <c r="BA2654"/>
  <c r="BC2654"/>
  <c r="BE2654"/>
  <c r="BG2654"/>
  <c r="L2655"/>
  <c r="N2655"/>
  <c r="P2655"/>
  <c r="V2655"/>
  <c r="X2655"/>
  <c r="AD2655"/>
  <c r="AF2655"/>
  <c r="AH2655"/>
  <c r="AJ2655"/>
  <c r="AL2655"/>
  <c r="AN2655"/>
  <c r="AP2655"/>
  <c r="AR2655"/>
  <c r="AT2655"/>
  <c r="L2656"/>
  <c r="N2656"/>
  <c r="P2656"/>
  <c r="T2656"/>
  <c r="V2656"/>
  <c r="X2656"/>
  <c r="Z2656"/>
  <c r="AB2656"/>
  <c r="AD2656"/>
  <c r="AF2656"/>
  <c r="AH2656"/>
  <c r="AJ2656"/>
  <c r="AL2656"/>
  <c r="AN2656"/>
  <c r="AP2656"/>
  <c r="AR2656"/>
  <c r="AT2656"/>
  <c r="M2670"/>
  <c r="O2670"/>
  <c r="Q2670"/>
  <c r="Y2670"/>
  <c r="AG2670"/>
  <c r="AI2670"/>
  <c r="AK2670"/>
  <c r="AM2670"/>
  <c r="AO2670"/>
  <c r="AQ2670"/>
  <c r="AS2670"/>
  <c r="AU2670"/>
  <c r="AW2670"/>
  <c r="AY2670"/>
  <c r="BA2670"/>
  <c r="BC2670"/>
  <c r="BE2670"/>
  <c r="BG2670"/>
  <c r="M2671"/>
  <c r="O2671"/>
  <c r="Q2671"/>
  <c r="Y2671"/>
  <c r="AG2671"/>
  <c r="AI2671"/>
  <c r="AK2671"/>
  <c r="AM2671"/>
  <c r="AO2671"/>
  <c r="AQ2671"/>
  <c r="AS2671"/>
  <c r="AU2671"/>
  <c r="AW2671"/>
  <c r="AY2671"/>
  <c r="BA2671"/>
  <c r="BC2671"/>
  <c r="BE2671"/>
  <c r="BG2671"/>
  <c r="M2672"/>
  <c r="O2672"/>
  <c r="Q2672"/>
  <c r="Y2672"/>
  <c r="AG2672"/>
  <c r="AI2672"/>
  <c r="AK2672"/>
  <c r="AM2672"/>
  <c r="AO2672"/>
  <c r="AQ2672"/>
  <c r="AS2672"/>
  <c r="AU2672"/>
  <c r="AW2672"/>
  <c r="AY2672"/>
  <c r="BA2672"/>
  <c r="BC2672"/>
  <c r="BE2672"/>
  <c r="BG2672"/>
  <c r="M2673"/>
  <c r="O2673"/>
  <c r="Q2673"/>
  <c r="Y2673"/>
  <c r="AG2673"/>
  <c r="AI2673"/>
  <c r="AK2673"/>
  <c r="AM2673"/>
  <c r="AO2673"/>
  <c r="AQ2673"/>
  <c r="AS2673"/>
  <c r="AU2673"/>
  <c r="AW2673"/>
  <c r="AY2673"/>
  <c r="BA2673"/>
  <c r="BC2673"/>
  <c r="BE2673"/>
  <c r="BG2673"/>
  <c r="M2674"/>
  <c r="O2674"/>
  <c r="Q2674"/>
  <c r="Y2674"/>
  <c r="AG2674"/>
  <c r="AI2674"/>
  <c r="AK2674"/>
  <c r="AM2674"/>
  <c r="AO2674"/>
  <c r="AQ2674"/>
  <c r="AS2674"/>
  <c r="AU2674"/>
  <c r="AW2674"/>
  <c r="AY2674"/>
  <c r="BA2674"/>
  <c r="BC2674"/>
  <c r="BE2674"/>
  <c r="BG2674"/>
  <c r="M2675"/>
  <c r="O2675"/>
  <c r="Q2675"/>
  <c r="Y2675"/>
  <c r="AG2675"/>
  <c r="AI2675"/>
  <c r="AK2675"/>
  <c r="AM2675"/>
  <c r="AO2675"/>
  <c r="AQ2675"/>
  <c r="AS2675"/>
  <c r="AU2675"/>
  <c r="AW2675"/>
  <c r="AY2675"/>
  <c r="BA2675"/>
  <c r="BC2675"/>
  <c r="BE2675"/>
  <c r="BG2675"/>
  <c r="M2676"/>
  <c r="O2676"/>
  <c r="Q2676"/>
  <c r="Y2676"/>
  <c r="AG2676"/>
  <c r="AI2676"/>
  <c r="AK2676"/>
  <c r="AM2676"/>
  <c r="AO2676"/>
  <c r="AQ2676"/>
  <c r="AS2676"/>
  <c r="AU2676"/>
  <c r="AW2676"/>
  <c r="AY2676"/>
  <c r="BA2676"/>
  <c r="BC2676"/>
  <c r="BE2676"/>
  <c r="BG2676"/>
  <c r="M2677"/>
  <c r="O2677"/>
  <c r="Q2677"/>
  <c r="Y2677"/>
  <c r="AG2677"/>
  <c r="AI2677"/>
  <c r="AK2677"/>
  <c r="AM2677"/>
  <c r="AO2677"/>
  <c r="AQ2677"/>
  <c r="AS2677"/>
  <c r="AU2677"/>
  <c r="AW2677"/>
  <c r="AY2677"/>
  <c r="BA2677"/>
  <c r="BC2677"/>
  <c r="BE2677"/>
  <c r="BG2677"/>
  <c r="M2678"/>
  <c r="O2678"/>
  <c r="Q2678"/>
  <c r="Y2678"/>
  <c r="AG2678"/>
  <c r="AI2678"/>
  <c r="AK2678"/>
  <c r="AM2678"/>
  <c r="AO2678"/>
  <c r="AQ2678"/>
  <c r="AS2678"/>
  <c r="AU2678"/>
  <c r="AW2678"/>
  <c r="AY2678"/>
  <c r="BA2678"/>
  <c r="BC2678"/>
  <c r="BE2678"/>
  <c r="BG2678"/>
  <c r="M2679"/>
  <c r="O2679"/>
  <c r="Q2679"/>
  <c r="Y2679"/>
  <c r="AG2679"/>
  <c r="AI2679"/>
  <c r="AK2679"/>
  <c r="AM2679"/>
  <c r="AO2679"/>
  <c r="AQ2679"/>
  <c r="AS2679"/>
  <c r="AU2679"/>
  <c r="AW2679"/>
  <c r="AY2679"/>
  <c r="BA2679"/>
  <c r="BC2679"/>
  <c r="BE2679"/>
  <c r="BG2679"/>
  <c r="M2680"/>
  <c r="O2680"/>
  <c r="Q2680"/>
  <c r="Y2680"/>
  <c r="AG2680"/>
  <c r="AI2680"/>
  <c r="AK2680"/>
  <c r="AM2680"/>
  <c r="AO2680"/>
  <c r="AQ2680"/>
  <c r="AS2680"/>
  <c r="AU2680"/>
  <c r="AW2680"/>
  <c r="AY2680"/>
  <c r="BA2680"/>
  <c r="BC2680"/>
  <c r="BE2680"/>
  <c r="BG2680"/>
  <c r="M2681"/>
  <c r="O2681"/>
  <c r="Q2681"/>
  <c r="Y2681"/>
  <c r="AG2681"/>
  <c r="AI2681"/>
  <c r="AK2681"/>
  <c r="AM2681"/>
  <c r="AO2681"/>
  <c r="AQ2681"/>
  <c r="AS2681"/>
  <c r="AU2681"/>
  <c r="AW2681"/>
  <c r="AY2681"/>
  <c r="BA2681"/>
  <c r="BC2681"/>
  <c r="BE2681"/>
  <c r="BG2681"/>
  <c r="M2682"/>
  <c r="O2682"/>
  <c r="Q2682"/>
  <c r="Y2682"/>
  <c r="AG2682"/>
  <c r="AI2682"/>
  <c r="AK2682"/>
  <c r="AM2682"/>
  <c r="AO2682"/>
  <c r="AQ2682"/>
  <c r="AS2682"/>
  <c r="AU2682"/>
  <c r="AW2682"/>
  <c r="AY2682"/>
  <c r="BA2682"/>
  <c r="BC2682"/>
  <c r="BE2682"/>
  <c r="BG2682"/>
  <c r="M2683"/>
  <c r="O2683"/>
  <c r="Q2683"/>
  <c r="Y2683"/>
  <c r="AG2683"/>
  <c r="AI2683"/>
  <c r="AK2683"/>
  <c r="AM2683"/>
  <c r="AO2683"/>
  <c r="AQ2683"/>
  <c r="AS2683"/>
  <c r="AU2683"/>
  <c r="AW2683"/>
  <c r="AY2683"/>
  <c r="BA2683"/>
  <c r="BC2683"/>
  <c r="BE2683"/>
  <c r="BG2683"/>
  <c r="M2684"/>
  <c r="O2684"/>
  <c r="Q2684"/>
  <c r="Y2684"/>
  <c r="AG2684"/>
  <c r="AI2684"/>
  <c r="AK2684"/>
  <c r="AM2684"/>
  <c r="AO2684"/>
  <c r="AQ2684"/>
  <c r="AS2684"/>
  <c r="AU2684"/>
  <c r="AW2684"/>
  <c r="AY2684"/>
  <c r="BA2684"/>
  <c r="BC2684"/>
  <c r="BE2684"/>
  <c r="BG2684"/>
  <c r="M2685"/>
  <c r="O2685"/>
  <c r="Q2685"/>
  <c r="Y2685"/>
  <c r="AG2685"/>
  <c r="AI2685"/>
  <c r="AK2685"/>
  <c r="AM2685"/>
  <c r="AO2685"/>
  <c r="AQ2685"/>
  <c r="AS2685"/>
  <c r="AU2685"/>
  <c r="AW2685"/>
  <c r="AY2685"/>
  <c r="BA2685"/>
  <c r="BC2685"/>
  <c r="BE2685"/>
  <c r="BG2685"/>
  <c r="M2686"/>
  <c r="O2686"/>
  <c r="Q2686"/>
  <c r="Y2686"/>
  <c r="AG2686"/>
  <c r="AI2686"/>
  <c r="AK2686"/>
  <c r="AM2686"/>
  <c r="AO2686"/>
  <c r="AQ2686"/>
  <c r="AS2686"/>
  <c r="AU2686"/>
  <c r="AW2686"/>
  <c r="AY2686"/>
  <c r="BA2686"/>
  <c r="BC2686"/>
  <c r="BE2686"/>
  <c r="BG2686"/>
  <c r="M2687"/>
  <c r="O2687"/>
  <c r="Q2687"/>
  <c r="Y2687"/>
  <c r="AG2687"/>
  <c r="AI2687"/>
  <c r="AK2687"/>
  <c r="AM2687"/>
  <c r="AO2687"/>
  <c r="AQ2687"/>
  <c r="AS2687"/>
  <c r="AU2687"/>
  <c r="AW2687"/>
  <c r="AY2687"/>
  <c r="BA2687"/>
  <c r="BC2687"/>
  <c r="BE2687"/>
  <c r="BG2687"/>
  <c r="M2688"/>
  <c r="O2688"/>
  <c r="Q2688"/>
  <c r="Y2688"/>
  <c r="AG2688"/>
  <c r="AI2688"/>
  <c r="AK2688"/>
  <c r="AM2688"/>
  <c r="AO2688"/>
  <c r="AQ2688"/>
  <c r="AS2688"/>
  <c r="AU2688"/>
  <c r="AW2688"/>
  <c r="AY2688"/>
  <c r="BA2688"/>
  <c r="BC2688"/>
  <c r="BE2688"/>
  <c r="BG2688"/>
  <c r="M2689"/>
  <c r="O2689"/>
  <c r="Q2689"/>
  <c r="Y2689"/>
  <c r="AG2689"/>
  <c r="AI2689"/>
  <c r="AK2689"/>
  <c r="AM2689"/>
  <c r="AO2689"/>
  <c r="AQ2689"/>
  <c r="AS2689"/>
  <c r="AU2689"/>
  <c r="AW2689"/>
  <c r="AY2689"/>
  <c r="BA2689"/>
  <c r="BC2689"/>
  <c r="BE2689"/>
  <c r="BG2689"/>
  <c r="M2690"/>
  <c r="O2690"/>
  <c r="Q2690"/>
  <c r="Y2690"/>
  <c r="AG2690"/>
  <c r="AI2690"/>
  <c r="AK2690"/>
  <c r="AM2690"/>
  <c r="AO2690"/>
  <c r="AQ2690"/>
  <c r="AS2690"/>
  <c r="AU2690"/>
  <c r="AW2690"/>
  <c r="AY2690"/>
  <c r="BA2690"/>
  <c r="BC2690"/>
  <c r="BE2690"/>
  <c r="BG2690"/>
  <c r="M2691"/>
  <c r="O2691"/>
  <c r="Q2691"/>
  <c r="Y2691"/>
  <c r="AG2691"/>
  <c r="AI2691"/>
  <c r="AK2691"/>
  <c r="AM2691"/>
  <c r="AO2691"/>
  <c r="AQ2691"/>
  <c r="AS2691"/>
  <c r="AU2691"/>
  <c r="AW2691"/>
  <c r="AY2691"/>
  <c r="BA2691"/>
  <c r="BC2691"/>
  <c r="BE2691"/>
  <c r="BG2691"/>
  <c r="M2692"/>
  <c r="O2692"/>
  <c r="Q2692"/>
  <c r="Y2692"/>
  <c r="AG2692"/>
  <c r="AI2692"/>
  <c r="AK2692"/>
  <c r="AM2692"/>
  <c r="AO2692"/>
  <c r="AQ2692"/>
  <c r="AS2692"/>
  <c r="AU2692"/>
  <c r="AW2692"/>
  <c r="AY2692"/>
  <c r="BA2692"/>
  <c r="BC2692"/>
  <c r="BE2692"/>
  <c r="BG2692"/>
  <c r="M2693"/>
  <c r="O2693"/>
  <c r="Q2693"/>
  <c r="Y2693"/>
  <c r="AG2693"/>
  <c r="AI2693"/>
  <c r="AK2693"/>
  <c r="AM2693"/>
  <c r="AO2693"/>
  <c r="AQ2693"/>
  <c r="AS2693"/>
  <c r="AU2693"/>
  <c r="AW2693"/>
  <c r="AY2693"/>
  <c r="BA2693"/>
  <c r="BC2693"/>
  <c r="BE2693"/>
  <c r="BG2693"/>
  <c r="M2694"/>
  <c r="O2694"/>
  <c r="Q2694"/>
  <c r="Y2694"/>
  <c r="AG2694"/>
  <c r="AI2694"/>
  <c r="AK2694"/>
  <c r="AM2694"/>
  <c r="AO2694"/>
  <c r="AQ2694"/>
  <c r="AS2694"/>
  <c r="AU2694"/>
  <c r="AW2694"/>
  <c r="AY2694"/>
  <c r="BA2694"/>
  <c r="BC2694"/>
  <c r="BE2694"/>
  <c r="BG2694"/>
  <c r="M2695"/>
  <c r="O2695"/>
  <c r="Q2695"/>
  <c r="Y2695"/>
  <c r="AG2695"/>
  <c r="AI2695"/>
  <c r="AK2695"/>
  <c r="AM2695"/>
  <c r="AO2695"/>
  <c r="AQ2695"/>
  <c r="AS2695"/>
  <c r="AU2695"/>
  <c r="AW2695"/>
  <c r="AY2695"/>
  <c r="BA2695"/>
  <c r="BC2695"/>
  <c r="BE2695"/>
  <c r="BG2695"/>
  <c r="M2696"/>
  <c r="O2696"/>
  <c r="Q2696"/>
  <c r="Y2696"/>
  <c r="AG2696"/>
  <c r="AI2696"/>
  <c r="AK2696"/>
  <c r="AM2696"/>
  <c r="AO2696"/>
  <c r="AQ2696"/>
  <c r="AS2696"/>
  <c r="AU2696"/>
  <c r="AW2696"/>
  <c r="AY2696"/>
  <c r="BA2696"/>
  <c r="BC2696"/>
  <c r="BE2696"/>
  <c r="BG2696"/>
  <c r="M2697"/>
  <c r="O2697"/>
  <c r="Q2697"/>
  <c r="Y2697"/>
  <c r="AG2697"/>
  <c r="AI2697"/>
  <c r="AK2697"/>
  <c r="AM2697"/>
  <c r="AO2697"/>
  <c r="AQ2697"/>
  <c r="AS2697"/>
  <c r="AU2697"/>
  <c r="AW2697"/>
  <c r="AY2697"/>
  <c r="BA2697"/>
  <c r="BC2697"/>
  <c r="BE2697"/>
  <c r="BG2697"/>
  <c r="M2698"/>
  <c r="O2698"/>
  <c r="Q2698"/>
  <c r="Y2698"/>
  <c r="AG2698"/>
  <c r="AI2698"/>
  <c r="AK2698"/>
  <c r="AM2698"/>
  <c r="AO2698"/>
  <c r="AQ2698"/>
  <c r="AS2698"/>
  <c r="AU2698"/>
  <c r="AW2698"/>
  <c r="AY2698"/>
  <c r="BA2698"/>
  <c r="BC2698"/>
  <c r="BE2698"/>
  <c r="BG2698"/>
  <c r="M2699"/>
  <c r="O2699"/>
  <c r="Q2699"/>
  <c r="Y2699"/>
  <c r="AG2699"/>
  <c r="AI2699"/>
  <c r="AK2699"/>
  <c r="AM2699"/>
  <c r="AO2699"/>
  <c r="AQ2699"/>
  <c r="AS2699"/>
  <c r="AU2699"/>
  <c r="AW2699"/>
  <c r="AY2699"/>
  <c r="BA2699"/>
  <c r="BC2699"/>
  <c r="BE2699"/>
  <c r="BG2699"/>
  <c r="M2700"/>
  <c r="O2700"/>
  <c r="Q2700"/>
  <c r="Y2700"/>
  <c r="AG2700"/>
  <c r="AI2700"/>
  <c r="AK2700"/>
  <c r="AM2700"/>
  <c r="AO2700"/>
  <c r="AQ2700"/>
  <c r="AS2700"/>
  <c r="AU2700"/>
  <c r="AW2700"/>
  <c r="AY2700"/>
  <c r="BA2700"/>
  <c r="BC2700"/>
  <c r="BE2700"/>
  <c r="BG2700"/>
  <c r="M2701"/>
  <c r="O2701"/>
  <c r="Q2701"/>
  <c r="Y2701"/>
  <c r="AG2701"/>
  <c r="AI2701"/>
  <c r="AK2701"/>
  <c r="AM2701"/>
  <c r="AO2701"/>
  <c r="AQ2701"/>
  <c r="AS2701"/>
  <c r="AU2701"/>
  <c r="AW2701"/>
  <c r="AY2701"/>
  <c r="BA2701"/>
  <c r="BC2701"/>
  <c r="BE2701"/>
  <c r="BG2701"/>
  <c r="M2702"/>
  <c r="O2702"/>
  <c r="Q2702"/>
  <c r="Y2702"/>
  <c r="AG2702"/>
  <c r="AI2702"/>
  <c r="AK2702"/>
  <c r="AM2702"/>
  <c r="AO2702"/>
  <c r="AQ2702"/>
  <c r="AS2702"/>
  <c r="AU2702"/>
  <c r="AW2702"/>
  <c r="AY2702"/>
  <c r="BA2702"/>
  <c r="BC2702"/>
  <c r="BE2702"/>
  <c r="BG2702"/>
  <c r="M2703"/>
  <c r="O2703"/>
  <c r="Q2703"/>
  <c r="Y2703"/>
  <c r="AG2703"/>
  <c r="AI2703"/>
  <c r="AK2703"/>
  <c r="AM2703"/>
  <c r="AO2703"/>
  <c r="AQ2703"/>
  <c r="AS2703"/>
  <c r="AU2703"/>
  <c r="AW2703"/>
  <c r="AY2703"/>
  <c r="BA2703"/>
  <c r="BC2703"/>
  <c r="BE2703"/>
  <c r="BG2703"/>
  <c r="M2704"/>
  <c r="O2704"/>
  <c r="Q2704"/>
  <c r="Y2704"/>
  <c r="AG2704"/>
  <c r="AI2704"/>
  <c r="AK2704"/>
  <c r="AM2704"/>
  <c r="AO2704"/>
  <c r="AQ2704"/>
  <c r="AS2704"/>
  <c r="AU2704"/>
  <c r="AW2704"/>
  <c r="AY2704"/>
  <c r="BA2704"/>
  <c r="BC2704"/>
  <c r="BE2704"/>
  <c r="BG2704"/>
  <c r="M2705"/>
  <c r="O2705"/>
  <c r="Q2705"/>
  <c r="Y2705"/>
  <c r="AG2705"/>
  <c r="AI2705"/>
  <c r="AK2705"/>
  <c r="AM2705"/>
  <c r="AO2705"/>
  <c r="AQ2705"/>
  <c r="AS2705"/>
  <c r="AU2705"/>
  <c r="AW2705"/>
  <c r="AY2705"/>
  <c r="BA2705"/>
  <c r="BC2705"/>
  <c r="BE2705"/>
  <c r="BG2705"/>
  <c r="M2706"/>
  <c r="O2706"/>
  <c r="Q2706"/>
  <c r="Y2706"/>
  <c r="AG2706"/>
  <c r="AI2706"/>
  <c r="AK2706"/>
  <c r="AM2706"/>
  <c r="AO2706"/>
  <c r="AQ2706"/>
  <c r="AS2706"/>
  <c r="AU2706"/>
  <c r="AW2706"/>
  <c r="AY2706"/>
  <c r="BA2706"/>
  <c r="BC2706"/>
  <c r="BE2706"/>
  <c r="BG2706"/>
  <c r="M2707"/>
  <c r="O2707"/>
  <c r="Q2707"/>
  <c r="Y2707"/>
  <c r="AG2707"/>
  <c r="AI2707"/>
  <c r="AK2707"/>
  <c r="AM2707"/>
  <c r="AO2707"/>
  <c r="AQ2707"/>
  <c r="AS2707"/>
  <c r="AU2707"/>
  <c r="AW2707"/>
  <c r="AY2707"/>
  <c r="BA2707"/>
  <c r="BC2707"/>
  <c r="BE2707"/>
  <c r="BG2707"/>
  <c r="M2708"/>
  <c r="O2708"/>
  <c r="Y2708"/>
  <c r="AG2708"/>
  <c r="AI2708"/>
  <c r="AK2708"/>
  <c r="AM2708"/>
  <c r="AO2708"/>
  <c r="AQ2708"/>
  <c r="AS2708"/>
  <c r="AU2708"/>
  <c r="AW2708"/>
  <c r="AY2708"/>
  <c r="BA2708"/>
  <c r="BC2708"/>
  <c r="BE2708"/>
  <c r="BG2708"/>
  <c r="M2709"/>
  <c r="O2709"/>
  <c r="Q2709"/>
  <c r="Y2709"/>
  <c r="AG2709"/>
  <c r="AI2709"/>
  <c r="AK2709"/>
  <c r="AM2709"/>
  <c r="AO2709"/>
  <c r="AQ2709"/>
  <c r="AS2709"/>
  <c r="AU2709"/>
  <c r="AW2709"/>
  <c r="AY2709"/>
  <c r="BA2709"/>
  <c r="BC2709"/>
  <c r="BE2709"/>
  <c r="BG2709"/>
  <c r="M2710"/>
  <c r="O2710"/>
  <c r="Q2710"/>
  <c r="Y2710"/>
  <c r="AG2710"/>
  <c r="AI2710"/>
  <c r="AK2710"/>
  <c r="AM2710"/>
  <c r="AO2710"/>
  <c r="AQ2710"/>
  <c r="AS2710"/>
  <c r="AU2710"/>
  <c r="AW2710"/>
  <c r="AY2710"/>
  <c r="BA2710"/>
  <c r="BC2710"/>
  <c r="BE2710"/>
  <c r="BG2710"/>
  <c r="M2711"/>
  <c r="O2711"/>
  <c r="Q2711"/>
  <c r="Y2711"/>
  <c r="AG2711"/>
  <c r="AI2711"/>
  <c r="AK2711"/>
  <c r="AM2711"/>
  <c r="AO2711"/>
  <c r="AQ2711"/>
  <c r="AS2711"/>
  <c r="AU2711"/>
  <c r="AW2711"/>
  <c r="AY2711"/>
  <c r="BA2711"/>
  <c r="BC2711"/>
  <c r="BE2711"/>
  <c r="BG2711"/>
  <c r="M2712"/>
  <c r="O2712"/>
  <c r="Q2712"/>
  <c r="Y2712"/>
  <c r="AG2712"/>
  <c r="AI2712"/>
  <c r="AK2712"/>
  <c r="AM2712"/>
  <c r="AO2712"/>
  <c r="AQ2712"/>
  <c r="AS2712"/>
  <c r="AU2712"/>
  <c r="AW2712"/>
  <c r="AY2712"/>
  <c r="BA2712"/>
  <c r="BC2712"/>
  <c r="BE2712"/>
  <c r="BG2712"/>
  <c r="AF2713"/>
  <c r="BN2713" s="1"/>
  <c r="AH2713"/>
  <c r="BP2713" s="1"/>
  <c r="AF2714"/>
  <c r="BN2714" s="1"/>
  <c r="AH2714"/>
  <c r="BP2714" s="1"/>
  <c r="AF2715"/>
  <c r="BN2715" s="1"/>
  <c r="AH2715"/>
  <c r="BP2715" s="1"/>
  <c r="AF2716"/>
  <c r="BN2716" s="1"/>
  <c r="AH2716"/>
  <c r="BP2716" s="1"/>
  <c r="L2717"/>
  <c r="BN2717" s="1"/>
  <c r="N2717"/>
  <c r="BP2717" s="1"/>
  <c r="M2728"/>
  <c r="O2728"/>
  <c r="Q2728"/>
  <c r="Y2728"/>
  <c r="AG2728"/>
  <c r="AI2728"/>
  <c r="AK2728"/>
  <c r="AM2728"/>
  <c r="AO2728"/>
  <c r="AQ2728"/>
  <c r="AS2728"/>
  <c r="AU2728"/>
  <c r="AW2728"/>
  <c r="AY2728"/>
  <c r="BA2728"/>
  <c r="BC2728"/>
  <c r="BE2728"/>
  <c r="BG2728"/>
  <c r="M2729"/>
  <c r="O2729"/>
  <c r="Q2729"/>
  <c r="Y2729"/>
  <c r="AG2729"/>
  <c r="AI2729"/>
  <c r="AK2729"/>
  <c r="AM2729"/>
  <c r="AO2729"/>
  <c r="AQ2729"/>
  <c r="AS2729"/>
  <c r="AU2729"/>
  <c r="AW2729"/>
  <c r="AY2729"/>
  <c r="BA2729"/>
  <c r="BC2729"/>
  <c r="BE2729"/>
  <c r="BG2729"/>
  <c r="M2730"/>
  <c r="O2730"/>
  <c r="Q2730"/>
  <c r="Y2730"/>
  <c r="AG2730"/>
  <c r="AI2730"/>
  <c r="AK2730"/>
  <c r="AM2730"/>
  <c r="AO2730"/>
  <c r="AQ2730"/>
  <c r="AS2730"/>
  <c r="AU2730"/>
  <c r="AW2730"/>
  <c r="AY2730"/>
  <c r="BA2730"/>
  <c r="BC2730"/>
  <c r="BE2730"/>
  <c r="BG2730"/>
  <c r="M2731"/>
  <c r="O2731"/>
  <c r="Q2731"/>
  <c r="Y2731"/>
  <c r="AG2731"/>
  <c r="AI2731"/>
  <c r="AK2731"/>
  <c r="AM2731"/>
  <c r="AO2731"/>
  <c r="AQ2731"/>
  <c r="AS2731"/>
  <c r="AU2731"/>
  <c r="AW2731"/>
  <c r="AY2731"/>
  <c r="BA2731"/>
  <c r="BC2731"/>
  <c r="BE2731"/>
  <c r="BG2731"/>
  <c r="M2732"/>
  <c r="O2732"/>
  <c r="Q2732"/>
  <c r="Y2732"/>
  <c r="AG2732"/>
  <c r="AI2732"/>
  <c r="AK2732"/>
  <c r="AM2732"/>
  <c r="AO2732"/>
  <c r="AQ2732"/>
  <c r="AS2732"/>
  <c r="AU2732"/>
  <c r="AW2732"/>
  <c r="AY2732"/>
  <c r="BA2732"/>
  <c r="BC2732"/>
  <c r="BE2732"/>
  <c r="BG2732"/>
  <c r="M2733"/>
  <c r="O2733"/>
  <c r="Q2733"/>
  <c r="Y2733"/>
  <c r="AG2733"/>
  <c r="AI2733"/>
  <c r="AK2733"/>
  <c r="AM2733"/>
  <c r="AO2733"/>
  <c r="AQ2733"/>
  <c r="AS2733"/>
  <c r="AU2733"/>
  <c r="AW2733"/>
  <c r="AY2733"/>
  <c r="BA2733"/>
  <c r="BC2733"/>
  <c r="BE2733"/>
  <c r="BG2733"/>
  <c r="M2734"/>
  <c r="O2734"/>
  <c r="Q2734"/>
  <c r="Y2734"/>
  <c r="AG2734"/>
  <c r="AI2734"/>
  <c r="AK2734"/>
  <c r="AM2734"/>
  <c r="AO2734"/>
  <c r="AQ2734"/>
  <c r="AS2734"/>
  <c r="AU2734"/>
  <c r="AW2734"/>
  <c r="AY2734"/>
  <c r="BA2734"/>
  <c r="BC2734"/>
  <c r="BE2734"/>
  <c r="BG2734"/>
  <c r="M2735"/>
  <c r="O2735"/>
  <c r="Q2735"/>
  <c r="Y2735"/>
  <c r="AG2735"/>
  <c r="AI2735"/>
  <c r="AK2735"/>
  <c r="AM2735"/>
  <c r="AO2735"/>
  <c r="AQ2735"/>
  <c r="AS2735"/>
  <c r="AU2735"/>
  <c r="AW2735"/>
  <c r="AY2735"/>
  <c r="BA2735"/>
  <c r="BC2735"/>
  <c r="BE2735"/>
  <c r="BG2735"/>
  <c r="M2736"/>
  <c r="O2736"/>
  <c r="Q2736"/>
  <c r="Y2736"/>
  <c r="AG2736"/>
  <c r="AI2736"/>
  <c r="AK2736"/>
  <c r="AM2736"/>
  <c r="AO2736"/>
  <c r="AQ2736"/>
  <c r="AS2736"/>
  <c r="AU2736"/>
  <c r="AW2736"/>
  <c r="AY2736"/>
  <c r="BA2736"/>
  <c r="BC2736"/>
  <c r="BE2736"/>
  <c r="BG2736"/>
  <c r="M2737"/>
  <c r="O2737"/>
  <c r="Q2737"/>
  <c r="Y2737"/>
  <c r="AG2737"/>
  <c r="AI2737"/>
  <c r="AK2737"/>
  <c r="AM2737"/>
  <c r="AO2737"/>
  <c r="AQ2737"/>
  <c r="AS2737"/>
  <c r="AU2737"/>
  <c r="AW2737"/>
  <c r="AY2737"/>
  <c r="BA2737"/>
  <c r="BC2737"/>
  <c r="BE2737"/>
  <c r="BG2737"/>
  <c r="M2738"/>
  <c r="O2738"/>
  <c r="Q2738"/>
  <c r="Y2738"/>
  <c r="AG2738"/>
  <c r="AI2738"/>
  <c r="AK2738"/>
  <c r="AM2738"/>
  <c r="AO2738"/>
  <c r="AQ2738"/>
  <c r="AS2738"/>
  <c r="AU2738"/>
  <c r="AW2738"/>
  <c r="AY2738"/>
  <c r="BA2738"/>
  <c r="BC2738"/>
  <c r="BE2738"/>
  <c r="BG2738"/>
  <c r="M2739"/>
  <c r="O2739"/>
  <c r="Q2739"/>
  <c r="Y2739"/>
  <c r="AG2739"/>
  <c r="AI2739"/>
  <c r="AK2739"/>
  <c r="AM2739"/>
  <c r="AO2739"/>
  <c r="AQ2739"/>
  <c r="AS2739"/>
  <c r="AU2739"/>
  <c r="AW2739"/>
  <c r="AY2739"/>
  <c r="BA2739"/>
  <c r="BC2739"/>
  <c r="BE2739"/>
  <c r="BG2739"/>
  <c r="M2740"/>
  <c r="O2740"/>
  <c r="Q2740"/>
  <c r="Y2740"/>
  <c r="AG2740"/>
  <c r="AI2740"/>
  <c r="AK2740"/>
  <c r="AM2740"/>
  <c r="AO2740"/>
  <c r="AQ2740"/>
  <c r="AS2740"/>
  <c r="AU2740"/>
  <c r="AW2740"/>
  <c r="AY2740"/>
  <c r="BA2740"/>
  <c r="BC2740"/>
  <c r="BE2740"/>
  <c r="BG2740"/>
  <c r="M2741"/>
  <c r="O2741"/>
  <c r="Q2741"/>
  <c r="Y2741"/>
  <c r="AG2741"/>
  <c r="AI2741"/>
  <c r="AK2741"/>
  <c r="AM2741"/>
  <c r="AO2741"/>
  <c r="AQ2741"/>
  <c r="AS2741"/>
  <c r="AU2741"/>
  <c r="AW2741"/>
  <c r="AY2741"/>
  <c r="BA2741"/>
  <c r="BC2741"/>
  <c r="BE2741"/>
  <c r="BG2741"/>
  <c r="M2742"/>
  <c r="O2742"/>
  <c r="Q2742"/>
  <c r="Y2742"/>
  <c r="AG2742"/>
  <c r="AI2742"/>
  <c r="AK2742"/>
  <c r="AM2742"/>
  <c r="AO2742"/>
  <c r="AQ2742"/>
  <c r="AS2742"/>
  <c r="AU2742"/>
  <c r="AW2742"/>
  <c r="AY2742"/>
  <c r="BA2742"/>
  <c r="BC2742"/>
  <c r="BE2742"/>
  <c r="BG2742"/>
  <c r="M2743"/>
  <c r="O2743"/>
  <c r="Q2743"/>
  <c r="Y2743"/>
  <c r="AG2743"/>
  <c r="AI2743"/>
  <c r="AK2743"/>
  <c r="AM2743"/>
  <c r="AO2743"/>
  <c r="AQ2743"/>
  <c r="AS2743"/>
  <c r="AU2743"/>
  <c r="AW2743"/>
  <c r="AY2743"/>
  <c r="BA2743"/>
  <c r="BC2743"/>
  <c r="BE2743"/>
  <c r="BG2743"/>
  <c r="M2744"/>
  <c r="O2744"/>
  <c r="Q2744"/>
  <c r="Y2744"/>
  <c r="AG2744"/>
  <c r="AI2744"/>
  <c r="AK2744"/>
  <c r="AM2744"/>
  <c r="AO2744"/>
  <c r="AQ2744"/>
  <c r="AS2744"/>
  <c r="AU2744"/>
  <c r="AW2744"/>
  <c r="AY2744"/>
  <c r="BA2744"/>
  <c r="BC2744"/>
  <c r="BE2744"/>
  <c r="BG2744"/>
  <c r="M2745"/>
  <c r="O2745"/>
  <c r="Q2745"/>
  <c r="Y2745"/>
  <c r="AG2745"/>
  <c r="AI2745"/>
  <c r="AK2745"/>
  <c r="AM2745"/>
  <c r="AO2745"/>
  <c r="AQ2745"/>
  <c r="AS2745"/>
  <c r="AU2745"/>
  <c r="AW2745"/>
  <c r="AY2745"/>
  <c r="BA2745"/>
  <c r="BC2745"/>
  <c r="BE2745"/>
  <c r="BG2745"/>
  <c r="M2746"/>
  <c r="O2746"/>
  <c r="Q2746"/>
  <c r="Y2746"/>
  <c r="AG2746"/>
  <c r="AI2746"/>
  <c r="AK2746"/>
  <c r="AM2746"/>
  <c r="AO2746"/>
  <c r="AQ2746"/>
  <c r="AS2746"/>
  <c r="AU2746"/>
  <c r="AW2746"/>
  <c r="AY2746"/>
  <c r="BA2746"/>
  <c r="BC2746"/>
  <c r="BE2746"/>
  <c r="BG2746"/>
  <c r="M2747"/>
  <c r="O2747"/>
  <c r="Q2747"/>
  <c r="Y2747"/>
  <c r="AG2747"/>
  <c r="AI2747"/>
  <c r="AK2747"/>
  <c r="AM2747"/>
  <c r="AO2747"/>
  <c r="AQ2747"/>
  <c r="AS2747"/>
  <c r="AU2747"/>
  <c r="AW2747"/>
  <c r="AY2747"/>
  <c r="BA2747"/>
  <c r="BC2747"/>
  <c r="BE2747"/>
  <c r="BG2747"/>
  <c r="M2748"/>
  <c r="O2748"/>
  <c r="Q2748"/>
  <c r="Y2748"/>
  <c r="AG2748"/>
  <c r="AI2748"/>
  <c r="AK2748"/>
  <c r="AM2748"/>
  <c r="AO2748"/>
  <c r="AQ2748"/>
  <c r="AS2748"/>
  <c r="AU2748"/>
  <c r="AW2748"/>
  <c r="AY2748"/>
  <c r="BA2748"/>
  <c r="BC2748"/>
  <c r="BE2748"/>
  <c r="BG2748"/>
  <c r="M2749"/>
  <c r="O2749"/>
  <c r="Q2749"/>
  <c r="Y2749"/>
  <c r="AG2749"/>
  <c r="AI2749"/>
  <c r="AK2749"/>
  <c r="AM2749"/>
  <c r="AO2749"/>
  <c r="AQ2749"/>
  <c r="AS2749"/>
  <c r="AU2749"/>
  <c r="AW2749"/>
  <c r="AY2749"/>
  <c r="BA2749"/>
  <c r="BC2749"/>
  <c r="BE2749"/>
  <c r="BG2749"/>
  <c r="M2750"/>
  <c r="O2750"/>
  <c r="Q2750"/>
  <c r="Y2750"/>
  <c r="AG2750"/>
  <c r="AI2750"/>
  <c r="AK2750"/>
  <c r="AM2750"/>
  <c r="AO2750"/>
  <c r="AQ2750"/>
  <c r="AS2750"/>
  <c r="AU2750"/>
  <c r="AW2750"/>
  <c r="AY2750"/>
  <c r="BA2750"/>
  <c r="BC2750"/>
  <c r="BE2750"/>
  <c r="BG2750"/>
  <c r="M2751"/>
  <c r="O2751"/>
  <c r="Q2751"/>
  <c r="Y2751"/>
  <c r="AG2751"/>
  <c r="AI2751"/>
  <c r="AK2751"/>
  <c r="AM2751"/>
  <c r="AO2751"/>
  <c r="AQ2751"/>
  <c r="AS2751"/>
  <c r="AU2751"/>
  <c r="AW2751"/>
  <c r="AY2751"/>
  <c r="BA2751"/>
  <c r="BC2751"/>
  <c r="BE2751"/>
  <c r="BG2751"/>
  <c r="M2752"/>
  <c r="O2752"/>
  <c r="Q2752"/>
  <c r="Y2752"/>
  <c r="AG2752"/>
  <c r="AI2752"/>
  <c r="AK2752"/>
  <c r="AM2752"/>
  <c r="AO2752"/>
  <c r="AQ2752"/>
  <c r="AS2752"/>
  <c r="AU2752"/>
  <c r="AW2752"/>
  <c r="AY2752"/>
  <c r="BA2752"/>
  <c r="BC2752"/>
  <c r="BE2752"/>
  <c r="BG2752"/>
  <c r="M2753"/>
  <c r="O2753"/>
  <c r="Q2753"/>
  <c r="Y2753"/>
  <c r="AG2753"/>
  <c r="AI2753"/>
  <c r="AK2753"/>
  <c r="AM2753"/>
  <c r="AO2753"/>
  <c r="AQ2753"/>
  <c r="AS2753"/>
  <c r="AU2753"/>
  <c r="AW2753"/>
  <c r="AY2753"/>
  <c r="BA2753"/>
  <c r="BC2753"/>
  <c r="BE2753"/>
  <c r="BG2753"/>
  <c r="M2754"/>
  <c r="O2754"/>
  <c r="Q2754"/>
  <c r="Y2754"/>
  <c r="AG2754"/>
  <c r="AI2754"/>
  <c r="AK2754"/>
  <c r="AM2754"/>
  <c r="AO2754"/>
  <c r="AQ2754"/>
  <c r="AS2754"/>
  <c r="AU2754"/>
  <c r="AW2754"/>
  <c r="AY2754"/>
  <c r="BA2754"/>
  <c r="BC2754"/>
  <c r="BE2754"/>
  <c r="BG2754"/>
  <c r="M2755"/>
  <c r="O2755"/>
  <c r="Q2755"/>
  <c r="Y2755"/>
  <c r="AG2755"/>
  <c r="AI2755"/>
  <c r="AK2755"/>
  <c r="AM2755"/>
  <c r="AO2755"/>
  <c r="AQ2755"/>
  <c r="AS2755"/>
  <c r="AU2755"/>
  <c r="AW2755"/>
  <c r="AY2755"/>
  <c r="BA2755"/>
  <c r="BC2755"/>
  <c r="BE2755"/>
  <c r="BG2755"/>
  <c r="M2756"/>
  <c r="O2756"/>
  <c r="Q2756"/>
  <c r="Y2756"/>
  <c r="AG2756"/>
  <c r="AI2756"/>
  <c r="AK2756"/>
  <c r="AM2756"/>
  <c r="AO2756"/>
  <c r="AQ2756"/>
  <c r="AS2756"/>
  <c r="AU2756"/>
  <c r="AW2756"/>
  <c r="AY2756"/>
  <c r="BA2756"/>
  <c r="BC2756"/>
  <c r="BE2756"/>
  <c r="BG2756"/>
  <c r="M2757"/>
  <c r="O2757"/>
  <c r="Q2757"/>
  <c r="Y2757"/>
  <c r="AG2757"/>
  <c r="AI2757"/>
  <c r="AK2757"/>
  <c r="AM2757"/>
  <c r="AO2757"/>
  <c r="AQ2757"/>
  <c r="AS2757"/>
  <c r="AU2757"/>
  <c r="AW2757"/>
  <c r="AY2757"/>
  <c r="BA2757"/>
  <c r="BC2757"/>
  <c r="BE2757"/>
  <c r="BG2757"/>
  <c r="M2758"/>
  <c r="O2758"/>
  <c r="Q2758"/>
  <c r="Y2758"/>
  <c r="AG2758"/>
  <c r="AI2758"/>
  <c r="AK2758"/>
  <c r="AM2758"/>
  <c r="AO2758"/>
  <c r="AQ2758"/>
  <c r="AS2758"/>
  <c r="AU2758"/>
  <c r="AW2758"/>
  <c r="AY2758"/>
  <c r="BA2758"/>
  <c r="BC2758"/>
  <c r="BE2758"/>
  <c r="BG2758"/>
  <c r="M2759"/>
  <c r="O2759"/>
  <c r="Q2759"/>
  <c r="Y2759"/>
  <c r="AG2759"/>
  <c r="AI2759"/>
  <c r="AK2759"/>
  <c r="AM2759"/>
  <c r="AO2759"/>
  <c r="AQ2759"/>
  <c r="AS2759"/>
  <c r="AU2759"/>
  <c r="AW2759"/>
  <c r="AY2759"/>
  <c r="BA2759"/>
  <c r="BC2759"/>
  <c r="BE2759"/>
  <c r="BG2759"/>
  <c r="M2760"/>
  <c r="O2760"/>
  <c r="Q2760"/>
  <c r="Y2760"/>
  <c r="AG2760"/>
  <c r="AI2760"/>
  <c r="AK2760"/>
  <c r="AM2760"/>
  <c r="AO2760"/>
  <c r="AQ2760"/>
  <c r="AS2760"/>
  <c r="AU2760"/>
  <c r="AW2760"/>
  <c r="AY2760"/>
  <c r="BA2760"/>
  <c r="BC2760"/>
  <c r="BE2760"/>
  <c r="BG2760"/>
  <c r="M2761"/>
  <c r="O2761"/>
  <c r="Q2761"/>
  <c r="Y2761"/>
  <c r="AG2761"/>
  <c r="AI2761"/>
  <c r="AK2761"/>
  <c r="AM2761"/>
  <c r="AO2761"/>
  <c r="AQ2761"/>
  <c r="AS2761"/>
  <c r="AU2761"/>
  <c r="AW2761"/>
  <c r="AY2761"/>
  <c r="BA2761"/>
  <c r="BC2761"/>
  <c r="BE2761"/>
  <c r="BG2761"/>
  <c r="M2762"/>
  <c r="O2762"/>
  <c r="Q2762"/>
  <c r="Y2762"/>
  <c r="AG2762"/>
  <c r="AI2762"/>
  <c r="AK2762"/>
  <c r="AM2762"/>
  <c r="AO2762"/>
  <c r="AQ2762"/>
  <c r="AS2762"/>
  <c r="AU2762"/>
  <c r="AW2762"/>
  <c r="AY2762"/>
  <c r="BA2762"/>
  <c r="BC2762"/>
  <c r="BE2762"/>
  <c r="BG2762"/>
  <c r="M2763"/>
  <c r="O2763"/>
  <c r="Q2763"/>
  <c r="Y2763"/>
  <c r="AG2763"/>
  <c r="AI2763"/>
  <c r="AK2763"/>
  <c r="AM2763"/>
  <c r="AO2763"/>
  <c r="AQ2763"/>
  <c r="AS2763"/>
  <c r="AU2763"/>
  <c r="AW2763"/>
  <c r="AY2763"/>
  <c r="BA2763"/>
  <c r="BC2763"/>
  <c r="BE2763"/>
  <c r="BG2763"/>
  <c r="M2764"/>
  <c r="O2764"/>
  <c r="Q2764"/>
  <c r="Y2764"/>
  <c r="AG2764"/>
  <c r="AI2764"/>
  <c r="AK2764"/>
  <c r="AM2764"/>
  <c r="AO2764"/>
  <c r="AQ2764"/>
  <c r="AS2764"/>
  <c r="AU2764"/>
  <c r="AW2764"/>
  <c r="AY2764"/>
  <c r="BA2764"/>
  <c r="BC2764"/>
  <c r="BE2764"/>
  <c r="BG2764"/>
  <c r="M2765"/>
  <c r="O2765"/>
  <c r="Q2765"/>
  <c r="Y2765"/>
  <c r="AG2765"/>
  <c r="AI2765"/>
  <c r="AK2765"/>
  <c r="AM2765"/>
  <c r="AO2765"/>
  <c r="AQ2765"/>
  <c r="AS2765"/>
  <c r="AU2765"/>
  <c r="AW2765"/>
  <c r="AY2765"/>
  <c r="BA2765"/>
  <c r="BC2765"/>
  <c r="BE2765"/>
  <c r="BG2765"/>
  <c r="M2766"/>
  <c r="O2766"/>
  <c r="Y2766"/>
  <c r="AG2766"/>
  <c r="AI2766"/>
  <c r="AK2766"/>
  <c r="AM2766"/>
  <c r="AO2766"/>
  <c r="AQ2766"/>
  <c r="AS2766"/>
  <c r="AU2766"/>
  <c r="AW2766"/>
  <c r="AY2766"/>
  <c r="BA2766"/>
  <c r="BC2766"/>
  <c r="BE2766"/>
  <c r="BG2766"/>
  <c r="M2767"/>
  <c r="O2767"/>
  <c r="Q2767"/>
  <c r="Y2767"/>
  <c r="AG2767"/>
  <c r="AI2767"/>
  <c r="AK2767"/>
  <c r="AM2767"/>
  <c r="AO2767"/>
  <c r="AQ2767"/>
  <c r="AS2767"/>
  <c r="AU2767"/>
  <c r="AW2767"/>
  <c r="AY2767"/>
  <c r="BA2767"/>
  <c r="BC2767"/>
  <c r="BE2767"/>
  <c r="BG2767"/>
  <c r="M2768"/>
  <c r="O2768"/>
  <c r="Q2768"/>
  <c r="Y2768"/>
  <c r="AG2768"/>
  <c r="AI2768"/>
  <c r="AK2768"/>
  <c r="AM2768"/>
  <c r="AO2768"/>
  <c r="AQ2768"/>
  <c r="AS2768"/>
  <c r="AU2768"/>
  <c r="AW2768"/>
  <c r="AY2768"/>
  <c r="BA2768"/>
  <c r="BC2768"/>
  <c r="BE2768"/>
  <c r="BG2768"/>
  <c r="M2769"/>
  <c r="O2769"/>
  <c r="Q2769"/>
  <c r="S2769"/>
  <c r="U2769"/>
  <c r="W2769"/>
  <c r="Y2769"/>
  <c r="AG2769"/>
  <c r="AI2769"/>
  <c r="AK2769"/>
  <c r="AM2769"/>
  <c r="AO2769"/>
  <c r="AQ2769"/>
  <c r="AS2769"/>
  <c r="AU2769"/>
  <c r="AW2769"/>
  <c r="AY2769"/>
  <c r="BA2769"/>
  <c r="BC2769"/>
  <c r="BE2769"/>
  <c r="BG2769"/>
  <c r="M2770"/>
  <c r="O2770"/>
  <c r="Q2770"/>
  <c r="Y2770"/>
  <c r="AG2770"/>
  <c r="AI2770"/>
  <c r="AK2770"/>
  <c r="AM2770"/>
  <c r="AO2770"/>
  <c r="AQ2770"/>
  <c r="AS2770"/>
  <c r="AU2770"/>
  <c r="AW2770"/>
  <c r="AY2770"/>
  <c r="BA2770"/>
  <c r="BC2770"/>
  <c r="BE2770"/>
  <c r="BG2770"/>
  <c r="L2771"/>
  <c r="N2771"/>
  <c r="P2771"/>
  <c r="X2771"/>
  <c r="AJ2771"/>
  <c r="AL2771"/>
  <c r="L2772"/>
  <c r="N2772"/>
  <c r="P2772"/>
  <c r="X2772"/>
  <c r="AJ2772"/>
  <c r="AL2772"/>
  <c r="L2773"/>
  <c r="N2773"/>
  <c r="P2773"/>
  <c r="X2773"/>
  <c r="AJ2773"/>
  <c r="AL2773"/>
  <c r="L2774"/>
  <c r="N2774"/>
  <c r="P2774"/>
  <c r="X2774"/>
  <c r="AJ2774"/>
  <c r="AL2774"/>
  <c r="L2775"/>
  <c r="N2775"/>
  <c r="P2775"/>
  <c r="X2775"/>
  <c r="AJ2775"/>
  <c r="AL2775"/>
  <c r="O53"/>
  <c r="AA400"/>
  <c r="R399"/>
  <c r="D1325"/>
  <c r="D1322"/>
  <c r="D1324"/>
  <c r="D1326"/>
  <c r="D1435"/>
  <c r="D1434"/>
  <c r="D1319"/>
  <c r="D1321"/>
  <c r="D1323"/>
  <c r="D1320"/>
  <c r="BN1265" l="1"/>
  <c r="BN1264"/>
  <c r="C3"/>
  <c r="C2467"/>
  <c r="C2413"/>
  <c r="C2307"/>
  <c r="C2575"/>
  <c r="C2677"/>
  <c r="C2361"/>
  <c r="C2205"/>
  <c r="C2256"/>
  <c r="BP2018"/>
  <c r="BP2310"/>
  <c r="BP2017"/>
  <c r="BP2313"/>
  <c r="BP805"/>
  <c r="BP166"/>
  <c r="BN167"/>
  <c r="BO457"/>
  <c r="BP2022"/>
  <c r="BP2023"/>
  <c r="BQ11"/>
  <c r="BQ10"/>
  <c r="BQ9"/>
  <c r="BQ8"/>
  <c r="BQ7"/>
  <c r="BQ6"/>
  <c r="BQ5"/>
  <c r="BQ4"/>
  <c r="BQ3"/>
  <c r="BQ2"/>
  <c r="C2629"/>
  <c r="C2730"/>
  <c r="C2522"/>
  <c r="BP572"/>
  <c r="BP1849"/>
  <c r="BN2545"/>
  <c r="BN1907"/>
  <c r="BP108"/>
  <c r="BN744"/>
  <c r="BP746"/>
  <c r="BP2658"/>
  <c r="BN2659"/>
  <c r="BO223"/>
  <c r="BP50"/>
  <c r="BP2602"/>
  <c r="BQ1316"/>
  <c r="BQ1258"/>
  <c r="BN1206"/>
  <c r="BQ1200"/>
  <c r="BQ1142"/>
  <c r="BQ968"/>
  <c r="BP917"/>
  <c r="BQ910"/>
  <c r="BP858"/>
  <c r="BQ794"/>
  <c r="BP683"/>
  <c r="BQ446"/>
  <c r="BN279"/>
  <c r="BQ272"/>
  <c r="BQ98"/>
  <c r="BQ40"/>
  <c r="BN1497"/>
  <c r="BP1497"/>
  <c r="BN1498"/>
  <c r="BN1499"/>
  <c r="BP686"/>
  <c r="BP743"/>
  <c r="BP1962"/>
  <c r="BP2483"/>
  <c r="BP2484"/>
  <c r="BP2485"/>
  <c r="BP1441"/>
  <c r="BP1845"/>
  <c r="BP1670"/>
  <c r="BP1669"/>
  <c r="BQ1664"/>
  <c r="BQ2070"/>
  <c r="BQ2012"/>
  <c r="BN1960"/>
  <c r="BQ1896"/>
  <c r="BP51"/>
  <c r="BP1675"/>
  <c r="BP2661"/>
  <c r="BN573"/>
  <c r="BO631"/>
  <c r="BN2777"/>
  <c r="BP1674"/>
  <c r="BN398"/>
  <c r="BN1500"/>
  <c r="BP1501"/>
  <c r="BN2778"/>
  <c r="BN284"/>
  <c r="BN110"/>
  <c r="BN1038"/>
  <c r="BN2546"/>
  <c r="BP1386"/>
  <c r="BP400"/>
  <c r="BN168"/>
  <c r="BP748"/>
  <c r="BP1676"/>
  <c r="BN806"/>
  <c r="BN1908"/>
  <c r="BN807"/>
  <c r="BN2779"/>
  <c r="K1039"/>
  <c r="BP1039"/>
  <c r="BP1851"/>
  <c r="BP111"/>
  <c r="BN1387"/>
  <c r="BN459"/>
  <c r="BP2662"/>
  <c r="BP2663"/>
  <c r="BP52"/>
  <c r="BP2142"/>
  <c r="BP2548"/>
  <c r="BP808"/>
  <c r="BP1388"/>
  <c r="BP2780"/>
  <c r="BP2606"/>
  <c r="BP1446"/>
  <c r="BO1047"/>
  <c r="BN810"/>
  <c r="BQ2766"/>
  <c r="BQ2476"/>
  <c r="BQ2418"/>
  <c r="BP2308"/>
  <c r="BP2307"/>
  <c r="BQ2302"/>
  <c r="BQ2186"/>
  <c r="BN2550"/>
  <c r="BP1042"/>
  <c r="BP2144"/>
  <c r="BP810"/>
  <c r="BP578"/>
  <c r="BN2144"/>
  <c r="BP1854"/>
  <c r="BP1214"/>
  <c r="BP2376"/>
  <c r="BN288"/>
  <c r="Q2654"/>
  <c r="BN2654"/>
  <c r="Q2653"/>
  <c r="BN2653"/>
  <c r="Q2652"/>
  <c r="BN2652"/>
  <c r="Q2651"/>
  <c r="BN2651"/>
  <c r="Y2649"/>
  <c r="BP2649"/>
  <c r="Y2645"/>
  <c r="BP2645"/>
  <c r="Y2534"/>
  <c r="BP2534"/>
  <c r="Q2533"/>
  <c r="BN2533"/>
  <c r="Q2529"/>
  <c r="BN2529"/>
  <c r="BN2775"/>
  <c r="BN2774"/>
  <c r="BN2773"/>
  <c r="BN2772"/>
  <c r="BN2771"/>
  <c r="BO2770"/>
  <c r="BQ2769"/>
  <c r="BQ2768"/>
  <c r="BQ2767"/>
  <c r="BO2766"/>
  <c r="BO2765"/>
  <c r="BO2764"/>
  <c r="BO2763"/>
  <c r="BO2762"/>
  <c r="BO2761"/>
  <c r="BO2760"/>
  <c r="BO2759"/>
  <c r="BO2758"/>
  <c r="BO2757"/>
  <c r="BO2756"/>
  <c r="BO2755"/>
  <c r="BO2754"/>
  <c r="BO2753"/>
  <c r="BO2752"/>
  <c r="BO2751"/>
  <c r="BO2750"/>
  <c r="BO2749"/>
  <c r="BO2748"/>
  <c r="BO2747"/>
  <c r="BO2746"/>
  <c r="BO2745"/>
  <c r="BO2744"/>
  <c r="BO2743"/>
  <c r="BO2742"/>
  <c r="BO2741"/>
  <c r="BO2740"/>
  <c r="BO2739"/>
  <c r="BO2738"/>
  <c r="BO2737"/>
  <c r="BO2736"/>
  <c r="BO2735"/>
  <c r="BO2734"/>
  <c r="BO2733"/>
  <c r="BO2732"/>
  <c r="BO2731"/>
  <c r="BO2730"/>
  <c r="BO2729"/>
  <c r="BO2728"/>
  <c r="BO2712"/>
  <c r="BO2711"/>
  <c r="BO2710"/>
  <c r="BO2709"/>
  <c r="BQ2708"/>
  <c r="BQ2707"/>
  <c r="BQ2706"/>
  <c r="BQ2705"/>
  <c r="BQ2704"/>
  <c r="BQ2703"/>
  <c r="BQ2702"/>
  <c r="BQ2701"/>
  <c r="BQ2700"/>
  <c r="BQ2699"/>
  <c r="BQ2698"/>
  <c r="BQ2697"/>
  <c r="BQ2696"/>
  <c r="BQ2695"/>
  <c r="BQ2694"/>
  <c r="BQ2693"/>
  <c r="BQ2692"/>
  <c r="BQ2691"/>
  <c r="BQ2690"/>
  <c r="BQ2689"/>
  <c r="BQ2688"/>
  <c r="BQ2687"/>
  <c r="BQ2686"/>
  <c r="BQ2685"/>
  <c r="BQ2684"/>
  <c r="BQ2683"/>
  <c r="BQ2682"/>
  <c r="BQ2681"/>
  <c r="BQ2680"/>
  <c r="BQ2679"/>
  <c r="BQ2678"/>
  <c r="BQ2677"/>
  <c r="BQ2676"/>
  <c r="BQ2675"/>
  <c r="BQ2674"/>
  <c r="BQ2673"/>
  <c r="BQ2672"/>
  <c r="BQ2671"/>
  <c r="BQ2670"/>
  <c r="BN2656"/>
  <c r="BN2655"/>
  <c r="BO2654"/>
  <c r="BQ2649"/>
  <c r="BQ2648"/>
  <c r="BQ2647"/>
  <c r="BQ2646"/>
  <c r="BQ2645"/>
  <c r="BQ2644"/>
  <c r="BQ2643"/>
  <c r="BQ2642"/>
  <c r="BQ2641"/>
  <c r="BQ2640"/>
  <c r="BQ2639"/>
  <c r="BQ2638"/>
  <c r="BQ2637"/>
  <c r="BQ2636"/>
  <c r="BQ2635"/>
  <c r="BQ2634"/>
  <c r="BQ2633"/>
  <c r="BQ2632"/>
  <c r="BQ2631"/>
  <c r="BQ2630"/>
  <c r="BQ2629"/>
  <c r="BQ2628"/>
  <c r="BQ2627"/>
  <c r="BQ2626"/>
  <c r="BQ2625"/>
  <c r="BQ2624"/>
  <c r="BQ2623"/>
  <c r="BQ2622"/>
  <c r="BQ2621"/>
  <c r="BQ2620"/>
  <c r="BQ2619"/>
  <c r="BQ2618"/>
  <c r="BQ2617"/>
  <c r="BQ2616"/>
  <c r="BQ2615"/>
  <c r="BQ2614"/>
  <c r="BQ2613"/>
  <c r="BQ2612"/>
  <c r="BN2601"/>
  <c r="BP2600"/>
  <c r="BP2599"/>
  <c r="BN2599"/>
  <c r="BP2598"/>
  <c r="BQ2596"/>
  <c r="BQ2595"/>
  <c r="BQ2594"/>
  <c r="BO2593"/>
  <c r="BQ2592"/>
  <c r="BQ2591"/>
  <c r="BQ2590"/>
  <c r="BQ2589"/>
  <c r="BQ2588"/>
  <c r="BQ2587"/>
  <c r="BQ2586"/>
  <c r="BQ2585"/>
  <c r="BQ2584"/>
  <c r="BQ2583"/>
  <c r="BQ2582"/>
  <c r="BQ2581"/>
  <c r="BQ2580"/>
  <c r="BQ2579"/>
  <c r="BQ2578"/>
  <c r="BQ2577"/>
  <c r="BQ2576"/>
  <c r="BQ2575"/>
  <c r="BQ2574"/>
  <c r="BQ2573"/>
  <c r="BQ2572"/>
  <c r="BQ2571"/>
  <c r="BQ2570"/>
  <c r="BQ2569"/>
  <c r="BQ2568"/>
  <c r="BQ2567"/>
  <c r="BQ2566"/>
  <c r="BQ2565"/>
  <c r="BQ2564"/>
  <c r="BQ2563"/>
  <c r="BQ2562"/>
  <c r="BQ2561"/>
  <c r="BQ2560"/>
  <c r="BQ2559"/>
  <c r="BQ2558"/>
  <c r="BQ2557"/>
  <c r="BQ2556"/>
  <c r="BQ2555"/>
  <c r="BQ2554"/>
  <c r="BN2543"/>
  <c r="BP2541"/>
  <c r="BP2540"/>
  <c r="BP2539"/>
  <c r="BQ2538"/>
  <c r="BQ2537"/>
  <c r="BQ2536"/>
  <c r="BQ2535"/>
  <c r="BO2532"/>
  <c r="BO2531"/>
  <c r="BO2530"/>
  <c r="BO2529"/>
  <c r="BO2528"/>
  <c r="BO2527"/>
  <c r="BO2526"/>
  <c r="BO2525"/>
  <c r="BO2524"/>
  <c r="BO2523"/>
  <c r="BO2522"/>
  <c r="BO2521"/>
  <c r="BO2520"/>
  <c r="BO2519"/>
  <c r="BO2518"/>
  <c r="BO2517"/>
  <c r="BO2516"/>
  <c r="BO2515"/>
  <c r="BO2514"/>
  <c r="BO2513"/>
  <c r="BO2512"/>
  <c r="BO2511"/>
  <c r="BO2510"/>
  <c r="BO2509"/>
  <c r="BO2508"/>
  <c r="BO2507"/>
  <c r="BO2506"/>
  <c r="BO2505"/>
  <c r="BO2504"/>
  <c r="BO2503"/>
  <c r="BO2502"/>
  <c r="BO2501"/>
  <c r="BO2500"/>
  <c r="BO2499"/>
  <c r="BO2498"/>
  <c r="BO2497"/>
  <c r="BO2496"/>
  <c r="BP2482"/>
  <c r="BP2481"/>
  <c r="BQ2480"/>
  <c r="BO2479"/>
  <c r="BQ2478"/>
  <c r="BQ2477"/>
  <c r="BO2476"/>
  <c r="BO2475"/>
  <c r="BO2474"/>
  <c r="BO2473"/>
  <c r="BO2472"/>
  <c r="BO2471"/>
  <c r="BO2470"/>
  <c r="BO2469"/>
  <c r="BO2468"/>
  <c r="BO2467"/>
  <c r="BO2466"/>
  <c r="BO2465"/>
  <c r="BO2464"/>
  <c r="BO2463"/>
  <c r="BO2462"/>
  <c r="BO2461"/>
  <c r="BO2460"/>
  <c r="BO2459"/>
  <c r="BO2458"/>
  <c r="BO2457"/>
  <c r="BO2456"/>
  <c r="BO2455"/>
  <c r="BO2454"/>
  <c r="BO2453"/>
  <c r="BO2452"/>
  <c r="BO2451"/>
  <c r="BQ400"/>
  <c r="BO400"/>
  <c r="Y2653"/>
  <c r="BO2653" s="1"/>
  <c r="BP2653"/>
  <c r="Y2652"/>
  <c r="BO2652" s="1"/>
  <c r="BP2652"/>
  <c r="Y2651"/>
  <c r="BO2651" s="1"/>
  <c r="BP2651"/>
  <c r="Y2650"/>
  <c r="BQ2650" s="1"/>
  <c r="BP2650"/>
  <c r="Q2649"/>
  <c r="BN2649"/>
  <c r="Q2645"/>
  <c r="BN2645"/>
  <c r="Q2595"/>
  <c r="BN2595"/>
  <c r="Q2538"/>
  <c r="BN2538"/>
  <c r="Q2537"/>
  <c r="BN2537"/>
  <c r="Q2536"/>
  <c r="BN2536"/>
  <c r="Q2535"/>
  <c r="BN2535"/>
  <c r="Y2533"/>
  <c r="BO2533" s="1"/>
  <c r="BP2533"/>
  <c r="Q2422"/>
  <c r="BN2422"/>
  <c r="Q2421"/>
  <c r="BN2421"/>
  <c r="Q2419"/>
  <c r="BN2419"/>
  <c r="BP2775"/>
  <c r="BP2774"/>
  <c r="BP2773"/>
  <c r="BP2772"/>
  <c r="BP2771"/>
  <c r="BQ2770"/>
  <c r="BO2769"/>
  <c r="BO2768"/>
  <c r="BO2767"/>
  <c r="BQ2765"/>
  <c r="BQ2764"/>
  <c r="BQ2763"/>
  <c r="BQ2762"/>
  <c r="BQ2761"/>
  <c r="BQ2760"/>
  <c r="BQ2759"/>
  <c r="BQ2758"/>
  <c r="BQ2757"/>
  <c r="BQ2756"/>
  <c r="BQ2755"/>
  <c r="BQ2754"/>
  <c r="BQ2753"/>
  <c r="BQ2752"/>
  <c r="BQ2751"/>
  <c r="BQ2750"/>
  <c r="BQ2749"/>
  <c r="BQ2748"/>
  <c r="BQ2747"/>
  <c r="BQ2746"/>
  <c r="BQ2745"/>
  <c r="BQ2744"/>
  <c r="BQ2743"/>
  <c r="BQ2742"/>
  <c r="BQ2741"/>
  <c r="BQ2740"/>
  <c r="BQ2739"/>
  <c r="BQ2738"/>
  <c r="BQ2737"/>
  <c r="BQ2736"/>
  <c r="BQ2735"/>
  <c r="BQ2734"/>
  <c r="BQ2733"/>
  <c r="BQ2732"/>
  <c r="BQ2731"/>
  <c r="BQ2730"/>
  <c r="BQ2729"/>
  <c r="BQ2728"/>
  <c r="BQ2712"/>
  <c r="BQ2711"/>
  <c r="BQ2710"/>
  <c r="BQ2709"/>
  <c r="BO2708"/>
  <c r="BO2707"/>
  <c r="BO2706"/>
  <c r="BO2705"/>
  <c r="BO2704"/>
  <c r="BO2703"/>
  <c r="BO2702"/>
  <c r="BO2701"/>
  <c r="BO2700"/>
  <c r="BO2699"/>
  <c r="BO2698"/>
  <c r="BO2697"/>
  <c r="BO2696"/>
  <c r="BO2695"/>
  <c r="BO2694"/>
  <c r="BO2693"/>
  <c r="BO2692"/>
  <c r="BO2691"/>
  <c r="BO2690"/>
  <c r="BO2689"/>
  <c r="BO2688"/>
  <c r="BO2687"/>
  <c r="BO2686"/>
  <c r="BO2685"/>
  <c r="BO2684"/>
  <c r="BO2683"/>
  <c r="BO2682"/>
  <c r="BO2681"/>
  <c r="BO2680"/>
  <c r="BO2679"/>
  <c r="BO2678"/>
  <c r="BO2677"/>
  <c r="BO2676"/>
  <c r="BO2675"/>
  <c r="BO2674"/>
  <c r="BO2673"/>
  <c r="BO2672"/>
  <c r="BO2671"/>
  <c r="BO2670"/>
  <c r="BP2656"/>
  <c r="BP2655"/>
  <c r="BQ2654"/>
  <c r="BQ2653"/>
  <c r="BQ2652"/>
  <c r="BQ2651"/>
  <c r="BO2649"/>
  <c r="BO2648"/>
  <c r="BO2647"/>
  <c r="BO2646"/>
  <c r="BO2645"/>
  <c r="BO2644"/>
  <c r="BO2643"/>
  <c r="BO2642"/>
  <c r="BO2641"/>
  <c r="BO2640"/>
  <c r="BO2639"/>
  <c r="BO2638"/>
  <c r="BO2637"/>
  <c r="BO2636"/>
  <c r="BO2635"/>
  <c r="BO2634"/>
  <c r="BO2633"/>
  <c r="BO2632"/>
  <c r="BO2631"/>
  <c r="BO2630"/>
  <c r="BO2629"/>
  <c r="BO2628"/>
  <c r="BO2627"/>
  <c r="BO2626"/>
  <c r="BO2625"/>
  <c r="BO2624"/>
  <c r="BO2623"/>
  <c r="BO2622"/>
  <c r="BO2621"/>
  <c r="BO2620"/>
  <c r="BO2619"/>
  <c r="BO2618"/>
  <c r="BO2617"/>
  <c r="BO2616"/>
  <c r="BO2615"/>
  <c r="BO2614"/>
  <c r="BO2613"/>
  <c r="BO2612"/>
  <c r="BP2601"/>
  <c r="BN2600"/>
  <c r="BN2598"/>
  <c r="BP2597"/>
  <c r="BN2597"/>
  <c r="BO2596"/>
  <c r="BO2595"/>
  <c r="BO2594"/>
  <c r="BQ2593"/>
  <c r="BO2592"/>
  <c r="BO2591"/>
  <c r="BO2590"/>
  <c r="BO2589"/>
  <c r="BO2588"/>
  <c r="BO2587"/>
  <c r="BO2586"/>
  <c r="BO2585"/>
  <c r="BO2584"/>
  <c r="BO2583"/>
  <c r="BO2582"/>
  <c r="BO2581"/>
  <c r="BO2580"/>
  <c r="BO2579"/>
  <c r="BO2578"/>
  <c r="BO2577"/>
  <c r="BO2576"/>
  <c r="BO2575"/>
  <c r="BO2574"/>
  <c r="BO2573"/>
  <c r="BO2572"/>
  <c r="BO2571"/>
  <c r="BO2570"/>
  <c r="BO2569"/>
  <c r="BO2568"/>
  <c r="BO2567"/>
  <c r="BO2566"/>
  <c r="BO2565"/>
  <c r="BO2564"/>
  <c r="BO2563"/>
  <c r="BO2562"/>
  <c r="BO2561"/>
  <c r="BO2560"/>
  <c r="BO2559"/>
  <c r="BO2558"/>
  <c r="BO2557"/>
  <c r="BO2556"/>
  <c r="BO2555"/>
  <c r="BO2554"/>
  <c r="BP2543"/>
  <c r="BP2542"/>
  <c r="BN2542"/>
  <c r="BN2541"/>
  <c r="BN2540"/>
  <c r="BN2539"/>
  <c r="BO2538"/>
  <c r="BO2537"/>
  <c r="BO2536"/>
  <c r="BO2535"/>
  <c r="BQ2534"/>
  <c r="BQ2533"/>
  <c r="BQ2532"/>
  <c r="BQ2531"/>
  <c r="BQ2530"/>
  <c r="BQ2529"/>
  <c r="BQ2528"/>
  <c r="BQ2527"/>
  <c r="BQ2526"/>
  <c r="BQ2525"/>
  <c r="BQ2524"/>
  <c r="BQ2523"/>
  <c r="BQ2522"/>
  <c r="BQ2521"/>
  <c r="BQ2520"/>
  <c r="BQ2519"/>
  <c r="BQ2518"/>
  <c r="BQ2517"/>
  <c r="BQ2516"/>
  <c r="BQ2515"/>
  <c r="BQ2514"/>
  <c r="BQ2513"/>
  <c r="BQ2512"/>
  <c r="BQ2511"/>
  <c r="BQ2510"/>
  <c r="BQ2509"/>
  <c r="BQ2508"/>
  <c r="BQ2507"/>
  <c r="BQ2506"/>
  <c r="BQ2505"/>
  <c r="BQ2504"/>
  <c r="BQ2503"/>
  <c r="BQ2502"/>
  <c r="BQ2501"/>
  <c r="BQ2500"/>
  <c r="BQ2499"/>
  <c r="BQ2498"/>
  <c r="BQ2497"/>
  <c r="BQ2496"/>
  <c r="BO2480"/>
  <c r="BQ2479"/>
  <c r="BO2478"/>
  <c r="BO2477"/>
  <c r="BQ2475"/>
  <c r="BQ2474"/>
  <c r="BQ2473"/>
  <c r="BQ2472"/>
  <c r="BQ2471"/>
  <c r="BQ2470"/>
  <c r="BQ2469"/>
  <c r="BQ2468"/>
  <c r="BQ2467"/>
  <c r="BQ2466"/>
  <c r="BQ2465"/>
  <c r="BQ2464"/>
  <c r="BQ2463"/>
  <c r="BQ2462"/>
  <c r="BQ2461"/>
  <c r="BQ2460"/>
  <c r="BQ2459"/>
  <c r="BQ2458"/>
  <c r="BQ2457"/>
  <c r="BQ2456"/>
  <c r="BQ2455"/>
  <c r="BQ2454"/>
  <c r="BQ2453"/>
  <c r="BQ2452"/>
  <c r="BQ2451"/>
  <c r="BQ2450"/>
  <c r="BQ2449"/>
  <c r="BQ2448"/>
  <c r="BQ2447"/>
  <c r="BQ2446"/>
  <c r="BQ2445"/>
  <c r="BQ2444"/>
  <c r="BQ2443"/>
  <c r="BQ2442"/>
  <c r="BQ2441"/>
  <c r="BQ2440"/>
  <c r="BQ2439"/>
  <c r="BQ2438"/>
  <c r="BQ2427"/>
  <c r="BP2426"/>
  <c r="BN2424"/>
  <c r="BO2423"/>
  <c r="BO2422"/>
  <c r="BO2421"/>
  <c r="BO2419"/>
  <c r="BQ2417"/>
  <c r="BQ2416"/>
  <c r="BQ2415"/>
  <c r="BQ2414"/>
  <c r="BQ2413"/>
  <c r="BQ2412"/>
  <c r="BQ2411"/>
  <c r="BQ2410"/>
  <c r="Y2420"/>
  <c r="BO2420" s="1"/>
  <c r="BP2420"/>
  <c r="BN2420"/>
  <c r="Y1958"/>
  <c r="BP1958"/>
  <c r="BN1958"/>
  <c r="Y1957"/>
  <c r="BP1957"/>
  <c r="BN1957"/>
  <c r="Y1956"/>
  <c r="BP1956"/>
  <c r="BN1956"/>
  <c r="Y1955"/>
  <c r="BP1955"/>
  <c r="BN1955"/>
  <c r="Y1954"/>
  <c r="BP1954"/>
  <c r="BN1954"/>
  <c r="Y1842"/>
  <c r="BP1842"/>
  <c r="Y1841"/>
  <c r="BP1841"/>
  <c r="Y1840"/>
  <c r="BP1840"/>
  <c r="Y1839"/>
  <c r="BP1839"/>
  <c r="Y1838"/>
  <c r="BP1838"/>
  <c r="Q1837"/>
  <c r="BN1837"/>
  <c r="AW1833"/>
  <c r="BN1833"/>
  <c r="Y1666"/>
  <c r="BP1666"/>
  <c r="Q1663"/>
  <c r="BN1663"/>
  <c r="Q1662"/>
  <c r="BN1662"/>
  <c r="Q1661"/>
  <c r="BN1661"/>
  <c r="Q1660"/>
  <c r="BN1660"/>
  <c r="Q1659"/>
  <c r="BN1659"/>
  <c r="Y1610"/>
  <c r="BP1610"/>
  <c r="Y1609"/>
  <c r="BP1609"/>
  <c r="Y1608"/>
  <c r="BP1608"/>
  <c r="Y1607"/>
  <c r="BP1607"/>
  <c r="Y1606"/>
  <c r="BP1606"/>
  <c r="Q1605"/>
  <c r="BN1605"/>
  <c r="Q1604"/>
  <c r="BN1604"/>
  <c r="Q1603"/>
  <c r="BN1603"/>
  <c r="Y1552"/>
  <c r="BP1552"/>
  <c r="Y1551"/>
  <c r="BP1551"/>
  <c r="Y1550"/>
  <c r="BP1550"/>
  <c r="BN1550"/>
  <c r="Y1549"/>
  <c r="BP1549"/>
  <c r="BN1549"/>
  <c r="Y1548"/>
  <c r="BP1548"/>
  <c r="BN1548"/>
  <c r="Q1378"/>
  <c r="BN1378"/>
  <c r="Q1377"/>
  <c r="BN1377"/>
  <c r="Q1376"/>
  <c r="BN1376"/>
  <c r="Q1375"/>
  <c r="BN1375"/>
  <c r="Y1373"/>
  <c r="BP1373"/>
  <c r="M1150"/>
  <c r="BO1150" s="1"/>
  <c r="BN1150"/>
  <c r="M1142"/>
  <c r="BO1142" s="1"/>
  <c r="BN1142"/>
  <c r="M1092"/>
  <c r="BO1092" s="1"/>
  <c r="BN1092"/>
  <c r="M1090"/>
  <c r="BO1090" s="1"/>
  <c r="BN1090"/>
  <c r="M1088"/>
  <c r="BO1088" s="1"/>
  <c r="BN1088"/>
  <c r="Y1030"/>
  <c r="BP1030"/>
  <c r="Y1029"/>
  <c r="BP1029"/>
  <c r="Q1028"/>
  <c r="BN1028"/>
  <c r="Q1027"/>
  <c r="BN1027"/>
  <c r="Y1024"/>
  <c r="BP1024"/>
  <c r="Y972"/>
  <c r="BP972"/>
  <c r="Q971"/>
  <c r="BN971"/>
  <c r="Q966"/>
  <c r="BN966"/>
  <c r="M914"/>
  <c r="BO914" s="1"/>
  <c r="BN914"/>
  <c r="X861"/>
  <c r="BN861" s="1"/>
  <c r="BQ861"/>
  <c r="BO861"/>
  <c r="Q740"/>
  <c r="BN740"/>
  <c r="Q739"/>
  <c r="BN739"/>
  <c r="Q738"/>
  <c r="BN738"/>
  <c r="Y734"/>
  <c r="BP734"/>
  <c r="Y733"/>
  <c r="BP733"/>
  <c r="BN733"/>
  <c r="Y732"/>
  <c r="BP732"/>
  <c r="Y730"/>
  <c r="BP730"/>
  <c r="Y728"/>
  <c r="BP728"/>
  <c r="Y727"/>
  <c r="BP727"/>
  <c r="Y725"/>
  <c r="BP725"/>
  <c r="AW617"/>
  <c r="BN617"/>
  <c r="AW612"/>
  <c r="BN612"/>
  <c r="AW611"/>
  <c r="BN611"/>
  <c r="AW610"/>
  <c r="BN610"/>
  <c r="AW609"/>
  <c r="BN609"/>
  <c r="AW608"/>
  <c r="BN608"/>
  <c r="AW607"/>
  <c r="BN607"/>
  <c r="Y566"/>
  <c r="BP566"/>
  <c r="Y565"/>
  <c r="BP565"/>
  <c r="Y564"/>
  <c r="BP564"/>
  <c r="Y563"/>
  <c r="BP563"/>
  <c r="Y562"/>
  <c r="BP562"/>
  <c r="Q561"/>
  <c r="BN561"/>
  <c r="Q560"/>
  <c r="BN560"/>
  <c r="Q557"/>
  <c r="BN557"/>
  <c r="Y503"/>
  <c r="BP503"/>
  <c r="Y502"/>
  <c r="BP502"/>
  <c r="BN502"/>
  <c r="BQ455"/>
  <c r="BO455"/>
  <c r="Z452"/>
  <c r="BQ452"/>
  <c r="BO452"/>
  <c r="Q449"/>
  <c r="BN449"/>
  <c r="Y392"/>
  <c r="BP392"/>
  <c r="Y391"/>
  <c r="BP391"/>
  <c r="Y390"/>
  <c r="BP390"/>
  <c r="Y389"/>
  <c r="BP389"/>
  <c r="Y388"/>
  <c r="BP388"/>
  <c r="Q387"/>
  <c r="BN387"/>
  <c r="Q386"/>
  <c r="BN386"/>
  <c r="Q262"/>
  <c r="BN262"/>
  <c r="AO256"/>
  <c r="BN256"/>
  <c r="Y217"/>
  <c r="BP217"/>
  <c r="Q216"/>
  <c r="BN216"/>
  <c r="Q215"/>
  <c r="BN215"/>
  <c r="Y160"/>
  <c r="BP160"/>
  <c r="Y159"/>
  <c r="BP159"/>
  <c r="Y158"/>
  <c r="BP158"/>
  <c r="BN158"/>
  <c r="Y151"/>
  <c r="BP151"/>
  <c r="BN151"/>
  <c r="Y99"/>
  <c r="BP99"/>
  <c r="BN99"/>
  <c r="O44"/>
  <c r="BQ44" s="1"/>
  <c r="BP44"/>
  <c r="BP863"/>
  <c r="BN863"/>
  <c r="BO282"/>
  <c r="BO283"/>
  <c r="BP862"/>
  <c r="BN862"/>
  <c r="K807"/>
  <c r="Q2650"/>
  <c r="BO2650" s="1"/>
  <c r="BN2650"/>
  <c r="Q2534"/>
  <c r="BO2534" s="1"/>
  <c r="BN2534"/>
  <c r="Q1838"/>
  <c r="BN1838"/>
  <c r="Q1606"/>
  <c r="BN1606"/>
  <c r="Q1374"/>
  <c r="BN1374"/>
  <c r="Q1026"/>
  <c r="BN1026"/>
  <c r="Q562"/>
  <c r="BN562"/>
  <c r="BQ1046"/>
  <c r="R458"/>
  <c r="BO458"/>
  <c r="K924"/>
  <c r="BO1620"/>
  <c r="K1853"/>
  <c r="K2317"/>
  <c r="K171"/>
  <c r="P171"/>
  <c r="BO171"/>
  <c r="BO2450"/>
  <c r="BO2449"/>
  <c r="BO2448"/>
  <c r="BO2447"/>
  <c r="BO2446"/>
  <c r="BO2445"/>
  <c r="BO2444"/>
  <c r="BO2443"/>
  <c r="BO2442"/>
  <c r="BO2441"/>
  <c r="BO2440"/>
  <c r="BO2439"/>
  <c r="BO2438"/>
  <c r="BO2427"/>
  <c r="BP2424"/>
  <c r="BQ2423"/>
  <c r="BQ2422"/>
  <c r="BQ2421"/>
  <c r="BQ2420"/>
  <c r="BQ2419"/>
  <c r="BO2418"/>
  <c r="BO2417"/>
  <c r="BO2416"/>
  <c r="BO2415"/>
  <c r="BO2414"/>
  <c r="BO2413"/>
  <c r="BO2412"/>
  <c r="BO2411"/>
  <c r="BO2410"/>
  <c r="BO2409"/>
  <c r="BO2408"/>
  <c r="BO2407"/>
  <c r="BO2406"/>
  <c r="BO2405"/>
  <c r="BO2404"/>
  <c r="BO2403"/>
  <c r="BO2402"/>
  <c r="BO2401"/>
  <c r="BO2400"/>
  <c r="BO2399"/>
  <c r="BO2398"/>
  <c r="BO2397"/>
  <c r="BO2396"/>
  <c r="BO2395"/>
  <c r="BO2394"/>
  <c r="BO2393"/>
  <c r="BO2392"/>
  <c r="BO2391"/>
  <c r="BO2390"/>
  <c r="BO2389"/>
  <c r="BO2388"/>
  <c r="BO2387"/>
  <c r="BO2386"/>
  <c r="BO2385"/>
  <c r="BO2384"/>
  <c r="BO2383"/>
  <c r="BO2382"/>
  <c r="BO2381"/>
  <c r="BO2380"/>
  <c r="BO2362"/>
  <c r="BO2361"/>
  <c r="BQ2360"/>
  <c r="BQ2359"/>
  <c r="BQ2358"/>
  <c r="BQ2357"/>
  <c r="BQ2356"/>
  <c r="BQ2355"/>
  <c r="BQ2354"/>
  <c r="BQ2353"/>
  <c r="BQ2352"/>
  <c r="BQ2351"/>
  <c r="BQ2350"/>
  <c r="BQ2349"/>
  <c r="BQ2348"/>
  <c r="BQ2347"/>
  <c r="BQ2346"/>
  <c r="BQ2345"/>
  <c r="BQ2344"/>
  <c r="BQ2343"/>
  <c r="BQ2342"/>
  <c r="BQ2341"/>
  <c r="BQ2340"/>
  <c r="BQ2339"/>
  <c r="BQ2338"/>
  <c r="BQ2337"/>
  <c r="BQ2336"/>
  <c r="BQ2335"/>
  <c r="BQ2334"/>
  <c r="BQ2333"/>
  <c r="BQ2332"/>
  <c r="BQ2331"/>
  <c r="BQ2330"/>
  <c r="BQ2329"/>
  <c r="BQ2328"/>
  <c r="BQ2327"/>
  <c r="BQ2326"/>
  <c r="BQ2325"/>
  <c r="BQ2324"/>
  <c r="BQ2323"/>
  <c r="BQ2322"/>
  <c r="BQ2306"/>
  <c r="BQ2305"/>
  <c r="BQ2304"/>
  <c r="BQ2303"/>
  <c r="BO2302"/>
  <c r="BO2301"/>
  <c r="BO2300"/>
  <c r="BO2299"/>
  <c r="BO2298"/>
  <c r="BO2297"/>
  <c r="BO2296"/>
  <c r="BO2295"/>
  <c r="BO2294"/>
  <c r="BO2293"/>
  <c r="BO2292"/>
  <c r="BO2291"/>
  <c r="BO2290"/>
  <c r="BO2289"/>
  <c r="BO2288"/>
  <c r="BO2287"/>
  <c r="BO2286"/>
  <c r="BO2285"/>
  <c r="BO2284"/>
  <c r="BO2283"/>
  <c r="BO2282"/>
  <c r="BO2281"/>
  <c r="BO2280"/>
  <c r="BO2279"/>
  <c r="BO2278"/>
  <c r="BO2277"/>
  <c r="BO2276"/>
  <c r="BO2275"/>
  <c r="BO2274"/>
  <c r="BO2273"/>
  <c r="BO2272"/>
  <c r="BO2271"/>
  <c r="BO2270"/>
  <c r="BO2269"/>
  <c r="BO2268"/>
  <c r="BO2267"/>
  <c r="BO2266"/>
  <c r="BO2265"/>
  <c r="BO2264"/>
  <c r="BO2246"/>
  <c r="BO2245"/>
  <c r="BQ2244"/>
  <c r="BQ2243"/>
  <c r="BQ2242"/>
  <c r="BQ2241"/>
  <c r="BQ2240"/>
  <c r="BQ2239"/>
  <c r="BQ2238"/>
  <c r="BQ2237"/>
  <c r="BQ2236"/>
  <c r="BQ2235"/>
  <c r="BQ2234"/>
  <c r="BQ2233"/>
  <c r="BQ2232"/>
  <c r="BQ2231"/>
  <c r="BQ2230"/>
  <c r="BQ2229"/>
  <c r="BQ2228"/>
  <c r="BQ2227"/>
  <c r="BQ2226"/>
  <c r="BQ2225"/>
  <c r="BQ2224"/>
  <c r="BQ2223"/>
  <c r="BQ2222"/>
  <c r="BQ2221"/>
  <c r="BQ2220"/>
  <c r="BQ2219"/>
  <c r="BQ2218"/>
  <c r="BQ2217"/>
  <c r="BQ2216"/>
  <c r="BQ2215"/>
  <c r="BQ2214"/>
  <c r="BQ2213"/>
  <c r="BQ2212"/>
  <c r="BQ2211"/>
  <c r="BQ2210"/>
  <c r="BQ2209"/>
  <c r="BQ2208"/>
  <c r="BQ2207"/>
  <c r="BQ2206"/>
  <c r="BQ2190"/>
  <c r="BQ2189"/>
  <c r="BQ2188"/>
  <c r="BQ2187"/>
  <c r="BO2186"/>
  <c r="BO2185"/>
  <c r="BO2184"/>
  <c r="BO2183"/>
  <c r="BO2182"/>
  <c r="BO2181"/>
  <c r="BO2180"/>
  <c r="BO2179"/>
  <c r="BO2178"/>
  <c r="BO2177"/>
  <c r="BO2176"/>
  <c r="BO2175"/>
  <c r="BO2174"/>
  <c r="BO2173"/>
  <c r="BO2172"/>
  <c r="BO2171"/>
  <c r="BO2170"/>
  <c r="BO2169"/>
  <c r="BO2168"/>
  <c r="BO2167"/>
  <c r="BO2166"/>
  <c r="BO2165"/>
  <c r="BO2164"/>
  <c r="BO2163"/>
  <c r="BO2162"/>
  <c r="BO2161"/>
  <c r="BO2160"/>
  <c r="BO2159"/>
  <c r="BO2158"/>
  <c r="BO2157"/>
  <c r="BO2156"/>
  <c r="BO2155"/>
  <c r="BO2154"/>
  <c r="BO2153"/>
  <c r="BO2152"/>
  <c r="BO2151"/>
  <c r="BO2150"/>
  <c r="BO2149"/>
  <c r="BO2148"/>
  <c r="BQ2130"/>
  <c r="BO2130"/>
  <c r="BO2129"/>
  <c r="BQ2128"/>
  <c r="BQ2127"/>
  <c r="BQ2126"/>
  <c r="BQ2125"/>
  <c r="BQ2124"/>
  <c r="BQ2123"/>
  <c r="BQ2122"/>
  <c r="BQ2121"/>
  <c r="BQ2120"/>
  <c r="BQ2119"/>
  <c r="BQ2118"/>
  <c r="BQ2117"/>
  <c r="BQ2116"/>
  <c r="BQ2115"/>
  <c r="BQ2114"/>
  <c r="BQ2113"/>
  <c r="BQ2112"/>
  <c r="BQ2111"/>
  <c r="BQ2110"/>
  <c r="BQ2109"/>
  <c r="BQ2108"/>
  <c r="BQ2107"/>
  <c r="BQ2106"/>
  <c r="BQ2105"/>
  <c r="BQ2104"/>
  <c r="BQ2103"/>
  <c r="BQ2102"/>
  <c r="BQ2101"/>
  <c r="BQ2100"/>
  <c r="BQ2099"/>
  <c r="BQ2098"/>
  <c r="BQ2097"/>
  <c r="BQ2096"/>
  <c r="BQ2095"/>
  <c r="BQ2094"/>
  <c r="BQ2093"/>
  <c r="BQ2092"/>
  <c r="BQ2091"/>
  <c r="BQ2090"/>
  <c r="BQ2073"/>
  <c r="BQ2072"/>
  <c r="BQ2071"/>
  <c r="BO2070"/>
  <c r="BO2069"/>
  <c r="BO2068"/>
  <c r="BO2067"/>
  <c r="BO2066"/>
  <c r="BO2065"/>
  <c r="BO2064"/>
  <c r="BO2063"/>
  <c r="BO2062"/>
  <c r="BO2061"/>
  <c r="BO2060"/>
  <c r="BO2059"/>
  <c r="BO2058"/>
  <c r="BO2057"/>
  <c r="BO2056"/>
  <c r="BO2055"/>
  <c r="BO2054"/>
  <c r="BO2053"/>
  <c r="BO2052"/>
  <c r="BO2051"/>
  <c r="BO2050"/>
  <c r="BO2049"/>
  <c r="BO2048"/>
  <c r="BO2047"/>
  <c r="BO2046"/>
  <c r="BO2045"/>
  <c r="BO2044"/>
  <c r="BO2043"/>
  <c r="BO2042"/>
  <c r="BO2041"/>
  <c r="BO2040"/>
  <c r="BO2039"/>
  <c r="BO2038"/>
  <c r="BO2037"/>
  <c r="BO2036"/>
  <c r="BO2035"/>
  <c r="BO2034"/>
  <c r="BO2033"/>
  <c r="BO2032"/>
  <c r="BO2016"/>
  <c r="BQ2015"/>
  <c r="BQ2014"/>
  <c r="BQ2013"/>
  <c r="BO2012"/>
  <c r="BO2011"/>
  <c r="BO2010"/>
  <c r="BO2009"/>
  <c r="BO2008"/>
  <c r="BO2007"/>
  <c r="BO2006"/>
  <c r="BO2005"/>
  <c r="BO2004"/>
  <c r="BO2003"/>
  <c r="BO2002"/>
  <c r="BO2001"/>
  <c r="BO2000"/>
  <c r="BO1999"/>
  <c r="BO1998"/>
  <c r="BO1997"/>
  <c r="BO1996"/>
  <c r="BO1995"/>
  <c r="BO1994"/>
  <c r="BO1993"/>
  <c r="BO1992"/>
  <c r="BO1991"/>
  <c r="BO1990"/>
  <c r="BO1989"/>
  <c r="BO1988"/>
  <c r="BO1987"/>
  <c r="BO1986"/>
  <c r="BO1985"/>
  <c r="BO1984"/>
  <c r="BO1983"/>
  <c r="BO1982"/>
  <c r="BO1981"/>
  <c r="BO1980"/>
  <c r="BO1979"/>
  <c r="BO1978"/>
  <c r="BO1977"/>
  <c r="BO1976"/>
  <c r="BO1975"/>
  <c r="BO1974"/>
  <c r="BP1960"/>
  <c r="BN1959"/>
  <c r="BQ1958"/>
  <c r="BQ1957"/>
  <c r="BQ1956"/>
  <c r="BQ1955"/>
  <c r="BO1954"/>
  <c r="BO1951"/>
  <c r="BO1950"/>
  <c r="BO1949"/>
  <c r="BO1948"/>
  <c r="BO1947"/>
  <c r="BO1946"/>
  <c r="BO1945"/>
  <c r="BO1944"/>
  <c r="BO1943"/>
  <c r="BO1942"/>
  <c r="BO1941"/>
  <c r="BO1940"/>
  <c r="BO1939"/>
  <c r="BO1938"/>
  <c r="BO1937"/>
  <c r="BO1936"/>
  <c r="BO1935"/>
  <c r="BO1934"/>
  <c r="BO1933"/>
  <c r="BO1932"/>
  <c r="BO1931"/>
  <c r="BO1930"/>
  <c r="BO1929"/>
  <c r="BO1928"/>
  <c r="BO1927"/>
  <c r="BO1926"/>
  <c r="BO1925"/>
  <c r="BO1924"/>
  <c r="BO1923"/>
  <c r="BO1922"/>
  <c r="BO1921"/>
  <c r="BO1920"/>
  <c r="BO1919"/>
  <c r="BO1918"/>
  <c r="BO1917"/>
  <c r="BO1916"/>
  <c r="BN1905"/>
  <c r="BP1904"/>
  <c r="BP1903"/>
  <c r="BN1902"/>
  <c r="BP1901"/>
  <c r="BQ1900"/>
  <c r="BQ1899"/>
  <c r="BQ1898"/>
  <c r="BQ1897"/>
  <c r="BO1896"/>
  <c r="BO1895"/>
  <c r="BO1894"/>
  <c r="BO1893"/>
  <c r="BO1892"/>
  <c r="BO1891"/>
  <c r="BO1890"/>
  <c r="BO1889"/>
  <c r="BO1888"/>
  <c r="BO1887"/>
  <c r="BO1886"/>
  <c r="BO1885"/>
  <c r="BO1884"/>
  <c r="BO1883"/>
  <c r="BO1882"/>
  <c r="BO1881"/>
  <c r="BO1880"/>
  <c r="BO1879"/>
  <c r="BO1878"/>
  <c r="BO1877"/>
  <c r="BO1876"/>
  <c r="BO1875"/>
  <c r="BO1874"/>
  <c r="BO1873"/>
  <c r="BO1872"/>
  <c r="BO1871"/>
  <c r="BO1870"/>
  <c r="BO1869"/>
  <c r="BO1868"/>
  <c r="BO1867"/>
  <c r="BO1866"/>
  <c r="BO1865"/>
  <c r="BO1864"/>
  <c r="BO1863"/>
  <c r="BO1862"/>
  <c r="BO1861"/>
  <c r="BO1860"/>
  <c r="BO1859"/>
  <c r="BO1858"/>
  <c r="BN1847"/>
  <c r="BP1846"/>
  <c r="BN1845"/>
  <c r="BN1844"/>
  <c r="BP1843"/>
  <c r="BQ1842"/>
  <c r="BQ1841"/>
  <c r="BQ1840"/>
  <c r="BQ1839"/>
  <c r="BO1838"/>
  <c r="BO1836"/>
  <c r="BO1835"/>
  <c r="BO1834"/>
  <c r="BO1833"/>
  <c r="BO1832"/>
  <c r="BO1831"/>
  <c r="BO1830"/>
  <c r="BO1829"/>
  <c r="BO1828"/>
  <c r="BO1827"/>
  <c r="BO1826"/>
  <c r="BO1825"/>
  <c r="BO1824"/>
  <c r="BO1823"/>
  <c r="BO1822"/>
  <c r="BO1821"/>
  <c r="BO1820"/>
  <c r="BO1819"/>
  <c r="BO1818"/>
  <c r="BO1817"/>
  <c r="BO1816"/>
  <c r="BO1815"/>
  <c r="BO1814"/>
  <c r="BO1813"/>
  <c r="BO1812"/>
  <c r="BO1811"/>
  <c r="BO1810"/>
  <c r="BO1809"/>
  <c r="BO1808"/>
  <c r="BO1807"/>
  <c r="BO1806"/>
  <c r="BO1805"/>
  <c r="BO1804"/>
  <c r="BO1803"/>
  <c r="BO1802"/>
  <c r="BO1801"/>
  <c r="BO1800"/>
  <c r="BO1782"/>
  <c r="BO1781"/>
  <c r="BQ1780"/>
  <c r="BQ1779"/>
  <c r="BQ1778"/>
  <c r="BQ1777"/>
  <c r="BQ1776"/>
  <c r="BQ1775"/>
  <c r="BQ1774"/>
  <c r="BQ1773"/>
  <c r="BQ1772"/>
  <c r="BQ1771"/>
  <c r="BQ1770"/>
  <c r="BQ1769"/>
  <c r="BQ1768"/>
  <c r="BQ1767"/>
  <c r="BQ1766"/>
  <c r="BQ1765"/>
  <c r="BQ1764"/>
  <c r="BQ1763"/>
  <c r="BQ1762"/>
  <c r="BQ1761"/>
  <c r="BQ1760"/>
  <c r="BQ1759"/>
  <c r="BQ1758"/>
  <c r="BQ1757"/>
  <c r="BQ1756"/>
  <c r="BQ1755"/>
  <c r="BQ1754"/>
  <c r="BQ1753"/>
  <c r="BQ1752"/>
  <c r="BQ1751"/>
  <c r="BQ1750"/>
  <c r="BQ1749"/>
  <c r="BQ1748"/>
  <c r="BQ1747"/>
  <c r="BQ1746"/>
  <c r="BQ1745"/>
  <c r="BQ1744"/>
  <c r="BQ1743"/>
  <c r="BQ1742"/>
  <c r="BO1724"/>
  <c r="BO1723"/>
  <c r="BQ1722"/>
  <c r="BO1721"/>
  <c r="BQ1720"/>
  <c r="BO1719"/>
  <c r="BO1718"/>
  <c r="BO1717"/>
  <c r="BO1716"/>
  <c r="BO1715"/>
  <c r="BQ1714"/>
  <c r="BQ1713"/>
  <c r="BQ1712"/>
  <c r="BQ1711"/>
  <c r="BQ1710"/>
  <c r="BQ1709"/>
  <c r="BQ1708"/>
  <c r="BQ1707"/>
  <c r="BQ1706"/>
  <c r="BQ1705"/>
  <c r="BQ1704"/>
  <c r="BQ1703"/>
  <c r="BQ1702"/>
  <c r="BQ1701"/>
  <c r="BQ1700"/>
  <c r="BQ1699"/>
  <c r="BQ1698"/>
  <c r="BQ1697"/>
  <c r="BQ1696"/>
  <c r="BQ1695"/>
  <c r="BQ1694"/>
  <c r="BQ1693"/>
  <c r="BQ1692"/>
  <c r="BQ1691"/>
  <c r="BQ1690"/>
  <c r="BQ1689"/>
  <c r="BQ1688"/>
  <c r="BQ1687"/>
  <c r="BQ1686"/>
  <c r="BQ1685"/>
  <c r="BQ1684"/>
  <c r="BP1673"/>
  <c r="BP1672"/>
  <c r="BP1671"/>
  <c r="BQ1668"/>
  <c r="BQ1667"/>
  <c r="BQ1666"/>
  <c r="BQ1665"/>
  <c r="BO1663"/>
  <c r="BO1662"/>
  <c r="BO1661"/>
  <c r="BO1660"/>
  <c r="BO1659"/>
  <c r="BO1658"/>
  <c r="BQ1657"/>
  <c r="BQ1656"/>
  <c r="BQ1655"/>
  <c r="BQ1654"/>
  <c r="BQ1653"/>
  <c r="BQ1652"/>
  <c r="BQ1651"/>
  <c r="BQ1650"/>
  <c r="BQ1649"/>
  <c r="BQ1648"/>
  <c r="BQ1647"/>
  <c r="BQ1646"/>
  <c r="BQ1645"/>
  <c r="BQ1644"/>
  <c r="BQ1643"/>
  <c r="BQ1642"/>
  <c r="BQ1641"/>
  <c r="BQ1640"/>
  <c r="BQ1639"/>
  <c r="BQ1638"/>
  <c r="BQ1637"/>
  <c r="BQ1636"/>
  <c r="BQ1635"/>
  <c r="BQ1634"/>
  <c r="BQ1633"/>
  <c r="BQ1632"/>
  <c r="BQ1631"/>
  <c r="BQ1630"/>
  <c r="BQ1629"/>
  <c r="BQ1628"/>
  <c r="BQ1627"/>
  <c r="BQ1626"/>
  <c r="BN1613"/>
  <c r="BP1612"/>
  <c r="BN1611"/>
  <c r="BQ1610"/>
  <c r="BQ1609"/>
  <c r="BQ1608"/>
  <c r="BQ1607"/>
  <c r="BO1606"/>
  <c r="BO1602"/>
  <c r="BO1601"/>
  <c r="BO1600"/>
  <c r="BO1599"/>
  <c r="BO1598"/>
  <c r="BO1597"/>
  <c r="BO1596"/>
  <c r="BO1595"/>
  <c r="BO1594"/>
  <c r="BO1593"/>
  <c r="BO1592"/>
  <c r="BO1591"/>
  <c r="BO1590"/>
  <c r="BO1589"/>
  <c r="BO1588"/>
  <c r="BO1587"/>
  <c r="BO1586"/>
  <c r="BO1585"/>
  <c r="BO1584"/>
  <c r="BO1583"/>
  <c r="BO1582"/>
  <c r="BO1581"/>
  <c r="BO1580"/>
  <c r="BO1579"/>
  <c r="BO1578"/>
  <c r="BO1577"/>
  <c r="BO1576"/>
  <c r="BO1575"/>
  <c r="BO1574"/>
  <c r="BO1573"/>
  <c r="BO1572"/>
  <c r="BO1571"/>
  <c r="BO1570"/>
  <c r="BO1569"/>
  <c r="BO1568"/>
  <c r="BN1557"/>
  <c r="BN1556"/>
  <c r="BO1555"/>
  <c r="BP1554"/>
  <c r="BN1554"/>
  <c r="BN1553"/>
  <c r="BQ1552"/>
  <c r="BQ1551"/>
  <c r="BQ1550"/>
  <c r="BQ1549"/>
  <c r="BO1548"/>
  <c r="BO1546"/>
  <c r="BO1545"/>
  <c r="BO1544"/>
  <c r="BO1543"/>
  <c r="BO1542"/>
  <c r="BO1541"/>
  <c r="BO1540"/>
  <c r="BO1539"/>
  <c r="BO1538"/>
  <c r="BO1537"/>
  <c r="BO1536"/>
  <c r="BO1535"/>
  <c r="BO1534"/>
  <c r="BO1533"/>
  <c r="BO1532"/>
  <c r="BO1531"/>
  <c r="BO1530"/>
  <c r="BO1529"/>
  <c r="BO1528"/>
  <c r="BO1527"/>
  <c r="BO1526"/>
  <c r="BO1525"/>
  <c r="BO1524"/>
  <c r="BO1523"/>
  <c r="BO1522"/>
  <c r="BO1521"/>
  <c r="BO1520"/>
  <c r="BO1519"/>
  <c r="BO1518"/>
  <c r="BO1517"/>
  <c r="BO1516"/>
  <c r="BO1515"/>
  <c r="BO1514"/>
  <c r="BO1513"/>
  <c r="BO1512"/>
  <c r="BO1511"/>
  <c r="BO1510"/>
  <c r="BO1494"/>
  <c r="BO1493"/>
  <c r="BO1492"/>
  <c r="BO1491"/>
  <c r="BQ1490"/>
  <c r="BQ1489"/>
  <c r="BQ1488"/>
  <c r="BQ1487"/>
  <c r="BQ1486"/>
  <c r="BQ1485"/>
  <c r="BQ1484"/>
  <c r="BQ1483"/>
  <c r="BQ1482"/>
  <c r="BQ1481"/>
  <c r="BQ1480"/>
  <c r="BQ1479"/>
  <c r="BQ1478"/>
  <c r="BQ1477"/>
  <c r="BQ1476"/>
  <c r="BQ1475"/>
  <c r="BQ1474"/>
  <c r="BQ1473"/>
  <c r="BQ1472"/>
  <c r="BQ1471"/>
  <c r="BQ1470"/>
  <c r="BQ1469"/>
  <c r="BQ1468"/>
  <c r="BQ1467"/>
  <c r="BQ1466"/>
  <c r="BQ1465"/>
  <c r="BQ1464"/>
  <c r="BQ1463"/>
  <c r="BQ1462"/>
  <c r="BQ1461"/>
  <c r="BQ1460"/>
  <c r="BQ1459"/>
  <c r="BQ1458"/>
  <c r="BQ1457"/>
  <c r="BQ1456"/>
  <c r="BQ1455"/>
  <c r="BQ1454"/>
  <c r="BQ1453"/>
  <c r="BQ1452"/>
  <c r="BQ1436"/>
  <c r="BO1433"/>
  <c r="BQ1432"/>
  <c r="BQ1431"/>
  <c r="BQ1430"/>
  <c r="BQ1429"/>
  <c r="BQ1428"/>
  <c r="BQ1427"/>
  <c r="BQ1426"/>
  <c r="BQ1425"/>
  <c r="BQ1424"/>
  <c r="BQ1423"/>
  <c r="BQ1422"/>
  <c r="BQ1421"/>
  <c r="BQ1420"/>
  <c r="BQ1419"/>
  <c r="BQ1418"/>
  <c r="BQ1417"/>
  <c r="BQ1416"/>
  <c r="BQ1415"/>
  <c r="BQ1414"/>
  <c r="BQ1413"/>
  <c r="BQ1412"/>
  <c r="BQ1411"/>
  <c r="BQ1410"/>
  <c r="BQ1409"/>
  <c r="BQ1408"/>
  <c r="BQ1407"/>
  <c r="BQ1406"/>
  <c r="BQ1405"/>
  <c r="BQ1404"/>
  <c r="BQ1403"/>
  <c r="BQ1402"/>
  <c r="BQ1401"/>
  <c r="BQ1400"/>
  <c r="BQ1399"/>
  <c r="BQ1398"/>
  <c r="BQ1397"/>
  <c r="BQ1396"/>
  <c r="BQ1395"/>
  <c r="BQ1394"/>
  <c r="BN1383"/>
  <c r="BN1382"/>
  <c r="BP1381"/>
  <c r="BN1380"/>
  <c r="BP1379"/>
  <c r="BO1375"/>
  <c r="BQ1373"/>
  <c r="BQ1372"/>
  <c r="BQ1371"/>
  <c r="BQ1370"/>
  <c r="BQ1369"/>
  <c r="BQ1368"/>
  <c r="BQ1367"/>
  <c r="BQ1366"/>
  <c r="BQ1365"/>
  <c r="BQ1364"/>
  <c r="BQ1363"/>
  <c r="BQ1362"/>
  <c r="BQ1361"/>
  <c r="BQ1360"/>
  <c r="BQ1359"/>
  <c r="BQ1358"/>
  <c r="BQ1357"/>
  <c r="BQ1356"/>
  <c r="BQ1355"/>
  <c r="BQ1354"/>
  <c r="BQ1353"/>
  <c r="BQ1352"/>
  <c r="BQ1351"/>
  <c r="BQ1350"/>
  <c r="BQ1349"/>
  <c r="BQ1348"/>
  <c r="BQ1347"/>
  <c r="BQ1346"/>
  <c r="BQ1345"/>
  <c r="BQ1344"/>
  <c r="BQ1343"/>
  <c r="BQ1342"/>
  <c r="BQ1341"/>
  <c r="BQ1340"/>
  <c r="BQ1339"/>
  <c r="BQ1338"/>
  <c r="BQ1337"/>
  <c r="BQ1336"/>
  <c r="BQ1318"/>
  <c r="BQ1317"/>
  <c r="BO1316"/>
  <c r="BO1315"/>
  <c r="BO1314"/>
  <c r="BO1313"/>
  <c r="BO1312"/>
  <c r="BO1311"/>
  <c r="BO1310"/>
  <c r="BO1309"/>
  <c r="BO1308"/>
  <c r="BO1307"/>
  <c r="BO1306"/>
  <c r="BO1305"/>
  <c r="BO1304"/>
  <c r="BO1303"/>
  <c r="BO1302"/>
  <c r="BO1301"/>
  <c r="BO1300"/>
  <c r="BO1299"/>
  <c r="BO1298"/>
  <c r="BO1297"/>
  <c r="BO1296"/>
  <c r="BO1295"/>
  <c r="BO1294"/>
  <c r="BO1293"/>
  <c r="BO1292"/>
  <c r="BO1291"/>
  <c r="BO1290"/>
  <c r="BO1289"/>
  <c r="BO1288"/>
  <c r="BO1287"/>
  <c r="BO1286"/>
  <c r="BO1285"/>
  <c r="BO1284"/>
  <c r="BO1283"/>
  <c r="BO1282"/>
  <c r="BO1281"/>
  <c r="BO1280"/>
  <c r="BO1279"/>
  <c r="BO1278"/>
  <c r="BP1267"/>
  <c r="BN1266"/>
  <c r="BQ1260"/>
  <c r="BQ1259"/>
  <c r="BO1258"/>
  <c r="BO1257"/>
  <c r="BO1256"/>
  <c r="BO1255"/>
  <c r="BO1254"/>
  <c r="BO1253"/>
  <c r="BO1252"/>
  <c r="BO1251"/>
  <c r="BO1250"/>
  <c r="BO1249"/>
  <c r="BO1248"/>
  <c r="BO1247"/>
  <c r="BO1246"/>
  <c r="BO1245"/>
  <c r="BO1244"/>
  <c r="BO1243"/>
  <c r="BO1242"/>
  <c r="BO1241"/>
  <c r="BO1240"/>
  <c r="BO1239"/>
  <c r="BO1238"/>
  <c r="BO1237"/>
  <c r="BO1236"/>
  <c r="BO1235"/>
  <c r="BO1234"/>
  <c r="BO1233"/>
  <c r="BO1232"/>
  <c r="BO1231"/>
  <c r="BO1230"/>
  <c r="BO1229"/>
  <c r="BO1228"/>
  <c r="BO1227"/>
  <c r="BO1226"/>
  <c r="BO1225"/>
  <c r="BO1224"/>
  <c r="BO1223"/>
  <c r="BO1222"/>
  <c r="BO1221"/>
  <c r="BO1220"/>
  <c r="BN1209"/>
  <c r="BN1207"/>
  <c r="BP1206"/>
  <c r="BN1205"/>
  <c r="BQ1204"/>
  <c r="BO1203"/>
  <c r="BO1202"/>
  <c r="BQ1201"/>
  <c r="BO1200"/>
  <c r="BQ1199"/>
  <c r="BQ1198"/>
  <c r="BQ1197"/>
  <c r="BQ1196"/>
  <c r="BQ1195"/>
  <c r="BQ1194"/>
  <c r="BQ1193"/>
  <c r="BQ1192"/>
  <c r="BQ1191"/>
  <c r="BQ1190"/>
  <c r="BQ1189"/>
  <c r="BQ1188"/>
  <c r="BQ1187"/>
  <c r="BQ1186"/>
  <c r="BQ1185"/>
  <c r="BQ1184"/>
  <c r="BQ1183"/>
  <c r="BQ1182"/>
  <c r="BQ1181"/>
  <c r="BQ1180"/>
  <c r="BQ1179"/>
  <c r="BQ1178"/>
  <c r="BQ1177"/>
  <c r="BQ1176"/>
  <c r="BQ1175"/>
  <c r="BQ1174"/>
  <c r="BQ1173"/>
  <c r="BQ1172"/>
  <c r="BQ1171"/>
  <c r="BQ1170"/>
  <c r="BQ1169"/>
  <c r="BQ1168"/>
  <c r="BQ1167"/>
  <c r="BQ1166"/>
  <c r="BQ1165"/>
  <c r="BQ1164"/>
  <c r="BQ1163"/>
  <c r="BQ1162"/>
  <c r="BQ1144"/>
  <c r="BQ1143"/>
  <c r="BO1141"/>
  <c r="BO1140"/>
  <c r="BO1139"/>
  <c r="BO1138"/>
  <c r="BO1137"/>
  <c r="BO1136"/>
  <c r="BO1135"/>
  <c r="BO1134"/>
  <c r="BO1133"/>
  <c r="BO1132"/>
  <c r="BO1131"/>
  <c r="BO1130"/>
  <c r="BO1129"/>
  <c r="BO1128"/>
  <c r="BO1127"/>
  <c r="BO1126"/>
  <c r="BO1125"/>
  <c r="BO1124"/>
  <c r="BO1123"/>
  <c r="BO1122"/>
  <c r="BO1121"/>
  <c r="BO1120"/>
  <c r="BO1119"/>
  <c r="BO1118"/>
  <c r="BO1117"/>
  <c r="BO1116"/>
  <c r="BO1115"/>
  <c r="BO1114"/>
  <c r="BO1113"/>
  <c r="BO1112"/>
  <c r="BO1111"/>
  <c r="BO1110"/>
  <c r="BO1109"/>
  <c r="BO1108"/>
  <c r="BO1107"/>
  <c r="BO1106"/>
  <c r="BO1105"/>
  <c r="BO1104"/>
  <c r="BO1087"/>
  <c r="BO1086"/>
  <c r="BO1085"/>
  <c r="BQ1084"/>
  <c r="BQ1083"/>
  <c r="BQ1082"/>
  <c r="BQ1081"/>
  <c r="BQ1080"/>
  <c r="BQ1079"/>
  <c r="BQ1078"/>
  <c r="BQ1077"/>
  <c r="BQ1076"/>
  <c r="BQ1075"/>
  <c r="BQ1074"/>
  <c r="BQ1073"/>
  <c r="BQ1072"/>
  <c r="BQ1071"/>
  <c r="BQ1070"/>
  <c r="BQ1069"/>
  <c r="BQ1068"/>
  <c r="BQ1067"/>
  <c r="BQ1066"/>
  <c r="BQ1065"/>
  <c r="BQ1064"/>
  <c r="BQ1063"/>
  <c r="BQ1062"/>
  <c r="BQ1061"/>
  <c r="BQ1060"/>
  <c r="BQ1059"/>
  <c r="BQ1058"/>
  <c r="BQ1057"/>
  <c r="BQ1056"/>
  <c r="BQ1055"/>
  <c r="BQ1054"/>
  <c r="BQ1053"/>
  <c r="BQ1052"/>
  <c r="BQ1051"/>
  <c r="BQ1050"/>
  <c r="BQ1049"/>
  <c r="BP1035"/>
  <c r="BN1034"/>
  <c r="BP1033"/>
  <c r="BN1032"/>
  <c r="BN1031"/>
  <c r="BQ1030"/>
  <c r="BQ1029"/>
  <c r="BQ1025"/>
  <c r="BQ1024"/>
  <c r="BQ1023"/>
  <c r="BQ1022"/>
  <c r="BQ1021"/>
  <c r="BQ1020"/>
  <c r="BQ1019"/>
  <c r="BQ1018"/>
  <c r="BQ1017"/>
  <c r="BQ1016"/>
  <c r="BQ1015"/>
  <c r="BQ1014"/>
  <c r="BQ1013"/>
  <c r="BQ1012"/>
  <c r="BQ1011"/>
  <c r="BQ1010"/>
  <c r="BQ1009"/>
  <c r="BQ1008"/>
  <c r="BQ1007"/>
  <c r="BQ1006"/>
  <c r="BQ1005"/>
  <c r="BQ1004"/>
  <c r="BQ1003"/>
  <c r="BQ1002"/>
  <c r="BQ1001"/>
  <c r="BQ1000"/>
  <c r="BQ999"/>
  <c r="BQ998"/>
  <c r="BQ997"/>
  <c r="BQ996"/>
  <c r="BQ995"/>
  <c r="BQ994"/>
  <c r="BQ993"/>
  <c r="BQ992"/>
  <c r="BQ991"/>
  <c r="BQ990"/>
  <c r="BQ989"/>
  <c r="BQ988"/>
  <c r="BN975"/>
  <c r="BP974"/>
  <c r="BN973"/>
  <c r="BQ972"/>
  <c r="BQ970"/>
  <c r="BQ969"/>
  <c r="BO967"/>
  <c r="BO965"/>
  <c r="BO964"/>
  <c r="BO963"/>
  <c r="BO962"/>
  <c r="BO961"/>
  <c r="BO960"/>
  <c r="BO959"/>
  <c r="BO958"/>
  <c r="BO957"/>
  <c r="BO956"/>
  <c r="BO955"/>
  <c r="BO954"/>
  <c r="BO953"/>
  <c r="BO952"/>
  <c r="BO951"/>
  <c r="BO950"/>
  <c r="BO949"/>
  <c r="BO948"/>
  <c r="BO947"/>
  <c r="BO946"/>
  <c r="BO945"/>
  <c r="BO944"/>
  <c r="BO943"/>
  <c r="BO942"/>
  <c r="BO941"/>
  <c r="BO940"/>
  <c r="BO939"/>
  <c r="BO938"/>
  <c r="BO937"/>
  <c r="BO936"/>
  <c r="BO935"/>
  <c r="BO934"/>
  <c r="BO933"/>
  <c r="BO932"/>
  <c r="BO931"/>
  <c r="BO930"/>
  <c r="BP919"/>
  <c r="BN917"/>
  <c r="BO913"/>
  <c r="BO912"/>
  <c r="BQ911"/>
  <c r="BO910"/>
  <c r="BO909"/>
  <c r="BO908"/>
  <c r="BO907"/>
  <c r="BO906"/>
  <c r="BO905"/>
  <c r="BO904"/>
  <c r="BO903"/>
  <c r="BO902"/>
  <c r="BO901"/>
  <c r="BO900"/>
  <c r="BO899"/>
  <c r="BO898"/>
  <c r="BO897"/>
  <c r="BO896"/>
  <c r="BO895"/>
  <c r="BO894"/>
  <c r="BO893"/>
  <c r="BO892"/>
  <c r="BO891"/>
  <c r="BO890"/>
  <c r="BO889"/>
  <c r="BO888"/>
  <c r="BO887"/>
  <c r="BO886"/>
  <c r="BO885"/>
  <c r="BO884"/>
  <c r="BO883"/>
  <c r="BO882"/>
  <c r="BO881"/>
  <c r="BO880"/>
  <c r="BO879"/>
  <c r="BO878"/>
  <c r="BO877"/>
  <c r="BO876"/>
  <c r="BO875"/>
  <c r="BO874"/>
  <c r="BO873"/>
  <c r="BO872"/>
  <c r="BP859"/>
  <c r="BN858"/>
  <c r="BP857"/>
  <c r="BO856"/>
  <c r="BQ855"/>
  <c r="BO854"/>
  <c r="BO853"/>
  <c r="BQ852"/>
  <c r="BQ851"/>
  <c r="BQ850"/>
  <c r="BQ849"/>
  <c r="BQ848"/>
  <c r="BQ847"/>
  <c r="BQ846"/>
  <c r="BQ845"/>
  <c r="BQ844"/>
  <c r="BQ843"/>
  <c r="BQ842"/>
  <c r="BQ841"/>
  <c r="BQ840"/>
  <c r="BQ839"/>
  <c r="BQ838"/>
  <c r="BQ837"/>
  <c r="BQ836"/>
  <c r="BQ835"/>
  <c r="BQ834"/>
  <c r="BQ833"/>
  <c r="BQ832"/>
  <c r="BQ831"/>
  <c r="BQ830"/>
  <c r="BQ829"/>
  <c r="BQ828"/>
  <c r="BQ827"/>
  <c r="BQ826"/>
  <c r="BQ825"/>
  <c r="BQ824"/>
  <c r="BQ823"/>
  <c r="BQ822"/>
  <c r="BQ821"/>
  <c r="BQ820"/>
  <c r="BQ819"/>
  <c r="BQ818"/>
  <c r="BQ817"/>
  <c r="BQ816"/>
  <c r="BQ815"/>
  <c r="BQ814"/>
  <c r="BP803"/>
  <c r="BP802"/>
  <c r="BP801"/>
  <c r="BP800"/>
  <c r="BQ799"/>
  <c r="BP799"/>
  <c r="BQ798"/>
  <c r="BQ797"/>
  <c r="BQ796"/>
  <c r="BQ795"/>
  <c r="BO794"/>
  <c r="BO793"/>
  <c r="BO792"/>
  <c r="BO791"/>
  <c r="BO790"/>
  <c r="BO789"/>
  <c r="BO788"/>
  <c r="BO787"/>
  <c r="BO786"/>
  <c r="BO785"/>
  <c r="BO784"/>
  <c r="BO783"/>
  <c r="BO782"/>
  <c r="BO781"/>
  <c r="BQ780"/>
  <c r="BQ779"/>
  <c r="BQ778"/>
  <c r="BQ777"/>
  <c r="BQ776"/>
  <c r="BQ775"/>
  <c r="BQ774"/>
  <c r="BQ773"/>
  <c r="BQ772"/>
  <c r="BQ771"/>
  <c r="BQ770"/>
  <c r="BQ769"/>
  <c r="BQ768"/>
  <c r="BQ767"/>
  <c r="BQ766"/>
  <c r="BQ765"/>
  <c r="BQ764"/>
  <c r="BQ763"/>
  <c r="BQ762"/>
  <c r="BQ761"/>
  <c r="BQ760"/>
  <c r="BQ759"/>
  <c r="BQ758"/>
  <c r="BQ757"/>
  <c r="BQ756"/>
  <c r="BP742"/>
  <c r="BP741"/>
  <c r="BQ735"/>
  <c r="BQ734"/>
  <c r="BQ733"/>
  <c r="BQ732"/>
  <c r="BQ731"/>
  <c r="BQ730"/>
  <c r="BQ729"/>
  <c r="BQ728"/>
  <c r="BQ727"/>
  <c r="BQ726"/>
  <c r="BQ725"/>
  <c r="BQ724"/>
  <c r="BQ723"/>
  <c r="BQ722"/>
  <c r="BQ721"/>
  <c r="BQ720"/>
  <c r="BQ719"/>
  <c r="BQ718"/>
  <c r="BQ717"/>
  <c r="BQ716"/>
  <c r="BQ715"/>
  <c r="BQ714"/>
  <c r="BQ713"/>
  <c r="BQ712"/>
  <c r="BQ711"/>
  <c r="BQ710"/>
  <c r="BQ709"/>
  <c r="BQ708"/>
  <c r="BQ707"/>
  <c r="BQ706"/>
  <c r="BQ705"/>
  <c r="BQ704"/>
  <c r="BQ703"/>
  <c r="BQ702"/>
  <c r="BQ701"/>
  <c r="BQ700"/>
  <c r="BQ699"/>
  <c r="BQ698"/>
  <c r="BP685"/>
  <c r="BN684"/>
  <c r="BN683"/>
  <c r="BO682"/>
  <c r="BO681"/>
  <c r="BO680"/>
  <c r="BO679"/>
  <c r="BQ678"/>
  <c r="BQ677"/>
  <c r="BQ676"/>
  <c r="BQ675"/>
  <c r="BQ674"/>
  <c r="BQ673"/>
  <c r="BQ672"/>
  <c r="BQ671"/>
  <c r="BQ670"/>
  <c r="BQ669"/>
  <c r="BQ668"/>
  <c r="BQ667"/>
  <c r="BQ666"/>
  <c r="BQ665"/>
  <c r="BQ664"/>
  <c r="BQ663"/>
  <c r="BQ662"/>
  <c r="BQ661"/>
  <c r="BQ660"/>
  <c r="BQ659"/>
  <c r="BQ658"/>
  <c r="BQ657"/>
  <c r="BQ656"/>
  <c r="BQ655"/>
  <c r="BQ654"/>
  <c r="BQ653"/>
  <c r="BQ652"/>
  <c r="BQ651"/>
  <c r="BQ650"/>
  <c r="BQ649"/>
  <c r="BQ648"/>
  <c r="BQ647"/>
  <c r="BQ646"/>
  <c r="BQ645"/>
  <c r="BQ644"/>
  <c r="BQ643"/>
  <c r="BQ642"/>
  <c r="BQ641"/>
  <c r="BQ640"/>
  <c r="BP629"/>
  <c r="BP628"/>
  <c r="BP627"/>
  <c r="BP626"/>
  <c r="BO625"/>
  <c r="BO624"/>
  <c r="BO623"/>
  <c r="BQ622"/>
  <c r="BO621"/>
  <c r="BQ620"/>
  <c r="BO619"/>
  <c r="BQ618"/>
  <c r="BO617"/>
  <c r="BO616"/>
  <c r="BO615"/>
  <c r="BO614"/>
  <c r="BO613"/>
  <c r="BO612"/>
  <c r="BO611"/>
  <c r="BO610"/>
  <c r="BO609"/>
  <c r="BO608"/>
  <c r="BO607"/>
  <c r="BO606"/>
  <c r="BO605"/>
  <c r="BO604"/>
  <c r="BO603"/>
  <c r="BO602"/>
  <c r="BO601"/>
  <c r="BO600"/>
  <c r="BO599"/>
  <c r="BO598"/>
  <c r="BO597"/>
  <c r="BO596"/>
  <c r="BO595"/>
  <c r="BO594"/>
  <c r="BO593"/>
  <c r="BO592"/>
  <c r="BO591"/>
  <c r="BO590"/>
  <c r="BO589"/>
  <c r="BO588"/>
  <c r="BO587"/>
  <c r="BO586"/>
  <c r="BO585"/>
  <c r="BO584"/>
  <c r="BO583"/>
  <c r="BO582"/>
  <c r="BN571"/>
  <c r="BP570"/>
  <c r="BN569"/>
  <c r="BN568"/>
  <c r="BP567"/>
  <c r="BQ566"/>
  <c r="BQ565"/>
  <c r="BQ564"/>
  <c r="BQ563"/>
  <c r="BO562"/>
  <c r="BO559"/>
  <c r="BO558"/>
  <c r="BO557"/>
  <c r="BO556"/>
  <c r="BO555"/>
  <c r="BO554"/>
  <c r="BO553"/>
  <c r="BO552"/>
  <c r="BO551"/>
  <c r="BO550"/>
  <c r="BO549"/>
  <c r="BO548"/>
  <c r="BO547"/>
  <c r="BO546"/>
  <c r="BO545"/>
  <c r="BO544"/>
  <c r="BO543"/>
  <c r="K543"/>
  <c r="BO542"/>
  <c r="BO541"/>
  <c r="BO540"/>
  <c r="BO539"/>
  <c r="BO538"/>
  <c r="BO537"/>
  <c r="BO536"/>
  <c r="BO535"/>
  <c r="BO534"/>
  <c r="BO533"/>
  <c r="BO532"/>
  <c r="BO531"/>
  <c r="BO530"/>
  <c r="BO529"/>
  <c r="BO528"/>
  <c r="BO527"/>
  <c r="BO526"/>
  <c r="BO525"/>
  <c r="BO524"/>
  <c r="BO511"/>
  <c r="BO508"/>
  <c r="BO507"/>
  <c r="BO505"/>
  <c r="BQ504"/>
  <c r="BQ503"/>
  <c r="BQ502"/>
  <c r="BO500"/>
  <c r="BO499"/>
  <c r="BO497"/>
  <c r="BO496"/>
  <c r="BO495"/>
  <c r="BO494"/>
  <c r="BO493"/>
  <c r="BO492"/>
  <c r="BO491"/>
  <c r="BO490"/>
  <c r="BO489"/>
  <c r="BO488"/>
  <c r="BO487"/>
  <c r="BO486"/>
  <c r="BO485"/>
  <c r="BO484"/>
  <c r="BO483"/>
  <c r="BO482"/>
  <c r="BO481"/>
  <c r="BO480"/>
  <c r="BO479"/>
  <c r="BO478"/>
  <c r="BO477"/>
  <c r="BO476"/>
  <c r="BO475"/>
  <c r="BO474"/>
  <c r="BO473"/>
  <c r="BO472"/>
  <c r="BO471"/>
  <c r="BO470"/>
  <c r="BO469"/>
  <c r="BO468"/>
  <c r="BO467"/>
  <c r="BO466"/>
  <c r="BP455"/>
  <c r="BP454"/>
  <c r="BQ453"/>
  <c r="BP453"/>
  <c r="BP452"/>
  <c r="BO451"/>
  <c r="BQ450"/>
  <c r="BO449"/>
  <c r="BQ448"/>
  <c r="BQ447"/>
  <c r="BO446"/>
  <c r="BO445"/>
  <c r="BO444"/>
  <c r="BO443"/>
  <c r="BO442"/>
  <c r="BO441"/>
  <c r="BO440"/>
  <c r="BO439"/>
  <c r="BO438"/>
  <c r="BO437"/>
  <c r="BO436"/>
  <c r="BO435"/>
  <c r="BO434"/>
  <c r="BO433"/>
  <c r="BO432"/>
  <c r="BO431"/>
  <c r="BO430"/>
  <c r="BO429"/>
  <c r="BO428"/>
  <c r="BO427"/>
  <c r="BO426"/>
  <c r="BO425"/>
  <c r="BO424"/>
  <c r="BO423"/>
  <c r="BO422"/>
  <c r="BO421"/>
  <c r="BO420"/>
  <c r="BO419"/>
  <c r="BO418"/>
  <c r="BO417"/>
  <c r="BO416"/>
  <c r="BO415"/>
  <c r="BO414"/>
  <c r="BO413"/>
  <c r="BO412"/>
  <c r="BO411"/>
  <c r="BO410"/>
  <c r="BO409"/>
  <c r="BO408"/>
  <c r="BN397"/>
  <c r="BP396"/>
  <c r="BN395"/>
  <c r="BN394"/>
  <c r="BN393"/>
  <c r="BQ392"/>
  <c r="BQ391"/>
  <c r="BQ390"/>
  <c r="BQ389"/>
  <c r="BO387"/>
  <c r="BO386"/>
  <c r="BO385"/>
  <c r="BO384"/>
  <c r="BO383"/>
  <c r="BO382"/>
  <c r="BO381"/>
  <c r="BO380"/>
  <c r="BO379"/>
  <c r="BO378"/>
  <c r="BO377"/>
  <c r="BO376"/>
  <c r="BO375"/>
  <c r="BO374"/>
  <c r="BO373"/>
  <c r="BO372"/>
  <c r="BO371"/>
  <c r="BO370"/>
  <c r="BO369"/>
  <c r="BO368"/>
  <c r="BO367"/>
  <c r="BO366"/>
  <c r="BO365"/>
  <c r="BO364"/>
  <c r="BO363"/>
  <c r="BO362"/>
  <c r="BO361"/>
  <c r="BO360"/>
  <c r="BO359"/>
  <c r="BO358"/>
  <c r="BO357"/>
  <c r="BO356"/>
  <c r="BO355"/>
  <c r="BO354"/>
  <c r="BO353"/>
  <c r="BO352"/>
  <c r="BO351"/>
  <c r="BO350"/>
  <c r="BO334"/>
  <c r="BO333"/>
  <c r="BO332"/>
  <c r="BO331"/>
  <c r="BQ330"/>
  <c r="BQ329"/>
  <c r="BQ328"/>
  <c r="BQ327"/>
  <c r="BQ326"/>
  <c r="BQ325"/>
  <c r="BQ324"/>
  <c r="BQ323"/>
  <c r="BQ322"/>
  <c r="BQ321"/>
  <c r="BQ320"/>
  <c r="BQ319"/>
  <c r="BQ318"/>
  <c r="BQ317"/>
  <c r="BQ316"/>
  <c r="BQ315"/>
  <c r="BQ314"/>
  <c r="BQ313"/>
  <c r="BQ312"/>
  <c r="BQ311"/>
  <c r="BQ310"/>
  <c r="BQ309"/>
  <c r="BQ308"/>
  <c r="BQ307"/>
  <c r="BQ306"/>
  <c r="BQ305"/>
  <c r="BQ304"/>
  <c r="BQ303"/>
  <c r="BQ302"/>
  <c r="BQ301"/>
  <c r="BQ300"/>
  <c r="BQ299"/>
  <c r="BQ298"/>
  <c r="BQ297"/>
  <c r="BQ296"/>
  <c r="BQ295"/>
  <c r="BQ294"/>
  <c r="BQ293"/>
  <c r="BQ292"/>
  <c r="BP281"/>
  <c r="BQ280"/>
  <c r="BP278"/>
  <c r="BP277"/>
  <c r="BQ276"/>
  <c r="BQ275"/>
  <c r="BQ274"/>
  <c r="BQ273"/>
  <c r="BO272"/>
  <c r="BO271"/>
  <c r="BO270"/>
  <c r="BO269"/>
  <c r="BO268"/>
  <c r="BO267"/>
  <c r="BO266"/>
  <c r="BO265"/>
  <c r="BO264"/>
  <c r="BO263"/>
  <c r="BO261"/>
  <c r="BO260"/>
  <c r="BO259"/>
  <c r="BO258"/>
  <c r="BO257"/>
  <c r="BO256"/>
  <c r="BO255"/>
  <c r="BO254"/>
  <c r="BO253"/>
  <c r="BO252"/>
  <c r="BO251"/>
  <c r="BO250"/>
  <c r="BO249"/>
  <c r="BO248"/>
  <c r="BO247"/>
  <c r="BO246"/>
  <c r="BO245"/>
  <c r="BO244"/>
  <c r="BO243"/>
  <c r="BO242"/>
  <c r="BO241"/>
  <c r="BO240"/>
  <c r="BO239"/>
  <c r="BO238"/>
  <c r="BO237"/>
  <c r="BO236"/>
  <c r="BO235"/>
  <c r="BO234"/>
  <c r="BP220"/>
  <c r="BQ219"/>
  <c r="BQ217"/>
  <c r="BQ214"/>
  <c r="BQ213"/>
  <c r="BQ212"/>
  <c r="BQ211"/>
  <c r="BQ210"/>
  <c r="BQ209"/>
  <c r="BQ208"/>
  <c r="BQ207"/>
  <c r="BQ206"/>
  <c r="BQ205"/>
  <c r="BQ204"/>
  <c r="BQ203"/>
  <c r="BQ202"/>
  <c r="BQ201"/>
  <c r="BQ200"/>
  <c r="BQ199"/>
  <c r="BQ198"/>
  <c r="BQ197"/>
  <c r="BQ196"/>
  <c r="BQ195"/>
  <c r="BQ194"/>
  <c r="BQ193"/>
  <c r="BQ192"/>
  <c r="BQ191"/>
  <c r="BQ190"/>
  <c r="BQ189"/>
  <c r="BQ188"/>
  <c r="BQ187"/>
  <c r="BQ186"/>
  <c r="BQ185"/>
  <c r="BQ184"/>
  <c r="BQ183"/>
  <c r="BQ182"/>
  <c r="BQ181"/>
  <c r="BQ180"/>
  <c r="BQ179"/>
  <c r="BQ178"/>
  <c r="BQ177"/>
  <c r="BQ176"/>
  <c r="BN165"/>
  <c r="BP163"/>
  <c r="BN162"/>
  <c r="BN161"/>
  <c r="BQ160"/>
  <c r="BQ159"/>
  <c r="BQ158"/>
  <c r="BO157"/>
  <c r="BO155"/>
  <c r="BQ154"/>
  <c r="BQ153"/>
  <c r="BQ152"/>
  <c r="BQ151"/>
  <c r="BQ150"/>
  <c r="BQ149"/>
  <c r="BQ148"/>
  <c r="BQ147"/>
  <c r="BQ146"/>
  <c r="BQ145"/>
  <c r="BQ144"/>
  <c r="BQ143"/>
  <c r="BQ142"/>
  <c r="BQ141"/>
  <c r="BQ140"/>
  <c r="BQ139"/>
  <c r="BQ138"/>
  <c r="BQ137"/>
  <c r="BQ136"/>
  <c r="BQ135"/>
  <c r="BQ134"/>
  <c r="BQ133"/>
  <c r="BQ132"/>
  <c r="BQ131"/>
  <c r="BQ130"/>
  <c r="BQ129"/>
  <c r="BQ128"/>
  <c r="BQ127"/>
  <c r="BQ126"/>
  <c r="BQ125"/>
  <c r="BQ124"/>
  <c r="BQ123"/>
  <c r="BQ122"/>
  <c r="BQ121"/>
  <c r="BQ120"/>
  <c r="BQ119"/>
  <c r="BQ118"/>
  <c r="BO107"/>
  <c r="BQ106"/>
  <c r="BQ105"/>
  <c r="BN104"/>
  <c r="BP103"/>
  <c r="BQ102"/>
  <c r="BQ101"/>
  <c r="BQ100"/>
  <c r="BQ99"/>
  <c r="BO98"/>
  <c r="BO97"/>
  <c r="BO96"/>
  <c r="BO95"/>
  <c r="BO94"/>
  <c r="BO93"/>
  <c r="BO92"/>
  <c r="BO91"/>
  <c r="BO90"/>
  <c r="BO89"/>
  <c r="BO88"/>
  <c r="BO87"/>
  <c r="BO86"/>
  <c r="BO85"/>
  <c r="BO84"/>
  <c r="BO83"/>
  <c r="BO82"/>
  <c r="BO81"/>
  <c r="BO80"/>
  <c r="BO79"/>
  <c r="BO78"/>
  <c r="BO77"/>
  <c r="BO76"/>
  <c r="BO75"/>
  <c r="BO74"/>
  <c r="BO73"/>
  <c r="BO72"/>
  <c r="BO71"/>
  <c r="BO70"/>
  <c r="BO69"/>
  <c r="BO68"/>
  <c r="BO67"/>
  <c r="BO66"/>
  <c r="BO65"/>
  <c r="BO64"/>
  <c r="BO63"/>
  <c r="BO62"/>
  <c r="BO61"/>
  <c r="BO60"/>
  <c r="BN49"/>
  <c r="BN48"/>
  <c r="BN47"/>
  <c r="BN46"/>
  <c r="BP45"/>
  <c r="BQ43"/>
  <c r="BQ42"/>
  <c r="BQ41"/>
  <c r="BO40"/>
  <c r="BO39"/>
  <c r="BO38"/>
  <c r="BO37"/>
  <c r="BO36"/>
  <c r="BO35"/>
  <c r="BO34"/>
  <c r="BO33"/>
  <c r="BO32"/>
  <c r="BO31"/>
  <c r="BO30"/>
  <c r="BO29"/>
  <c r="BO28"/>
  <c r="BO27"/>
  <c r="BO26"/>
  <c r="BO25"/>
  <c r="BO24"/>
  <c r="BO23"/>
  <c r="BO22"/>
  <c r="BO21"/>
  <c r="BO20"/>
  <c r="BO19"/>
  <c r="BO18"/>
  <c r="BO17"/>
  <c r="BO16"/>
  <c r="BO15"/>
  <c r="BO14"/>
  <c r="BO13"/>
  <c r="BO12"/>
  <c r="BO11"/>
  <c r="BO10"/>
  <c r="BO9"/>
  <c r="BO8"/>
  <c r="BO7"/>
  <c r="BO6"/>
  <c r="BO5"/>
  <c r="BO4"/>
  <c r="BO3"/>
  <c r="BO2"/>
  <c r="BP1498"/>
  <c r="BP1499"/>
  <c r="BO2425"/>
  <c r="BN2426"/>
  <c r="BP2021"/>
  <c r="BP687"/>
  <c r="BN743"/>
  <c r="BN745"/>
  <c r="BP745"/>
  <c r="BP1961"/>
  <c r="BP1384"/>
  <c r="BP804"/>
  <c r="BP1848"/>
  <c r="BP1037"/>
  <c r="BP744"/>
  <c r="BN2658"/>
  <c r="BP2659"/>
  <c r="BP2660"/>
  <c r="BO221"/>
  <c r="BO222"/>
  <c r="BO224"/>
  <c r="BN805"/>
  <c r="BP1385"/>
  <c r="BN2603"/>
  <c r="BP1907"/>
  <c r="BQ456"/>
  <c r="BQ457"/>
  <c r="BQ920"/>
  <c r="BN51"/>
  <c r="BN1675"/>
  <c r="BO2429"/>
  <c r="BO2428"/>
  <c r="BN2661"/>
  <c r="BP573"/>
  <c r="BO225"/>
  <c r="BO630"/>
  <c r="BN1211"/>
  <c r="BP398"/>
  <c r="BP2776"/>
  <c r="BP1558"/>
  <c r="BN1037"/>
  <c r="BN1674"/>
  <c r="BN108"/>
  <c r="BN1210"/>
  <c r="BN688"/>
  <c r="BN166"/>
  <c r="BN2776"/>
  <c r="BN2602"/>
  <c r="BN1848"/>
  <c r="BP1500"/>
  <c r="BN1501"/>
  <c r="BP1850"/>
  <c r="BP110"/>
  <c r="K1038"/>
  <c r="BP1038"/>
  <c r="BP922"/>
  <c r="BN1386"/>
  <c r="BP2314"/>
  <c r="BP2604"/>
  <c r="BN2604"/>
  <c r="BN400"/>
  <c r="BN748"/>
  <c r="BN1676"/>
  <c r="BP806"/>
  <c r="BP1908"/>
  <c r="BP807"/>
  <c r="BN1039"/>
  <c r="BN1851"/>
  <c r="BN2605"/>
  <c r="BN111"/>
  <c r="BN169"/>
  <c r="BP2315"/>
  <c r="BN2547"/>
  <c r="BP1387"/>
  <c r="BP459"/>
  <c r="BN2662"/>
  <c r="BN2663"/>
  <c r="Y52"/>
  <c r="BP53"/>
  <c r="Y53"/>
  <c r="BN1677"/>
  <c r="BP2664"/>
  <c r="BP2316"/>
  <c r="BP1852"/>
  <c r="BP924"/>
  <c r="BQ170"/>
  <c r="BP54"/>
  <c r="BP112"/>
  <c r="BP1910"/>
  <c r="BN2780"/>
  <c r="BN2606"/>
  <c r="BN2142"/>
  <c r="BN1852"/>
  <c r="BN924"/>
  <c r="BN808"/>
  <c r="BN1388"/>
  <c r="BP2317"/>
  <c r="BP809"/>
  <c r="BN926"/>
  <c r="BO1048"/>
  <c r="BP926"/>
  <c r="BQ172"/>
  <c r="BN1042"/>
  <c r="BN2782"/>
  <c r="BN578"/>
  <c r="M2074"/>
  <c r="BO2074" s="1"/>
  <c r="BN2074"/>
  <c r="Y1953"/>
  <c r="BO1953" s="1"/>
  <c r="BP1953"/>
  <c r="BN1953"/>
  <c r="Y1952"/>
  <c r="BO1952" s="1"/>
  <c r="BP1952"/>
  <c r="BN1952"/>
  <c r="Q1842"/>
  <c r="BN1842"/>
  <c r="Q1841"/>
  <c r="BN1841"/>
  <c r="Q1840"/>
  <c r="BN1840"/>
  <c r="Q1839"/>
  <c r="BN1839"/>
  <c r="Y1837"/>
  <c r="BO1837" s="1"/>
  <c r="BP1837"/>
  <c r="Q1668"/>
  <c r="BN1668"/>
  <c r="Q1667"/>
  <c r="BN1667"/>
  <c r="Q1666"/>
  <c r="BN1666"/>
  <c r="Q1665"/>
  <c r="BN1665"/>
  <c r="Q1653"/>
  <c r="BN1653"/>
  <c r="Q1610"/>
  <c r="BN1610"/>
  <c r="Q1609"/>
  <c r="BN1609"/>
  <c r="Q1608"/>
  <c r="BN1608"/>
  <c r="Q1607"/>
  <c r="BN1607"/>
  <c r="Y1605"/>
  <c r="BO1605" s="1"/>
  <c r="BP1605"/>
  <c r="Y1604"/>
  <c r="BO1604" s="1"/>
  <c r="BP1604"/>
  <c r="Y1603"/>
  <c r="BO1603" s="1"/>
  <c r="BP1603"/>
  <c r="Q1552"/>
  <c r="BN1552"/>
  <c r="Q1551"/>
  <c r="BN1551"/>
  <c r="Y1547"/>
  <c r="BO1547" s="1"/>
  <c r="BP1547"/>
  <c r="BN1547"/>
  <c r="Y1378"/>
  <c r="BO1378" s="1"/>
  <c r="BP1378"/>
  <c r="Y1377"/>
  <c r="BO1377" s="1"/>
  <c r="BP1377"/>
  <c r="Y1376"/>
  <c r="BO1376" s="1"/>
  <c r="BP1376"/>
  <c r="Y1374"/>
  <c r="BQ1374" s="1"/>
  <c r="BP1374"/>
  <c r="Q1373"/>
  <c r="BN1373"/>
  <c r="M1149"/>
  <c r="BO1149" s="1"/>
  <c r="BN1149"/>
  <c r="M1093"/>
  <c r="BO1093" s="1"/>
  <c r="BN1093"/>
  <c r="M1091"/>
  <c r="BO1091" s="1"/>
  <c r="BN1091"/>
  <c r="Q1030"/>
  <c r="BN1030"/>
  <c r="Q1029"/>
  <c r="BN1029"/>
  <c r="Y1028"/>
  <c r="BO1028" s="1"/>
  <c r="BP1028"/>
  <c r="Y1027"/>
  <c r="BO1027" s="1"/>
  <c r="BP1027"/>
  <c r="Y1026"/>
  <c r="BQ1026" s="1"/>
  <c r="BP1026"/>
  <c r="Q1024"/>
  <c r="BN1024"/>
  <c r="Q972"/>
  <c r="BN972"/>
  <c r="Y971"/>
  <c r="BP971"/>
  <c r="Q970"/>
  <c r="BN970"/>
  <c r="Q969"/>
  <c r="BN969"/>
  <c r="Y966"/>
  <c r="BO966" s="1"/>
  <c r="BP966"/>
  <c r="AR915"/>
  <c r="BN915" s="1"/>
  <c r="BO915"/>
  <c r="R800"/>
  <c r="BO800"/>
  <c r="Q798"/>
  <c r="BN798"/>
  <c r="Y740"/>
  <c r="BO740" s="1"/>
  <c r="BP740"/>
  <c r="Y739"/>
  <c r="BO739" s="1"/>
  <c r="BP739"/>
  <c r="Y738"/>
  <c r="BO738" s="1"/>
  <c r="BP738"/>
  <c r="Y737"/>
  <c r="BO737" s="1"/>
  <c r="BP737"/>
  <c r="BN737"/>
  <c r="Y736"/>
  <c r="BQ736" s="1"/>
  <c r="BP736"/>
  <c r="Q735"/>
  <c r="BN735"/>
  <c r="Q734"/>
  <c r="BN734"/>
  <c r="Q732"/>
  <c r="BN732"/>
  <c r="Q730"/>
  <c r="BN730"/>
  <c r="Q728"/>
  <c r="BN728"/>
  <c r="Q727"/>
  <c r="BN727"/>
  <c r="Q726"/>
  <c r="BN726"/>
  <c r="Q725"/>
  <c r="BN725"/>
  <c r="M629"/>
  <c r="BO629" s="1"/>
  <c r="BN629"/>
  <c r="M628"/>
  <c r="BO628" s="1"/>
  <c r="BN628"/>
  <c r="M627"/>
  <c r="BO627" s="1"/>
  <c r="BN627"/>
  <c r="Q566"/>
  <c r="BN566"/>
  <c r="Q565"/>
  <c r="BN565"/>
  <c r="Q564"/>
  <c r="BN564"/>
  <c r="Q563"/>
  <c r="BN563"/>
  <c r="Y561"/>
  <c r="BO561" s="1"/>
  <c r="BP561"/>
  <c r="Y560"/>
  <c r="BO560" s="1"/>
  <c r="BP560"/>
  <c r="Y506"/>
  <c r="BO506" s="1"/>
  <c r="BP506"/>
  <c r="BN506"/>
  <c r="Q503"/>
  <c r="BN503"/>
  <c r="Y501"/>
  <c r="BO501" s="1"/>
  <c r="BP501"/>
  <c r="BN501"/>
  <c r="Y498"/>
  <c r="BO498" s="1"/>
  <c r="BP498"/>
  <c r="BN498"/>
  <c r="Z451"/>
  <c r="BN451" s="1"/>
  <c r="BQ451"/>
  <c r="Q450"/>
  <c r="BN450"/>
  <c r="Q392"/>
  <c r="BN392"/>
  <c r="Q391"/>
  <c r="BN391"/>
  <c r="Q390"/>
  <c r="BN390"/>
  <c r="Q389"/>
  <c r="BN389"/>
  <c r="BO280"/>
  <c r="Q276"/>
  <c r="BN276"/>
  <c r="Q275"/>
  <c r="BN275"/>
  <c r="Y262"/>
  <c r="BO262" s="1"/>
  <c r="BP262"/>
  <c r="Y218"/>
  <c r="BO218" s="1"/>
  <c r="BP218"/>
  <c r="BN218"/>
  <c r="Q217"/>
  <c r="BN217"/>
  <c r="Y216"/>
  <c r="BO216" s="1"/>
  <c r="BP216"/>
  <c r="Y215"/>
  <c r="BO215" s="1"/>
  <c r="BP215"/>
  <c r="Q160"/>
  <c r="BO160" s="1"/>
  <c r="BN160"/>
  <c r="Q159"/>
  <c r="BO159" s="1"/>
  <c r="BN159"/>
  <c r="Y156"/>
  <c r="BQ156" s="1"/>
  <c r="BP156"/>
  <c r="BN156"/>
  <c r="M44"/>
  <c r="BO44" s="1"/>
  <c r="BN44"/>
  <c r="Q43"/>
  <c r="BN43"/>
  <c r="M41"/>
  <c r="BO41" s="1"/>
  <c r="BN41"/>
  <c r="BO2312"/>
  <c r="BQ2602"/>
  <c r="BN1849"/>
  <c r="N399"/>
  <c r="BQ399"/>
  <c r="P399"/>
  <c r="BO399"/>
  <c r="BP1559"/>
  <c r="BN1559"/>
  <c r="BQ2429"/>
  <c r="K2429"/>
  <c r="K630"/>
  <c r="BP456"/>
  <c r="BN456"/>
  <c r="BN1850"/>
  <c r="BO52"/>
  <c r="K2605"/>
  <c r="Q1664"/>
  <c r="BO1664" s="1"/>
  <c r="BN1664"/>
  <c r="Q968"/>
  <c r="BO968" s="1"/>
  <c r="BN968"/>
  <c r="Q736"/>
  <c r="BN736"/>
  <c r="Q388"/>
  <c r="BO388" s="1"/>
  <c r="BN388"/>
  <c r="BQ52"/>
  <c r="BP1677"/>
  <c r="Z458"/>
  <c r="BQ458"/>
  <c r="BN112"/>
  <c r="BO1619"/>
  <c r="BN1853"/>
  <c r="S170"/>
  <c r="BN170"/>
  <c r="BP171"/>
  <c r="BN809"/>
  <c r="K172"/>
  <c r="L1100"/>
  <c r="BN1100" s="1"/>
  <c r="BO1100"/>
  <c r="K1854"/>
  <c r="BQ2409"/>
  <c r="BQ2408"/>
  <c r="BQ2407"/>
  <c r="BQ2406"/>
  <c r="BQ2405"/>
  <c r="BQ2404"/>
  <c r="BQ2403"/>
  <c r="BQ2402"/>
  <c r="BQ2401"/>
  <c r="BQ2400"/>
  <c r="BQ2399"/>
  <c r="BQ2398"/>
  <c r="BQ2397"/>
  <c r="BQ2396"/>
  <c r="BQ2395"/>
  <c r="BQ2394"/>
  <c r="BQ2393"/>
  <c r="BQ2392"/>
  <c r="BQ2391"/>
  <c r="BQ2390"/>
  <c r="BQ2389"/>
  <c r="BQ2388"/>
  <c r="BQ2387"/>
  <c r="BQ2386"/>
  <c r="BQ2385"/>
  <c r="BQ2384"/>
  <c r="BQ2383"/>
  <c r="BQ2382"/>
  <c r="BQ2381"/>
  <c r="BQ2380"/>
  <c r="BQ2362"/>
  <c r="BQ2361"/>
  <c r="BO2360"/>
  <c r="BO2359"/>
  <c r="BO2358"/>
  <c r="BO2357"/>
  <c r="BO2356"/>
  <c r="BO2355"/>
  <c r="BO2354"/>
  <c r="BO2353"/>
  <c r="BO2352"/>
  <c r="BO2351"/>
  <c r="BO2350"/>
  <c r="BO2349"/>
  <c r="BO2348"/>
  <c r="BO2347"/>
  <c r="BO2346"/>
  <c r="BO2345"/>
  <c r="BO2344"/>
  <c r="BO2343"/>
  <c r="BO2342"/>
  <c r="BO2341"/>
  <c r="BO2340"/>
  <c r="BO2339"/>
  <c r="BO2338"/>
  <c r="BO2337"/>
  <c r="BO2336"/>
  <c r="BO2335"/>
  <c r="BO2334"/>
  <c r="BO2333"/>
  <c r="BO2332"/>
  <c r="BO2331"/>
  <c r="BO2330"/>
  <c r="BO2329"/>
  <c r="BO2328"/>
  <c r="BO2327"/>
  <c r="BO2326"/>
  <c r="BO2325"/>
  <c r="BO2324"/>
  <c r="BO2323"/>
  <c r="BO2322"/>
  <c r="BO2306"/>
  <c r="BO2305"/>
  <c r="BO2304"/>
  <c r="BO2303"/>
  <c r="BQ2301"/>
  <c r="BQ2300"/>
  <c r="BQ2299"/>
  <c r="BQ2298"/>
  <c r="BQ2297"/>
  <c r="BQ2296"/>
  <c r="BQ2295"/>
  <c r="BQ2294"/>
  <c r="BQ2293"/>
  <c r="BQ2292"/>
  <c r="BQ2291"/>
  <c r="BQ2290"/>
  <c r="BQ2289"/>
  <c r="BQ2288"/>
  <c r="BQ2287"/>
  <c r="BQ2286"/>
  <c r="BQ2285"/>
  <c r="BQ2284"/>
  <c r="BQ2283"/>
  <c r="BQ2282"/>
  <c r="BQ2281"/>
  <c r="BQ2280"/>
  <c r="BQ2279"/>
  <c r="BQ2278"/>
  <c r="BQ2277"/>
  <c r="BQ2276"/>
  <c r="BQ2275"/>
  <c r="BQ2274"/>
  <c r="BQ2273"/>
  <c r="BQ2272"/>
  <c r="BQ2271"/>
  <c r="BQ2270"/>
  <c r="BQ2269"/>
  <c r="BQ2268"/>
  <c r="BQ2267"/>
  <c r="BQ2266"/>
  <c r="BQ2265"/>
  <c r="BQ2264"/>
  <c r="BQ2246"/>
  <c r="BQ2245"/>
  <c r="BO2244"/>
  <c r="BO2243"/>
  <c r="BO2242"/>
  <c r="BO2241"/>
  <c r="BO2240"/>
  <c r="BO2239"/>
  <c r="BO2238"/>
  <c r="BO2237"/>
  <c r="BO2236"/>
  <c r="BO2235"/>
  <c r="BO2234"/>
  <c r="BO2233"/>
  <c r="BO2232"/>
  <c r="BO2231"/>
  <c r="BO2230"/>
  <c r="BO2229"/>
  <c r="BO2228"/>
  <c r="BO2227"/>
  <c r="BO2226"/>
  <c r="BO2225"/>
  <c r="BO2224"/>
  <c r="BO2223"/>
  <c r="BO2222"/>
  <c r="BO2221"/>
  <c r="BO2220"/>
  <c r="BO2219"/>
  <c r="BO2218"/>
  <c r="BO2217"/>
  <c r="BO2216"/>
  <c r="BO2215"/>
  <c r="BO2214"/>
  <c r="BO2213"/>
  <c r="BO2212"/>
  <c r="BO2211"/>
  <c r="BO2210"/>
  <c r="BO2209"/>
  <c r="BO2208"/>
  <c r="BO2207"/>
  <c r="BO2206"/>
  <c r="BO2190"/>
  <c r="BO2189"/>
  <c r="BO2188"/>
  <c r="BO2187"/>
  <c r="BQ2185"/>
  <c r="BQ2184"/>
  <c r="BQ2183"/>
  <c r="BQ2182"/>
  <c r="BQ2181"/>
  <c r="BQ2180"/>
  <c r="BQ2179"/>
  <c r="BQ2178"/>
  <c r="BQ2177"/>
  <c r="BQ2176"/>
  <c r="BQ2175"/>
  <c r="BQ2174"/>
  <c r="BQ2173"/>
  <c r="BQ2172"/>
  <c r="BQ2171"/>
  <c r="BQ2170"/>
  <c r="BQ2169"/>
  <c r="BQ2168"/>
  <c r="BQ2167"/>
  <c r="BQ2166"/>
  <c r="BQ2165"/>
  <c r="BQ2164"/>
  <c r="BQ2163"/>
  <c r="BQ2162"/>
  <c r="BQ2161"/>
  <c r="BQ2160"/>
  <c r="BQ2159"/>
  <c r="BQ2158"/>
  <c r="BQ2157"/>
  <c r="BQ2156"/>
  <c r="BQ2155"/>
  <c r="BQ2154"/>
  <c r="BQ2153"/>
  <c r="BQ2152"/>
  <c r="BQ2151"/>
  <c r="BQ2150"/>
  <c r="BQ2149"/>
  <c r="BQ2148"/>
  <c r="BQ2129"/>
  <c r="BO2128"/>
  <c r="BO2127"/>
  <c r="BO2126"/>
  <c r="BO2125"/>
  <c r="BO2124"/>
  <c r="BO2123"/>
  <c r="BO2122"/>
  <c r="BO2121"/>
  <c r="BO2120"/>
  <c r="BO2119"/>
  <c r="BO2118"/>
  <c r="BO2117"/>
  <c r="BO2116"/>
  <c r="BO2115"/>
  <c r="BO2114"/>
  <c r="BO2113"/>
  <c r="BO2112"/>
  <c r="BO2111"/>
  <c r="BO2110"/>
  <c r="BO2109"/>
  <c r="BO2108"/>
  <c r="BO2107"/>
  <c r="BO2106"/>
  <c r="BO2105"/>
  <c r="BO2104"/>
  <c r="BO2103"/>
  <c r="BO2102"/>
  <c r="BO2101"/>
  <c r="BO2100"/>
  <c r="BO2099"/>
  <c r="BO2098"/>
  <c r="BO2097"/>
  <c r="BO2096"/>
  <c r="BO2095"/>
  <c r="BO2094"/>
  <c r="BO2093"/>
  <c r="BO2092"/>
  <c r="BO2091"/>
  <c r="BO2090"/>
  <c r="BO2073"/>
  <c r="BO2072"/>
  <c r="BO2071"/>
  <c r="BQ2069"/>
  <c r="BQ2068"/>
  <c r="BQ2067"/>
  <c r="BQ2066"/>
  <c r="BQ2065"/>
  <c r="BQ2064"/>
  <c r="BQ2063"/>
  <c r="BQ2062"/>
  <c r="BQ2061"/>
  <c r="BQ2060"/>
  <c r="BQ2059"/>
  <c r="BQ2058"/>
  <c r="BQ2057"/>
  <c r="BQ2056"/>
  <c r="BQ2055"/>
  <c r="BQ2054"/>
  <c r="BQ2053"/>
  <c r="BQ2052"/>
  <c r="BQ2051"/>
  <c r="BQ2050"/>
  <c r="BQ2049"/>
  <c r="BQ2048"/>
  <c r="BQ2047"/>
  <c r="BQ2046"/>
  <c r="BQ2045"/>
  <c r="BQ2044"/>
  <c r="BQ2043"/>
  <c r="BQ2042"/>
  <c r="BQ2041"/>
  <c r="BQ2040"/>
  <c r="BQ2039"/>
  <c r="BQ2038"/>
  <c r="BQ2037"/>
  <c r="BQ2036"/>
  <c r="BQ2035"/>
  <c r="BQ2034"/>
  <c r="BQ2033"/>
  <c r="BQ2032"/>
  <c r="BQ2016"/>
  <c r="BO2015"/>
  <c r="BO2014"/>
  <c r="BO2013"/>
  <c r="BQ2011"/>
  <c r="BQ2010"/>
  <c r="BQ2009"/>
  <c r="BQ2008"/>
  <c r="BQ2007"/>
  <c r="BQ2006"/>
  <c r="BQ2005"/>
  <c r="BQ2004"/>
  <c r="BQ2003"/>
  <c r="BQ2002"/>
  <c r="BQ2001"/>
  <c r="BQ2000"/>
  <c r="BQ1999"/>
  <c r="BQ1998"/>
  <c r="BQ1997"/>
  <c r="BQ1996"/>
  <c r="BQ1995"/>
  <c r="BQ1994"/>
  <c r="BQ1993"/>
  <c r="BQ1992"/>
  <c r="BQ1991"/>
  <c r="BQ1990"/>
  <c r="BQ1989"/>
  <c r="BQ1988"/>
  <c r="BQ1987"/>
  <c r="BQ1986"/>
  <c r="BQ1985"/>
  <c r="BQ1984"/>
  <c r="BQ1983"/>
  <c r="BQ1982"/>
  <c r="BQ1981"/>
  <c r="BQ1980"/>
  <c r="BQ1979"/>
  <c r="BQ1978"/>
  <c r="BQ1977"/>
  <c r="BQ1976"/>
  <c r="BQ1975"/>
  <c r="BQ1974"/>
  <c r="BP1959"/>
  <c r="BO1958"/>
  <c r="BO1957"/>
  <c r="BO1956"/>
  <c r="BO1955"/>
  <c r="BQ1954"/>
  <c r="BQ1953"/>
  <c r="BQ1952"/>
  <c r="BQ1951"/>
  <c r="BQ1950"/>
  <c r="BQ1949"/>
  <c r="BQ1948"/>
  <c r="BQ1947"/>
  <c r="BQ1946"/>
  <c r="BQ1945"/>
  <c r="BQ1944"/>
  <c r="BQ1943"/>
  <c r="BQ1942"/>
  <c r="BQ1941"/>
  <c r="BQ1940"/>
  <c r="BQ1939"/>
  <c r="BQ1938"/>
  <c r="BQ1937"/>
  <c r="BQ1936"/>
  <c r="BQ1935"/>
  <c r="BQ1934"/>
  <c r="BQ1933"/>
  <c r="BQ1932"/>
  <c r="BQ1931"/>
  <c r="BQ1930"/>
  <c r="BQ1929"/>
  <c r="BQ1928"/>
  <c r="BQ1927"/>
  <c r="BQ1926"/>
  <c r="BQ1925"/>
  <c r="BQ1924"/>
  <c r="BQ1923"/>
  <c r="BQ1922"/>
  <c r="BQ1921"/>
  <c r="BQ1920"/>
  <c r="BQ1919"/>
  <c r="BQ1918"/>
  <c r="BQ1917"/>
  <c r="BQ1916"/>
  <c r="BP1905"/>
  <c r="BN1904"/>
  <c r="BN1903"/>
  <c r="BP1902"/>
  <c r="BN1901"/>
  <c r="BO1900"/>
  <c r="BO1899"/>
  <c r="BO1898"/>
  <c r="BO1897"/>
  <c r="BQ1895"/>
  <c r="BQ1894"/>
  <c r="BQ1893"/>
  <c r="BQ1892"/>
  <c r="BQ1891"/>
  <c r="BQ1890"/>
  <c r="BQ1889"/>
  <c r="BQ1888"/>
  <c r="BQ1887"/>
  <c r="BQ1886"/>
  <c r="BQ1885"/>
  <c r="BQ1884"/>
  <c r="BQ1883"/>
  <c r="BQ1882"/>
  <c r="BQ1881"/>
  <c r="BQ1880"/>
  <c r="BQ1879"/>
  <c r="BQ1878"/>
  <c r="BQ1877"/>
  <c r="BQ1876"/>
  <c r="BQ1875"/>
  <c r="BQ1874"/>
  <c r="BQ1873"/>
  <c r="BQ1872"/>
  <c r="BQ1871"/>
  <c r="BQ1870"/>
  <c r="BQ1869"/>
  <c r="BQ1868"/>
  <c r="BQ1867"/>
  <c r="BQ1866"/>
  <c r="BQ1865"/>
  <c r="BQ1864"/>
  <c r="BQ1863"/>
  <c r="BQ1862"/>
  <c r="BQ1861"/>
  <c r="BQ1860"/>
  <c r="BQ1859"/>
  <c r="BQ1858"/>
  <c r="BP1847"/>
  <c r="BN1846"/>
  <c r="BP1844"/>
  <c r="BN1843"/>
  <c r="BO1842"/>
  <c r="BO1841"/>
  <c r="BO1840"/>
  <c r="BO1839"/>
  <c r="BQ1838"/>
  <c r="BQ1837"/>
  <c r="BQ1836"/>
  <c r="BQ1835"/>
  <c r="BQ1834"/>
  <c r="BQ1833"/>
  <c r="BQ1832"/>
  <c r="BQ1831"/>
  <c r="BQ1830"/>
  <c r="BQ1829"/>
  <c r="BQ1828"/>
  <c r="BQ1827"/>
  <c r="BQ1826"/>
  <c r="BQ1825"/>
  <c r="BQ1824"/>
  <c r="BQ1823"/>
  <c r="BQ1822"/>
  <c r="BQ1821"/>
  <c r="BQ1820"/>
  <c r="BQ1819"/>
  <c r="BQ1818"/>
  <c r="BQ1817"/>
  <c r="BQ1816"/>
  <c r="BQ1815"/>
  <c r="BQ1814"/>
  <c r="BQ1813"/>
  <c r="BQ1812"/>
  <c r="BQ1811"/>
  <c r="BQ1810"/>
  <c r="BQ1809"/>
  <c r="BQ1808"/>
  <c r="BQ1807"/>
  <c r="BQ1806"/>
  <c r="BQ1805"/>
  <c r="BQ1804"/>
  <c r="BQ1803"/>
  <c r="BQ1802"/>
  <c r="BQ1801"/>
  <c r="BQ1800"/>
  <c r="BQ1782"/>
  <c r="BQ1781"/>
  <c r="BO1780"/>
  <c r="BO1779"/>
  <c r="BO1778"/>
  <c r="BO1777"/>
  <c r="BO1776"/>
  <c r="BO1775"/>
  <c r="BO1774"/>
  <c r="BO1773"/>
  <c r="BO1772"/>
  <c r="BO1771"/>
  <c r="BO1770"/>
  <c r="BO1769"/>
  <c r="BO1768"/>
  <c r="BO1767"/>
  <c r="BO1766"/>
  <c r="BO1765"/>
  <c r="BO1764"/>
  <c r="BO1763"/>
  <c r="BO1762"/>
  <c r="BO1761"/>
  <c r="BO1760"/>
  <c r="BO1759"/>
  <c r="BO1758"/>
  <c r="BO1757"/>
  <c r="BO1756"/>
  <c r="BO1755"/>
  <c r="BO1754"/>
  <c r="BO1753"/>
  <c r="BO1752"/>
  <c r="BO1751"/>
  <c r="BO1750"/>
  <c r="BO1749"/>
  <c r="BO1748"/>
  <c r="BO1747"/>
  <c r="BO1746"/>
  <c r="BO1745"/>
  <c r="BO1744"/>
  <c r="BO1743"/>
  <c r="BO1742"/>
  <c r="BQ1724"/>
  <c r="BQ1723"/>
  <c r="BO1722"/>
  <c r="BQ1721"/>
  <c r="BO1720"/>
  <c r="BQ1719"/>
  <c r="BQ1718"/>
  <c r="BQ1717"/>
  <c r="BQ1716"/>
  <c r="BQ1715"/>
  <c r="BO1714"/>
  <c r="BO1713"/>
  <c r="BO1712"/>
  <c r="BO1711"/>
  <c r="BO1710"/>
  <c r="BO1709"/>
  <c r="BO1708"/>
  <c r="BO1707"/>
  <c r="BO1706"/>
  <c r="BO1705"/>
  <c r="BO1704"/>
  <c r="BO1703"/>
  <c r="BO1702"/>
  <c r="BO1701"/>
  <c r="BO1700"/>
  <c r="BO1699"/>
  <c r="BO1698"/>
  <c r="BO1697"/>
  <c r="BO1696"/>
  <c r="BO1695"/>
  <c r="BO1694"/>
  <c r="BO1693"/>
  <c r="BO1692"/>
  <c r="BO1691"/>
  <c r="BO1690"/>
  <c r="BO1689"/>
  <c r="BO1688"/>
  <c r="BO1687"/>
  <c r="BO1686"/>
  <c r="BO1685"/>
  <c r="BO1684"/>
  <c r="BN1673"/>
  <c r="BN1672"/>
  <c r="BN1671"/>
  <c r="BN1670"/>
  <c r="BN1669"/>
  <c r="BO1668"/>
  <c r="BO1667"/>
  <c r="BO1666"/>
  <c r="BO1665"/>
  <c r="BQ1663"/>
  <c r="BQ1662"/>
  <c r="BQ1661"/>
  <c r="BQ1660"/>
  <c r="BQ1659"/>
  <c r="BQ1658"/>
  <c r="BO1657"/>
  <c r="BO1656"/>
  <c r="BO1655"/>
  <c r="BO1654"/>
  <c r="BO1653"/>
  <c r="BO1652"/>
  <c r="BO1651"/>
  <c r="BO1650"/>
  <c r="BO1649"/>
  <c r="BO1648"/>
  <c r="BO1647"/>
  <c r="BO1646"/>
  <c r="BO1645"/>
  <c r="BO1644"/>
  <c r="BO1643"/>
  <c r="BO1642"/>
  <c r="BO1641"/>
  <c r="BO1640"/>
  <c r="BO1639"/>
  <c r="BO1638"/>
  <c r="BO1637"/>
  <c r="BO1636"/>
  <c r="BO1635"/>
  <c r="BO1634"/>
  <c r="BO1633"/>
  <c r="BO1632"/>
  <c r="BO1631"/>
  <c r="BO1630"/>
  <c r="BO1629"/>
  <c r="BO1628"/>
  <c r="BO1627"/>
  <c r="BO1626"/>
  <c r="BP1613"/>
  <c r="BN1612"/>
  <c r="BP1611"/>
  <c r="BO1610"/>
  <c r="BO1609"/>
  <c r="BO1608"/>
  <c r="BO1607"/>
  <c r="BQ1606"/>
  <c r="BQ1605"/>
  <c r="BQ1604"/>
  <c r="BQ1603"/>
  <c r="BQ1602"/>
  <c r="BQ1601"/>
  <c r="BQ1600"/>
  <c r="BQ1599"/>
  <c r="BQ1598"/>
  <c r="BQ1597"/>
  <c r="BQ1596"/>
  <c r="BQ1595"/>
  <c r="BQ1594"/>
  <c r="BQ1593"/>
  <c r="BQ1592"/>
  <c r="BQ1591"/>
  <c r="BQ1590"/>
  <c r="BQ1589"/>
  <c r="BQ1588"/>
  <c r="BQ1587"/>
  <c r="BQ1586"/>
  <c r="BQ1585"/>
  <c r="BQ1584"/>
  <c r="BQ1583"/>
  <c r="BQ1582"/>
  <c r="BQ1581"/>
  <c r="BQ1580"/>
  <c r="BQ1579"/>
  <c r="BQ1578"/>
  <c r="BQ1577"/>
  <c r="BQ1576"/>
  <c r="BQ1575"/>
  <c r="BQ1574"/>
  <c r="BQ1573"/>
  <c r="BQ1572"/>
  <c r="BQ1571"/>
  <c r="BQ1570"/>
  <c r="BQ1569"/>
  <c r="BQ1568"/>
  <c r="BP1557"/>
  <c r="BP1556"/>
  <c r="BQ1555"/>
  <c r="BP1553"/>
  <c r="BO1552"/>
  <c r="BO1551"/>
  <c r="BO1550"/>
  <c r="BO1549"/>
  <c r="BQ1548"/>
  <c r="BQ1547"/>
  <c r="BQ1546"/>
  <c r="BQ1545"/>
  <c r="BQ1544"/>
  <c r="BQ1543"/>
  <c r="BQ1542"/>
  <c r="BQ1541"/>
  <c r="BQ1540"/>
  <c r="BQ1539"/>
  <c r="BQ1538"/>
  <c r="BQ1537"/>
  <c r="BQ1536"/>
  <c r="BQ1535"/>
  <c r="BQ1534"/>
  <c r="BQ1533"/>
  <c r="BQ1532"/>
  <c r="BQ1531"/>
  <c r="BQ1530"/>
  <c r="BQ1529"/>
  <c r="BQ1528"/>
  <c r="BQ1527"/>
  <c r="BQ1526"/>
  <c r="BQ1525"/>
  <c r="BQ1524"/>
  <c r="BQ1523"/>
  <c r="BQ1522"/>
  <c r="BQ1521"/>
  <c r="BQ1520"/>
  <c r="BQ1519"/>
  <c r="BQ1518"/>
  <c r="BQ1517"/>
  <c r="BQ1516"/>
  <c r="BQ1515"/>
  <c r="BQ1514"/>
  <c r="BQ1513"/>
  <c r="BQ1512"/>
  <c r="BQ1511"/>
  <c r="BQ1510"/>
  <c r="BQ1494"/>
  <c r="BQ1493"/>
  <c r="BQ1492"/>
  <c r="BQ1491"/>
  <c r="BO1490"/>
  <c r="BO1489"/>
  <c r="BO1488"/>
  <c r="BO1487"/>
  <c r="BO1486"/>
  <c r="BO1485"/>
  <c r="BO1484"/>
  <c r="BO1483"/>
  <c r="BO1482"/>
  <c r="BO1481"/>
  <c r="BO1480"/>
  <c r="BO1479"/>
  <c r="BO1478"/>
  <c r="BO1477"/>
  <c r="BO1476"/>
  <c r="BO1475"/>
  <c r="BO1474"/>
  <c r="BO1473"/>
  <c r="BO1472"/>
  <c r="BO1471"/>
  <c r="BO1470"/>
  <c r="BO1469"/>
  <c r="BO1468"/>
  <c r="BO1467"/>
  <c r="BO1466"/>
  <c r="BO1465"/>
  <c r="BO1464"/>
  <c r="BO1463"/>
  <c r="BO1462"/>
  <c r="BO1461"/>
  <c r="BO1460"/>
  <c r="BO1459"/>
  <c r="BO1458"/>
  <c r="BO1457"/>
  <c r="BO1456"/>
  <c r="BO1455"/>
  <c r="BO1454"/>
  <c r="BO1453"/>
  <c r="BO1452"/>
  <c r="BQ1433"/>
  <c r="BO1432"/>
  <c r="BO1431"/>
  <c r="BO1430"/>
  <c r="BO1429"/>
  <c r="BO1428"/>
  <c r="BO1427"/>
  <c r="BO1426"/>
  <c r="BO1425"/>
  <c r="BO1424"/>
  <c r="BO1423"/>
  <c r="BO1422"/>
  <c r="BO1421"/>
  <c r="BO1420"/>
  <c r="BO1419"/>
  <c r="BO1418"/>
  <c r="BO1417"/>
  <c r="BO1416"/>
  <c r="BO1415"/>
  <c r="BO1414"/>
  <c r="BO1413"/>
  <c r="BO1412"/>
  <c r="BO1411"/>
  <c r="BO1410"/>
  <c r="BO1409"/>
  <c r="BO1408"/>
  <c r="BO1407"/>
  <c r="BO1406"/>
  <c r="BO1405"/>
  <c r="BO1404"/>
  <c r="BO1403"/>
  <c r="BO1402"/>
  <c r="BO1401"/>
  <c r="BO1400"/>
  <c r="BO1399"/>
  <c r="BO1398"/>
  <c r="BO1397"/>
  <c r="BO1396"/>
  <c r="BO1395"/>
  <c r="BO1394"/>
  <c r="BP1383"/>
  <c r="BP1382"/>
  <c r="BN1381"/>
  <c r="BP1380"/>
  <c r="BN1379"/>
  <c r="BQ1378"/>
  <c r="BQ1377"/>
  <c r="BQ1376"/>
  <c r="BQ1375"/>
  <c r="BO1374"/>
  <c r="BO1373"/>
  <c r="BO1372"/>
  <c r="BO1371"/>
  <c r="BO1370"/>
  <c r="BO1369"/>
  <c r="BO1368"/>
  <c r="BO1367"/>
  <c r="BO1366"/>
  <c r="BO1365"/>
  <c r="BO1364"/>
  <c r="BO1363"/>
  <c r="BO1362"/>
  <c r="BO1361"/>
  <c r="BO1360"/>
  <c r="BO1359"/>
  <c r="BO1358"/>
  <c r="BO1357"/>
  <c r="BO1356"/>
  <c r="BO1355"/>
  <c r="BO1354"/>
  <c r="BO1353"/>
  <c r="BO1352"/>
  <c r="BO1351"/>
  <c r="BO1350"/>
  <c r="BO1349"/>
  <c r="BO1348"/>
  <c r="BO1347"/>
  <c r="BO1346"/>
  <c r="BO1345"/>
  <c r="BO1344"/>
  <c r="BO1343"/>
  <c r="BO1342"/>
  <c r="BO1341"/>
  <c r="BO1340"/>
  <c r="BO1339"/>
  <c r="BO1338"/>
  <c r="BO1337"/>
  <c r="BO1336"/>
  <c r="BO1318"/>
  <c r="BO1317"/>
  <c r="BQ1315"/>
  <c r="BQ1314"/>
  <c r="BQ1313"/>
  <c r="BQ1312"/>
  <c r="BQ1311"/>
  <c r="BQ1310"/>
  <c r="BQ1309"/>
  <c r="BQ1308"/>
  <c r="BQ1307"/>
  <c r="BQ1306"/>
  <c r="BQ1305"/>
  <c r="BQ1304"/>
  <c r="BQ1303"/>
  <c r="BQ1302"/>
  <c r="BQ1301"/>
  <c r="BQ1300"/>
  <c r="BQ1299"/>
  <c r="BQ1298"/>
  <c r="BQ1297"/>
  <c r="BQ1296"/>
  <c r="BQ1295"/>
  <c r="BQ1294"/>
  <c r="BQ1293"/>
  <c r="BQ1292"/>
  <c r="BQ1291"/>
  <c r="BQ1290"/>
  <c r="BQ1289"/>
  <c r="BQ1288"/>
  <c r="BQ1287"/>
  <c r="BQ1286"/>
  <c r="BQ1285"/>
  <c r="BQ1284"/>
  <c r="BQ1283"/>
  <c r="BQ1282"/>
  <c r="BQ1281"/>
  <c r="BQ1280"/>
  <c r="BQ1279"/>
  <c r="BQ1278"/>
  <c r="BP1266"/>
  <c r="BO1260"/>
  <c r="BO1259"/>
  <c r="BQ1257"/>
  <c r="BQ1256"/>
  <c r="BQ1255"/>
  <c r="BQ1254"/>
  <c r="BQ1253"/>
  <c r="BQ1252"/>
  <c r="BQ1251"/>
  <c r="BQ1250"/>
  <c r="BQ1249"/>
  <c r="BQ1248"/>
  <c r="BQ1247"/>
  <c r="BQ1246"/>
  <c r="BQ1245"/>
  <c r="BQ1244"/>
  <c r="BQ1243"/>
  <c r="BQ1242"/>
  <c r="BQ1241"/>
  <c r="BQ1240"/>
  <c r="BQ1239"/>
  <c r="BQ1238"/>
  <c r="BQ1237"/>
  <c r="BQ1236"/>
  <c r="BQ1235"/>
  <c r="BQ1234"/>
  <c r="BQ1233"/>
  <c r="BQ1232"/>
  <c r="BQ1231"/>
  <c r="BQ1230"/>
  <c r="BQ1229"/>
  <c r="BQ1228"/>
  <c r="BQ1227"/>
  <c r="BQ1226"/>
  <c r="BQ1225"/>
  <c r="BQ1224"/>
  <c r="BQ1223"/>
  <c r="BQ1222"/>
  <c r="BQ1221"/>
  <c r="BQ1220"/>
  <c r="BP1209"/>
  <c r="BQ1208"/>
  <c r="BP1207"/>
  <c r="BP1205"/>
  <c r="BO1204"/>
  <c r="BQ1203"/>
  <c r="BQ1202"/>
  <c r="BO1201"/>
  <c r="BO1199"/>
  <c r="BO1198"/>
  <c r="BO1197"/>
  <c r="BO1196"/>
  <c r="BO1195"/>
  <c r="BO1194"/>
  <c r="BO1193"/>
  <c r="BO1192"/>
  <c r="BO1191"/>
  <c r="BO1190"/>
  <c r="BO1189"/>
  <c r="BO1188"/>
  <c r="BO1187"/>
  <c r="BO1186"/>
  <c r="BO1185"/>
  <c r="BO1184"/>
  <c r="BO1183"/>
  <c r="BO1182"/>
  <c r="BO1181"/>
  <c r="BO1180"/>
  <c r="BO1179"/>
  <c r="BO1178"/>
  <c r="BO1177"/>
  <c r="BO1176"/>
  <c r="BO1175"/>
  <c r="BO1174"/>
  <c r="BO1173"/>
  <c r="BO1172"/>
  <c r="BO1171"/>
  <c r="BO1170"/>
  <c r="BO1169"/>
  <c r="BO1168"/>
  <c r="BO1167"/>
  <c r="BO1166"/>
  <c r="BO1165"/>
  <c r="BO1164"/>
  <c r="BO1163"/>
  <c r="BO1162"/>
  <c r="BO1144"/>
  <c r="BO1143"/>
  <c r="BQ1141"/>
  <c r="BQ1140"/>
  <c r="BQ1139"/>
  <c r="BQ1138"/>
  <c r="BQ1137"/>
  <c r="BQ1136"/>
  <c r="BQ1135"/>
  <c r="BQ1134"/>
  <c r="BQ1133"/>
  <c r="BQ1132"/>
  <c r="BQ1131"/>
  <c r="BQ1130"/>
  <c r="BQ1129"/>
  <c r="BQ1128"/>
  <c r="BQ1127"/>
  <c r="BQ1126"/>
  <c r="BQ1125"/>
  <c r="BQ1124"/>
  <c r="BQ1123"/>
  <c r="BQ1122"/>
  <c r="BQ1121"/>
  <c r="BQ1120"/>
  <c r="BQ1119"/>
  <c r="BQ1118"/>
  <c r="BQ1117"/>
  <c r="BQ1116"/>
  <c r="BQ1115"/>
  <c r="BQ1114"/>
  <c r="BQ1113"/>
  <c r="BQ1112"/>
  <c r="BQ1111"/>
  <c r="BQ1110"/>
  <c r="BQ1109"/>
  <c r="BQ1108"/>
  <c r="BQ1107"/>
  <c r="BQ1106"/>
  <c r="BQ1105"/>
  <c r="BQ1104"/>
  <c r="BQ1087"/>
  <c r="BQ1086"/>
  <c r="BQ1085"/>
  <c r="BO1084"/>
  <c r="BO1083"/>
  <c r="BO1082"/>
  <c r="BO1081"/>
  <c r="BO1080"/>
  <c r="BO1079"/>
  <c r="BO1078"/>
  <c r="BO1077"/>
  <c r="BO1076"/>
  <c r="BO1075"/>
  <c r="BO1074"/>
  <c r="BO1073"/>
  <c r="BO1072"/>
  <c r="BO1071"/>
  <c r="BO1070"/>
  <c r="BO1069"/>
  <c r="BO1068"/>
  <c r="BO1067"/>
  <c r="BO1066"/>
  <c r="BO1065"/>
  <c r="BO1064"/>
  <c r="BO1063"/>
  <c r="BO1062"/>
  <c r="BO1061"/>
  <c r="BO1060"/>
  <c r="BO1059"/>
  <c r="BO1058"/>
  <c r="BO1057"/>
  <c r="BO1056"/>
  <c r="BO1055"/>
  <c r="BO1054"/>
  <c r="BO1053"/>
  <c r="BO1052"/>
  <c r="BO1051"/>
  <c r="BO1050"/>
  <c r="BO1049"/>
  <c r="BN1035"/>
  <c r="BP1034"/>
  <c r="BN1033"/>
  <c r="BP1032"/>
  <c r="BP1031"/>
  <c r="BO1030"/>
  <c r="BO1029"/>
  <c r="BQ1028"/>
  <c r="BQ1027"/>
  <c r="BO1026"/>
  <c r="BO1025"/>
  <c r="BO1024"/>
  <c r="BO1023"/>
  <c r="BO1022"/>
  <c r="BO1021"/>
  <c r="BO1020"/>
  <c r="BO1019"/>
  <c r="BO1018"/>
  <c r="BO1017"/>
  <c r="BO1016"/>
  <c r="BO1015"/>
  <c r="BO1014"/>
  <c r="BO1013"/>
  <c r="BO1012"/>
  <c r="BO1011"/>
  <c r="BO1010"/>
  <c r="BO1009"/>
  <c r="BO1008"/>
  <c r="BO1007"/>
  <c r="BO1006"/>
  <c r="BO1005"/>
  <c r="BO1004"/>
  <c r="BO1003"/>
  <c r="BO1002"/>
  <c r="BO1001"/>
  <c r="BO1000"/>
  <c r="BO999"/>
  <c r="BO998"/>
  <c r="BO997"/>
  <c r="BO996"/>
  <c r="BO995"/>
  <c r="BO994"/>
  <c r="BO993"/>
  <c r="BO992"/>
  <c r="BO991"/>
  <c r="BO990"/>
  <c r="BO989"/>
  <c r="BO988"/>
  <c r="BP975"/>
  <c r="BN974"/>
  <c r="BP973"/>
  <c r="BO972"/>
  <c r="BQ971"/>
  <c r="BO970"/>
  <c r="BO969"/>
  <c r="BQ967"/>
  <c r="BQ966"/>
  <c r="BQ965"/>
  <c r="BQ964"/>
  <c r="BQ963"/>
  <c r="BQ962"/>
  <c r="BQ961"/>
  <c r="BQ960"/>
  <c r="BQ959"/>
  <c r="BQ958"/>
  <c r="BQ957"/>
  <c r="BQ956"/>
  <c r="BQ955"/>
  <c r="BQ954"/>
  <c r="BQ953"/>
  <c r="BQ952"/>
  <c r="BQ951"/>
  <c r="BQ950"/>
  <c r="BQ949"/>
  <c r="BQ948"/>
  <c r="BQ947"/>
  <c r="BQ946"/>
  <c r="BQ945"/>
  <c r="BQ944"/>
  <c r="BQ943"/>
  <c r="BQ942"/>
  <c r="BQ941"/>
  <c r="BQ940"/>
  <c r="BQ939"/>
  <c r="BQ938"/>
  <c r="BQ937"/>
  <c r="BQ936"/>
  <c r="BQ935"/>
  <c r="BQ934"/>
  <c r="BQ933"/>
  <c r="BQ932"/>
  <c r="BQ931"/>
  <c r="BQ930"/>
  <c r="BN919"/>
  <c r="BP916"/>
  <c r="BP915"/>
  <c r="BP914"/>
  <c r="BQ913"/>
  <c r="BQ912"/>
  <c r="BO911"/>
  <c r="BQ909"/>
  <c r="BQ908"/>
  <c r="BQ907"/>
  <c r="BQ906"/>
  <c r="BQ905"/>
  <c r="BQ904"/>
  <c r="BQ903"/>
  <c r="BQ902"/>
  <c r="BQ901"/>
  <c r="BQ900"/>
  <c r="BQ899"/>
  <c r="BQ898"/>
  <c r="BQ897"/>
  <c r="BQ896"/>
  <c r="BQ895"/>
  <c r="BQ894"/>
  <c r="BQ893"/>
  <c r="BQ892"/>
  <c r="BQ891"/>
  <c r="BQ890"/>
  <c r="BQ889"/>
  <c r="BQ888"/>
  <c r="BQ887"/>
  <c r="BQ886"/>
  <c r="BQ885"/>
  <c r="BQ884"/>
  <c r="BQ883"/>
  <c r="BQ882"/>
  <c r="BQ881"/>
  <c r="BQ880"/>
  <c r="BQ879"/>
  <c r="BQ878"/>
  <c r="BQ877"/>
  <c r="BQ876"/>
  <c r="BQ875"/>
  <c r="BQ874"/>
  <c r="BQ873"/>
  <c r="BQ872"/>
  <c r="BP861"/>
  <c r="BN859"/>
  <c r="BN857"/>
  <c r="BQ856"/>
  <c r="BO855"/>
  <c r="BQ854"/>
  <c r="BQ853"/>
  <c r="BO852"/>
  <c r="BO851"/>
  <c r="BO850"/>
  <c r="BO849"/>
  <c r="BO848"/>
  <c r="BO847"/>
  <c r="BO846"/>
  <c r="BO845"/>
  <c r="BO844"/>
  <c r="BO843"/>
  <c r="BO842"/>
  <c r="BO841"/>
  <c r="BO840"/>
  <c r="BO839"/>
  <c r="BO838"/>
  <c r="BO837"/>
  <c r="BO836"/>
  <c r="BO835"/>
  <c r="BO834"/>
  <c r="BO833"/>
  <c r="BO832"/>
  <c r="BO831"/>
  <c r="BO830"/>
  <c r="BO829"/>
  <c r="BO828"/>
  <c r="BO827"/>
  <c r="BO826"/>
  <c r="BO825"/>
  <c r="BO824"/>
  <c r="BO823"/>
  <c r="BO822"/>
  <c r="BO821"/>
  <c r="BO820"/>
  <c r="BO819"/>
  <c r="BO818"/>
  <c r="BO817"/>
  <c r="BO816"/>
  <c r="BO815"/>
  <c r="BO814"/>
  <c r="BN803"/>
  <c r="BN802"/>
  <c r="BN801"/>
  <c r="BN800"/>
  <c r="BO799"/>
  <c r="BN799"/>
  <c r="BO798"/>
  <c r="BO797"/>
  <c r="BO796"/>
  <c r="BO795"/>
  <c r="BQ793"/>
  <c r="BQ792"/>
  <c r="BQ791"/>
  <c r="BQ790"/>
  <c r="BQ789"/>
  <c r="BQ788"/>
  <c r="BQ787"/>
  <c r="BQ786"/>
  <c r="BQ785"/>
  <c r="BQ784"/>
  <c r="BQ783"/>
  <c r="BQ782"/>
  <c r="BQ781"/>
  <c r="BO780"/>
  <c r="BO779"/>
  <c r="BO778"/>
  <c r="BO777"/>
  <c r="BO776"/>
  <c r="BO775"/>
  <c r="BO774"/>
  <c r="BO773"/>
  <c r="BO772"/>
  <c r="BO771"/>
  <c r="BO770"/>
  <c r="BO769"/>
  <c r="BO768"/>
  <c r="BO767"/>
  <c r="BO766"/>
  <c r="BO765"/>
  <c r="BO764"/>
  <c r="BO763"/>
  <c r="BO762"/>
  <c r="BO761"/>
  <c r="BO760"/>
  <c r="BO759"/>
  <c r="BO758"/>
  <c r="BO757"/>
  <c r="BO756"/>
  <c r="BN742"/>
  <c r="BN741"/>
  <c r="BQ740"/>
  <c r="BQ739"/>
  <c r="BQ738"/>
  <c r="BQ737"/>
  <c r="BO736"/>
  <c r="BO735"/>
  <c r="BO734"/>
  <c r="BO733"/>
  <c r="BO732"/>
  <c r="BO731"/>
  <c r="BO730"/>
  <c r="BO729"/>
  <c r="BO728"/>
  <c r="BO727"/>
  <c r="BO726"/>
  <c r="BO725"/>
  <c r="BO724"/>
  <c r="BO723"/>
  <c r="BO722"/>
  <c r="BO721"/>
  <c r="BO720"/>
  <c r="BO719"/>
  <c r="BO718"/>
  <c r="BO717"/>
  <c r="BO716"/>
  <c r="BO715"/>
  <c r="BO714"/>
  <c r="BO713"/>
  <c r="BO712"/>
  <c r="BO711"/>
  <c r="BO710"/>
  <c r="BO709"/>
  <c r="BO708"/>
  <c r="BO707"/>
  <c r="BO706"/>
  <c r="BO705"/>
  <c r="BO704"/>
  <c r="BO703"/>
  <c r="BO702"/>
  <c r="BO701"/>
  <c r="BO700"/>
  <c r="BO699"/>
  <c r="BO698"/>
  <c r="BN685"/>
  <c r="BQ682"/>
  <c r="BQ681"/>
  <c r="BQ680"/>
  <c r="BQ679"/>
  <c r="BO678"/>
  <c r="BO677"/>
  <c r="BO676"/>
  <c r="BO675"/>
  <c r="BO674"/>
  <c r="BO673"/>
  <c r="BO672"/>
  <c r="BO671"/>
  <c r="BO670"/>
  <c r="BO669"/>
  <c r="BO668"/>
  <c r="BO667"/>
  <c r="BO666"/>
  <c r="BO665"/>
  <c r="BO664"/>
  <c r="BO663"/>
  <c r="BO662"/>
  <c r="BO661"/>
  <c r="BO660"/>
  <c r="BO659"/>
  <c r="BO658"/>
  <c r="BO657"/>
  <c r="BO656"/>
  <c r="BO655"/>
  <c r="BO654"/>
  <c r="BO653"/>
  <c r="BO652"/>
  <c r="BO651"/>
  <c r="BO650"/>
  <c r="BO649"/>
  <c r="BO648"/>
  <c r="BO647"/>
  <c r="BO646"/>
  <c r="BO645"/>
  <c r="BO644"/>
  <c r="BO643"/>
  <c r="BO642"/>
  <c r="BO641"/>
  <c r="BO640"/>
  <c r="BN626"/>
  <c r="BQ625"/>
  <c r="BQ624"/>
  <c r="BQ623"/>
  <c r="BO622"/>
  <c r="BQ621"/>
  <c r="BO620"/>
  <c r="BQ619"/>
  <c r="BO618"/>
  <c r="BQ617"/>
  <c r="BQ616"/>
  <c r="BQ615"/>
  <c r="BQ614"/>
  <c r="BQ613"/>
  <c r="BQ612"/>
  <c r="BQ611"/>
  <c r="BQ610"/>
  <c r="BQ609"/>
  <c r="BQ608"/>
  <c r="BQ607"/>
  <c r="BQ606"/>
  <c r="BQ605"/>
  <c r="BQ604"/>
  <c r="BQ603"/>
  <c r="BQ602"/>
  <c r="BQ601"/>
  <c r="BQ600"/>
  <c r="BQ599"/>
  <c r="BQ598"/>
  <c r="BQ597"/>
  <c r="BQ596"/>
  <c r="BQ595"/>
  <c r="BQ594"/>
  <c r="BQ593"/>
  <c r="BQ592"/>
  <c r="BQ591"/>
  <c r="BQ590"/>
  <c r="BQ589"/>
  <c r="BQ588"/>
  <c r="BQ587"/>
  <c r="BQ586"/>
  <c r="BQ585"/>
  <c r="BQ584"/>
  <c r="BQ583"/>
  <c r="BQ582"/>
  <c r="BP571"/>
  <c r="BN570"/>
  <c r="BP569"/>
  <c r="BP568"/>
  <c r="BN567"/>
  <c r="BO566"/>
  <c r="BO565"/>
  <c r="BO564"/>
  <c r="BO563"/>
  <c r="BQ562"/>
  <c r="BQ561"/>
  <c r="BQ560"/>
  <c r="BQ559"/>
  <c r="BQ558"/>
  <c r="BQ557"/>
  <c r="BQ556"/>
  <c r="BQ555"/>
  <c r="BQ554"/>
  <c r="BQ553"/>
  <c r="BQ552"/>
  <c r="BQ551"/>
  <c r="BQ550"/>
  <c r="BQ549"/>
  <c r="BQ548"/>
  <c r="BQ547"/>
  <c r="BQ546"/>
  <c r="BQ545"/>
  <c r="BQ544"/>
  <c r="BQ543"/>
  <c r="BQ542"/>
  <c r="BQ541"/>
  <c r="BQ540"/>
  <c r="BQ539"/>
  <c r="BQ538"/>
  <c r="BQ537"/>
  <c r="BQ536"/>
  <c r="BQ535"/>
  <c r="BQ534"/>
  <c r="BQ533"/>
  <c r="BQ532"/>
  <c r="BQ531"/>
  <c r="BQ530"/>
  <c r="BQ529"/>
  <c r="BQ528"/>
  <c r="BQ527"/>
  <c r="BQ526"/>
  <c r="BQ525"/>
  <c r="BQ524"/>
  <c r="BQ508"/>
  <c r="BQ507"/>
  <c r="BQ506"/>
  <c r="BQ505"/>
  <c r="BO504"/>
  <c r="BO503"/>
  <c r="BO502"/>
  <c r="BQ501"/>
  <c r="BQ500"/>
  <c r="BQ499"/>
  <c r="BQ498"/>
  <c r="BQ497"/>
  <c r="BQ496"/>
  <c r="BQ495"/>
  <c r="BQ494"/>
  <c r="BQ493"/>
  <c r="BQ492"/>
  <c r="BQ491"/>
  <c r="BQ490"/>
  <c r="BQ489"/>
  <c r="BQ488"/>
  <c r="BQ487"/>
  <c r="BQ486"/>
  <c r="BQ485"/>
  <c r="BQ484"/>
  <c r="BQ483"/>
  <c r="BQ482"/>
  <c r="BQ481"/>
  <c r="BQ480"/>
  <c r="BQ479"/>
  <c r="BQ478"/>
  <c r="BQ477"/>
  <c r="BQ476"/>
  <c r="BQ475"/>
  <c r="BQ474"/>
  <c r="BQ473"/>
  <c r="BQ472"/>
  <c r="BQ471"/>
  <c r="BQ470"/>
  <c r="BQ469"/>
  <c r="BQ468"/>
  <c r="BQ467"/>
  <c r="BQ466"/>
  <c r="BN455"/>
  <c r="BN454"/>
  <c r="BO453"/>
  <c r="BN453"/>
  <c r="BN452"/>
  <c r="BP451"/>
  <c r="BO450"/>
  <c r="BQ449"/>
  <c r="BO448"/>
  <c r="BO447"/>
  <c r="BQ445"/>
  <c r="BQ444"/>
  <c r="BQ443"/>
  <c r="BQ442"/>
  <c r="BQ441"/>
  <c r="BQ440"/>
  <c r="BQ439"/>
  <c r="BQ438"/>
  <c r="BQ437"/>
  <c r="BQ436"/>
  <c r="BQ435"/>
  <c r="BQ434"/>
  <c r="BQ433"/>
  <c r="BQ432"/>
  <c r="BQ431"/>
  <c r="BQ430"/>
  <c r="BQ429"/>
  <c r="BQ428"/>
  <c r="BQ427"/>
  <c r="BQ426"/>
  <c r="BQ425"/>
  <c r="BQ424"/>
  <c r="BQ423"/>
  <c r="BQ422"/>
  <c r="BQ421"/>
  <c r="BQ420"/>
  <c r="BQ419"/>
  <c r="BQ418"/>
  <c r="BQ417"/>
  <c r="BQ416"/>
  <c r="BQ415"/>
  <c r="BQ414"/>
  <c r="BQ413"/>
  <c r="BQ412"/>
  <c r="BQ411"/>
  <c r="BQ410"/>
  <c r="BQ409"/>
  <c r="BQ408"/>
  <c r="BP397"/>
  <c r="BN396"/>
  <c r="BP395"/>
  <c r="BP394"/>
  <c r="BP393"/>
  <c r="BO392"/>
  <c r="BO391"/>
  <c r="BO390"/>
  <c r="BO389"/>
  <c r="BQ388"/>
  <c r="BQ387"/>
  <c r="BQ386"/>
  <c r="BQ385"/>
  <c r="BQ384"/>
  <c r="BQ383"/>
  <c r="BQ382"/>
  <c r="BQ381"/>
  <c r="BQ380"/>
  <c r="BQ379"/>
  <c r="BQ378"/>
  <c r="BQ377"/>
  <c r="BQ376"/>
  <c r="BQ375"/>
  <c r="BQ374"/>
  <c r="BQ373"/>
  <c r="BQ372"/>
  <c r="BQ371"/>
  <c r="BQ370"/>
  <c r="BQ369"/>
  <c r="BQ368"/>
  <c r="BQ367"/>
  <c r="BQ366"/>
  <c r="BQ365"/>
  <c r="BQ364"/>
  <c r="BQ363"/>
  <c r="BQ362"/>
  <c r="BQ361"/>
  <c r="BQ360"/>
  <c r="BQ359"/>
  <c r="BQ358"/>
  <c r="BQ357"/>
  <c r="BQ356"/>
  <c r="BQ355"/>
  <c r="BQ354"/>
  <c r="BQ353"/>
  <c r="BQ352"/>
  <c r="BQ351"/>
  <c r="BQ350"/>
  <c r="BQ334"/>
  <c r="BQ333"/>
  <c r="BQ332"/>
  <c r="BQ331"/>
  <c r="BO330"/>
  <c r="BO329"/>
  <c r="BO328"/>
  <c r="BO327"/>
  <c r="BO326"/>
  <c r="BO325"/>
  <c r="BO324"/>
  <c r="BO323"/>
  <c r="BO322"/>
  <c r="BO321"/>
  <c r="BO320"/>
  <c r="BO319"/>
  <c r="BO318"/>
  <c r="BO317"/>
  <c r="BO316"/>
  <c r="BO315"/>
  <c r="BO314"/>
  <c r="BO313"/>
  <c r="BO312"/>
  <c r="BO311"/>
  <c r="BO310"/>
  <c r="BO309"/>
  <c r="BO308"/>
  <c r="BO307"/>
  <c r="BO306"/>
  <c r="BO305"/>
  <c r="BO304"/>
  <c r="BO303"/>
  <c r="BO302"/>
  <c r="BO301"/>
  <c r="BO300"/>
  <c r="BO299"/>
  <c r="BO298"/>
  <c r="BO297"/>
  <c r="BO296"/>
  <c r="BO295"/>
  <c r="BO294"/>
  <c r="BO293"/>
  <c r="BO292"/>
  <c r="BN281"/>
  <c r="BN278"/>
  <c r="BN277"/>
  <c r="BO276"/>
  <c r="BO275"/>
  <c r="BO274"/>
  <c r="BO273"/>
  <c r="BQ271"/>
  <c r="BQ270"/>
  <c r="BQ269"/>
  <c r="BQ268"/>
  <c r="BQ267"/>
  <c r="BQ266"/>
  <c r="BQ265"/>
  <c r="BQ264"/>
  <c r="BQ263"/>
  <c r="BQ262"/>
  <c r="BQ261"/>
  <c r="BQ260"/>
  <c r="BQ259"/>
  <c r="BQ258"/>
  <c r="BQ257"/>
  <c r="BQ256"/>
  <c r="BQ255"/>
  <c r="BQ254"/>
  <c r="BQ253"/>
  <c r="BQ252"/>
  <c r="BQ251"/>
  <c r="BQ250"/>
  <c r="BQ249"/>
  <c r="BQ248"/>
  <c r="BQ247"/>
  <c r="BQ246"/>
  <c r="BQ245"/>
  <c r="BQ244"/>
  <c r="BQ243"/>
  <c r="BQ242"/>
  <c r="BQ241"/>
  <c r="BQ240"/>
  <c r="BQ239"/>
  <c r="BQ238"/>
  <c r="BQ237"/>
  <c r="BQ236"/>
  <c r="BQ235"/>
  <c r="BQ234"/>
  <c r="BN220"/>
  <c r="BO219"/>
  <c r="BQ218"/>
  <c r="BO217"/>
  <c r="BQ216"/>
  <c r="BQ215"/>
  <c r="BO214"/>
  <c r="BO213"/>
  <c r="BO212"/>
  <c r="BO211"/>
  <c r="BO210"/>
  <c r="BO209"/>
  <c r="BO208"/>
  <c r="BO207"/>
  <c r="BO206"/>
  <c r="BO205"/>
  <c r="BO204"/>
  <c r="BO203"/>
  <c r="BO202"/>
  <c r="BO201"/>
  <c r="BO200"/>
  <c r="BO199"/>
  <c r="BO198"/>
  <c r="BO197"/>
  <c r="BO196"/>
  <c r="BO195"/>
  <c r="BO194"/>
  <c r="BO193"/>
  <c r="BO192"/>
  <c r="BO191"/>
  <c r="BO190"/>
  <c r="BO189"/>
  <c r="BO188"/>
  <c r="BO187"/>
  <c r="BO186"/>
  <c r="BO185"/>
  <c r="BO184"/>
  <c r="BO183"/>
  <c r="BO182"/>
  <c r="BO181"/>
  <c r="BO180"/>
  <c r="BO179"/>
  <c r="BO178"/>
  <c r="BO177"/>
  <c r="BO176"/>
  <c r="BP165"/>
  <c r="BN163"/>
  <c r="BP162"/>
  <c r="BP161"/>
  <c r="BO158"/>
  <c r="BQ157"/>
  <c r="BO156"/>
  <c r="BQ155"/>
  <c r="BO154"/>
  <c r="BO153"/>
  <c r="BO152"/>
  <c r="BO151"/>
  <c r="BO150"/>
  <c r="BO149"/>
  <c r="BO148"/>
  <c r="BO147"/>
  <c r="BO146"/>
  <c r="BO145"/>
  <c r="BO144"/>
  <c r="BO143"/>
  <c r="BO142"/>
  <c r="BO141"/>
  <c r="BO140"/>
  <c r="BO139"/>
  <c r="BO138"/>
  <c r="BO137"/>
  <c r="BO136"/>
  <c r="BO135"/>
  <c r="BO134"/>
  <c r="BO133"/>
  <c r="BO132"/>
  <c r="BO131"/>
  <c r="BO130"/>
  <c r="BO129"/>
  <c r="BO128"/>
  <c r="BO127"/>
  <c r="BO126"/>
  <c r="BO125"/>
  <c r="BO124"/>
  <c r="BO123"/>
  <c r="BO122"/>
  <c r="BO121"/>
  <c r="BO120"/>
  <c r="BO119"/>
  <c r="BO118"/>
  <c r="BQ107"/>
  <c r="BO106"/>
  <c r="BO105"/>
  <c r="BP104"/>
  <c r="BN103"/>
  <c r="BO102"/>
  <c r="BO101"/>
  <c r="BO100"/>
  <c r="BO99"/>
  <c r="BQ97"/>
  <c r="BQ96"/>
  <c r="BQ95"/>
  <c r="BQ94"/>
  <c r="BQ93"/>
  <c r="BQ92"/>
  <c r="BQ91"/>
  <c r="BQ90"/>
  <c r="BQ89"/>
  <c r="BQ88"/>
  <c r="BQ87"/>
  <c r="BQ86"/>
  <c r="BQ85"/>
  <c r="BQ84"/>
  <c r="BQ83"/>
  <c r="BQ82"/>
  <c r="BQ81"/>
  <c r="BQ80"/>
  <c r="BQ79"/>
  <c r="BQ78"/>
  <c r="BQ77"/>
  <c r="BQ76"/>
  <c r="BQ75"/>
  <c r="BQ74"/>
  <c r="BQ73"/>
  <c r="BQ72"/>
  <c r="BQ71"/>
  <c r="BQ70"/>
  <c r="BQ69"/>
  <c r="BQ68"/>
  <c r="BQ67"/>
  <c r="BQ66"/>
  <c r="BQ65"/>
  <c r="BQ64"/>
  <c r="BQ63"/>
  <c r="BQ62"/>
  <c r="BQ61"/>
  <c r="BQ60"/>
  <c r="BP49"/>
  <c r="BP48"/>
  <c r="BP47"/>
  <c r="BP46"/>
  <c r="BN45"/>
  <c r="BO43"/>
  <c r="BO42"/>
  <c r="BQ39"/>
  <c r="BQ38"/>
  <c r="BQ37"/>
  <c r="BQ36"/>
  <c r="BQ35"/>
  <c r="BQ34"/>
  <c r="BQ33"/>
  <c r="BQ32"/>
  <c r="BQ31"/>
  <c r="BQ30"/>
  <c r="BQ29"/>
  <c r="BQ28"/>
  <c r="BQ27"/>
  <c r="BQ26"/>
  <c r="BQ25"/>
  <c r="BQ24"/>
  <c r="BQ23"/>
  <c r="BQ22"/>
  <c r="BQ21"/>
  <c r="BQ20"/>
  <c r="BQ19"/>
  <c r="BQ18"/>
  <c r="BQ17"/>
  <c r="BQ16"/>
  <c r="BQ15"/>
  <c r="BQ14"/>
  <c r="BQ13"/>
  <c r="BQ12"/>
  <c r="BP1268"/>
  <c r="BP2544"/>
  <c r="BN1385"/>
  <c r="BN1384"/>
  <c r="BN572"/>
  <c r="BN746"/>
  <c r="BN1558"/>
  <c r="BN804"/>
  <c r="BN50"/>
  <c r="BN2660"/>
  <c r="BN2544"/>
  <c r="BN1906"/>
  <c r="BP2605"/>
  <c r="BO1046"/>
  <c r="BP458"/>
  <c r="BN2664"/>
  <c r="BN2548"/>
  <c r="BN1910"/>
  <c r="BN1214"/>
  <c r="BN54"/>
  <c r="BO172"/>
  <c r="BQ1048"/>
  <c r="BN2376"/>
  <c r="BN1854"/>
  <c r="O914"/>
  <c r="BQ914" s="1"/>
  <c r="O629"/>
  <c r="BQ629" s="1"/>
  <c r="O628"/>
  <c r="O627"/>
  <c r="W170"/>
  <c r="Z399"/>
  <c r="L513"/>
  <c r="L512"/>
  <c r="C4" l="1"/>
  <c r="C2576"/>
  <c r="C2308"/>
  <c r="C2414"/>
  <c r="C2468"/>
  <c r="C2257"/>
  <c r="C2362"/>
  <c r="C2678"/>
  <c r="C2523"/>
  <c r="C2630"/>
  <c r="C2731"/>
  <c r="BN512"/>
  <c r="BQ627"/>
  <c r="BN458"/>
  <c r="BO53"/>
  <c r="BO971"/>
  <c r="BN513"/>
  <c r="BQ628"/>
  <c r="BN171"/>
  <c r="BO170"/>
  <c r="BN399"/>
  <c r="BP399"/>
  <c r="BQ53"/>
  <c r="C5" l="1"/>
  <c r="C2679"/>
  <c r="C2363"/>
  <c r="C2258"/>
  <c r="C2469"/>
  <c r="C2415"/>
  <c r="C2309"/>
  <c r="C2577"/>
  <c r="C2732"/>
  <c r="C2631"/>
  <c r="C2524"/>
  <c r="C6" l="1"/>
  <c r="C2578"/>
  <c r="C2310"/>
  <c r="C2416"/>
  <c r="C2470"/>
  <c r="C2259"/>
  <c r="C2364"/>
  <c r="C2680"/>
  <c r="C2525"/>
  <c r="C2632"/>
  <c r="C2733"/>
  <c r="C7" l="1"/>
  <c r="C2681"/>
  <c r="C2365"/>
  <c r="C2260"/>
  <c r="C2311"/>
  <c r="C2471"/>
  <c r="C2417"/>
  <c r="C2579"/>
  <c r="C2633"/>
  <c r="C2526"/>
  <c r="C2734"/>
  <c r="C8" l="1"/>
  <c r="C2580"/>
  <c r="C2418"/>
  <c r="C2472"/>
  <c r="C2312"/>
  <c r="C2682"/>
  <c r="C2527"/>
  <c r="C2261"/>
  <c r="C2366"/>
  <c r="C2735"/>
  <c r="C2634"/>
  <c r="C9" l="1"/>
  <c r="C2683"/>
  <c r="C2313"/>
  <c r="C2473"/>
  <c r="C2419"/>
  <c r="C2581"/>
  <c r="C2528"/>
  <c r="C2367"/>
  <c r="C2262"/>
  <c r="C2736"/>
  <c r="C2635"/>
  <c r="C2529" l="1"/>
  <c r="C10"/>
  <c r="C2263"/>
  <c r="C2368"/>
  <c r="C2582"/>
  <c r="C2420"/>
  <c r="C2474"/>
  <c r="C2314"/>
  <c r="C2684"/>
  <c r="C2737"/>
  <c r="C2530"/>
  <c r="C2636"/>
  <c r="E2497" a="1"/>
  <c r="E2507" a="1"/>
  <c r="E2502" a="1"/>
  <c r="E2518" a="1"/>
  <c r="E2671" a="1"/>
  <c r="E2621" a="1"/>
  <c r="E2620" a="1"/>
  <c r="E2563" a="1"/>
  <c r="E2558" a="1"/>
  <c r="E2574" a="1"/>
  <c r="E2459" a="1"/>
  <c r="E2451" a="1"/>
  <c r="E2443" a="1"/>
  <c r="E2383" a="1"/>
  <c r="E2399" a="1"/>
  <c r="E2382" a="1"/>
  <c r="E2398" a="1"/>
  <c r="D2380"/>
  <c r="E2299" a="1"/>
  <c r="E2291" a="1"/>
  <c r="E2283" a="1"/>
  <c r="E2275" a="1"/>
  <c r="E2267" a="1"/>
  <c r="E2201" a="1"/>
  <c r="E2193" a="1"/>
  <c r="E2185" a="1"/>
  <c r="E2177" a="1"/>
  <c r="E2169" a="1"/>
  <c r="E2161" a="1"/>
  <c r="E2153" a="1"/>
  <c r="E2088" a="1"/>
  <c r="E2080" a="1"/>
  <c r="E2072" a="1"/>
  <c r="E2064" a="1"/>
  <c r="E2056" a="1"/>
  <c r="E2048" a="1"/>
  <c r="E2040" a="1"/>
  <c r="E2032" a="1"/>
  <c r="E1967" a="1"/>
  <c r="E1959" a="1"/>
  <c r="E1951" a="1"/>
  <c r="E1943" a="1"/>
  <c r="E1935" a="1"/>
  <c r="E1927" a="1"/>
  <c r="E1919" a="1"/>
  <c r="E1912" a="1"/>
  <c r="E1904" a="1"/>
  <c r="E1896" a="1"/>
  <c r="E1888" a="1"/>
  <c r="E1880" a="1"/>
  <c r="E1872" a="1"/>
  <c r="E1864" a="1"/>
  <c r="E1335" a="1"/>
  <c r="E1327" a="1"/>
  <c r="E1319" a="1"/>
  <c r="E1311" a="1"/>
  <c r="E1303" a="1"/>
  <c r="E1295" a="1"/>
  <c r="E1287" a="1"/>
  <c r="E1279" a="1"/>
  <c r="E1156" a="1"/>
  <c r="E1148" a="1"/>
  <c r="E1140" a="1"/>
  <c r="E1132" a="1"/>
  <c r="E2501" a="1"/>
  <c r="E2511" a="1"/>
  <c r="E2504" a="1"/>
  <c r="E2520" a="1"/>
  <c r="E2670" a="1"/>
  <c r="E2623" a="1"/>
  <c r="E2622" a="1"/>
  <c r="E2565" a="1"/>
  <c r="E2560" a="1"/>
  <c r="E2466" a="1"/>
  <c r="E2458" a="1"/>
  <c r="E2450" a="1"/>
  <c r="E2442" a="1"/>
  <c r="E2385" a="1"/>
  <c r="E2401" a="1"/>
  <c r="E2384" a="1"/>
  <c r="E2400" a="1"/>
  <c r="E2306" a="1"/>
  <c r="E2298" a="1"/>
  <c r="E2290" a="1"/>
  <c r="E2282" a="1"/>
  <c r="E2274" a="1"/>
  <c r="E2266" a="1"/>
  <c r="E2200" a="1"/>
  <c r="E2192" a="1"/>
  <c r="E2184" a="1"/>
  <c r="E2176" a="1"/>
  <c r="E2168" a="1"/>
  <c r="E2160" a="1"/>
  <c r="E2152" a="1"/>
  <c r="E2087" a="1"/>
  <c r="E2079" a="1"/>
  <c r="E2071" a="1"/>
  <c r="E2063" a="1"/>
  <c r="E2055" a="1"/>
  <c r="E2047" a="1"/>
  <c r="E2039" a="1"/>
  <c r="D2032"/>
  <c r="E1966" a="1"/>
  <c r="E1958" a="1"/>
  <c r="E1950" a="1"/>
  <c r="E1942" a="1"/>
  <c r="E1934" a="1"/>
  <c r="E1926" a="1"/>
  <c r="E1918" a="1"/>
  <c r="E1911" a="1"/>
  <c r="E1903" a="1"/>
  <c r="E1895" a="1"/>
  <c r="E1887" a="1"/>
  <c r="E1879" a="1"/>
  <c r="E1871" a="1"/>
  <c r="E1863" a="1"/>
  <c r="E1334" a="1"/>
  <c r="E1326" a="1"/>
  <c r="E1318" a="1"/>
  <c r="E1310" a="1"/>
  <c r="E1302" a="1"/>
  <c r="E1294" a="1"/>
  <c r="E1286" a="1"/>
  <c r="E1278" a="1"/>
  <c r="E1155" a="1"/>
  <c r="E1147" a="1"/>
  <c r="E1139" a="1"/>
  <c r="E1131" a="1"/>
  <c r="E2505" a="1"/>
  <c r="E2515" a="1"/>
  <c r="E2506" a="1"/>
  <c r="D2496"/>
  <c r="D2670"/>
  <c r="E2625" a="1"/>
  <c r="E2624" a="1"/>
  <c r="E2567" a="1"/>
  <c r="E2562" a="1"/>
  <c r="E2465" a="1"/>
  <c r="E2457" a="1"/>
  <c r="E2449" a="1"/>
  <c r="E2441" a="1"/>
  <c r="E2387" a="1"/>
  <c r="E2403" a="1"/>
  <c r="E2386" a="1"/>
  <c r="E2402" a="1"/>
  <c r="E2305" a="1"/>
  <c r="E2297" a="1"/>
  <c r="E2289" a="1"/>
  <c r="E2281" a="1"/>
  <c r="E2273" a="1"/>
  <c r="E2265" a="1"/>
  <c r="E2199" a="1"/>
  <c r="E2191" a="1"/>
  <c r="E2183" a="1"/>
  <c r="E2175" a="1"/>
  <c r="E2167" a="1"/>
  <c r="E2159" a="1"/>
  <c r="E2151" a="1"/>
  <c r="E2086" a="1"/>
  <c r="E2078" a="1"/>
  <c r="E2070" a="1"/>
  <c r="E2062" a="1"/>
  <c r="E2054" a="1"/>
  <c r="E2046" a="1"/>
  <c r="E2038" a="1"/>
  <c r="E1973" a="1"/>
  <c r="E1965" a="1"/>
  <c r="E1957" a="1"/>
  <c r="E1949" a="1"/>
  <c r="E1941" a="1"/>
  <c r="E1933" a="1"/>
  <c r="E1925" a="1"/>
  <c r="E1917" a="1"/>
  <c r="E1910" a="1"/>
  <c r="E1902" a="1"/>
  <c r="E1894" a="1"/>
  <c r="E1886" a="1"/>
  <c r="E1878" a="1"/>
  <c r="E1870" a="1"/>
  <c r="E1862" a="1"/>
  <c r="E1333" a="1"/>
  <c r="E1325" a="1"/>
  <c r="E1317" a="1"/>
  <c r="E1309" a="1"/>
  <c r="E1301" a="1"/>
  <c r="E1293" a="1"/>
  <c r="E1285" a="1"/>
  <c r="D1278"/>
  <c r="E1154" a="1"/>
  <c r="E1146" a="1"/>
  <c r="E1138" a="1"/>
  <c r="E1130" a="1"/>
  <c r="E2509" a="1"/>
  <c r="E2519" a="1"/>
  <c r="E2508" a="1"/>
  <c r="E2676" a="1"/>
  <c r="E2628" a="1"/>
  <c r="E2627" a="1"/>
  <c r="E2626" a="1"/>
  <c r="E2569" a="1"/>
  <c r="E2564" a="1"/>
  <c r="E2464" a="1"/>
  <c r="E2456" a="1"/>
  <c r="E2448" a="1"/>
  <c r="E2440" a="1"/>
  <c r="E2389" a="1"/>
  <c r="E2405" a="1"/>
  <c r="E2388" a="1"/>
  <c r="E2404" a="1"/>
  <c r="E2304" a="1"/>
  <c r="E2296" a="1"/>
  <c r="E2288" a="1"/>
  <c r="E2280" a="1"/>
  <c r="E2272" a="1"/>
  <c r="E2264" a="1"/>
  <c r="E2198" a="1"/>
  <c r="E2190" a="1"/>
  <c r="E2182" a="1"/>
  <c r="E2174" a="1"/>
  <c r="E2166" a="1"/>
  <c r="E2158" a="1"/>
  <c r="E2150" a="1"/>
  <c r="E2085" a="1"/>
  <c r="E2077" a="1"/>
  <c r="E2069" a="1"/>
  <c r="E2061" a="1"/>
  <c r="E2053" a="1"/>
  <c r="E2045" a="1"/>
  <c r="E2037" a="1"/>
  <c r="E1972" a="1"/>
  <c r="E1964" a="1"/>
  <c r="E1956" a="1"/>
  <c r="E1948" a="1"/>
  <c r="E1940" a="1"/>
  <c r="E1932" a="1"/>
  <c r="E1924" a="1"/>
  <c r="E1916" a="1"/>
  <c r="E1909" a="1"/>
  <c r="E1901" a="1"/>
  <c r="E1893" a="1"/>
  <c r="E1885" a="1"/>
  <c r="E1877" a="1"/>
  <c r="E1869" a="1"/>
  <c r="E1861" a="1"/>
  <c r="E1332" a="1"/>
  <c r="E1324" a="1"/>
  <c r="E1316" a="1"/>
  <c r="E1308" a="1"/>
  <c r="E1300" a="1"/>
  <c r="E1292" a="1"/>
  <c r="E1284" a="1"/>
  <c r="E1161" a="1"/>
  <c r="E1153" a="1"/>
  <c r="E1145" a="1"/>
  <c r="E1137" a="1"/>
  <c r="E1129" a="1"/>
  <c r="E2513" a="1"/>
  <c r="E2521" a="1"/>
  <c r="E2510" a="1"/>
  <c r="E2675" a="1"/>
  <c r="E2613" a="1"/>
  <c r="E2612" a="1"/>
  <c r="E2555" a="1"/>
  <c r="E2571" a="1"/>
  <c r="E2566" a="1"/>
  <c r="E2463" a="1"/>
  <c r="E2455" a="1"/>
  <c r="E2447" a="1"/>
  <c r="E2439" a="1"/>
  <c r="E2391" a="1"/>
  <c r="E2407" a="1"/>
  <c r="E2390" a="1"/>
  <c r="E2406" a="1"/>
  <c r="E2303" a="1"/>
  <c r="E2295" a="1"/>
  <c r="E2287" a="1"/>
  <c r="E2279" a="1"/>
  <c r="E2271" a="1"/>
  <c r="D2264"/>
  <c r="E2197" a="1"/>
  <c r="E2189" a="1"/>
  <c r="E2181" a="1"/>
  <c r="E2173" a="1"/>
  <c r="E2165" a="1"/>
  <c r="E2157" a="1"/>
  <c r="E2149" a="1"/>
  <c r="E2084" a="1"/>
  <c r="E2076" a="1"/>
  <c r="E2068" a="1"/>
  <c r="E2060" a="1"/>
  <c r="E2052" a="1"/>
  <c r="E2044" a="1"/>
  <c r="E2036" a="1"/>
  <c r="E1971" a="1"/>
  <c r="E1963" a="1"/>
  <c r="E1955" a="1"/>
  <c r="E1947" a="1"/>
  <c r="E1939" a="1"/>
  <c r="E1931" a="1"/>
  <c r="E1923" a="1"/>
  <c r="D1922"/>
  <c r="E1908" a="1"/>
  <c r="E1900" a="1"/>
  <c r="E1892" a="1"/>
  <c r="E1884" a="1"/>
  <c r="E1876" a="1"/>
  <c r="E1868" a="1"/>
  <c r="E1860" a="1"/>
  <c r="E1331" a="1"/>
  <c r="E1323" a="1"/>
  <c r="E1315" a="1"/>
  <c r="E1307" a="1"/>
  <c r="E1299" a="1"/>
  <c r="E1291" a="1"/>
  <c r="E1283" a="1"/>
  <c r="E1160" a="1"/>
  <c r="E1152" a="1"/>
  <c r="E1144" a="1"/>
  <c r="E1136" a="1"/>
  <c r="E1128" a="1"/>
  <c r="E2517" a="1"/>
  <c r="E2496" a="1"/>
  <c r="E2512" a="1"/>
  <c r="E2674" a="1"/>
  <c r="E2615" a="1"/>
  <c r="E2614" a="1"/>
  <c r="E2557" a="1"/>
  <c r="E2573" a="1"/>
  <c r="E2568" a="1"/>
  <c r="E2462" a="1"/>
  <c r="E2454" a="1"/>
  <c r="E2446" a="1"/>
  <c r="E2438" a="1"/>
  <c r="E2393" a="1"/>
  <c r="E2409" a="1"/>
  <c r="E2392" a="1"/>
  <c r="E2408" a="1"/>
  <c r="E2302" a="1"/>
  <c r="E2294" a="1"/>
  <c r="E2286" a="1"/>
  <c r="E2278" a="1"/>
  <c r="E2270" a="1"/>
  <c r="E2204" a="1"/>
  <c r="E2196" a="1"/>
  <c r="E2188" a="1"/>
  <c r="E2180" a="1"/>
  <c r="E2172" a="1"/>
  <c r="E2164" a="1"/>
  <c r="E2156" a="1"/>
  <c r="E2148" a="1"/>
  <c r="E2083" a="1"/>
  <c r="E2075" a="1"/>
  <c r="E2067" a="1"/>
  <c r="E2059" a="1"/>
  <c r="E2051" a="1"/>
  <c r="E2043" a="1"/>
  <c r="E2035" a="1"/>
  <c r="E1970" a="1"/>
  <c r="E1962" a="1"/>
  <c r="E1954" a="1"/>
  <c r="E1946" a="1"/>
  <c r="E1938" a="1"/>
  <c r="E1930" a="1"/>
  <c r="E1922" a="1"/>
  <c r="E1915" a="1"/>
  <c r="E1907" a="1"/>
  <c r="E1899" a="1"/>
  <c r="E1891" a="1"/>
  <c r="E1883" a="1"/>
  <c r="E1875" a="1"/>
  <c r="E1867" a="1"/>
  <c r="E1859" a="1"/>
  <c r="E1330" a="1"/>
  <c r="E1322" a="1"/>
  <c r="E1314" a="1"/>
  <c r="E1306" a="1"/>
  <c r="E1298" a="1"/>
  <c r="E1290" a="1"/>
  <c r="E1282" a="1"/>
  <c r="E1159" a="1"/>
  <c r="E1151" a="1"/>
  <c r="E1143" a="1"/>
  <c r="E1135" a="1"/>
  <c r="E1127" a="1"/>
  <c r="E2499" a="1"/>
  <c r="E2498" a="1"/>
  <c r="E2514" a="1"/>
  <c r="E2673" a="1"/>
  <c r="E2617" a="1"/>
  <c r="E2616" a="1"/>
  <c r="E2559" a="1"/>
  <c r="E2554" a="1"/>
  <c r="E2570" a="1"/>
  <c r="E2461" a="1"/>
  <c r="E2453" a="1"/>
  <c r="E2445" a="1"/>
  <c r="D2438"/>
  <c r="E2395" a="1"/>
  <c r="E2411" a="1"/>
  <c r="E2394" a="1"/>
  <c r="E2410" a="1"/>
  <c r="E2301" a="1"/>
  <c r="E2293" a="1"/>
  <c r="E2285" a="1"/>
  <c r="E2277" a="1"/>
  <c r="E2269" a="1"/>
  <c r="E2203" a="1"/>
  <c r="E2195" a="1"/>
  <c r="E2187" a="1"/>
  <c r="E2179" a="1"/>
  <c r="E2171" a="1"/>
  <c r="E2163" a="1"/>
  <c r="E2155" a="1"/>
  <c r="D2148"/>
  <c r="E2082" a="1"/>
  <c r="E2074" a="1"/>
  <c r="E2066" a="1"/>
  <c r="E2058" a="1"/>
  <c r="E2050" a="1"/>
  <c r="E2042" a="1"/>
  <c r="E2034" a="1"/>
  <c r="E1969" a="1"/>
  <c r="E1961" a="1"/>
  <c r="E1953" a="1"/>
  <c r="E1945" a="1"/>
  <c r="E1937" a="1"/>
  <c r="E1929" a="1"/>
  <c r="E1921" a="1"/>
  <c r="E1914" a="1"/>
  <c r="E1906" a="1"/>
  <c r="E1898" a="1"/>
  <c r="E1890" a="1"/>
  <c r="E1882" a="1"/>
  <c r="E1874" a="1"/>
  <c r="E1866" a="1"/>
  <c r="E1858" a="1"/>
  <c r="E1329" a="1"/>
  <c r="E1321" a="1"/>
  <c r="E1313" a="1"/>
  <c r="E1305" a="1"/>
  <c r="E1297" a="1"/>
  <c r="E1289" a="1"/>
  <c r="E1281" a="1"/>
  <c r="E1158" a="1"/>
  <c r="E1150" a="1"/>
  <c r="E1142" a="1"/>
  <c r="E1134" a="1"/>
  <c r="E1126" a="1"/>
  <c r="E2503" a="1"/>
  <c r="E2500" a="1"/>
  <c r="E2516" a="1"/>
  <c r="E2672" a="1"/>
  <c r="E2619" a="1"/>
  <c r="E2618" a="1"/>
  <c r="E2561" a="1"/>
  <c r="E2556" a="1"/>
  <c r="E2572" a="1"/>
  <c r="E2460" a="1"/>
  <c r="E2452" a="1"/>
  <c r="E2444" a="1"/>
  <c r="E2381" a="1"/>
  <c r="E2397" a="1"/>
  <c r="E2380" a="1"/>
  <c r="E2396" a="1"/>
  <c r="E2412" a="1"/>
  <c r="E2300" a="1"/>
  <c r="E2292" a="1"/>
  <c r="E2284" a="1"/>
  <c r="E2276" a="1"/>
  <c r="E2268" a="1"/>
  <c r="E2202" a="1"/>
  <c r="E2194" a="1"/>
  <c r="E2186" a="1"/>
  <c r="E2178" a="1"/>
  <c r="E2170" a="1"/>
  <c r="E2162" a="1"/>
  <c r="E2154" a="1"/>
  <c r="E2089" a="1"/>
  <c r="E2081" a="1"/>
  <c r="E2073" a="1"/>
  <c r="E2065" a="1"/>
  <c r="E2057" a="1"/>
  <c r="E2049" a="1"/>
  <c r="E2041" a="1"/>
  <c r="E2033" a="1"/>
  <c r="E1968" a="1"/>
  <c r="E1960" a="1"/>
  <c r="E1952" a="1"/>
  <c r="E1944" a="1"/>
  <c r="E1936" a="1"/>
  <c r="E1928" a="1"/>
  <c r="E1920" a="1"/>
  <c r="E1913" a="1"/>
  <c r="E1905" a="1"/>
  <c r="E1897" a="1"/>
  <c r="E1889" a="1"/>
  <c r="E1881" a="1"/>
  <c r="E1873" a="1"/>
  <c r="E1865" a="1"/>
  <c r="D1858"/>
  <c r="E1328" a="1"/>
  <c r="E1320" a="1"/>
  <c r="E1312" a="1"/>
  <c r="E1304" a="1"/>
  <c r="E1296" a="1"/>
  <c r="E1288" a="1"/>
  <c r="E1280" a="1"/>
  <c r="E1157" a="1"/>
  <c r="E1149" a="1"/>
  <c r="E1141" a="1"/>
  <c r="E1133" a="1"/>
  <c r="E1125" a="1"/>
  <c r="E1117" a="1"/>
  <c r="E1109" a="1"/>
  <c r="E638" a="1"/>
  <c r="E630" a="1"/>
  <c r="E622" a="1"/>
  <c r="E614" a="1"/>
  <c r="E606" a="1"/>
  <c r="E598" a="1"/>
  <c r="E590" a="1"/>
  <c r="E582" a="1"/>
  <c r="E490" a="1"/>
  <c r="E522" a="1"/>
  <c r="E496" a="1"/>
  <c r="E469" a="1"/>
  <c r="E485" a="1"/>
  <c r="E501" a="1"/>
  <c r="E517" a="1"/>
  <c r="E368" a="1"/>
  <c r="E400" a="1"/>
  <c r="E374" a="1"/>
  <c r="E406" a="1"/>
  <c r="E365" a="1"/>
  <c r="E381" a="1"/>
  <c r="E397" a="1"/>
  <c r="E2358" a="1"/>
  <c r="E2350" a="1"/>
  <c r="E2342" a="1"/>
  <c r="E2334" a="1"/>
  <c r="E2326" a="1"/>
  <c r="E1739" a="1"/>
  <c r="E1731" a="1"/>
  <c r="E1723" a="1"/>
  <c r="E1715" a="1"/>
  <c r="E1707" a="1"/>
  <c r="E1699" a="1"/>
  <c r="E1691" a="1"/>
  <c r="D1684"/>
  <c r="E1212" a="1"/>
  <c r="E1204" a="1"/>
  <c r="E1196" a="1"/>
  <c r="E1188" a="1"/>
  <c r="E1180" a="1"/>
  <c r="E1172" a="1"/>
  <c r="E1164" a="1"/>
  <c r="E716" a="1"/>
  <c r="E748" a="1"/>
  <c r="E722" a="1"/>
  <c r="E754" a="1"/>
  <c r="E713" a="1"/>
  <c r="E729" a="1"/>
  <c r="E745" a="1"/>
  <c r="E695" a="1"/>
  <c r="E687" a="1"/>
  <c r="E679" a="1"/>
  <c r="E671" a="1"/>
  <c r="E663" a="1"/>
  <c r="E655" a="1"/>
  <c r="E647" a="1"/>
  <c r="D640"/>
  <c r="D2674"/>
  <c r="D2440"/>
  <c r="D2276"/>
  <c r="D2180"/>
  <c r="D2158"/>
  <c r="D2052"/>
  <c r="D2034"/>
  <c r="D1989"/>
  <c r="D1926"/>
  <c r="D1805"/>
  <c r="D1571"/>
  <c r="D1312"/>
  <c r="D1290"/>
  <c r="D1225"/>
  <c r="D1112"/>
  <c r="D939"/>
  <c r="D879"/>
  <c r="D588"/>
  <c r="D237"/>
  <c r="D8"/>
  <c r="D2243"/>
  <c r="D2221"/>
  <c r="D2127"/>
  <c r="D1779"/>
  <c r="D1761"/>
  <c r="D1745"/>
  <c r="D1651"/>
  <c r="D1635"/>
  <c r="D1463"/>
  <c r="D1399"/>
  <c r="D1170"/>
  <c r="D1072"/>
  <c r="D1025"/>
  <c r="D773"/>
  <c r="D662"/>
  <c r="D644"/>
  <c r="D303"/>
  <c r="D177"/>
  <c r="E2027" a="1"/>
  <c r="E2019" a="1"/>
  <c r="E2011" a="1"/>
  <c r="E2003" a="1"/>
  <c r="E1995" a="1"/>
  <c r="E1987" a="1"/>
  <c r="E1979" a="1"/>
  <c r="E1804" a="1"/>
  <c r="E1836" a="1"/>
  <c r="E1810" a="1"/>
  <c r="E1842" a="1"/>
  <c r="E1809" a="1"/>
  <c r="E1825" a="1"/>
  <c r="E1841" a="1"/>
  <c r="E1857" a="1"/>
  <c r="E1594" a="1"/>
  <c r="E1568" a="1"/>
  <c r="E1600" a="1"/>
  <c r="E1571" a="1"/>
  <c r="E1587" a="1"/>
  <c r="E1603" a="1"/>
  <c r="E1619" a="1"/>
  <c r="E1517" a="1"/>
  <c r="E1533" a="1"/>
  <c r="E1549" a="1"/>
  <c r="E1565" a="1"/>
  <c r="E1522" a="1"/>
  <c r="E1120" a="1"/>
  <c r="E1112" a="1"/>
  <c r="E1104" a="1"/>
  <c r="E633" a="1"/>
  <c r="E625" a="1"/>
  <c r="E617" a="1"/>
  <c r="E609" a="1"/>
  <c r="E601" a="1"/>
  <c r="E593" a="1"/>
  <c r="E585" a="1"/>
  <c r="E478" a="1"/>
  <c r="E510" a="1"/>
  <c r="E484" a="1"/>
  <c r="E516" a="1"/>
  <c r="E479" a="1"/>
  <c r="E495" a="1"/>
  <c r="E511" a="1"/>
  <c r="E356" a="1"/>
  <c r="E388" a="1"/>
  <c r="E362" a="1"/>
  <c r="E394" a="1"/>
  <c r="E359" a="1"/>
  <c r="E375" a="1"/>
  <c r="E391" a="1"/>
  <c r="E407" a="1"/>
  <c r="E2353" a="1"/>
  <c r="E2345" a="1"/>
  <c r="E2337" a="1"/>
  <c r="E2329" a="1"/>
  <c r="D2322"/>
  <c r="E1734" a="1"/>
  <c r="E1726" a="1"/>
  <c r="E1718" a="1"/>
  <c r="E1710" a="1"/>
  <c r="E1702" a="1"/>
  <c r="E1694" a="1"/>
  <c r="E1686" a="1"/>
  <c r="E1215" a="1"/>
  <c r="E1207" a="1"/>
  <c r="E1199" a="1"/>
  <c r="E1191" a="1"/>
  <c r="E1183" a="1"/>
  <c r="E1175" a="1"/>
  <c r="E1167" a="1"/>
  <c r="E704" a="1"/>
  <c r="E736" a="1"/>
  <c r="E710" a="1"/>
  <c r="E742" a="1"/>
  <c r="E707" a="1"/>
  <c r="E723" a="1"/>
  <c r="E739" a="1"/>
  <c r="E755" a="1"/>
  <c r="E690" a="1"/>
  <c r="E682" a="1"/>
  <c r="E674" a="1"/>
  <c r="E666" a="1"/>
  <c r="E658" a="1"/>
  <c r="E650" a="1"/>
  <c r="E642" a="1"/>
  <c r="D2692"/>
  <c r="D2446"/>
  <c r="D2361"/>
  <c r="D2182"/>
  <c r="D2156"/>
  <c r="D2050"/>
  <c r="D2011"/>
  <c r="D1987"/>
  <c r="D1924"/>
  <c r="D1803"/>
  <c r="D1569"/>
  <c r="D1302"/>
  <c r="D1284"/>
  <c r="D1223"/>
  <c r="D1110"/>
  <c r="D933"/>
  <c r="D873"/>
  <c r="D544"/>
  <c r="D235"/>
  <c r="D4"/>
  <c r="D2235"/>
  <c r="D2219"/>
  <c r="D2099"/>
  <c r="D1773"/>
  <c r="D1755"/>
  <c r="D1694"/>
  <c r="D1645"/>
  <c r="D1629"/>
  <c r="D1453"/>
  <c r="D1318"/>
  <c r="D1164"/>
  <c r="D1064"/>
  <c r="D831"/>
  <c r="D767"/>
  <c r="D658"/>
  <c r="D329"/>
  <c r="D297"/>
  <c r="E2030" a="1"/>
  <c r="E2022" a="1"/>
  <c r="E2014" a="1"/>
  <c r="E2006" a="1"/>
  <c r="E1998" a="1"/>
  <c r="E1990" a="1"/>
  <c r="E1982" a="1"/>
  <c r="E1974" a="1"/>
  <c r="E1824" a="1"/>
  <c r="E1856" a="1"/>
  <c r="E1830" a="1"/>
  <c r="E1803" a="1"/>
  <c r="E1819" a="1"/>
  <c r="E1835" a="1"/>
  <c r="E1851" a="1"/>
  <c r="E1582" a="1"/>
  <c r="E1614" a="1"/>
  <c r="E1588" a="1"/>
  <c r="E1620" a="1"/>
  <c r="E1581" a="1"/>
  <c r="E1597" a="1"/>
  <c r="E1613" a="1"/>
  <c r="E1511" a="1"/>
  <c r="E1527" a="1"/>
  <c r="E1543" a="1"/>
  <c r="E1559" a="1"/>
  <c r="E1516" a="1"/>
  <c r="E1534" a="1"/>
  <c r="E1550" a="1"/>
  <c r="E1566" a="1"/>
  <c r="E1244" a="1"/>
  <c r="E1276" a="1"/>
  <c r="E1250" a="1"/>
  <c r="E1223" a="1"/>
  <c r="E1239" a="1"/>
  <c r="E1255" a="1"/>
  <c r="E1119" a="1"/>
  <c r="E1111" a="1"/>
  <c r="D1104"/>
  <c r="E632" a="1"/>
  <c r="E624" a="1"/>
  <c r="E616" a="1"/>
  <c r="E608" a="1"/>
  <c r="E600" a="1"/>
  <c r="E592" a="1"/>
  <c r="E584" a="1"/>
  <c r="E482" a="1"/>
  <c r="E514" a="1"/>
  <c r="E488" a="1"/>
  <c r="E520" a="1"/>
  <c r="E481" a="1"/>
  <c r="E497" a="1"/>
  <c r="E513" a="1"/>
  <c r="E360" a="1"/>
  <c r="E392" a="1"/>
  <c r="E366" a="1"/>
  <c r="E398" a="1"/>
  <c r="E361" a="1"/>
  <c r="E377" a="1"/>
  <c r="E393" a="1"/>
  <c r="E2360" a="1"/>
  <c r="E2352" a="1"/>
  <c r="E2343" a="1"/>
  <c r="E2336" a="1"/>
  <c r="E2328" a="1"/>
  <c r="E1741" a="1"/>
  <c r="E1733" a="1"/>
  <c r="E1725" a="1"/>
  <c r="E1717" a="1"/>
  <c r="E1709" a="1"/>
  <c r="E1701" a="1"/>
  <c r="E1693" a="1"/>
  <c r="E1685" a="1"/>
  <c r="E1214" a="1"/>
  <c r="E1206" a="1"/>
  <c r="E1198" a="1"/>
  <c r="E1190" a="1"/>
  <c r="E1182" a="1"/>
  <c r="E1174" a="1"/>
  <c r="E1166" a="1"/>
  <c r="E708" a="1"/>
  <c r="E740" a="1"/>
  <c r="E714" a="1"/>
  <c r="E746" a="1"/>
  <c r="E709" a="1"/>
  <c r="E725" a="1"/>
  <c r="E741" a="1"/>
  <c r="E697" a="1"/>
  <c r="E689" a="1"/>
  <c r="E681" a="1"/>
  <c r="E673" a="1"/>
  <c r="E665" a="1"/>
  <c r="E657" a="1"/>
  <c r="E649" a="1"/>
  <c r="E641" a="1"/>
  <c r="D2678"/>
  <c r="D2444"/>
  <c r="D2280"/>
  <c r="D2184"/>
  <c r="D2162"/>
  <c r="D2056"/>
  <c r="D2038"/>
  <c r="D1993"/>
  <c r="D1977"/>
  <c r="D1860"/>
  <c r="D1575"/>
  <c r="D1316"/>
  <c r="D1296"/>
  <c r="D1257"/>
  <c r="D1120"/>
  <c r="D961"/>
  <c r="D883"/>
  <c r="D592"/>
  <c r="D241"/>
  <c r="D12"/>
  <c r="D2354"/>
  <c r="D2225"/>
  <c r="D2209"/>
  <c r="D2093"/>
  <c r="D1765"/>
  <c r="D1749"/>
  <c r="D1688"/>
  <c r="D1639"/>
  <c r="D1477"/>
  <c r="D1431"/>
  <c r="D1174"/>
  <c r="D1076"/>
  <c r="D1052"/>
  <c r="D817"/>
  <c r="D757"/>
  <c r="D648"/>
  <c r="D319"/>
  <c r="D193"/>
  <c r="E2029" a="1"/>
  <c r="E2021" a="1"/>
  <c r="E2013" a="1"/>
  <c r="E2005" a="1"/>
  <c r="E1997" a="1"/>
  <c r="E1989" a="1"/>
  <c r="E1981" a="1"/>
  <c r="D1974"/>
  <c r="E1828" a="1"/>
  <c r="E1802" a="1"/>
  <c r="E1834" a="1"/>
  <c r="E1805" a="1"/>
  <c r="E1821" a="1"/>
  <c r="E1837" a="1"/>
  <c r="E1853" a="1"/>
  <c r="E1586" a="1"/>
  <c r="E1618" a="1"/>
  <c r="E1592" a="1"/>
  <c r="E1624" a="1"/>
  <c r="E1583" a="1"/>
  <c r="E1599" a="1"/>
  <c r="E1615" a="1"/>
  <c r="E1513" a="1"/>
  <c r="E1529" a="1"/>
  <c r="E1545" a="1"/>
  <c r="E1561" a="1"/>
  <c r="E1518" a="1"/>
  <c r="E1122" a="1"/>
  <c r="E1114" a="1"/>
  <c r="E1106" a="1"/>
  <c r="E635" a="1"/>
  <c r="E627" a="1"/>
  <c r="E619" a="1"/>
  <c r="E611" a="1"/>
  <c r="E603" a="1"/>
  <c r="E595" a="1"/>
  <c r="E587" a="1"/>
  <c r="E470" a="1"/>
  <c r="E502" a="1"/>
  <c r="E476" a="1"/>
  <c r="E508" a="1"/>
  <c r="E475" a="1"/>
  <c r="E491" a="1"/>
  <c r="E507" a="1"/>
  <c r="E523" a="1"/>
  <c r="E380" a="1"/>
  <c r="E354" a="1"/>
  <c r="E386" a="1"/>
  <c r="E355" a="1"/>
  <c r="E371" a="1"/>
  <c r="E387" a="1"/>
  <c r="E403" a="1"/>
  <c r="E2355" a="1"/>
  <c r="E2347" a="1"/>
  <c r="E2339" a="1"/>
  <c r="E2331" a="1"/>
  <c r="E2323" a="1"/>
  <c r="E1736" a="1"/>
  <c r="E1728" a="1"/>
  <c r="E1720" a="1"/>
  <c r="E1712" a="1"/>
  <c r="E1704" a="1"/>
  <c r="E1696" a="1"/>
  <c r="E1688" a="1"/>
  <c r="E1217" a="1"/>
  <c r="E1209" a="1"/>
  <c r="E1201" a="1"/>
  <c r="E1193" a="1"/>
  <c r="E1185" a="1"/>
  <c r="E1177" a="1"/>
  <c r="E1169" a="1"/>
  <c r="D1162"/>
  <c r="E728" a="1"/>
  <c r="E702" a="1"/>
  <c r="E734" a="1"/>
  <c r="E703" a="1"/>
  <c r="E719" a="1"/>
  <c r="E735" a="1"/>
  <c r="E751" a="1"/>
  <c r="E692" a="1"/>
  <c r="E684" a="1"/>
  <c r="E676" a="1"/>
  <c r="E668" a="1"/>
  <c r="E660" a="1"/>
  <c r="E652" a="1"/>
  <c r="E644" a="1"/>
  <c r="D2696"/>
  <c r="D2450"/>
  <c r="D2384"/>
  <c r="D2245"/>
  <c r="D2160"/>
  <c r="D2054"/>
  <c r="D2036"/>
  <c r="D1991"/>
  <c r="D1975"/>
  <c r="D1807"/>
  <c r="D1573"/>
  <c r="D1314"/>
  <c r="D1288"/>
  <c r="D1227"/>
  <c r="D1114"/>
  <c r="D937"/>
  <c r="D877"/>
  <c r="D586"/>
  <c r="D239"/>
  <c r="D10"/>
  <c r="D2241"/>
  <c r="D2223"/>
  <c r="D2207"/>
  <c r="D1777"/>
  <c r="D1759"/>
  <c r="D1743"/>
  <c r="D1649"/>
  <c r="D1633"/>
  <c r="D1457"/>
  <c r="D1397"/>
  <c r="D1168"/>
  <c r="D1068"/>
  <c r="D1007"/>
  <c r="D815"/>
  <c r="D722"/>
  <c r="D642"/>
  <c r="D301"/>
  <c r="E2728" a="1"/>
  <c r="E2024" a="1"/>
  <c r="E2016" a="1"/>
  <c r="E2008" a="1"/>
  <c r="E2000" a="1"/>
  <c r="E1992" a="1"/>
  <c r="E1984" a="1"/>
  <c r="E1976" a="1"/>
  <c r="E1816" a="1"/>
  <c r="E1848" a="1"/>
  <c r="E1822" a="1"/>
  <c r="E1854" a="1"/>
  <c r="E1815" a="1"/>
  <c r="E1831" a="1"/>
  <c r="E1847" a="1"/>
  <c r="E1574" a="1"/>
  <c r="E1622" a="1"/>
  <c r="E1569" a="1"/>
  <c r="E1601" a="1"/>
  <c r="E1515" a="1"/>
  <c r="E1547" a="1"/>
  <c r="E1520" a="1"/>
  <c r="E1554" a="1"/>
  <c r="E1252" a="1"/>
  <c r="E1258" a="1"/>
  <c r="E1243" a="1"/>
  <c r="E1267" a="1"/>
  <c r="E929" a="1"/>
  <c r="E921" a="1"/>
  <c r="E913" a="1"/>
  <c r="E905" a="1"/>
  <c r="E897" a="1"/>
  <c r="E889" a="1"/>
  <c r="E881" a="1"/>
  <c r="E873" a="1"/>
  <c r="E546" a="1"/>
  <c r="E1121" a="1"/>
  <c r="E1113" a="1"/>
  <c r="E1105" a="1"/>
  <c r="E634" a="1"/>
  <c r="E626" a="1"/>
  <c r="E618" a="1"/>
  <c r="E610" a="1"/>
  <c r="E602" a="1"/>
  <c r="E594" a="1"/>
  <c r="E586" a="1"/>
  <c r="E474" a="1"/>
  <c r="E505" a="1"/>
  <c r="E480" a="1"/>
  <c r="E512" a="1"/>
  <c r="E477" a="1"/>
  <c r="E493" a="1"/>
  <c r="E509" a="1"/>
  <c r="E352" a="1"/>
  <c r="E384" a="1"/>
  <c r="E358" a="1"/>
  <c r="E390" a="1"/>
  <c r="E357" a="1"/>
  <c r="E373" a="1"/>
  <c r="E389" a="1"/>
  <c r="E405" a="1"/>
  <c r="E2354" a="1"/>
  <c r="E2346" a="1"/>
  <c r="E2338" a="1"/>
  <c r="E2330" a="1"/>
  <c r="E2322" a="1"/>
  <c r="E1735" a="1"/>
  <c r="E1727" a="1"/>
  <c r="E1719" a="1"/>
  <c r="E1711" a="1"/>
  <c r="E1703" a="1"/>
  <c r="E1695" a="1"/>
  <c r="E1687" a="1"/>
  <c r="E1216" a="1"/>
  <c r="E1208" a="1"/>
  <c r="E1200" a="1"/>
  <c r="E1192" a="1"/>
  <c r="E1184" a="1"/>
  <c r="E1176" a="1"/>
  <c r="E1168" a="1"/>
  <c r="E700" a="1"/>
  <c r="E732" a="1"/>
  <c r="E706" a="1"/>
  <c r="E738" a="1"/>
  <c r="E705" a="1"/>
  <c r="E721" a="1"/>
  <c r="E737" a="1"/>
  <c r="E753" a="1"/>
  <c r="E691" a="1"/>
  <c r="E683" a="1"/>
  <c r="E675" a="1"/>
  <c r="E667" a="1"/>
  <c r="E659" a="1"/>
  <c r="E651" a="1"/>
  <c r="E643" a="1"/>
  <c r="D2694"/>
  <c r="D2448"/>
  <c r="D2382"/>
  <c r="D2266"/>
  <c r="D2168"/>
  <c r="D2150"/>
  <c r="D2042"/>
  <c r="D1997"/>
  <c r="D1981"/>
  <c r="D1864"/>
  <c r="D1579"/>
  <c r="D1511"/>
  <c r="D1300"/>
  <c r="D1282"/>
  <c r="D1124"/>
  <c r="D1086"/>
  <c r="D931"/>
  <c r="D853"/>
  <c r="D331"/>
  <c r="D61"/>
  <c r="D2358"/>
  <c r="D2233"/>
  <c r="D2213"/>
  <c r="D2097"/>
  <c r="D1769"/>
  <c r="D1753"/>
  <c r="D1692"/>
  <c r="D1643"/>
  <c r="D1627"/>
  <c r="D1455"/>
  <c r="D1259"/>
  <c r="D1143"/>
  <c r="D1056"/>
  <c r="D821"/>
  <c r="D761"/>
  <c r="D652"/>
  <c r="D327"/>
  <c r="D295"/>
  <c r="E2031" a="1"/>
  <c r="E2023" a="1"/>
  <c r="E2015" a="1"/>
  <c r="E2007" a="1"/>
  <c r="E1999" a="1"/>
  <c r="E1991" a="1"/>
  <c r="E1983" a="1"/>
  <c r="E1975" a="1"/>
  <c r="E1820" a="1"/>
  <c r="E1852" a="1"/>
  <c r="E1826" a="1"/>
  <c r="E1801" a="1"/>
  <c r="E1817" a="1"/>
  <c r="E1833" a="1"/>
  <c r="E1849" a="1"/>
  <c r="E1578" a="1"/>
  <c r="E1610" a="1"/>
  <c r="E1584" a="1"/>
  <c r="E1616" a="1"/>
  <c r="E1579" a="1"/>
  <c r="E1595" a="1"/>
  <c r="E1611" a="1"/>
  <c r="D1568"/>
  <c r="E1525" a="1"/>
  <c r="E1541" a="1"/>
  <c r="E1557" a="1"/>
  <c r="E1514" a="1"/>
  <c r="E1124" a="1"/>
  <c r="E1116" a="1"/>
  <c r="E1108" a="1"/>
  <c r="E637" a="1"/>
  <c r="E629" a="1"/>
  <c r="E621" a="1"/>
  <c r="E613" a="1"/>
  <c r="E605" a="1"/>
  <c r="E597" a="1"/>
  <c r="E589" a="1"/>
  <c r="D582"/>
  <c r="E494" a="1"/>
  <c r="E468" a="1"/>
  <c r="E500" a="1"/>
  <c r="E471" a="1"/>
  <c r="E487" a="1"/>
  <c r="E503" a="1"/>
  <c r="E519" a="1"/>
  <c r="E372" a="1"/>
  <c r="E404" a="1"/>
  <c r="E378" a="1"/>
  <c r="E351" a="1"/>
  <c r="E367" a="1"/>
  <c r="E383" a="1"/>
  <c r="E399" a="1"/>
  <c r="E2357" a="1"/>
  <c r="E2349" a="1"/>
  <c r="E2341" a="1"/>
  <c r="E2333" a="1"/>
  <c r="E2325" a="1"/>
  <c r="E1738" a="1"/>
  <c r="E1730" a="1"/>
  <c r="E1722" a="1"/>
  <c r="E1714" a="1"/>
  <c r="E1706" a="1"/>
  <c r="E1698" a="1"/>
  <c r="E1690" a="1"/>
  <c r="E1219" a="1"/>
  <c r="E1211" a="1"/>
  <c r="E1203" a="1"/>
  <c r="E1195" a="1"/>
  <c r="E1187" a="1"/>
  <c r="E1179" a="1"/>
  <c r="E1171" a="1"/>
  <c r="E1163" a="1"/>
  <c r="E720" a="1"/>
  <c r="E752" a="1"/>
  <c r="E726" a="1"/>
  <c r="E699" a="1"/>
  <c r="E715" a="1"/>
  <c r="E731" a="1"/>
  <c r="E747" a="1"/>
  <c r="E694" a="1"/>
  <c r="E686" a="1"/>
  <c r="E678" a="1"/>
  <c r="E670" a="1"/>
  <c r="E662" a="1"/>
  <c r="E654" a="1"/>
  <c r="E646" a="1"/>
  <c r="D2526"/>
  <c r="D2672"/>
  <c r="D2390"/>
  <c r="D2268"/>
  <c r="D2164"/>
  <c r="D2058"/>
  <c r="D2040"/>
  <c r="D1995"/>
  <c r="D1979"/>
  <c r="D1862"/>
  <c r="D1577"/>
  <c r="D1433"/>
  <c r="D1294"/>
  <c r="D1255"/>
  <c r="D1122"/>
  <c r="D963"/>
  <c r="D881"/>
  <c r="D590"/>
  <c r="D249"/>
  <c r="D14"/>
  <c r="D2356"/>
  <c r="D2227"/>
  <c r="D2211"/>
  <c r="D2091"/>
  <c r="D1763"/>
  <c r="D1747"/>
  <c r="D1686"/>
  <c r="D1637"/>
  <c r="D1461"/>
  <c r="D1417"/>
  <c r="D1172"/>
  <c r="D1074"/>
  <c r="D1050"/>
  <c r="D819"/>
  <c r="D759"/>
  <c r="D646"/>
  <c r="D313"/>
  <c r="D179"/>
  <c r="E2026" a="1"/>
  <c r="E2018" a="1"/>
  <c r="E2010" a="1"/>
  <c r="E2002" a="1"/>
  <c r="E1994" a="1"/>
  <c r="E1986" a="1"/>
  <c r="E1978" a="1"/>
  <c r="E1808" a="1"/>
  <c r="E1840" a="1"/>
  <c r="E1814" a="1"/>
  <c r="E1846" a="1"/>
  <c r="E1811" a="1"/>
  <c r="E1827" a="1"/>
  <c r="E1843" a="1"/>
  <c r="D1800"/>
  <c r="E1598" a="1"/>
  <c r="E1572" a="1"/>
  <c r="E1604" a="1"/>
  <c r="E1573" a="1"/>
  <c r="E1589" a="1"/>
  <c r="E1605" a="1"/>
  <c r="E1621" a="1"/>
  <c r="E1519" a="1"/>
  <c r="E1535" a="1"/>
  <c r="E1551" a="1"/>
  <c r="E1567" a="1"/>
  <c r="E1524" a="1"/>
  <c r="E1542" a="1"/>
  <c r="E1558" a="1"/>
  <c r="E1228" a="1"/>
  <c r="E1260" a="1"/>
  <c r="E1234" a="1"/>
  <c r="E1266" a="1"/>
  <c r="E1231" a="1"/>
  <c r="E1247" a="1"/>
  <c r="E1123" a="1"/>
  <c r="E1115" a="1"/>
  <c r="E1107" a="1"/>
  <c r="E636" a="1"/>
  <c r="E628" a="1"/>
  <c r="E620" a="1"/>
  <c r="E612" a="1"/>
  <c r="E604" a="1"/>
  <c r="E596" a="1"/>
  <c r="E588" a="1"/>
  <c r="E466" a="1"/>
  <c r="E498" a="1"/>
  <c r="E472" a="1"/>
  <c r="E504" a="1"/>
  <c r="E473" a="1"/>
  <c r="E489" a="1"/>
  <c r="E506" a="1"/>
  <c r="E521" a="1"/>
  <c r="E376" a="1"/>
  <c r="E350" a="1"/>
  <c r="E382" a="1"/>
  <c r="E353" a="1"/>
  <c r="E369" a="1"/>
  <c r="E385" a="1"/>
  <c r="E401" a="1"/>
  <c r="E2356" a="1"/>
  <c r="E2348" a="1"/>
  <c r="E2340" a="1"/>
  <c r="E2332" a="1"/>
  <c r="E2324" a="1"/>
  <c r="E1737" a="1"/>
  <c r="E1729" a="1"/>
  <c r="E1721" a="1"/>
  <c r="E1713" a="1"/>
  <c r="E1705" a="1"/>
  <c r="E1697" a="1"/>
  <c r="E1689" a="1"/>
  <c r="E1218" a="1"/>
  <c r="E1210" a="1"/>
  <c r="E1202" a="1"/>
  <c r="E1194" a="1"/>
  <c r="E1186" a="1"/>
  <c r="E1178" a="1"/>
  <c r="E1170" a="1"/>
  <c r="E1162" a="1"/>
  <c r="E724" a="1"/>
  <c r="E698" a="1"/>
  <c r="E730" a="1"/>
  <c r="E701" a="1"/>
  <c r="E717" a="1"/>
  <c r="E733" a="1"/>
  <c r="E749" a="1"/>
  <c r="E693" a="1"/>
  <c r="E685" a="1"/>
  <c r="E677" a="1"/>
  <c r="E669" a="1"/>
  <c r="E661" a="1"/>
  <c r="E653" a="1"/>
  <c r="E645" a="1"/>
  <c r="D2498"/>
  <c r="D2592"/>
  <c r="D2386"/>
  <c r="D2270"/>
  <c r="D2174"/>
  <c r="D2154"/>
  <c r="D2048"/>
  <c r="D2001"/>
  <c r="D1985"/>
  <c r="D1868"/>
  <c r="D1801"/>
  <c r="D1515"/>
  <c r="D1304"/>
  <c r="D1286"/>
  <c r="D1221"/>
  <c r="D1108"/>
  <c r="D935"/>
  <c r="D875"/>
  <c r="D584"/>
  <c r="D67"/>
  <c r="D1048"/>
  <c r="D2239"/>
  <c r="D2217"/>
  <c r="D2101"/>
  <c r="D1775"/>
  <c r="D1757"/>
  <c r="D1700"/>
  <c r="D1647"/>
  <c r="D1631"/>
  <c r="D1459"/>
  <c r="D1395"/>
  <c r="D1166"/>
  <c r="D1066"/>
  <c r="D833"/>
  <c r="D765"/>
  <c r="D656"/>
  <c r="D504"/>
  <c r="D299"/>
  <c r="E2729" a="1"/>
  <c r="E2025" a="1"/>
  <c r="E2017" a="1"/>
  <c r="E2009" a="1"/>
  <c r="E2001" a="1"/>
  <c r="E1993" a="1"/>
  <c r="E1985" a="1"/>
  <c r="E1977" a="1"/>
  <c r="E1812" a="1"/>
  <c r="E1844" a="1"/>
  <c r="E1818" a="1"/>
  <c r="E1850" a="1"/>
  <c r="E1813" a="1"/>
  <c r="E1829" a="1"/>
  <c r="E1845" a="1"/>
  <c r="E1570" a="1"/>
  <c r="E1602" a="1"/>
  <c r="E1576" a="1"/>
  <c r="E1608" a="1"/>
  <c r="E1575" a="1"/>
  <c r="E1591" a="1"/>
  <c r="E1607" a="1"/>
  <c r="E1623" a="1"/>
  <c r="E1521" a="1"/>
  <c r="E1537" a="1"/>
  <c r="E1553" a="1"/>
  <c r="E1510" a="1"/>
  <c r="E1526" a="1"/>
  <c r="E1118" a="1"/>
  <c r="E1110" a="1"/>
  <c r="E639" a="1"/>
  <c r="E631" a="1"/>
  <c r="E623" a="1"/>
  <c r="E615" a="1"/>
  <c r="E607" a="1"/>
  <c r="E599" a="1"/>
  <c r="E591" a="1"/>
  <c r="E583" a="1"/>
  <c r="E486" a="1"/>
  <c r="E518" a="1"/>
  <c r="E492" a="1"/>
  <c r="E467" a="1"/>
  <c r="E483" a="1"/>
  <c r="E499" a="1"/>
  <c r="E515" a="1"/>
  <c r="E364" a="1"/>
  <c r="E396" a="1"/>
  <c r="E370" a="1"/>
  <c r="E402" a="1"/>
  <c r="E363" a="1"/>
  <c r="E379" a="1"/>
  <c r="E395" a="1"/>
  <c r="E2359" a="1"/>
  <c r="E2351" a="1"/>
  <c r="E2344" a="1"/>
  <c r="E2335" a="1"/>
  <c r="E2327" a="1"/>
  <c r="E1740" a="1"/>
  <c r="E1732" a="1"/>
  <c r="E1724" a="1"/>
  <c r="E1716" a="1"/>
  <c r="E1708" a="1"/>
  <c r="E1700" a="1"/>
  <c r="E1692" a="1"/>
  <c r="E1684" a="1"/>
  <c r="E1213" a="1"/>
  <c r="E1205" a="1"/>
  <c r="E1197" a="1"/>
  <c r="E1189" a="1"/>
  <c r="E1181" a="1"/>
  <c r="E1173" a="1"/>
  <c r="E1165" a="1"/>
  <c r="E712" a="1"/>
  <c r="E744" a="1"/>
  <c r="E718" a="1"/>
  <c r="E750" a="1"/>
  <c r="E711" a="1"/>
  <c r="E727" a="1"/>
  <c r="E743" a="1"/>
  <c r="E696" a="1"/>
  <c r="E688" a="1"/>
  <c r="E680" a="1"/>
  <c r="E672" a="1"/>
  <c r="E664" a="1"/>
  <c r="E656" a="1"/>
  <c r="E648" a="1"/>
  <c r="E640" a="1"/>
  <c r="D2676"/>
  <c r="D2442"/>
  <c r="D2274"/>
  <c r="D2172"/>
  <c r="D2152"/>
  <c r="D2044"/>
  <c r="D1999"/>
  <c r="D1983"/>
  <c r="D1866"/>
  <c r="D1782"/>
  <c r="D1513"/>
  <c r="D1298"/>
  <c r="D1280"/>
  <c r="D1126"/>
  <c r="D1106"/>
  <c r="D885"/>
  <c r="D600"/>
  <c r="D333"/>
  <c r="D63"/>
  <c r="D2360"/>
  <c r="D2231"/>
  <c r="D2215"/>
  <c r="D2095"/>
  <c r="D1767"/>
  <c r="D1751"/>
  <c r="D1690"/>
  <c r="D1641"/>
  <c r="D1471"/>
  <c r="D1429"/>
  <c r="D1180"/>
  <c r="D1078"/>
  <c r="D1054"/>
  <c r="D823"/>
  <c r="D763"/>
  <c r="D650"/>
  <c r="D325"/>
  <c r="D293"/>
  <c r="E2028" a="1"/>
  <c r="E2020" a="1"/>
  <c r="E2012" a="1"/>
  <c r="E2004" a="1"/>
  <c r="E1996" a="1"/>
  <c r="E1988" a="1"/>
  <c r="E1980" a="1"/>
  <c r="E1800" a="1"/>
  <c r="E1832" a="1"/>
  <c r="E1806" a="1"/>
  <c r="E1838" a="1"/>
  <c r="E1807" a="1"/>
  <c r="E1823" a="1"/>
  <c r="E1839" a="1"/>
  <c r="E1855" a="1"/>
  <c r="E1590" a="1"/>
  <c r="E1596" a="1"/>
  <c r="E1585" a="1"/>
  <c r="E1617" a="1"/>
  <c r="E1531" a="1"/>
  <c r="E1563" a="1"/>
  <c r="E1538" a="1"/>
  <c r="E1220" a="1"/>
  <c r="E1226" a="1"/>
  <c r="E1227" a="1"/>
  <c r="E1259" a="1"/>
  <c r="E1275" a="1"/>
  <c r="E925" a="1"/>
  <c r="E917" a="1"/>
  <c r="E909" a="1"/>
  <c r="E901" a="1"/>
  <c r="E893" a="1"/>
  <c r="E885" a="1"/>
  <c r="E877" a="1"/>
  <c r="E530" a="1"/>
  <c r="E578" a="1"/>
  <c r="E552" a="1"/>
  <c r="E525" a="1"/>
  <c r="E541" a="1"/>
  <c r="E557" a="1"/>
  <c r="E573" a="1"/>
  <c r="E420" a="1"/>
  <c r="E452" a="1"/>
  <c r="E426" a="1"/>
  <c r="E458" a="1"/>
  <c r="E421" a="1"/>
  <c r="E437" a="1"/>
  <c r="E453" a="1"/>
  <c r="E234" a="1"/>
  <c r="E266" a="1"/>
  <c r="E240" a="1"/>
  <c r="E272" a="1"/>
  <c r="E241" a="1"/>
  <c r="E257" a="1"/>
  <c r="E273" a="1"/>
  <c r="E289" a="1"/>
  <c r="E112" a="1"/>
  <c r="E104" a="1"/>
  <c r="E96" a="1"/>
  <c r="E88" a="1"/>
  <c r="E80" a="1"/>
  <c r="E72" a="1"/>
  <c r="E64" a="1"/>
  <c r="E2254" a="1"/>
  <c r="E2246" a="1"/>
  <c r="E2238" a="1"/>
  <c r="E2230" a="1"/>
  <c r="E2222" a="1"/>
  <c r="E2214" a="1"/>
  <c r="E2206" a="1"/>
  <c r="E2141" a="1"/>
  <c r="E2133" a="1"/>
  <c r="E2125" a="1"/>
  <c r="E2117" a="1"/>
  <c r="E2109" a="1"/>
  <c r="E2101" a="1"/>
  <c r="E2093" a="1"/>
  <c r="E1796" a="1"/>
  <c r="E1788" a="1"/>
  <c r="E1780" a="1"/>
  <c r="E1772" a="1"/>
  <c r="E1764" a="1"/>
  <c r="E1756" a="1"/>
  <c r="E1748" a="1"/>
  <c r="E1627" a="1"/>
  <c r="E1643" a="1"/>
  <c r="E1659" a="1"/>
  <c r="E1675" a="1"/>
  <c r="E1632" a="1"/>
  <c r="E1648" a="1"/>
  <c r="E1664" a="1"/>
  <c r="E1680" a="1"/>
  <c r="E1462" a="1"/>
  <c r="E1478" a="1"/>
  <c r="E1494" a="1"/>
  <c r="E1453" a="1"/>
  <c r="E1468" a="1"/>
  <c r="E1485" a="1"/>
  <c r="E1501" a="1"/>
  <c r="E1449" a="1"/>
  <c r="E1441" a="1"/>
  <c r="E1433" a="1"/>
  <c r="E1425" a="1"/>
  <c r="E1417" a="1"/>
  <c r="E1409" a="1"/>
  <c r="E1401" a="1"/>
  <c r="D1394"/>
  <c r="E1351" a="1"/>
  <c r="E1367" a="1"/>
  <c r="E1383" a="1"/>
  <c r="E1340" a="1"/>
  <c r="E1356" a="1"/>
  <c r="E1372" a="1"/>
  <c r="E1388" a="1"/>
  <c r="E1010" a="1"/>
  <c r="E1042" a="1"/>
  <c r="E1016" a="1"/>
  <c r="E989" a="1"/>
  <c r="E1005" a="1"/>
  <c r="E1021" a="1"/>
  <c r="E1037" a="1"/>
  <c r="E868" a="1"/>
  <c r="E860" a="1"/>
  <c r="E852" a="1"/>
  <c r="E844" a="1"/>
  <c r="E836" a="1"/>
  <c r="E828" a="1"/>
  <c r="E820" a="1"/>
  <c r="E756" a="1"/>
  <c r="E788" a="1"/>
  <c r="E762" a="1"/>
  <c r="E794" a="1"/>
  <c r="E763" a="1"/>
  <c r="E779" a="1"/>
  <c r="E795" a="1"/>
  <c r="E811" a="1"/>
  <c r="E344" a="1"/>
  <c r="E336" a="1"/>
  <c r="E328" a="1"/>
  <c r="E320" a="1"/>
  <c r="E312" a="1"/>
  <c r="E304" a="1"/>
  <c r="E296" a="1"/>
  <c r="E186" a="1"/>
  <c r="E218" a="1"/>
  <c r="E192" a="1"/>
  <c r="E224" a="1"/>
  <c r="E187" a="1"/>
  <c r="E203" a="1"/>
  <c r="E219" a="1"/>
  <c r="D176"/>
  <c r="D2675"/>
  <c r="D2439"/>
  <c r="D2269"/>
  <c r="D2167"/>
  <c r="D2151"/>
  <c r="D2037"/>
  <c r="D1992"/>
  <c r="D1976"/>
  <c r="D1806"/>
  <c r="D1534"/>
  <c r="D1299"/>
  <c r="D1283"/>
  <c r="D1226"/>
  <c r="D1113"/>
  <c r="D948"/>
  <c r="D884"/>
  <c r="D587"/>
  <c r="D240"/>
  <c r="D2359"/>
  <c r="D2236"/>
  <c r="D2220"/>
  <c r="D2102"/>
  <c r="D1776"/>
  <c r="D1756"/>
  <c r="D1697"/>
  <c r="D1650"/>
  <c r="D1634"/>
  <c r="D1460"/>
  <c r="D1396"/>
  <c r="D1165"/>
  <c r="D1057"/>
  <c r="D848"/>
  <c r="D824"/>
  <c r="D766"/>
  <c r="D657"/>
  <c r="D330"/>
  <c r="D300"/>
  <c r="D178"/>
  <c r="E1103" a="1"/>
  <c r="E1095" a="1"/>
  <c r="E1087" a="1"/>
  <c r="E1079" a="1"/>
  <c r="E1071" a="1"/>
  <c r="E1063" a="1"/>
  <c r="E1055" a="1"/>
  <c r="E1047" a="1"/>
  <c r="D2186"/>
  <c r="E50" a="1"/>
  <c r="E38" a="1"/>
  <c r="G61" i="15" a="1"/>
  <c r="G51" a="1"/>
  <c r="E48" i="2" a="1"/>
  <c r="G96" i="15" a="1"/>
  <c r="G85" a="1"/>
  <c r="E42" i="2" a="1"/>
  <c r="E30" a="1"/>
  <c r="G58" i="15" a="1"/>
  <c r="G48" a="1"/>
  <c r="E44" i="2" a="1"/>
  <c r="G92" i="15" a="1"/>
  <c r="E1580" i="2" a="1"/>
  <c r="E1577" a="1"/>
  <c r="E1609" a="1"/>
  <c r="E1523" a="1"/>
  <c r="E1555" a="1"/>
  <c r="E1530" a="1"/>
  <c r="E1562" a="1"/>
  <c r="E1268" a="1"/>
  <c r="E1274" a="1"/>
  <c r="E1251" a="1"/>
  <c r="E1271" a="1"/>
  <c r="E927" a="1"/>
  <c r="E919" a="1"/>
  <c r="E911" a="1"/>
  <c r="E903" a="1"/>
  <c r="E895" a="1"/>
  <c r="E887" a="1"/>
  <c r="E879" a="1"/>
  <c r="D872"/>
  <c r="E554" a="1"/>
  <c r="E528" a="1"/>
  <c r="E560" a="1"/>
  <c r="E529" a="1"/>
  <c r="E545" a="1"/>
  <c r="E561" a="1"/>
  <c r="E577" a="1"/>
  <c r="E428" a="1"/>
  <c r="E460" a="1"/>
  <c r="E434" a="1"/>
  <c r="E409" a="1"/>
  <c r="E425" a="1"/>
  <c r="E441" a="1"/>
  <c r="E457" a="1"/>
  <c r="E242" a="1"/>
  <c r="E274" a="1"/>
  <c r="E248" a="1"/>
  <c r="E280" a="1"/>
  <c r="E245" a="1"/>
  <c r="E261" a="1"/>
  <c r="E277" a="1"/>
  <c r="D234"/>
  <c r="E110" a="1"/>
  <c r="E102" a="1"/>
  <c r="E94" a="1"/>
  <c r="E86" a="1"/>
  <c r="E78" a="1"/>
  <c r="E70" a="1"/>
  <c r="E62" a="1"/>
  <c r="E2252" a="1"/>
  <c r="E2244" a="1"/>
  <c r="E2236" a="1"/>
  <c r="E2228" a="1"/>
  <c r="E2220" a="1"/>
  <c r="E2212" a="1"/>
  <c r="E2147" a="1"/>
  <c r="E2139" a="1"/>
  <c r="E2131" a="1"/>
  <c r="E2123" a="1"/>
  <c r="E2115" a="1"/>
  <c r="E2107" a="1"/>
  <c r="E2099" a="1"/>
  <c r="E2091" a="1"/>
  <c r="E1794" a="1"/>
  <c r="E1786" a="1"/>
  <c r="E1778" a="1"/>
  <c r="E1770" a="1"/>
  <c r="E1762" a="1"/>
  <c r="E1754" a="1"/>
  <c r="E1746" a="1"/>
  <c r="E1631" a="1"/>
  <c r="E1647" a="1"/>
  <c r="E1663" a="1"/>
  <c r="E1679" a="1"/>
  <c r="E1636" a="1"/>
  <c r="E1652" a="1"/>
  <c r="E1668" a="1"/>
  <c r="D1626"/>
  <c r="E1466" a="1"/>
  <c r="E1482" a="1"/>
  <c r="E1498" a="1"/>
  <c r="E1457" a="1"/>
  <c r="E1474" a="1"/>
  <c r="E1489" a="1"/>
  <c r="E1505" a="1"/>
  <c r="E1447" a="1"/>
  <c r="E1439" a="1"/>
  <c r="E1431" a="1"/>
  <c r="E1423" a="1"/>
  <c r="E1415" a="1"/>
  <c r="E1407" a="1"/>
  <c r="E1399" a="1"/>
  <c r="E1339" a="1"/>
  <c r="E1355" a="1"/>
  <c r="E1371" a="1"/>
  <c r="E1387" a="1"/>
  <c r="E1344" a="1"/>
  <c r="E1359" a="1"/>
  <c r="E1376" a="1"/>
  <c r="E1392" a="1"/>
  <c r="E1018" a="1"/>
  <c r="E992" a="1"/>
  <c r="E1024" a="1"/>
  <c r="E993" a="1"/>
  <c r="E1009" a="1"/>
  <c r="E1025" a="1"/>
  <c r="E1041" a="1"/>
  <c r="E866" a="1"/>
  <c r="E858" a="1"/>
  <c r="E850" a="1"/>
  <c r="E842" a="1"/>
  <c r="E834" a="1"/>
  <c r="E826" a="1"/>
  <c r="E818" a="1"/>
  <c r="E764" a="1"/>
  <c r="E796" a="1"/>
  <c r="E770" a="1"/>
  <c r="E802" a="1"/>
  <c r="E767" a="1"/>
  <c r="E783" a="1"/>
  <c r="E799" a="1"/>
  <c r="D756"/>
  <c r="E342" a="1"/>
  <c r="E334" a="1"/>
  <c r="E326" a="1"/>
  <c r="E318" a="1"/>
  <c r="E310" a="1"/>
  <c r="E302" a="1"/>
  <c r="E294" a="1"/>
  <c r="E194" a="1"/>
  <c r="E226" a="1"/>
  <c r="E200" a="1"/>
  <c r="E232" a="1"/>
  <c r="E191" a="1"/>
  <c r="E207" a="1"/>
  <c r="E223" a="1"/>
  <c r="D2499"/>
  <c r="D2671"/>
  <c r="D2385"/>
  <c r="D2265"/>
  <c r="D2163"/>
  <c r="D2051"/>
  <c r="D2033"/>
  <c r="D1988"/>
  <c r="D1869"/>
  <c r="D1802"/>
  <c r="D1512"/>
  <c r="D1295"/>
  <c r="D1279"/>
  <c r="D1222"/>
  <c r="D1109"/>
  <c r="D940"/>
  <c r="D880"/>
  <c r="D583"/>
  <c r="D236"/>
  <c r="D2355"/>
  <c r="D2232"/>
  <c r="D2216"/>
  <c r="D2098"/>
  <c r="D1768"/>
  <c r="D1752"/>
  <c r="D1693"/>
  <c r="D1646"/>
  <c r="D1630"/>
  <c r="D1456"/>
  <c r="D1260"/>
  <c r="D1144"/>
  <c r="D1053"/>
  <c r="D844"/>
  <c r="D820"/>
  <c r="D762"/>
  <c r="D651"/>
  <c r="D322"/>
  <c r="D296"/>
  <c r="E2575" a="1"/>
  <c r="E1101" a="1"/>
  <c r="E1093" a="1"/>
  <c r="E1085" a="1"/>
  <c r="E1077" a="1"/>
  <c r="E1069" a="1"/>
  <c r="E1061" a="1"/>
  <c r="E1053" a="1"/>
  <c r="D1046"/>
  <c r="D2190"/>
  <c r="E18" a="1"/>
  <c r="E10" a="1"/>
  <c r="G99" i="15" a="1"/>
  <c r="E51" i="2" a="1"/>
  <c r="E32" a="1"/>
  <c r="G79" i="15" a="1"/>
  <c r="G70" a="1"/>
  <c r="E12" i="2" a="1"/>
  <c r="E6" a="1"/>
  <c r="G95" i="15" a="1"/>
  <c r="E47" i="2" a="1"/>
  <c r="E28" a="1"/>
  <c r="G75" i="15" a="1"/>
  <c r="G66" a="1"/>
  <c r="E1536" i="2" a="1"/>
  <c r="E1552" a="1"/>
  <c r="D1510"/>
  <c r="E1248" a="1"/>
  <c r="E1222" a="1"/>
  <c r="E1254" a="1"/>
  <c r="E1225" a="1"/>
  <c r="E1241" a="1"/>
  <c r="E1257" a="1"/>
  <c r="E1273" a="1"/>
  <c r="E926" a="1"/>
  <c r="E918" a="1"/>
  <c r="E910" a="1"/>
  <c r="E902" a="1"/>
  <c r="E894" a="1"/>
  <c r="E886" a="1"/>
  <c r="E878" a="1"/>
  <c r="E526" a="1"/>
  <c r="E558" a="1"/>
  <c r="E532" a="1"/>
  <c r="E564" a="1"/>
  <c r="E531" a="1"/>
  <c r="E547" a="1"/>
  <c r="E563" a="1"/>
  <c r="E579" a="1"/>
  <c r="E432" a="1"/>
  <c r="E464" a="1"/>
  <c r="E438" a="1"/>
  <c r="E411" a="1"/>
  <c r="E427" a="1"/>
  <c r="E443" a="1"/>
  <c r="E459" a="1"/>
  <c r="E254" a="1"/>
  <c r="E286" a="1"/>
  <c r="E260" a="1"/>
  <c r="E235" a="1"/>
  <c r="E251" a="1"/>
  <c r="E267" a="1"/>
  <c r="E283" a="1"/>
  <c r="E115" a="1"/>
  <c r="E107" a="1"/>
  <c r="E99" a="1"/>
  <c r="E91" a="1"/>
  <c r="E83" a="1"/>
  <c r="E75" a="1"/>
  <c r="E67" a="1"/>
  <c r="D60"/>
  <c r="E2249" a="1"/>
  <c r="E2241" a="1"/>
  <c r="E2233" a="1"/>
  <c r="E2225" a="1"/>
  <c r="E2217" a="1"/>
  <c r="E2209" a="1"/>
  <c r="E2144" a="1"/>
  <c r="E2136" a="1"/>
  <c r="E2128" a="1"/>
  <c r="E2120" a="1"/>
  <c r="E2112" a="1"/>
  <c r="E2104" a="1"/>
  <c r="E1532" a="1"/>
  <c r="E1564" a="1"/>
  <c r="E1272" a="1"/>
  <c r="E1221" a="1"/>
  <c r="E1253" a="1"/>
  <c r="E928" a="1"/>
  <c r="E912" a="1"/>
  <c r="E896" a="1"/>
  <c r="E880" a="1"/>
  <c r="E550" a="1"/>
  <c r="E556" a="1"/>
  <c r="E543" a="1"/>
  <c r="E575" a="1"/>
  <c r="E456" a="1"/>
  <c r="E462" a="1"/>
  <c r="E439" a="1"/>
  <c r="E246" a="1"/>
  <c r="E252" a="1"/>
  <c r="E247" a="1"/>
  <c r="E279" a="1"/>
  <c r="E109" a="1"/>
  <c r="E93" a="1"/>
  <c r="E77" a="1"/>
  <c r="E61" a="1"/>
  <c r="E2243" a="1"/>
  <c r="E2227" a="1"/>
  <c r="E2211" a="1"/>
  <c r="E2138" a="1"/>
  <c r="E2122" a="1"/>
  <c r="E2106" a="1"/>
  <c r="E2096" a="1"/>
  <c r="E1799" a="1"/>
  <c r="E1791" a="1"/>
  <c r="E1783" a="1"/>
  <c r="E1775" a="1"/>
  <c r="E1767" a="1"/>
  <c r="E1759" a="1"/>
  <c r="E1751" a="1"/>
  <c r="E1743" a="1"/>
  <c r="E1637" a="1"/>
  <c r="E1653" a="1"/>
  <c r="E1669" a="1"/>
  <c r="E1626" a="1"/>
  <c r="E1642" a="1"/>
  <c r="E1658" a="1"/>
  <c r="E1674" a="1"/>
  <c r="E1456" a="1"/>
  <c r="E1472" a="1"/>
  <c r="E1488" a="1"/>
  <c r="E1504" a="1"/>
  <c r="E1463" a="1"/>
  <c r="E1480" a="1"/>
  <c r="E1495" a="1"/>
  <c r="D1452"/>
  <c r="E1444" a="1"/>
  <c r="E1436" a="1"/>
  <c r="E1428" a="1"/>
  <c r="E1420" a="1"/>
  <c r="E1412" a="1"/>
  <c r="E1404" a="1"/>
  <c r="E1396" a="1"/>
  <c r="E1345" a="1"/>
  <c r="E1361" a="1"/>
  <c r="E1377" a="1"/>
  <c r="E1393" a="1"/>
  <c r="E1350" a="1"/>
  <c r="E1366" a="1"/>
  <c r="E1382" a="1"/>
  <c r="E998" a="1"/>
  <c r="E1030" a="1"/>
  <c r="E1004" a="1"/>
  <c r="E1036" a="1"/>
  <c r="E999" a="1"/>
  <c r="E1015" a="1"/>
  <c r="E1031" a="1"/>
  <c r="E871" a="1"/>
  <c r="E863" a="1"/>
  <c r="E855" a="1"/>
  <c r="E847" a="1"/>
  <c r="E839" a="1"/>
  <c r="E831" a="1"/>
  <c r="E823" a="1"/>
  <c r="E815" a="1"/>
  <c r="E776" a="1"/>
  <c r="E808" a="1"/>
  <c r="E782" a="1"/>
  <c r="E757" a="1"/>
  <c r="E773" a="1"/>
  <c r="E789" a="1"/>
  <c r="E805" a="1"/>
  <c r="E347" a="1"/>
  <c r="E339" a="1"/>
  <c r="E331" a="1"/>
  <c r="E323" a="1"/>
  <c r="E315" a="1"/>
  <c r="E307" a="1"/>
  <c r="E299" a="1"/>
  <c r="E182" a="1"/>
  <c r="E214" a="1"/>
  <c r="E188" a="1"/>
  <c r="E220" a="1"/>
  <c r="E185" a="1"/>
  <c r="E201" a="1"/>
  <c r="E217" a="1"/>
  <c r="E233" a="1"/>
  <c r="D2677"/>
  <c r="D2387"/>
  <c r="D2271"/>
  <c r="D2179"/>
  <c r="D2153"/>
  <c r="D2043"/>
  <c r="D1998"/>
  <c r="D1982"/>
  <c r="D1859"/>
  <c r="D1574"/>
  <c r="D1311"/>
  <c r="D1293"/>
  <c r="D1258"/>
  <c r="D1141"/>
  <c r="D1107"/>
  <c r="D934"/>
  <c r="D874"/>
  <c r="D244"/>
  <c r="D7"/>
  <c r="D2242"/>
  <c r="D2222"/>
  <c r="D2126"/>
  <c r="D2092"/>
  <c r="D1762"/>
  <c r="D1746"/>
  <c r="D1687"/>
  <c r="D1640"/>
  <c r="D1482"/>
  <c r="D1430"/>
  <c r="D1171"/>
  <c r="D1075"/>
  <c r="D1051"/>
  <c r="D832"/>
  <c r="D776"/>
  <c r="D731"/>
  <c r="D645"/>
  <c r="D316"/>
  <c r="D294"/>
  <c r="E2677" a="1"/>
  <c r="E1096" a="1"/>
  <c r="E1088" a="1"/>
  <c r="E1080" a="1"/>
  <c r="E1072" a="1"/>
  <c r="E1064" a="1"/>
  <c r="E1056" a="1"/>
  <c r="E1048" a="1"/>
  <c r="E2307" a="1"/>
  <c r="D2187"/>
  <c r="E34" a="1"/>
  <c r="E22" a="1"/>
  <c r="G54" i="15" a="1"/>
  <c r="E59" i="2" a="1"/>
  <c r="E40" a="1"/>
  <c r="G88" i="15" a="1"/>
  <c r="G78" a="1"/>
  <c r="E26" i="2" a="1"/>
  <c r="E14" a="1"/>
  <c r="G50" i="15" a="1"/>
  <c r="E55" i="2" a="1"/>
  <c r="E36" a="1"/>
  <c r="G84" i="15" a="1"/>
  <c r="G74" a="1"/>
  <c r="D1091" i="2"/>
  <c r="D1140"/>
  <c r="E2678" a="1"/>
  <c r="E973" a="1"/>
  <c r="E957" a="1"/>
  <c r="E941" a="1"/>
  <c r="E956" a="1"/>
  <c r="E932" a="1"/>
  <c r="E962" a="1"/>
  <c r="E935" a="1"/>
  <c r="E166" a="1"/>
  <c r="D1138"/>
  <c r="E971" a="1"/>
  <c r="E984" a="1"/>
  <c r="E930" a="1"/>
  <c r="E933" a="1"/>
  <c r="E153" a="1"/>
  <c r="E137" a="1"/>
  <c r="E121" a="1"/>
  <c r="E150" a="1"/>
  <c r="E118" a="1"/>
  <c r="E144" a="1"/>
  <c r="D1088"/>
  <c r="D1139"/>
  <c r="E2576" a="1"/>
  <c r="D950"/>
  <c r="E2309" a="1"/>
  <c r="E2310" a="1"/>
  <c r="E2311" a="1"/>
  <c r="D1655"/>
  <c r="E975" a="1"/>
  <c r="E943" a="1"/>
  <c r="E934" a="1"/>
  <c r="E937" a="1"/>
  <c r="E155" a="1"/>
  <c r="E139" a="1"/>
  <c r="E123" a="1"/>
  <c r="E154" a="1"/>
  <c r="E122" a="1"/>
  <c r="E148" a="1"/>
  <c r="D1080"/>
  <c r="E2523" a="1"/>
  <c r="E2415" a="1"/>
  <c r="E2577" a="1"/>
  <c r="E2733" a="1"/>
  <c r="E2734" a="1"/>
  <c r="E2472" a="1"/>
  <c r="E2527" a="1"/>
  <c r="E2682" a="1"/>
  <c r="G57" i="15" a="1"/>
  <c r="G49" a="1"/>
  <c r="E1556" i="2" a="1"/>
  <c r="E1256" a="1"/>
  <c r="E1262" a="1"/>
  <c r="E1245" a="1"/>
  <c r="E1277" a="1"/>
  <c r="E916" a="1"/>
  <c r="E900" a="1"/>
  <c r="E884" a="1"/>
  <c r="E534" a="1"/>
  <c r="E540" a="1"/>
  <c r="E535" a="1"/>
  <c r="E567" a="1"/>
  <c r="E440" a="1"/>
  <c r="E446" a="1"/>
  <c r="E431" a="1"/>
  <c r="E463" a="1"/>
  <c r="E236" a="1"/>
  <c r="E239" a="1"/>
  <c r="E271" a="1"/>
  <c r="E113" a="1"/>
  <c r="E97" a="1"/>
  <c r="E81" a="1"/>
  <c r="E65" a="1"/>
  <c r="E2247" a="1"/>
  <c r="E2231" a="1"/>
  <c r="E2215" a="1"/>
  <c r="E2142" a="1"/>
  <c r="E2126" a="1"/>
  <c r="E2110" a="1"/>
  <c r="E2098" a="1"/>
  <c r="E2090" a="1"/>
  <c r="E1793" a="1"/>
  <c r="E1785" a="1"/>
  <c r="E1777" a="1"/>
  <c r="E1769" a="1"/>
  <c r="E1761" a="1"/>
  <c r="E1753" a="1"/>
  <c r="E1745" a="1"/>
  <c r="E1633" a="1"/>
  <c r="E1649" a="1"/>
  <c r="E1665" a="1"/>
  <c r="E1681" a="1"/>
  <c r="E1638" a="1"/>
  <c r="E1654" a="1"/>
  <c r="E1670" a="1"/>
  <c r="E1452" a="1"/>
  <c r="E1469" a="1"/>
  <c r="E1484" a="1"/>
  <c r="E1500" a="1"/>
  <c r="E1459" a="1"/>
  <c r="E1475" a="1"/>
  <c r="E1491" a="1"/>
  <c r="E1507" a="1"/>
  <c r="E1446" a="1"/>
  <c r="E1438" a="1"/>
  <c r="E1430" a="1"/>
  <c r="E1422" a="1"/>
  <c r="E1414" a="1"/>
  <c r="E1406" a="1"/>
  <c r="E1398" a="1"/>
  <c r="E1341" a="1"/>
  <c r="E1357" a="1"/>
  <c r="E1373" a="1"/>
  <c r="E1389" a="1"/>
  <c r="E1346" a="1"/>
  <c r="E1362" a="1"/>
  <c r="E1378" a="1"/>
  <c r="E991" a="1"/>
  <c r="E1022" a="1"/>
  <c r="E996" a="1"/>
  <c r="E1028" a="1"/>
  <c r="E995" a="1"/>
  <c r="E1011" a="1"/>
  <c r="E1027" a="1"/>
  <c r="E1043" a="1"/>
  <c r="E865" a="1"/>
  <c r="E857" a="1"/>
  <c r="E849" a="1"/>
  <c r="E841" a="1"/>
  <c r="E833" a="1"/>
  <c r="E825" a="1"/>
  <c r="E817" a="1"/>
  <c r="E768" a="1"/>
  <c r="E800" a="1"/>
  <c r="E774" a="1"/>
  <c r="E806" a="1"/>
  <c r="E769" a="1"/>
  <c r="E785" a="1"/>
  <c r="E801" a="1"/>
  <c r="E349" a="1"/>
  <c r="E341" a="1"/>
  <c r="E333" a="1"/>
  <c r="E325" a="1"/>
  <c r="E317" a="1"/>
  <c r="E309" a="1"/>
  <c r="E301" a="1"/>
  <c r="E293" a="1"/>
  <c r="E206" a="1"/>
  <c r="E180" a="1"/>
  <c r="E212" a="1"/>
  <c r="E181" a="1"/>
  <c r="E197" a="1"/>
  <c r="E213" a="1"/>
  <c r="E229" a="1"/>
  <c r="D2681"/>
  <c r="D2441"/>
  <c r="D2275"/>
  <c r="D2183"/>
  <c r="D2157"/>
  <c r="D2049"/>
  <c r="D2010"/>
  <c r="D1986"/>
  <c r="D1863"/>
  <c r="D1578"/>
  <c r="D1315"/>
  <c r="D1297"/>
  <c r="D1281"/>
  <c r="D1224"/>
  <c r="D1111"/>
  <c r="D938"/>
  <c r="D878"/>
  <c r="D332"/>
  <c r="D62"/>
  <c r="D2323"/>
  <c r="D2226"/>
  <c r="D2210"/>
  <c r="D2096"/>
  <c r="D1766"/>
  <c r="D1750"/>
  <c r="D1691"/>
  <c r="D1644"/>
  <c r="D1628"/>
  <c r="D1454"/>
  <c r="D1177"/>
  <c r="D1079"/>
  <c r="D1055"/>
  <c r="D836"/>
  <c r="D818"/>
  <c r="D760"/>
  <c r="D649"/>
  <c r="D320"/>
  <c r="D298"/>
  <c r="E2256" a="1"/>
  <c r="E1098" a="1"/>
  <c r="E1090" a="1"/>
  <c r="E1082" a="1"/>
  <c r="E1074" a="1"/>
  <c r="E1066" a="1"/>
  <c r="E1058" a="1"/>
  <c r="E1050" a="1"/>
  <c r="E2730" a="1"/>
  <c r="D2188"/>
  <c r="E21" a="1"/>
  <c r="E54" a="1"/>
  <c r="G69" i="15" a="1"/>
  <c r="G60" a="1"/>
  <c r="E56" i="2" a="1"/>
  <c r="E3" a="1"/>
  <c r="G93" i="15" a="1"/>
  <c r="E58" i="2" a="1"/>
  <c r="E46" a="1"/>
  <c r="G65" i="15" a="1"/>
  <c r="G55" a="1"/>
  <c r="E52" i="2" a="1"/>
  <c r="G100" i="15" a="1"/>
  <c r="D1087" i="2"/>
  <c r="D475"/>
  <c r="E2362" a="1"/>
  <c r="E977" a="1"/>
  <c r="E961" a="1"/>
  <c r="E945" a="1"/>
  <c r="E964" a="1"/>
  <c r="E936" a="1"/>
  <c r="E970" a="1"/>
  <c r="E939" a="1"/>
  <c r="E169" a="1"/>
  <c r="E979" a="1"/>
  <c r="E947" a="1"/>
  <c r="E938" a="1"/>
  <c r="E942" a="1"/>
  <c r="E157" a="1"/>
  <c r="E141" a="1"/>
  <c r="E125" a="1"/>
  <c r="E158" a="1"/>
  <c r="E126" a="1"/>
  <c r="E152" a="1"/>
  <c r="E120" a="1"/>
  <c r="D533"/>
  <c r="E2468" a="1"/>
  <c r="D6"/>
  <c r="E2631" a="1"/>
  <c r="E2525" a="1"/>
  <c r="E2260" a="1"/>
  <c r="D1089"/>
  <c r="D534"/>
  <c r="E983" a="1"/>
  <c r="E951" a="1"/>
  <c r="E944" a="1"/>
  <c r="E950" a="1"/>
  <c r="E159" a="1"/>
  <c r="E143" a="1"/>
  <c r="E127" a="1"/>
  <c r="E162" a="1"/>
  <c r="E130" a="1"/>
  <c r="E156" a="1"/>
  <c r="E124" a="1"/>
  <c r="D1229"/>
  <c r="D2059"/>
  <c r="D5"/>
  <c r="E2524" a="1"/>
  <c r="E2680" a="1"/>
  <c r="E2365" a="1"/>
  <c r="E2471" a="1"/>
  <c r="E2261" a="1"/>
  <c r="E2735" a="1"/>
  <c r="D2470"/>
  <c r="D135"/>
  <c r="D2469"/>
  <c r="D144"/>
  <c r="D137"/>
  <c r="D317"/>
  <c r="D1436"/>
  <c r="D292"/>
  <c r="D2022"/>
  <c r="D132"/>
  <c r="D131"/>
  <c r="D126"/>
  <c r="D149"/>
  <c r="D2307"/>
  <c r="D323"/>
  <c r="D1264"/>
  <c r="D1443"/>
  <c r="D2016"/>
  <c r="D2023"/>
  <c r="D1928"/>
  <c r="D1952"/>
  <c r="D2278"/>
  <c r="D2294"/>
  <c r="D2454"/>
  <c r="D1301"/>
  <c r="D1947"/>
  <c r="D2303"/>
  <c r="D1118"/>
  <c r="D482"/>
  <c r="D1950"/>
  <c r="D2170"/>
  <c r="D2456"/>
  <c r="D1945"/>
  <c r="D1961"/>
  <c r="D2285"/>
  <c r="D2301"/>
  <c r="D2453"/>
  <c r="D2171"/>
  <c r="D2299"/>
  <c r="D186"/>
  <c r="D1808"/>
  <c r="E2635" a="1"/>
  <c r="D280"/>
  <c r="D1810"/>
  <c r="E2528" a="1"/>
  <c r="D124"/>
  <c r="D143"/>
  <c r="D2310"/>
  <c r="D134"/>
  <c r="D145"/>
  <c r="D321"/>
  <c r="D1240"/>
  <c r="D1441"/>
  <c r="D1267"/>
  <c r="D2018"/>
  <c r="D138"/>
  <c r="D142"/>
  <c r="D1442"/>
  <c r="D524"/>
  <c r="D2467"/>
  <c r="D1427"/>
  <c r="D1231"/>
  <c r="D476"/>
  <c r="D1119"/>
  <c r="D1940"/>
  <c r="D2176"/>
  <c r="D2290"/>
  <c r="D2306"/>
  <c r="D2466"/>
  <c r="D1935"/>
  <c r="D1951"/>
  <c r="D2447"/>
  <c r="D1308"/>
  <c r="D1962"/>
  <c r="D2178"/>
  <c r="D2300"/>
  <c r="D2460"/>
  <c r="D1949"/>
  <c r="D2177"/>
  <c r="D2289"/>
  <c r="D2449"/>
  <c r="D2465"/>
  <c r="D2279"/>
  <c r="D2463"/>
  <c r="D273"/>
  <c r="D2472"/>
  <c r="E2313" a="1"/>
  <c r="E2683" a="1"/>
  <c r="D274"/>
  <c r="D1809"/>
  <c r="E2367" a="1"/>
  <c r="D242"/>
  <c r="D1148"/>
  <c r="E985" a="1"/>
  <c r="E969" a="1"/>
  <c r="E953" a="1"/>
  <c r="E980" a="1"/>
  <c r="E948" a="1"/>
  <c r="E986" a="1"/>
  <c r="E954" a="1"/>
  <c r="E931" a="1"/>
  <c r="E161" a="1"/>
  <c r="E2308" a="1"/>
  <c r="E963" a="1"/>
  <c r="E968" a="1"/>
  <c r="E974" a="1"/>
  <c r="E171" a="1"/>
  <c r="E149" a="1"/>
  <c r="E133" a="1"/>
  <c r="E174" a="1"/>
  <c r="E142" a="1"/>
  <c r="E168" a="1"/>
  <c r="E136" a="1"/>
  <c r="D1092"/>
  <c r="D1149"/>
  <c r="E2630" a="1"/>
  <c r="E2679" a="1"/>
  <c r="E2732" a="1"/>
  <c r="E2578" a="1"/>
  <c r="E2417" a="1"/>
  <c r="D535"/>
  <c r="D1142"/>
  <c r="E967" a="1"/>
  <c r="E976" a="1"/>
  <c r="E982" a="1"/>
  <c r="E175" a="1"/>
  <c r="E151" a="1"/>
  <c r="E135" a="1"/>
  <c r="E119" a="1"/>
  <c r="E146" a="1"/>
  <c r="E172" a="1"/>
  <c r="E140" a="1"/>
  <c r="D1090"/>
  <c r="E2257" a="1"/>
  <c r="E2258" a="1"/>
  <c r="E2416" a="1"/>
  <c r="E2259" a="1"/>
  <c r="E2681" a="1"/>
  <c r="E2634" a="1"/>
  <c r="E2580" a="1"/>
  <c r="E2418" a="1"/>
  <c r="D146"/>
  <c r="D151"/>
  <c r="D2468"/>
  <c r="D150"/>
  <c r="D153"/>
  <c r="D827"/>
  <c r="D1073"/>
  <c r="D1268"/>
  <c r="D2471"/>
  <c r="D122"/>
  <c r="D152"/>
  <c r="D133"/>
  <c r="D2308"/>
  <c r="E562" a="1"/>
  <c r="E536" a="1"/>
  <c r="E568" a="1"/>
  <c r="E533" a="1"/>
  <c r="E549" a="1"/>
  <c r="E565" a="1"/>
  <c r="E581" a="1"/>
  <c r="E436" a="1"/>
  <c r="E410" a="1"/>
  <c r="E442" a="1"/>
  <c r="E413" a="1"/>
  <c r="E429" a="1"/>
  <c r="E445" a="1"/>
  <c r="E461" a="1"/>
  <c r="E250" a="1"/>
  <c r="E282" a="1"/>
  <c r="E256" a="1"/>
  <c r="E288" a="1"/>
  <c r="E249" a="1"/>
  <c r="E265" a="1"/>
  <c r="E281" a="1"/>
  <c r="E116" a="1"/>
  <c r="E108" a="1"/>
  <c r="E100" a="1"/>
  <c r="E92" a="1"/>
  <c r="E84" a="1"/>
  <c r="E76" a="1"/>
  <c r="E68" a="1"/>
  <c r="E60" a="1"/>
  <c r="E2250" a="1"/>
  <c r="E2242" a="1"/>
  <c r="E2234" a="1"/>
  <c r="E2226" a="1"/>
  <c r="E2218" a="1"/>
  <c r="E2210" a="1"/>
  <c r="E2145" a="1"/>
  <c r="E2137" a="1"/>
  <c r="E2129" a="1"/>
  <c r="E2121" a="1"/>
  <c r="E2113" a="1"/>
  <c r="E2105" a="1"/>
  <c r="E2097" a="1"/>
  <c r="D2090"/>
  <c r="E1792" a="1"/>
  <c r="E1784" a="1"/>
  <c r="E1776" a="1"/>
  <c r="E1768" a="1"/>
  <c r="E1760" a="1"/>
  <c r="E1752" a="1"/>
  <c r="E1744" a="1"/>
  <c r="E1635" a="1"/>
  <c r="E1651" a="1"/>
  <c r="E1667" a="1"/>
  <c r="E1683" a="1"/>
  <c r="E1640" a="1"/>
  <c r="E1656" a="1"/>
  <c r="E1672" a="1"/>
  <c r="E1454" a="1"/>
  <c r="E1470" a="1"/>
  <c r="E1486" a="1"/>
  <c r="E1502" a="1"/>
  <c r="E1461" a="1"/>
  <c r="E1477" a="1"/>
  <c r="E1493" a="1"/>
  <c r="E1509" a="1"/>
  <c r="E1445" a="1"/>
  <c r="E1437" a="1"/>
  <c r="E1429" a="1"/>
  <c r="E1421" a="1"/>
  <c r="E1413" a="1"/>
  <c r="E1405" a="1"/>
  <c r="E1397" a="1"/>
  <c r="E1343" a="1"/>
  <c r="E1360" a="1"/>
  <c r="E1375" a="1"/>
  <c r="E1391" a="1"/>
  <c r="E1348" a="1"/>
  <c r="E1364" a="1"/>
  <c r="E1380" a="1"/>
  <c r="E994" a="1"/>
  <c r="E1026" a="1"/>
  <c r="E1000" a="1"/>
  <c r="E1032" a="1"/>
  <c r="E997" a="1"/>
  <c r="E1013" a="1"/>
  <c r="E1029" a="1"/>
  <c r="E1045" a="1"/>
  <c r="E864" a="1"/>
  <c r="E856" a="1"/>
  <c r="E848" a="1"/>
  <c r="E840" a="1"/>
  <c r="E832" a="1"/>
  <c r="E824" a="1"/>
  <c r="E816" a="1"/>
  <c r="E772" a="1"/>
  <c r="E804" a="1"/>
  <c r="E778" a="1"/>
  <c r="E810" a="1"/>
  <c r="E771" a="1"/>
  <c r="E787" a="1"/>
  <c r="E803" a="1"/>
  <c r="E348" a="1"/>
  <c r="E340" a="1"/>
  <c r="E332" a="1"/>
  <c r="E324" a="1"/>
  <c r="E316" a="1"/>
  <c r="E308" a="1"/>
  <c r="E300" a="1"/>
  <c r="E292" a="1"/>
  <c r="E202" a="1"/>
  <c r="E176" a="1"/>
  <c r="E208" a="1"/>
  <c r="E179" a="1"/>
  <c r="E195" a="1"/>
  <c r="E211" a="1"/>
  <c r="E227" a="1"/>
  <c r="D2464"/>
  <c r="D2565"/>
  <c r="D2381"/>
  <c r="D2185"/>
  <c r="D2159"/>
  <c r="D2047"/>
  <c r="D2000"/>
  <c r="D1984"/>
  <c r="D1865"/>
  <c r="D1576"/>
  <c r="D1313"/>
  <c r="D1291"/>
  <c r="D1256"/>
  <c r="D1129"/>
  <c r="D1105"/>
  <c r="D936"/>
  <c r="D876"/>
  <c r="D334"/>
  <c r="D64"/>
  <c r="D2244"/>
  <c r="D2228"/>
  <c r="D2212"/>
  <c r="D2094"/>
  <c r="D1764"/>
  <c r="D1748"/>
  <c r="D1689"/>
  <c r="D1642"/>
  <c r="D1488"/>
  <c r="D1432"/>
  <c r="D1173"/>
  <c r="D1077"/>
  <c r="D1049"/>
  <c r="D834"/>
  <c r="D816"/>
  <c r="D758"/>
  <c r="D647"/>
  <c r="D314"/>
  <c r="D194"/>
  <c r="E2467" a="1"/>
  <c r="E1099" a="1"/>
  <c r="E1091" a="1"/>
  <c r="E1083" a="1"/>
  <c r="E1075" a="1"/>
  <c r="E1067" a="1"/>
  <c r="E1059" a="1"/>
  <c r="E1051" a="1"/>
  <c r="E2361" a="1"/>
  <c r="D2189"/>
  <c r="E57" a="1"/>
  <c r="G94" i="15" a="1"/>
  <c r="G83" a="1"/>
  <c r="E35" i="2" a="1"/>
  <c r="E16" a="1"/>
  <c r="G63" i="15" a="1"/>
  <c r="G53" a="1"/>
  <c r="E49" i="2" a="1"/>
  <c r="G90" i="15" a="1"/>
  <c r="G80" a="1"/>
  <c r="E31" i="2" a="1"/>
  <c r="E13" a="1"/>
  <c r="E1606" a="1"/>
  <c r="E1612" a="1"/>
  <c r="E1593" a="1"/>
  <c r="E1625" a="1"/>
  <c r="E1539" a="1"/>
  <c r="E1512" a="1"/>
  <c r="E1546" a="1"/>
  <c r="E1236" a="1"/>
  <c r="E1242" a="1"/>
  <c r="E1235" a="1"/>
  <c r="E1263" a="1"/>
  <c r="D1220"/>
  <c r="E923" a="1"/>
  <c r="E915" a="1"/>
  <c r="E907" a="1"/>
  <c r="E899" a="1"/>
  <c r="E891" a="1"/>
  <c r="E883" a="1"/>
  <c r="E875" a="1"/>
  <c r="E538" a="1"/>
  <c r="E570" a="1"/>
  <c r="E544" a="1"/>
  <c r="E576" a="1"/>
  <c r="E537" a="1"/>
  <c r="E553" a="1"/>
  <c r="E569" a="1"/>
  <c r="E412" a="1"/>
  <c r="E444" a="1"/>
  <c r="E418" a="1"/>
  <c r="E450" a="1"/>
  <c r="E417" a="1"/>
  <c r="E433" a="1"/>
  <c r="E449" a="1"/>
  <c r="E465" a="1"/>
  <c r="E258" a="1"/>
  <c r="E290" a="1"/>
  <c r="E264" a="1"/>
  <c r="E237" a="1"/>
  <c r="E253" a="1"/>
  <c r="E269" a="1"/>
  <c r="E285" a="1"/>
  <c r="E114" a="1"/>
  <c r="E106" a="1"/>
  <c r="E98" a="1"/>
  <c r="E90" a="1"/>
  <c r="E82" a="1"/>
  <c r="E74" a="1"/>
  <c r="E66" a="1"/>
  <c r="D3"/>
  <c r="E2248" a="1"/>
  <c r="E2240" a="1"/>
  <c r="E2232" a="1"/>
  <c r="E2224" a="1"/>
  <c r="E2216" a="1"/>
  <c r="E2208" a="1"/>
  <c r="E2143" a="1"/>
  <c r="E2135" a="1"/>
  <c r="E2127" a="1"/>
  <c r="E2119" a="1"/>
  <c r="E2111" a="1"/>
  <c r="E2103" a="1"/>
  <c r="E2095" a="1"/>
  <c r="E1798" a="1"/>
  <c r="E1790" a="1"/>
  <c r="E1782" a="1"/>
  <c r="E1774" a="1"/>
  <c r="E1766" a="1"/>
  <c r="E1758" a="1"/>
  <c r="E1750" a="1"/>
  <c r="E1742" a="1"/>
  <c r="E1639" a="1"/>
  <c r="E1655" a="1"/>
  <c r="E1671" a="1"/>
  <c r="E1628" a="1"/>
  <c r="E1644" a="1"/>
  <c r="E1660" a="1"/>
  <c r="E1676" a="1"/>
  <c r="E1458" a="1"/>
  <c r="E1473" a="1"/>
  <c r="E1490" a="1"/>
  <c r="E1506" a="1"/>
  <c r="E1465" a="1"/>
  <c r="E1481" a="1"/>
  <c r="E1497" a="1"/>
  <c r="E1451" a="1"/>
  <c r="E1443" a="1"/>
  <c r="E1435" a="1"/>
  <c r="E1427" a="1"/>
  <c r="E1419" a="1"/>
  <c r="E1411" a="1"/>
  <c r="E1403" a="1"/>
  <c r="E1395" a="1"/>
  <c r="E1347" a="1"/>
  <c r="E1363" a="1"/>
  <c r="E1379" a="1"/>
  <c r="E1336" a="1"/>
  <c r="E1352" a="1"/>
  <c r="E1368" a="1"/>
  <c r="E1384" a="1"/>
  <c r="E1002" a="1"/>
  <c r="E1034" a="1"/>
  <c r="E1008" a="1"/>
  <c r="E1040" a="1"/>
  <c r="E1001" a="1"/>
  <c r="E1017" a="1"/>
  <c r="E1033" a="1"/>
  <c r="E870" a="1"/>
  <c r="E862" a="1"/>
  <c r="E854" a="1"/>
  <c r="E846" a="1"/>
  <c r="E838" a="1"/>
  <c r="E830" a="1"/>
  <c r="E822" a="1"/>
  <c r="E814" a="1"/>
  <c r="E780" a="1"/>
  <c r="E812" a="1"/>
  <c r="E786" a="1"/>
  <c r="E759" a="1"/>
  <c r="E775" a="1"/>
  <c r="E791" a="1"/>
  <c r="E807" a="1"/>
  <c r="E346" a="1"/>
  <c r="E338" a="1"/>
  <c r="E330" a="1"/>
  <c r="E322" a="1"/>
  <c r="E314" a="1"/>
  <c r="E306" a="1"/>
  <c r="E298" a="1"/>
  <c r="E178" a="1"/>
  <c r="E210" a="1"/>
  <c r="E184" a="1"/>
  <c r="E216" a="1"/>
  <c r="E183" a="1"/>
  <c r="E199" a="1"/>
  <c r="E215" a="1"/>
  <c r="E231" a="1"/>
  <c r="D2679"/>
  <c r="D2443"/>
  <c r="D2273"/>
  <c r="D2181"/>
  <c r="D2155"/>
  <c r="D2041"/>
  <c r="D1996"/>
  <c r="D1980"/>
  <c r="D1861"/>
  <c r="D1572"/>
  <c r="D1309"/>
  <c r="D1287"/>
  <c r="D1232"/>
  <c r="D1123"/>
  <c r="D962"/>
  <c r="D932"/>
  <c r="D593"/>
  <c r="D254"/>
  <c r="D9"/>
  <c r="D2240"/>
  <c r="D2224"/>
  <c r="D2208"/>
  <c r="D1780"/>
  <c r="D1760"/>
  <c r="D1744"/>
  <c r="D1685"/>
  <c r="D1638"/>
  <c r="D1480"/>
  <c r="D1428"/>
  <c r="D1169"/>
  <c r="D1067"/>
  <c r="D1006"/>
  <c r="D830"/>
  <c r="D774"/>
  <c r="D661"/>
  <c r="D643"/>
  <c r="D310"/>
  <c r="D182"/>
  <c r="E2629" a="1"/>
  <c r="E1097" a="1"/>
  <c r="E1089" a="1"/>
  <c r="E1081" a="1"/>
  <c r="E1073" a="1"/>
  <c r="E1065" a="1"/>
  <c r="E1057" a="1"/>
  <c r="E1049" a="1"/>
  <c r="E2205" a="1"/>
  <c r="E37" a="1"/>
  <c r="E25" a="1"/>
  <c r="G77" i="15" a="1"/>
  <c r="G67" a="1"/>
  <c r="E19" i="2" a="1"/>
  <c r="E7" a="1"/>
  <c r="G47" i="15" a="1"/>
  <c r="E29" i="2" a="1"/>
  <c r="E17" a="1"/>
  <c r="G73" i="15" a="1"/>
  <c r="G64" a="1"/>
  <c r="E15" i="2" a="1"/>
  <c r="E5" a="1"/>
  <c r="G97" i="15" a="1"/>
  <c r="E1528" i="2" a="1"/>
  <c r="E1544" a="1"/>
  <c r="E1560" a="1"/>
  <c r="E1232" a="1"/>
  <c r="E1264" a="1"/>
  <c r="E1238" a="1"/>
  <c r="E1270" a="1"/>
  <c r="E1233" a="1"/>
  <c r="E1249" a="1"/>
  <c r="E1265" a="1"/>
  <c r="D930"/>
  <c r="E922" a="1"/>
  <c r="E914" a="1"/>
  <c r="E906" a="1"/>
  <c r="E898" a="1"/>
  <c r="E890" a="1"/>
  <c r="E882" a="1"/>
  <c r="E874" a="1"/>
  <c r="E542" a="1"/>
  <c r="E574" a="1"/>
  <c r="E548" a="1"/>
  <c r="E580" a="1"/>
  <c r="E539" a="1"/>
  <c r="E555" a="1"/>
  <c r="E571" a="1"/>
  <c r="E416" a="1"/>
  <c r="E448" a="1"/>
  <c r="E422" a="1"/>
  <c r="E454" a="1"/>
  <c r="E419" a="1"/>
  <c r="E435" a="1"/>
  <c r="E451" a="1"/>
  <c r="E238" a="1"/>
  <c r="E270" a="1"/>
  <c r="E244" a="1"/>
  <c r="E276" a="1"/>
  <c r="E243" a="1"/>
  <c r="E259" a="1"/>
  <c r="E275" a="1"/>
  <c r="E291" a="1"/>
  <c r="E111" a="1"/>
  <c r="E103" a="1"/>
  <c r="E95" a="1"/>
  <c r="E87" a="1"/>
  <c r="E79" a="1"/>
  <c r="E71" a="1"/>
  <c r="E63" a="1"/>
  <c r="E2253" a="1"/>
  <c r="E2245" a="1"/>
  <c r="E2237" a="1"/>
  <c r="E2229" a="1"/>
  <c r="E2221" a="1"/>
  <c r="E2213" a="1"/>
  <c r="D2206"/>
  <c r="E2140" a="1"/>
  <c r="E2132" a="1"/>
  <c r="E2124" a="1"/>
  <c r="E2116" a="1"/>
  <c r="E2108" a="1"/>
  <c r="G81" i="15" a="1"/>
  <c r="E1548" i="2" a="1"/>
  <c r="E1240" a="1"/>
  <c r="E1246" a="1"/>
  <c r="E1237" a="1"/>
  <c r="E1269" a="1"/>
  <c r="E920" a="1"/>
  <c r="E904" a="1"/>
  <c r="E888" a="1"/>
  <c r="E872" a="1"/>
  <c r="E524" a="1"/>
  <c r="E527" a="1"/>
  <c r="E559" a="1"/>
  <c r="E424" a="1"/>
  <c r="E430" a="1"/>
  <c r="E423" a="1"/>
  <c r="E455" a="1"/>
  <c r="E278" a="1"/>
  <c r="E284" a="1"/>
  <c r="E263" a="1"/>
  <c r="E117" a="1"/>
  <c r="E101" a="1"/>
  <c r="E85" a="1"/>
  <c r="E69" a="1"/>
  <c r="E2251" a="1"/>
  <c r="E2235" a="1"/>
  <c r="E2219" a="1"/>
  <c r="E2146" a="1"/>
  <c r="E2130" a="1"/>
  <c r="E2114" a="1"/>
  <c r="E2100" a="1"/>
  <c r="E2092" a="1"/>
  <c r="E1795" a="1"/>
  <c r="E1787" a="1"/>
  <c r="E1779" a="1"/>
  <c r="E1771" a="1"/>
  <c r="E1763" a="1"/>
  <c r="E1755" a="1"/>
  <c r="E1747" a="1"/>
  <c r="E1629" a="1"/>
  <c r="E1645" a="1"/>
  <c r="E1661" a="1"/>
  <c r="E1677" a="1"/>
  <c r="E1634" a="1"/>
  <c r="E1650" a="1"/>
  <c r="E1666" a="1"/>
  <c r="E1682" a="1"/>
  <c r="E1464" a="1"/>
  <c r="E1479" a="1"/>
  <c r="E1496" a="1"/>
  <c r="E1455" a="1"/>
  <c r="E1471" a="1"/>
  <c r="E1487" a="1"/>
  <c r="E1503" a="1"/>
  <c r="E1448" a="1"/>
  <c r="E1440" a="1"/>
  <c r="E1432" a="1"/>
  <c r="E1424" a="1"/>
  <c r="E1416" a="1"/>
  <c r="E1408" a="1"/>
  <c r="E1400" a="1"/>
  <c r="E1337" a="1"/>
  <c r="E1353" a="1"/>
  <c r="E1369" a="1"/>
  <c r="E1385" a="1"/>
  <c r="E1342" a="1"/>
  <c r="E1358" a="1"/>
  <c r="E1374" a="1"/>
  <c r="E1390" a="1"/>
  <c r="E1014" a="1"/>
  <c r="E988" a="1"/>
  <c r="E1020" a="1"/>
  <c r="E990" a="1"/>
  <c r="E1007" a="1"/>
  <c r="E1023" a="1"/>
  <c r="E1039" a="1"/>
  <c r="E867" a="1"/>
  <c r="E859" a="1"/>
  <c r="E851" a="1"/>
  <c r="E843" a="1"/>
  <c r="E835" a="1"/>
  <c r="E827" a="1"/>
  <c r="E819" a="1"/>
  <c r="E760" a="1"/>
  <c r="E792" a="1"/>
  <c r="E766" a="1"/>
  <c r="E798" a="1"/>
  <c r="E765" a="1"/>
  <c r="E781" a="1"/>
  <c r="E797" a="1"/>
  <c r="E813" a="1"/>
  <c r="E343" a="1"/>
  <c r="E335" a="1"/>
  <c r="E327" a="1"/>
  <c r="E319" a="1"/>
  <c r="E311" a="1"/>
  <c r="E303" a="1"/>
  <c r="E295" a="1"/>
  <c r="E198" a="1"/>
  <c r="E230" a="1"/>
  <c r="E204" a="1"/>
  <c r="E177" a="1"/>
  <c r="E193" a="1"/>
  <c r="E209" a="1"/>
  <c r="E225" a="1"/>
  <c r="D2497"/>
  <c r="D2589"/>
  <c r="D2362"/>
  <c r="D2246"/>
  <c r="D2161"/>
  <c r="D2053"/>
  <c r="D2035"/>
  <c r="D1990"/>
  <c r="D1923"/>
  <c r="D1781"/>
  <c r="D1514"/>
  <c r="D1303"/>
  <c r="D1285"/>
  <c r="D1230"/>
  <c r="D1115"/>
  <c r="D960"/>
  <c r="D882"/>
  <c r="D585"/>
  <c r="D70"/>
  <c r="D2353"/>
  <c r="D2234"/>
  <c r="D2214"/>
  <c r="D2100"/>
  <c r="D1774"/>
  <c r="D1754"/>
  <c r="D1695"/>
  <c r="D1648"/>
  <c r="D1632"/>
  <c r="D1458"/>
  <c r="D1317"/>
  <c r="D1163"/>
  <c r="D1065"/>
  <c r="D850"/>
  <c r="D822"/>
  <c r="D764"/>
  <c r="D655"/>
  <c r="D328"/>
  <c r="D302"/>
  <c r="D180"/>
  <c r="E1100" a="1"/>
  <c r="E1092" a="1"/>
  <c r="E1084" a="1"/>
  <c r="E1076" a="1"/>
  <c r="E1068" a="1"/>
  <c r="E1060" a="1"/>
  <c r="E1052" a="1"/>
  <c r="E2413" a="1"/>
  <c r="D1310"/>
  <c r="E53" a="1"/>
  <c r="E41" a="1"/>
  <c r="G86" i="15" a="1"/>
  <c r="G76" a="1"/>
  <c r="E27" i="2" a="1"/>
  <c r="E11" a="1"/>
  <c r="G56" i="15" a="1"/>
  <c r="E45" i="2" a="1"/>
  <c r="E33" a="1"/>
  <c r="G82" i="15" a="1"/>
  <c r="G72" a="1"/>
  <c r="E23" i="2" a="1"/>
  <c r="E9" a="1"/>
  <c r="G52" i="15" a="1"/>
  <c r="E2" i="2" a="1"/>
  <c r="D1250"/>
  <c r="D2574"/>
  <c r="E981" a="1"/>
  <c r="E965" a="1"/>
  <c r="E949" a="1"/>
  <c r="E972" a="1"/>
  <c r="E940" a="1"/>
  <c r="E978" a="1"/>
  <c r="E946" a="1"/>
  <c r="E173" a="1"/>
  <c r="D1093"/>
  <c r="E987" a="1"/>
  <c r="E955" a="1"/>
  <c r="E952" a="1"/>
  <c r="E958" a="1"/>
  <c r="E163" a="1"/>
  <c r="E145" a="1"/>
  <c r="E129" a="1"/>
  <c r="E165" a="1"/>
  <c r="E134" a="1"/>
  <c r="E160" a="1"/>
  <c r="E128" a="1"/>
  <c r="D458"/>
  <c r="D2573"/>
  <c r="D147"/>
  <c r="E2469" a="1"/>
  <c r="E2364" a="1"/>
  <c r="E2632" a="1"/>
  <c r="E2633" a="1"/>
  <c r="D532"/>
  <c r="E2731" a="1"/>
  <c r="E959" a="1"/>
  <c r="E960" a="1"/>
  <c r="E966" a="1"/>
  <c r="E167" a="1"/>
  <c r="E147" a="1"/>
  <c r="E131" a="1"/>
  <c r="E170" a="1"/>
  <c r="E138" a="1"/>
  <c r="E164" a="1"/>
  <c r="E132" a="1"/>
  <c r="D279"/>
  <c r="D1147"/>
  <c r="E2414" a="1"/>
  <c r="E2363" a="1"/>
  <c r="E2470" a="1"/>
  <c r="E2579" a="1"/>
  <c r="E2526" a="1"/>
  <c r="E2366" a="1"/>
  <c r="E2312" a="1"/>
  <c r="G68" i="15" a="1"/>
  <c r="G59" a="1"/>
  <c r="E1540" i="2" a="1"/>
  <c r="E1224" a="1"/>
  <c r="E1230" a="1"/>
  <c r="E1229" a="1"/>
  <c r="E1261" a="1"/>
  <c r="E924" a="1"/>
  <c r="E908" a="1"/>
  <c r="E892" a="1"/>
  <c r="E876" a="1"/>
  <c r="E566" a="1"/>
  <c r="E572" a="1"/>
  <c r="E551" a="1"/>
  <c r="E408" a="1"/>
  <c r="E414" a="1"/>
  <c r="E415" a="1"/>
  <c r="E447" a="1"/>
  <c r="E262" a="1"/>
  <c r="E268" a="1"/>
  <c r="E255" a="1"/>
  <c r="E287" a="1"/>
  <c r="E105" a="1"/>
  <c r="E89" a="1"/>
  <c r="E73" a="1"/>
  <c r="E2255" a="1"/>
  <c r="E2239" a="1"/>
  <c r="E2223" a="1"/>
  <c r="E2207" a="1"/>
  <c r="E2134" a="1"/>
  <c r="E2118" a="1"/>
  <c r="E2102" a="1"/>
  <c r="E2094" a="1"/>
  <c r="E1797" a="1"/>
  <c r="E1789" a="1"/>
  <c r="E1781" a="1"/>
  <c r="E1773" a="1"/>
  <c r="E1765" a="1"/>
  <c r="E1757" a="1"/>
  <c r="E1749" a="1"/>
  <c r="D1742"/>
  <c r="E1641" a="1"/>
  <c r="E1657" a="1"/>
  <c r="E1673" a="1"/>
  <c r="E1630" a="1"/>
  <c r="E1646" a="1"/>
  <c r="E1662" a="1"/>
  <c r="E1678" a="1"/>
  <c r="E1460" a="1"/>
  <c r="E1476" a="1"/>
  <c r="E1492" a="1"/>
  <c r="E1508" a="1"/>
  <c r="E1467" a="1"/>
  <c r="E1483" a="1"/>
  <c r="E1499" a="1"/>
  <c r="E1450" a="1"/>
  <c r="E1442" a="1"/>
  <c r="E1434" a="1"/>
  <c r="E1426" a="1"/>
  <c r="E1418" a="1"/>
  <c r="E1410" a="1"/>
  <c r="E1402" a="1"/>
  <c r="E1394" a="1"/>
  <c r="E1349" a="1"/>
  <c r="E1365" a="1"/>
  <c r="E1381" a="1"/>
  <c r="E1338" a="1"/>
  <c r="E1354" a="1"/>
  <c r="E1370" a="1"/>
  <c r="E1386" a="1"/>
  <c r="E1006" a="1"/>
  <c r="E1038" a="1"/>
  <c r="E1012" a="1"/>
  <c r="E1044" a="1"/>
  <c r="E1003" a="1"/>
  <c r="E1019" a="1"/>
  <c r="E1035" a="1"/>
  <c r="E869" a="1"/>
  <c r="E861" a="1"/>
  <c r="E853" a="1"/>
  <c r="E845" a="1"/>
  <c r="E837" a="1"/>
  <c r="E829" a="1"/>
  <c r="E821" a="1"/>
  <c r="D814"/>
  <c r="E784" a="1"/>
  <c r="E758" a="1"/>
  <c r="E790" a="1"/>
  <c r="E761" a="1"/>
  <c r="E777" a="1"/>
  <c r="E793" a="1"/>
  <c r="E809" a="1"/>
  <c r="E345" a="1"/>
  <c r="E337" a="1"/>
  <c r="E329" a="1"/>
  <c r="E321" a="1"/>
  <c r="E313" a="1"/>
  <c r="E305" a="1"/>
  <c r="E297" a="1"/>
  <c r="E190" a="1"/>
  <c r="E222" a="1"/>
  <c r="E196" a="1"/>
  <c r="E228" a="1"/>
  <c r="E189" a="1"/>
  <c r="E205" a="1"/>
  <c r="E221" a="1"/>
  <c r="D1047"/>
  <c r="D2673"/>
  <c r="D2383"/>
  <c r="D2267"/>
  <c r="D2165"/>
  <c r="D2149"/>
  <c r="D2039"/>
  <c r="D1994"/>
  <c r="D1978"/>
  <c r="D1804"/>
  <c r="D1570"/>
  <c r="D1307"/>
  <c r="D1289"/>
  <c r="D1254"/>
  <c r="D1125"/>
  <c r="D967"/>
  <c r="D892"/>
  <c r="D589"/>
  <c r="D238"/>
  <c r="D2357"/>
  <c r="D2238"/>
  <c r="D2218"/>
  <c r="D2114"/>
  <c r="D1778"/>
  <c r="D1758"/>
  <c r="D1699"/>
  <c r="D1652"/>
  <c r="D1636"/>
  <c r="D1462"/>
  <c r="D1398"/>
  <c r="D1167"/>
  <c r="D1071"/>
  <c r="D1022"/>
  <c r="D826"/>
  <c r="D768"/>
  <c r="D659"/>
  <c r="D641"/>
  <c r="D312"/>
  <c r="D192"/>
  <c r="E1102" a="1"/>
  <c r="E1094" a="1"/>
  <c r="E1086" a="1"/>
  <c r="E1078" a="1"/>
  <c r="E1070" a="1"/>
  <c r="E1062" a="1"/>
  <c r="E1054" a="1"/>
  <c r="E1046" a="1"/>
  <c r="E2522" a="1"/>
  <c r="D2193"/>
  <c r="E8" a="1"/>
  <c r="G46" i="15" a="1"/>
  <c r="G91" a="1"/>
  <c r="E43" i="2" a="1"/>
  <c r="E24" a="1"/>
  <c r="G71" i="15" a="1"/>
  <c r="G62" a="1"/>
  <c r="E4" i="2" a="1"/>
  <c r="G98" i="15" a="1"/>
  <c r="G87" a="1"/>
  <c r="E39" i="2" a="1"/>
  <c r="E20" a="1"/>
  <c r="G89" i="15" a="1"/>
  <c r="D1418" i="2"/>
  <c r="D1266"/>
  <c r="D1306"/>
  <c r="D1960"/>
  <c r="D2302"/>
  <c r="D1931"/>
  <c r="D2455"/>
  <c r="D2304"/>
  <c r="D1953"/>
  <c r="D2293"/>
  <c r="D2461"/>
  <c r="D2459"/>
  <c r="E2473" a="1"/>
  <c r="D248"/>
  <c r="D2312"/>
  <c r="D130"/>
  <c r="D128"/>
  <c r="D309"/>
  <c r="D324"/>
  <c r="D1243"/>
  <c r="D136"/>
  <c r="D2229"/>
  <c r="D326"/>
  <c r="D2020"/>
  <c r="D1932"/>
  <c r="D2282"/>
  <c r="D2458"/>
  <c r="D1943"/>
  <c r="D2017"/>
  <c r="D2166"/>
  <c r="D2452"/>
  <c r="D2169"/>
  <c r="D2305"/>
  <c r="D1959"/>
  <c r="D531"/>
  <c r="E2419" a="1"/>
  <c r="D139"/>
  <c r="D2388"/>
  <c r="E2736" a="1"/>
  <c r="D311"/>
  <c r="D318"/>
  <c r="D483"/>
  <c r="D1936"/>
  <c r="D2286"/>
  <c r="D2462"/>
  <c r="D2283"/>
  <c r="D2021"/>
  <c r="D1958"/>
  <c r="D1937"/>
  <c r="D2173"/>
  <c r="D2445"/>
  <c r="D2287"/>
  <c r="E2262" a="1"/>
  <c r="D1817"/>
  <c r="E2581" a="1"/>
  <c r="D2311"/>
  <c r="D129"/>
  <c r="D1253"/>
  <c r="D2230"/>
  <c r="D148"/>
  <c r="D315"/>
  <c r="D1265"/>
  <c r="D412"/>
  <c r="D2019"/>
  <c r="D1948"/>
  <c r="D2298"/>
  <c r="D1305"/>
  <c r="D2175"/>
  <c r="D1946"/>
  <c r="D2292"/>
  <c r="D1925"/>
  <c r="D2281"/>
  <c r="D2457"/>
  <c r="D2451"/>
  <c r="D410"/>
  <c r="D2735"/>
  <c r="D172"/>
  <c r="D2417"/>
  <c r="D2732"/>
  <c r="D171"/>
  <c r="D2730"/>
  <c r="D1082"/>
  <c r="D221"/>
  <c r="D189"/>
  <c r="D222"/>
  <c r="D305"/>
  <c r="D825"/>
  <c r="D849"/>
  <c r="D1027"/>
  <c r="D995"/>
  <c r="D996"/>
  <c r="D1406"/>
  <c r="D1422"/>
  <c r="D1491"/>
  <c r="D1500"/>
  <c r="D1469"/>
  <c r="D268"/>
  <c r="D447"/>
  <c r="D414"/>
  <c r="D551"/>
  <c r="D566"/>
  <c r="D2579"/>
  <c r="D170"/>
  <c r="D2731"/>
  <c r="D118"/>
  <c r="D225"/>
  <c r="D204"/>
  <c r="D835"/>
  <c r="D851"/>
  <c r="D1039"/>
  <c r="D990"/>
  <c r="D988"/>
  <c r="D1408"/>
  <c r="D1424"/>
  <c r="D1472"/>
  <c r="D1658"/>
  <c r="D1653"/>
  <c r="D252"/>
  <c r="D439"/>
  <c r="D543"/>
  <c r="D550"/>
  <c r="D283"/>
  <c r="D251"/>
  <c r="D459"/>
  <c r="D427"/>
  <c r="D438"/>
  <c r="D563"/>
  <c r="D564"/>
  <c r="D526"/>
  <c r="D1233"/>
  <c r="D1061"/>
  <c r="D1085"/>
  <c r="D223"/>
  <c r="D191"/>
  <c r="D846"/>
  <c r="D862"/>
  <c r="D1017"/>
  <c r="D1008"/>
  <c r="D1002"/>
  <c r="D1403"/>
  <c r="D1419"/>
  <c r="D1481"/>
  <c r="D1490"/>
  <c r="D2115"/>
  <c r="D261"/>
  <c r="D457"/>
  <c r="D425"/>
  <c r="D434"/>
  <c r="D561"/>
  <c r="D529"/>
  <c r="D528"/>
  <c r="D1251"/>
  <c r="D1609"/>
  <c r="D1063"/>
  <c r="D195"/>
  <c r="D202"/>
  <c r="D856"/>
  <c r="D1013"/>
  <c r="D1032"/>
  <c r="D1026"/>
  <c r="D1401"/>
  <c r="D1425"/>
  <c r="D1485"/>
  <c r="D1494"/>
  <c r="D265"/>
  <c r="D256"/>
  <c r="D250"/>
  <c r="D429"/>
  <c r="D442"/>
  <c r="D565"/>
  <c r="D568"/>
  <c r="D562"/>
  <c r="D1617"/>
  <c r="D1596"/>
  <c r="D1839"/>
  <c r="D1838"/>
  <c r="D2004"/>
  <c r="D2331"/>
  <c r="D2347"/>
  <c r="D491"/>
  <c r="D502"/>
  <c r="D595"/>
  <c r="D611"/>
  <c r="D627"/>
  <c r="D1599"/>
  <c r="D1592"/>
  <c r="D1586"/>
  <c r="D1837"/>
  <c r="D1834"/>
  <c r="D2009"/>
  <c r="D2324"/>
  <c r="D2340"/>
  <c r="D506"/>
  <c r="D473"/>
  <c r="D498"/>
  <c r="D596"/>
  <c r="D612"/>
  <c r="D628"/>
  <c r="D1244"/>
  <c r="D1613"/>
  <c r="D1581"/>
  <c r="D1588"/>
  <c r="D1582"/>
  <c r="D1827"/>
  <c r="D1846"/>
  <c r="D1840"/>
  <c r="D704"/>
  <c r="D2333"/>
  <c r="D2349"/>
  <c r="D487"/>
  <c r="D500"/>
  <c r="D494"/>
  <c r="D609"/>
  <c r="D625"/>
  <c r="D1611"/>
  <c r="D1616"/>
  <c r="D1610"/>
  <c r="D1833"/>
  <c r="D1852"/>
  <c r="D2007"/>
  <c r="D2338"/>
  <c r="D493"/>
  <c r="D512"/>
  <c r="D505"/>
  <c r="D594"/>
  <c r="D610"/>
  <c r="D626"/>
  <c r="D1137"/>
  <c r="D1881"/>
  <c r="D1897"/>
  <c r="D1944"/>
  <c r="D2065"/>
  <c r="D2284"/>
  <c r="D2396"/>
  <c r="D2572"/>
  <c r="D2561"/>
  <c r="D1134"/>
  <c r="D1870"/>
  <c r="D1886"/>
  <c r="D1902"/>
  <c r="D1933"/>
  <c r="D1957"/>
  <c r="D2062"/>
  <c r="D2078"/>
  <c r="D2410"/>
  <c r="D2411"/>
  <c r="D2562"/>
  <c r="D1871"/>
  <c r="D1887"/>
  <c r="D1903"/>
  <c r="D1942"/>
  <c r="D2075"/>
  <c r="D2392"/>
  <c r="D2393"/>
  <c r="D2557"/>
  <c r="D1136"/>
  <c r="D1884"/>
  <c r="D1900"/>
  <c r="D1927"/>
  <c r="D2072"/>
  <c r="D2398"/>
  <c r="D2558"/>
  <c r="D2419"/>
  <c r="E2636" a="1"/>
  <c r="E2684" a="1"/>
  <c r="E2314" a="1"/>
  <c r="D2418"/>
  <c r="D156"/>
  <c r="D127"/>
  <c r="D158"/>
  <c r="D141"/>
  <c r="D161"/>
  <c r="D1070"/>
  <c r="D197"/>
  <c r="D212"/>
  <c r="D837"/>
  <c r="D861"/>
  <c r="D1019"/>
  <c r="D1012"/>
  <c r="D1410"/>
  <c r="D1499"/>
  <c r="D1467"/>
  <c r="D1476"/>
  <c r="D271"/>
  <c r="D446"/>
  <c r="D567"/>
  <c r="D1245"/>
  <c r="D2682"/>
  <c r="D2734"/>
  <c r="D2577"/>
  <c r="D123"/>
  <c r="D160"/>
  <c r="D163"/>
  <c r="D2413"/>
  <c r="D1084"/>
  <c r="D217"/>
  <c r="D185"/>
  <c r="D188"/>
  <c r="D307"/>
  <c r="D847"/>
  <c r="D863"/>
  <c r="D1015"/>
  <c r="D1004"/>
  <c r="D998"/>
  <c r="D1412"/>
  <c r="D1487"/>
  <c r="D1479"/>
  <c r="D1661"/>
  <c r="D263"/>
  <c r="D278"/>
  <c r="D423"/>
  <c r="D424"/>
  <c r="D527"/>
  <c r="D1237"/>
  <c r="D275"/>
  <c r="D243"/>
  <c r="D270"/>
  <c r="D435"/>
  <c r="D454"/>
  <c r="D448"/>
  <c r="D571"/>
  <c r="D539"/>
  <c r="D542"/>
  <c r="D1241"/>
  <c r="D1081"/>
  <c r="D215"/>
  <c r="D183"/>
  <c r="D184"/>
  <c r="D306"/>
  <c r="D842"/>
  <c r="D1009"/>
  <c r="D1024"/>
  <c r="D1018"/>
  <c r="D1407"/>
  <c r="D1423"/>
  <c r="D1474"/>
  <c r="D1466"/>
  <c r="D253"/>
  <c r="D258"/>
  <c r="D433"/>
  <c r="D450"/>
  <c r="D444"/>
  <c r="D553"/>
  <c r="D570"/>
  <c r="D1242"/>
  <c r="D1593"/>
  <c r="D1606"/>
  <c r="D1083"/>
  <c r="D203"/>
  <c r="D224"/>
  <c r="D304"/>
  <c r="D852"/>
  <c r="D1037"/>
  <c r="D1005"/>
  <c r="D1016"/>
  <c r="D1010"/>
  <c r="D1405"/>
  <c r="D1421"/>
  <c r="D1486"/>
  <c r="D272"/>
  <c r="D453"/>
  <c r="D421"/>
  <c r="D452"/>
  <c r="D573"/>
  <c r="D541"/>
  <c r="D552"/>
  <c r="D546"/>
  <c r="D1252"/>
  <c r="D1847"/>
  <c r="D1815"/>
  <c r="D1822"/>
  <c r="D1816"/>
  <c r="D2728"/>
  <c r="D2327"/>
  <c r="D2344"/>
  <c r="D499"/>
  <c r="D492"/>
  <c r="D591"/>
  <c r="D607"/>
  <c r="D623"/>
  <c r="D1607"/>
  <c r="D1608"/>
  <c r="D1845"/>
  <c r="D1813"/>
  <c r="D1818"/>
  <c r="D1812"/>
  <c r="D2013"/>
  <c r="D2336"/>
  <c r="D2352"/>
  <c r="D513"/>
  <c r="D481"/>
  <c r="D608"/>
  <c r="D624"/>
  <c r="D1234"/>
  <c r="D1605"/>
  <c r="D1604"/>
  <c r="D1851"/>
  <c r="D1819"/>
  <c r="D1824"/>
  <c r="D2014"/>
  <c r="D2329"/>
  <c r="D2345"/>
  <c r="D511"/>
  <c r="D479"/>
  <c r="D510"/>
  <c r="D597"/>
  <c r="D613"/>
  <c r="D629"/>
  <c r="D1603"/>
  <c r="D1600"/>
  <c r="D1841"/>
  <c r="D1842"/>
  <c r="D2003"/>
  <c r="D705"/>
  <c r="D2326"/>
  <c r="D2342"/>
  <c r="D501"/>
  <c r="D469"/>
  <c r="D490"/>
  <c r="D606"/>
  <c r="D622"/>
  <c r="D1117"/>
  <c r="D1877"/>
  <c r="D1893"/>
  <c r="D1956"/>
  <c r="D2061"/>
  <c r="D2077"/>
  <c r="D2288"/>
  <c r="D2404"/>
  <c r="D2389"/>
  <c r="D2569"/>
  <c r="D1874"/>
  <c r="D1890"/>
  <c r="D1906"/>
  <c r="D2066"/>
  <c r="D2297"/>
  <c r="D2403"/>
  <c r="D2554"/>
  <c r="D1135"/>
  <c r="D1875"/>
  <c r="D1891"/>
  <c r="D1907"/>
  <c r="D1938"/>
  <c r="D2055"/>
  <c r="D2071"/>
  <c r="D2400"/>
  <c r="D2560"/>
  <c r="D1872"/>
  <c r="D1888"/>
  <c r="D1904"/>
  <c r="D1955"/>
  <c r="D2068"/>
  <c r="D2291"/>
  <c r="D2407"/>
  <c r="D2566"/>
  <c r="D2555"/>
  <c r="D2313"/>
  <c r="E2582" a="1"/>
  <c r="D2473"/>
  <c r="D2683"/>
  <c r="D2680"/>
  <c r="D140"/>
  <c r="D119"/>
  <c r="D2578"/>
  <c r="D168"/>
  <c r="D169"/>
  <c r="D1058"/>
  <c r="D1098"/>
  <c r="D205"/>
  <c r="D196"/>
  <c r="D190"/>
  <c r="D841"/>
  <c r="D857"/>
  <c r="D1011"/>
  <c r="D1028"/>
  <c r="D991"/>
  <c r="D1414"/>
  <c r="D1446"/>
  <c r="D1475"/>
  <c r="D1484"/>
  <c r="D255"/>
  <c r="D262"/>
  <c r="D415"/>
  <c r="D408"/>
  <c r="D572"/>
  <c r="D2414"/>
  <c r="D167"/>
  <c r="D2576"/>
  <c r="D121"/>
  <c r="D166"/>
  <c r="D209"/>
  <c r="D198"/>
  <c r="D843"/>
  <c r="D859"/>
  <c r="D1023"/>
  <c r="D1020"/>
  <c r="D1014"/>
  <c r="D1400"/>
  <c r="D1416"/>
  <c r="D1495"/>
  <c r="D247"/>
  <c r="D246"/>
  <c r="D456"/>
  <c r="D556"/>
  <c r="D267"/>
  <c r="D260"/>
  <c r="D443"/>
  <c r="D411"/>
  <c r="D432"/>
  <c r="D547"/>
  <c r="D558"/>
  <c r="D1249"/>
  <c r="D1238"/>
  <c r="D1069"/>
  <c r="D2575"/>
  <c r="D207"/>
  <c r="D200"/>
  <c r="D838"/>
  <c r="D854"/>
  <c r="D1033"/>
  <c r="D1001"/>
  <c r="D1034"/>
  <c r="D1411"/>
  <c r="D1497"/>
  <c r="D1465"/>
  <c r="D1473"/>
  <c r="D1663"/>
  <c r="D277"/>
  <c r="D245"/>
  <c r="D441"/>
  <c r="D409"/>
  <c r="D428"/>
  <c r="D545"/>
  <c r="D560"/>
  <c r="D554"/>
  <c r="D1580"/>
  <c r="D211"/>
  <c r="D208"/>
  <c r="D308"/>
  <c r="D840"/>
  <c r="D1029"/>
  <c r="D997"/>
  <c r="D1000"/>
  <c r="D994"/>
  <c r="D1409"/>
  <c r="D1501"/>
  <c r="D1468"/>
  <c r="D1478"/>
  <c r="D281"/>
  <c r="D288"/>
  <c r="D282"/>
  <c r="D445"/>
  <c r="D413"/>
  <c r="D436"/>
  <c r="D549"/>
  <c r="D536"/>
  <c r="D530"/>
  <c r="D1585"/>
  <c r="D1590"/>
  <c r="D1823"/>
  <c r="D1832"/>
  <c r="D2012"/>
  <c r="D2339"/>
  <c r="D507"/>
  <c r="D508"/>
  <c r="D470"/>
  <c r="D603"/>
  <c r="D619"/>
  <c r="D1615"/>
  <c r="D1583"/>
  <c r="D1618"/>
  <c r="D1853"/>
  <c r="D1821"/>
  <c r="D1828"/>
  <c r="D2729"/>
  <c r="D2332"/>
  <c r="D2348"/>
  <c r="D489"/>
  <c r="D472"/>
  <c r="D466"/>
  <c r="D604"/>
  <c r="D620"/>
  <c r="D1239"/>
  <c r="D1597"/>
  <c r="D1620"/>
  <c r="D1614"/>
  <c r="D1843"/>
  <c r="D1811"/>
  <c r="D1814"/>
  <c r="D2002"/>
  <c r="D2325"/>
  <c r="D2341"/>
  <c r="D503"/>
  <c r="D471"/>
  <c r="D468"/>
  <c r="D601"/>
  <c r="D617"/>
  <c r="D1595"/>
  <c r="D1584"/>
  <c r="D1849"/>
  <c r="D1826"/>
  <c r="D1820"/>
  <c r="D2015"/>
  <c r="D2330"/>
  <c r="D2346"/>
  <c r="D509"/>
  <c r="D477"/>
  <c r="D480"/>
  <c r="D474"/>
  <c r="D602"/>
  <c r="D618"/>
  <c r="D1121"/>
  <c r="D1873"/>
  <c r="D1889"/>
  <c r="D1905"/>
  <c r="D2057"/>
  <c r="D2073"/>
  <c r="D2412"/>
  <c r="D2397"/>
  <c r="D2556"/>
  <c r="D1150"/>
  <c r="D1878"/>
  <c r="D1894"/>
  <c r="D1910"/>
  <c r="D1941"/>
  <c r="D2046"/>
  <c r="D2070"/>
  <c r="D2277"/>
  <c r="D2394"/>
  <c r="D2395"/>
  <c r="D2567"/>
  <c r="D1131"/>
  <c r="D1879"/>
  <c r="D1895"/>
  <c r="D1934"/>
  <c r="D2067"/>
  <c r="D2408"/>
  <c r="D2409"/>
  <c r="D2568"/>
  <c r="D1128"/>
  <c r="D1876"/>
  <c r="D1892"/>
  <c r="D1908"/>
  <c r="D2064"/>
  <c r="D2295"/>
  <c r="D2399"/>
  <c r="D2563"/>
  <c r="E2420" a="1"/>
  <c r="E2474" a="1"/>
  <c r="E2263" a="1"/>
  <c r="E2368" a="1"/>
  <c r="D2580"/>
  <c r="D2416"/>
  <c r="D162"/>
  <c r="D159"/>
  <c r="D120"/>
  <c r="D125"/>
  <c r="D157"/>
  <c r="D1062"/>
  <c r="D213"/>
  <c r="D181"/>
  <c r="D206"/>
  <c r="D829"/>
  <c r="D845"/>
  <c r="D1035"/>
  <c r="D1003"/>
  <c r="D1038"/>
  <c r="D1402"/>
  <c r="D1426"/>
  <c r="D1483"/>
  <c r="D1492"/>
  <c r="D1662"/>
  <c r="D1657"/>
  <c r="D431"/>
  <c r="D440"/>
  <c r="D540"/>
  <c r="D2733"/>
  <c r="D2415"/>
  <c r="D154"/>
  <c r="D155"/>
  <c r="D165"/>
  <c r="D1060"/>
  <c r="D1100"/>
  <c r="D201"/>
  <c r="D220"/>
  <c r="D214"/>
  <c r="D839"/>
  <c r="D855"/>
  <c r="D1031"/>
  <c r="D999"/>
  <c r="D1030"/>
  <c r="D1404"/>
  <c r="D1420"/>
  <c r="D1496"/>
  <c r="D1464"/>
  <c r="D284"/>
  <c r="D455"/>
  <c r="D430"/>
  <c r="D559"/>
  <c r="D1246"/>
  <c r="D2124"/>
  <c r="D259"/>
  <c r="D276"/>
  <c r="D451"/>
  <c r="D419"/>
  <c r="D422"/>
  <c r="D416"/>
  <c r="D555"/>
  <c r="D548"/>
  <c r="D906"/>
  <c r="D1248"/>
  <c r="D199"/>
  <c r="D216"/>
  <c r="D210"/>
  <c r="D858"/>
  <c r="D993"/>
  <c r="D992"/>
  <c r="D1415"/>
  <c r="D1489"/>
  <c r="D1498"/>
  <c r="D269"/>
  <c r="D264"/>
  <c r="D449"/>
  <c r="D417"/>
  <c r="D418"/>
  <c r="D569"/>
  <c r="D537"/>
  <c r="D538"/>
  <c r="D1235"/>
  <c r="D1236"/>
  <c r="D1612"/>
  <c r="D1059"/>
  <c r="D219"/>
  <c r="D187"/>
  <c r="D218"/>
  <c r="D828"/>
  <c r="D860"/>
  <c r="D1021"/>
  <c r="D989"/>
  <c r="D1042"/>
  <c r="D1413"/>
  <c r="D1493"/>
  <c r="D1470"/>
  <c r="D1656"/>
  <c r="D257"/>
  <c r="D266"/>
  <c r="D437"/>
  <c r="D426"/>
  <c r="D420"/>
  <c r="D557"/>
  <c r="D525"/>
  <c r="D578"/>
  <c r="D1601"/>
  <c r="D1831"/>
  <c r="D1854"/>
  <c r="D1848"/>
  <c r="D2008"/>
  <c r="D1724"/>
  <c r="D2335"/>
  <c r="D2351"/>
  <c r="D467"/>
  <c r="D486"/>
  <c r="D599"/>
  <c r="D615"/>
  <c r="D631"/>
  <c r="D1591"/>
  <c r="D1602"/>
  <c r="D1829"/>
  <c r="D1850"/>
  <c r="D1844"/>
  <c r="D2005"/>
  <c r="D2328"/>
  <c r="D2343"/>
  <c r="D497"/>
  <c r="D488"/>
  <c r="D616"/>
  <c r="D1247"/>
  <c r="D1228"/>
  <c r="D1589"/>
  <c r="D1598"/>
  <c r="D1835"/>
  <c r="D1830"/>
  <c r="D2006"/>
  <c r="D654"/>
  <c r="D2337"/>
  <c r="D495"/>
  <c r="D484"/>
  <c r="D478"/>
  <c r="D605"/>
  <c r="D621"/>
  <c r="D1116"/>
  <c r="D1619"/>
  <c r="D1587"/>
  <c r="D1594"/>
  <c r="D1825"/>
  <c r="D1836"/>
  <c r="D2334"/>
  <c r="D2350"/>
  <c r="D485"/>
  <c r="D496"/>
  <c r="D598"/>
  <c r="D614"/>
  <c r="D630"/>
  <c r="D1133"/>
  <c r="D1885"/>
  <c r="D1901"/>
  <c r="D2045"/>
  <c r="D2069"/>
  <c r="D2272"/>
  <c r="D2296"/>
  <c r="D2405"/>
  <c r="D2564"/>
  <c r="D1130"/>
  <c r="D1882"/>
  <c r="D1898"/>
  <c r="D1929"/>
  <c r="D2074"/>
  <c r="D2402"/>
  <c r="D2570"/>
  <c r="D2559"/>
  <c r="D1127"/>
  <c r="D1867"/>
  <c r="D1883"/>
  <c r="D1899"/>
  <c r="D1930"/>
  <c r="D1954"/>
  <c r="D2063"/>
  <c r="D2079"/>
  <c r="D2401"/>
  <c r="D1132"/>
  <c r="D1880"/>
  <c r="D1896"/>
  <c r="D1939"/>
  <c r="D2060"/>
  <c r="D2076"/>
  <c r="D2406"/>
  <c r="D2391"/>
  <c r="D2571"/>
  <c r="D2736"/>
  <c r="E2530" a="1"/>
  <c r="E2529" a="1"/>
  <c r="E2737" a="1"/>
  <c r="D2581"/>
  <c r="E2581" l="1"/>
  <c r="E2262"/>
  <c r="E2736"/>
  <c r="E2419"/>
  <c r="E2473"/>
  <c r="G89" i="15"/>
  <c r="E20" i="2"/>
  <c r="E39"/>
  <c r="G87" i="15"/>
  <c r="G98"/>
  <c r="E4" i="2"/>
  <c r="G62" i="15"/>
  <c r="G71"/>
  <c r="E24" i="2"/>
  <c r="E43"/>
  <c r="G91" i="15"/>
  <c r="G46"/>
  <c r="E8" i="2"/>
  <c r="E2522"/>
  <c r="E1046"/>
  <c r="E1054"/>
  <c r="E1062"/>
  <c r="E1070"/>
  <c r="E1078"/>
  <c r="E1086"/>
  <c r="E1094"/>
  <c r="E1102"/>
  <c r="E221"/>
  <c r="E205"/>
  <c r="E189"/>
  <c r="E228"/>
  <c r="E196"/>
  <c r="E222"/>
  <c r="E190"/>
  <c r="E297"/>
  <c r="E305"/>
  <c r="E313"/>
  <c r="E321"/>
  <c r="E329"/>
  <c r="E337"/>
  <c r="E345"/>
  <c r="E809"/>
  <c r="E793"/>
  <c r="E777"/>
  <c r="E761"/>
  <c r="E790"/>
  <c r="E758"/>
  <c r="E784"/>
  <c r="E821"/>
  <c r="E829"/>
  <c r="E837"/>
  <c r="E845"/>
  <c r="E853"/>
  <c r="E861"/>
  <c r="E869"/>
  <c r="E1035"/>
  <c r="E1019"/>
  <c r="E1003"/>
  <c r="E1044"/>
  <c r="E1012"/>
  <c r="E1038"/>
  <c r="E1006"/>
  <c r="E1386"/>
  <c r="E1370"/>
  <c r="E1354"/>
  <c r="E1338"/>
  <c r="E1381"/>
  <c r="E1365"/>
  <c r="E1349"/>
  <c r="E1394"/>
  <c r="E1402"/>
  <c r="E1410"/>
  <c r="E1418"/>
  <c r="E1426"/>
  <c r="E1434"/>
  <c r="E1442"/>
  <c r="E1450"/>
  <c r="E1499"/>
  <c r="E1483"/>
  <c r="E1467"/>
  <c r="E1508"/>
  <c r="E1492"/>
  <c r="E1476"/>
  <c r="E1460"/>
  <c r="E1678"/>
  <c r="E1662"/>
  <c r="E1646"/>
  <c r="E1630"/>
  <c r="E1673"/>
  <c r="E1657"/>
  <c r="E1641"/>
  <c r="E1749"/>
  <c r="E1757"/>
  <c r="E1765"/>
  <c r="E1773"/>
  <c r="E1781"/>
  <c r="E1789"/>
  <c r="E1797"/>
  <c r="E2094"/>
  <c r="E2102"/>
  <c r="E2118"/>
  <c r="E2134"/>
  <c r="E2207"/>
  <c r="E2223"/>
  <c r="E2239"/>
  <c r="E2255"/>
  <c r="E73"/>
  <c r="E89"/>
  <c r="E105"/>
  <c r="E287"/>
  <c r="E255"/>
  <c r="E268"/>
  <c r="E262"/>
  <c r="E447"/>
  <c r="E415"/>
  <c r="E414"/>
  <c r="E408"/>
  <c r="E551"/>
  <c r="E572"/>
  <c r="E566"/>
  <c r="E876"/>
  <c r="E892"/>
  <c r="E908"/>
  <c r="E924"/>
  <c r="E1261"/>
  <c r="E1229"/>
  <c r="E1230"/>
  <c r="E1224"/>
  <c r="E1540"/>
  <c r="G59" i="15"/>
  <c r="G68"/>
  <c r="E2312" i="2"/>
  <c r="E2366"/>
  <c r="E2526"/>
  <c r="E2579"/>
  <c r="E2470"/>
  <c r="E2363"/>
  <c r="E2414"/>
  <c r="E132"/>
  <c r="E164"/>
  <c r="E138"/>
  <c r="E170"/>
  <c r="E131"/>
  <c r="E147"/>
  <c r="E167"/>
  <c r="E966"/>
  <c r="E960"/>
  <c r="E959"/>
  <c r="E2731"/>
  <c r="E2633"/>
  <c r="E2632"/>
  <c r="E2364"/>
  <c r="E2469"/>
  <c r="E128"/>
  <c r="E160"/>
  <c r="E134"/>
  <c r="E165"/>
  <c r="E129"/>
  <c r="E145"/>
  <c r="E163"/>
  <c r="E958"/>
  <c r="E952"/>
  <c r="E955"/>
  <c r="E987"/>
  <c r="E173"/>
  <c r="E946"/>
  <c r="E978"/>
  <c r="E940"/>
  <c r="E972"/>
  <c r="E949"/>
  <c r="E965"/>
  <c r="E981"/>
  <c r="E2"/>
  <c r="G52" i="15"/>
  <c r="E9" i="2"/>
  <c r="E23"/>
  <c r="G72" i="15"/>
  <c r="G82"/>
  <c r="E33" i="2"/>
  <c r="E45"/>
  <c r="G56" i="15"/>
  <c r="E11" i="2"/>
  <c r="E27"/>
  <c r="G76" i="15"/>
  <c r="G86"/>
  <c r="E41" i="2"/>
  <c r="E53"/>
  <c r="E2413"/>
  <c r="E1052"/>
  <c r="E1060"/>
  <c r="E1068"/>
  <c r="E1076"/>
  <c r="E1084"/>
  <c r="E1092"/>
  <c r="E1100"/>
  <c r="E225"/>
  <c r="E209"/>
  <c r="E193"/>
  <c r="E177"/>
  <c r="E204"/>
  <c r="E230"/>
  <c r="E198"/>
  <c r="E295"/>
  <c r="E303"/>
  <c r="E311"/>
  <c r="E319"/>
  <c r="E327"/>
  <c r="E335"/>
  <c r="E343"/>
  <c r="E813"/>
  <c r="E797"/>
  <c r="E781"/>
  <c r="E765"/>
  <c r="E798"/>
  <c r="E766"/>
  <c r="E792"/>
  <c r="E760"/>
  <c r="E819"/>
  <c r="E827"/>
  <c r="E835"/>
  <c r="E843"/>
  <c r="E851"/>
  <c r="E859"/>
  <c r="E867"/>
  <c r="E1039"/>
  <c r="E1023"/>
  <c r="E1007"/>
  <c r="E990"/>
  <c r="E1020"/>
  <c r="E988"/>
  <c r="E1014"/>
  <c r="E1390"/>
  <c r="E1374"/>
  <c r="E1358"/>
  <c r="E1342"/>
  <c r="E1385"/>
  <c r="E1369"/>
  <c r="E1353"/>
  <c r="E1337"/>
  <c r="E1400"/>
  <c r="E1408"/>
  <c r="E1416"/>
  <c r="E1424"/>
  <c r="E1432"/>
  <c r="E1440"/>
  <c r="E1448"/>
  <c r="E1503"/>
  <c r="E1487"/>
  <c r="E1471"/>
  <c r="E1455"/>
  <c r="E1496"/>
  <c r="E1479"/>
  <c r="E1464"/>
  <c r="E1682"/>
  <c r="E1666"/>
  <c r="E1650"/>
  <c r="E1634"/>
  <c r="E1677"/>
  <c r="E1661"/>
  <c r="E1645"/>
  <c r="E1629"/>
  <c r="E1747"/>
  <c r="E1755"/>
  <c r="E1763"/>
  <c r="E1771"/>
  <c r="E1779"/>
  <c r="E1787"/>
  <c r="E1795"/>
  <c r="E2092"/>
  <c r="E2100"/>
  <c r="E2114"/>
  <c r="E2130"/>
  <c r="E2146"/>
  <c r="E2219"/>
  <c r="E2235"/>
  <c r="E2251"/>
  <c r="E69"/>
  <c r="E85"/>
  <c r="E101"/>
  <c r="E117"/>
  <c r="E263"/>
  <c r="E284"/>
  <c r="E278"/>
  <c r="E455"/>
  <c r="E423"/>
  <c r="E430"/>
  <c r="E424"/>
  <c r="E559"/>
  <c r="E527"/>
  <c r="E524"/>
  <c r="E872"/>
  <c r="E888"/>
  <c r="E904"/>
  <c r="E920"/>
  <c r="E1269"/>
  <c r="E1237"/>
  <c r="E1246"/>
  <c r="E1240"/>
  <c r="E1548"/>
  <c r="G81" i="15"/>
  <c r="E2108" i="2"/>
  <c r="E2116"/>
  <c r="E2124"/>
  <c r="E2132"/>
  <c r="E2140"/>
  <c r="E2213"/>
  <c r="E2221"/>
  <c r="E2229"/>
  <c r="E2237"/>
  <c r="E2245"/>
  <c r="E2253"/>
  <c r="E63"/>
  <c r="E71"/>
  <c r="E79"/>
  <c r="E87"/>
  <c r="E95"/>
  <c r="E103"/>
  <c r="E111"/>
  <c r="E291"/>
  <c r="E275"/>
  <c r="E259"/>
  <c r="E243"/>
  <c r="E276"/>
  <c r="E244"/>
  <c r="E270"/>
  <c r="E238"/>
  <c r="E451"/>
  <c r="E435"/>
  <c r="E419"/>
  <c r="E454"/>
  <c r="E422"/>
  <c r="E448"/>
  <c r="E416"/>
  <c r="E571"/>
  <c r="E555"/>
  <c r="E539"/>
  <c r="E580"/>
  <c r="E548"/>
  <c r="E574"/>
  <c r="E542"/>
  <c r="E874"/>
  <c r="E882"/>
  <c r="E890"/>
  <c r="E898"/>
  <c r="E906"/>
  <c r="E914"/>
  <c r="E922"/>
  <c r="E1265"/>
  <c r="E1249"/>
  <c r="E1233"/>
  <c r="E1270"/>
  <c r="E1238"/>
  <c r="E1264"/>
  <c r="E1232"/>
  <c r="E1560"/>
  <c r="E1544"/>
  <c r="E1528"/>
  <c r="G97" i="15"/>
  <c r="E5" i="2"/>
  <c r="E15"/>
  <c r="G64" i="15"/>
  <c r="G73"/>
  <c r="E17" i="2"/>
  <c r="E29"/>
  <c r="G47" i="15"/>
  <c r="E7" i="2"/>
  <c r="E19"/>
  <c r="G67" i="15"/>
  <c r="G77"/>
  <c r="E25" i="2"/>
  <c r="E37"/>
  <c r="E2205"/>
  <c r="E1049"/>
  <c r="E1057"/>
  <c r="E1065"/>
  <c r="E1073"/>
  <c r="E1081"/>
  <c r="E1089"/>
  <c r="E1097"/>
  <c r="E2629"/>
  <c r="E231"/>
  <c r="E215"/>
  <c r="E199"/>
  <c r="E183"/>
  <c r="E216"/>
  <c r="E184"/>
  <c r="E210"/>
  <c r="E178"/>
  <c r="E298"/>
  <c r="E306"/>
  <c r="E314"/>
  <c r="E322"/>
  <c r="E330"/>
  <c r="E338"/>
  <c r="E346"/>
  <c r="E807"/>
  <c r="E791"/>
  <c r="E775"/>
  <c r="E759"/>
  <c r="E786"/>
  <c r="E812"/>
  <c r="E780"/>
  <c r="E814"/>
  <c r="E822"/>
  <c r="E830"/>
  <c r="E838"/>
  <c r="E846"/>
  <c r="E854"/>
  <c r="E862"/>
  <c r="E870"/>
  <c r="E1033"/>
  <c r="E1017"/>
  <c r="E1001"/>
  <c r="E1040"/>
  <c r="E1008"/>
  <c r="E1034"/>
  <c r="E1002"/>
  <c r="E1384"/>
  <c r="E1368"/>
  <c r="E1352"/>
  <c r="E1336"/>
  <c r="E1379"/>
  <c r="E1363"/>
  <c r="E1347"/>
  <c r="E1395"/>
  <c r="E1403"/>
  <c r="E1411"/>
  <c r="E1419"/>
  <c r="E1427"/>
  <c r="E1435"/>
  <c r="E1443"/>
  <c r="E1451"/>
  <c r="E1497"/>
  <c r="E1481"/>
  <c r="E1465"/>
  <c r="E1506"/>
  <c r="E1490"/>
  <c r="E1473"/>
  <c r="E1458"/>
  <c r="E1676"/>
  <c r="E1660"/>
  <c r="E1644"/>
  <c r="E1628"/>
  <c r="E1671"/>
  <c r="E1655"/>
  <c r="E1639"/>
  <c r="E1742"/>
  <c r="E1750"/>
  <c r="E1758"/>
  <c r="E1766"/>
  <c r="E1774"/>
  <c r="E1782"/>
  <c r="E1790"/>
  <c r="E1798"/>
  <c r="E2095"/>
  <c r="E2103"/>
  <c r="E2111"/>
  <c r="E2119"/>
  <c r="E2127"/>
  <c r="E2135"/>
  <c r="E2143"/>
  <c r="E2208"/>
  <c r="E2216"/>
  <c r="E2224"/>
  <c r="E2232"/>
  <c r="E2240"/>
  <c r="E2248"/>
  <c r="E66"/>
  <c r="E74"/>
  <c r="E82"/>
  <c r="E90"/>
  <c r="E98"/>
  <c r="E106"/>
  <c r="E114"/>
  <c r="E285"/>
  <c r="E269"/>
  <c r="E253"/>
  <c r="E237"/>
  <c r="E264"/>
  <c r="E290"/>
  <c r="E258"/>
  <c r="E465"/>
  <c r="E449"/>
  <c r="E433"/>
  <c r="E417"/>
  <c r="E450"/>
  <c r="E418"/>
  <c r="E444"/>
  <c r="E412"/>
  <c r="E569"/>
  <c r="E553"/>
  <c r="E537"/>
  <c r="E576"/>
  <c r="E544"/>
  <c r="E570"/>
  <c r="E538"/>
  <c r="E875"/>
  <c r="E883"/>
  <c r="E891"/>
  <c r="E899"/>
  <c r="E907"/>
  <c r="E915"/>
  <c r="E923"/>
  <c r="E1263"/>
  <c r="E1235"/>
  <c r="E1242"/>
  <c r="E1236"/>
  <c r="E1546"/>
  <c r="E1512"/>
  <c r="E1539"/>
  <c r="E1625"/>
  <c r="E1593"/>
  <c r="E1612"/>
  <c r="E1606"/>
  <c r="E13"/>
  <c r="E31"/>
  <c r="G80" i="15"/>
  <c r="G90"/>
  <c r="E49" i="2"/>
  <c r="G53" i="15"/>
  <c r="G63"/>
  <c r="E16" i="2"/>
  <c r="E35"/>
  <c r="G83" i="15"/>
  <c r="G94"/>
  <c r="E57" i="2"/>
  <c r="E2361"/>
  <c r="E1051"/>
  <c r="E1059"/>
  <c r="E1067"/>
  <c r="E1075"/>
  <c r="E1083"/>
  <c r="E1091"/>
  <c r="E1099"/>
  <c r="E2467"/>
  <c r="E227"/>
  <c r="E211"/>
  <c r="E195"/>
  <c r="E179"/>
  <c r="E208"/>
  <c r="E176"/>
  <c r="E202"/>
  <c r="E292"/>
  <c r="E300"/>
  <c r="E308"/>
  <c r="E316"/>
  <c r="E324"/>
  <c r="E332"/>
  <c r="E340"/>
  <c r="E348"/>
  <c r="E803"/>
  <c r="E787"/>
  <c r="E771"/>
  <c r="E810"/>
  <c r="E778"/>
  <c r="E804"/>
  <c r="E772"/>
  <c r="E816"/>
  <c r="E824"/>
  <c r="E832"/>
  <c r="E840"/>
  <c r="E848"/>
  <c r="E856"/>
  <c r="E864"/>
  <c r="E1045"/>
  <c r="E1029"/>
  <c r="E1013"/>
  <c r="E997"/>
  <c r="E1032"/>
  <c r="E1000"/>
  <c r="E1026"/>
  <c r="E994"/>
  <c r="E1380"/>
  <c r="E1364"/>
  <c r="E1348"/>
  <c r="E1391"/>
  <c r="E1375"/>
  <c r="E1360"/>
  <c r="E1343"/>
  <c r="E1397"/>
  <c r="E1405"/>
  <c r="E1413"/>
  <c r="E1421"/>
  <c r="E1429"/>
  <c r="E1437"/>
  <c r="E1445"/>
  <c r="E1509"/>
  <c r="E1493"/>
  <c r="E1477"/>
  <c r="E1461"/>
  <c r="E1502"/>
  <c r="E1486"/>
  <c r="E1470"/>
  <c r="E1454"/>
  <c r="E1672"/>
  <c r="E1656"/>
  <c r="E1640"/>
  <c r="E1683"/>
  <c r="E1667"/>
  <c r="E1651"/>
  <c r="E1635"/>
  <c r="E1744"/>
  <c r="E1752"/>
  <c r="E1760"/>
  <c r="E1768"/>
  <c r="E1776"/>
  <c r="E1784"/>
  <c r="E1792"/>
  <c r="E2097"/>
  <c r="E2105"/>
  <c r="E2113"/>
  <c r="E2121"/>
  <c r="E2129"/>
  <c r="E2137"/>
  <c r="E2145"/>
  <c r="E2210"/>
  <c r="E2218"/>
  <c r="E2226"/>
  <c r="E2234"/>
  <c r="E2242"/>
  <c r="E2250"/>
  <c r="E60"/>
  <c r="E68"/>
  <c r="E76"/>
  <c r="E84"/>
  <c r="E92"/>
  <c r="E100"/>
  <c r="E108"/>
  <c r="E116"/>
  <c r="E281"/>
  <c r="E265"/>
  <c r="E249"/>
  <c r="E288"/>
  <c r="E256"/>
  <c r="E282"/>
  <c r="E250"/>
  <c r="E461"/>
  <c r="E445"/>
  <c r="E429"/>
  <c r="E413"/>
  <c r="E442"/>
  <c r="E410"/>
  <c r="E436"/>
  <c r="E581"/>
  <c r="E565"/>
  <c r="E549"/>
  <c r="E533"/>
  <c r="E568"/>
  <c r="E536"/>
  <c r="E562"/>
  <c r="E2418"/>
  <c r="E2580"/>
  <c r="E2634"/>
  <c r="E2681"/>
  <c r="E2259"/>
  <c r="E2416"/>
  <c r="E2258"/>
  <c r="E2257"/>
  <c r="E140"/>
  <c r="E172"/>
  <c r="E146"/>
  <c r="E119"/>
  <c r="E135"/>
  <c r="E151"/>
  <c r="E175"/>
  <c r="E982"/>
  <c r="E976"/>
  <c r="E967"/>
  <c r="E2417"/>
  <c r="E2578"/>
  <c r="E2732"/>
  <c r="E2679"/>
  <c r="E2630"/>
  <c r="E136"/>
  <c r="E168"/>
  <c r="E142"/>
  <c r="E174"/>
  <c r="E133"/>
  <c r="E149"/>
  <c r="E171"/>
  <c r="E974"/>
  <c r="E968"/>
  <c r="E963"/>
  <c r="E2308"/>
  <c r="E161"/>
  <c r="E931"/>
  <c r="E954"/>
  <c r="E986"/>
  <c r="E948"/>
  <c r="E980"/>
  <c r="E953"/>
  <c r="E969"/>
  <c r="E985"/>
  <c r="E2367"/>
  <c r="E2683"/>
  <c r="E2313"/>
  <c r="E2528"/>
  <c r="E2635"/>
  <c r="E2735"/>
  <c r="E2261"/>
  <c r="E2471"/>
  <c r="E2365"/>
  <c r="E2680"/>
  <c r="E2524"/>
  <c r="E124"/>
  <c r="E156"/>
  <c r="E130"/>
  <c r="E162"/>
  <c r="E127"/>
  <c r="E143"/>
  <c r="E159"/>
  <c r="E950"/>
  <c r="E944"/>
  <c r="E951"/>
  <c r="E983"/>
  <c r="E2260"/>
  <c r="E2525"/>
  <c r="E2631"/>
  <c r="E2468"/>
  <c r="E120"/>
  <c r="E152"/>
  <c r="E126"/>
  <c r="E158"/>
  <c r="E125"/>
  <c r="E141"/>
  <c r="E157"/>
  <c r="E942"/>
  <c r="E938"/>
  <c r="E947"/>
  <c r="E979"/>
  <c r="E169"/>
  <c r="E939"/>
  <c r="E970"/>
  <c r="E936"/>
  <c r="E964"/>
  <c r="E945"/>
  <c r="E961"/>
  <c r="E977"/>
  <c r="E2362"/>
  <c r="G100" i="15"/>
  <c r="E52" i="2"/>
  <c r="G55" i="15"/>
  <c r="G65"/>
  <c r="E46" i="2"/>
  <c r="E58"/>
  <c r="G93" i="15"/>
  <c r="E3" i="2"/>
  <c r="E56"/>
  <c r="G60" i="15"/>
  <c r="G69"/>
  <c r="E54" i="2"/>
  <c r="E21"/>
  <c r="E2730"/>
  <c r="E1050"/>
  <c r="E1058"/>
  <c r="E1066"/>
  <c r="E1074"/>
  <c r="E1082"/>
  <c r="E1090"/>
  <c r="E1098"/>
  <c r="E2256"/>
  <c r="E229"/>
  <c r="E213"/>
  <c r="E197"/>
  <c r="E181"/>
  <c r="E212"/>
  <c r="E180"/>
  <c r="E206"/>
  <c r="E293"/>
  <c r="E301"/>
  <c r="E309"/>
  <c r="E317"/>
  <c r="E325"/>
  <c r="E333"/>
  <c r="E341"/>
  <c r="E349"/>
  <c r="E801"/>
  <c r="E785"/>
  <c r="E769"/>
  <c r="E806"/>
  <c r="E774"/>
  <c r="E800"/>
  <c r="E768"/>
  <c r="E817"/>
  <c r="E825"/>
  <c r="E833"/>
  <c r="E841"/>
  <c r="E849"/>
  <c r="E857"/>
  <c r="E865"/>
  <c r="E1043"/>
  <c r="E1027"/>
  <c r="E1011"/>
  <c r="E995"/>
  <c r="E1028"/>
  <c r="E996"/>
  <c r="E1022"/>
  <c r="E991"/>
  <c r="E1378"/>
  <c r="E1362"/>
  <c r="E1346"/>
  <c r="E1389"/>
  <c r="E1373"/>
  <c r="E1357"/>
  <c r="E1341"/>
  <c r="E1398"/>
  <c r="E1406"/>
  <c r="E1414"/>
  <c r="E1422"/>
  <c r="E1430"/>
  <c r="E1438"/>
  <c r="E1446"/>
  <c r="E1507"/>
  <c r="E1491"/>
  <c r="E1475"/>
  <c r="E1459"/>
  <c r="E1500"/>
  <c r="E1484"/>
  <c r="E1469"/>
  <c r="E1452"/>
  <c r="E1670"/>
  <c r="E1654"/>
  <c r="E1638"/>
  <c r="E1681"/>
  <c r="E1665"/>
  <c r="E1649"/>
  <c r="E1633"/>
  <c r="E1745"/>
  <c r="E1753"/>
  <c r="E1761"/>
  <c r="E1769"/>
  <c r="E1777"/>
  <c r="E1785"/>
  <c r="E1793"/>
  <c r="E2090"/>
  <c r="E2098"/>
  <c r="E2110"/>
  <c r="E2126"/>
  <c r="E2142"/>
  <c r="E2215"/>
  <c r="E2231"/>
  <c r="E2247"/>
  <c r="E65"/>
  <c r="E81"/>
  <c r="E97"/>
  <c r="E113"/>
  <c r="E271"/>
  <c r="E239"/>
  <c r="E236"/>
  <c r="E463"/>
  <c r="E431"/>
  <c r="E446"/>
  <c r="E440"/>
  <c r="E567"/>
  <c r="E535"/>
  <c r="E540"/>
  <c r="E534"/>
  <c r="E884"/>
  <c r="E900"/>
  <c r="E916"/>
  <c r="E1277"/>
  <c r="E1245"/>
  <c r="E1262"/>
  <c r="E1256"/>
  <c r="E1556"/>
  <c r="G49" i="15"/>
  <c r="G57"/>
  <c r="E2682" i="2"/>
  <c r="E2527"/>
  <c r="E2472"/>
  <c r="E2734"/>
  <c r="E2733"/>
  <c r="E2577"/>
  <c r="E2415"/>
  <c r="E2523"/>
  <c r="E148"/>
  <c r="E122"/>
  <c r="E154"/>
  <c r="E123"/>
  <c r="E139"/>
  <c r="E155"/>
  <c r="E937"/>
  <c r="E934"/>
  <c r="E943"/>
  <c r="E975"/>
  <c r="E2311"/>
  <c r="E2310"/>
  <c r="E2309"/>
  <c r="E2576"/>
  <c r="E144"/>
  <c r="E118"/>
  <c r="E150"/>
  <c r="E121"/>
  <c r="E137"/>
  <c r="E153"/>
  <c r="E933"/>
  <c r="E930"/>
  <c r="E984"/>
  <c r="E971"/>
  <c r="E166"/>
  <c r="E935"/>
  <c r="E962"/>
  <c r="E932"/>
  <c r="E956"/>
  <c r="E941"/>
  <c r="E957"/>
  <c r="E973"/>
  <c r="E2678"/>
  <c r="G74" i="15"/>
  <c r="G84"/>
  <c r="E36" i="2"/>
  <c r="E55"/>
  <c r="G50" i="15"/>
  <c r="E14" i="2"/>
  <c r="E26"/>
  <c r="G78" i="15"/>
  <c r="G88"/>
  <c r="E40" i="2"/>
  <c r="E59"/>
  <c r="G54" i="15"/>
  <c r="E22" i="2"/>
  <c r="E34"/>
  <c r="E2307"/>
  <c r="E1048"/>
  <c r="E1056"/>
  <c r="E1064"/>
  <c r="E1072"/>
  <c r="E1080"/>
  <c r="E1088"/>
  <c r="E1096"/>
  <c r="E2677"/>
  <c r="E233"/>
  <c r="E217"/>
  <c r="E201"/>
  <c r="E185"/>
  <c r="E220"/>
  <c r="E188"/>
  <c r="E214"/>
  <c r="E182"/>
  <c r="E299"/>
  <c r="E307"/>
  <c r="E315"/>
  <c r="E323"/>
  <c r="E331"/>
  <c r="E339"/>
  <c r="E347"/>
  <c r="E805"/>
  <c r="E789"/>
  <c r="E773"/>
  <c r="E757"/>
  <c r="E782"/>
  <c r="E808"/>
  <c r="E776"/>
  <c r="E815"/>
  <c r="E823"/>
  <c r="E831"/>
  <c r="E839"/>
  <c r="E847"/>
  <c r="E855"/>
  <c r="E863"/>
  <c r="E871"/>
  <c r="E1031"/>
  <c r="E1015"/>
  <c r="E999"/>
  <c r="E1036"/>
  <c r="E1004"/>
  <c r="E1030"/>
  <c r="E998"/>
  <c r="E1382"/>
  <c r="E1366"/>
  <c r="E1350"/>
  <c r="E1393"/>
  <c r="E1377"/>
  <c r="E1361"/>
  <c r="E1345"/>
  <c r="E1396"/>
  <c r="E1404"/>
  <c r="E1412"/>
  <c r="E1420"/>
  <c r="E1428"/>
  <c r="E1436"/>
  <c r="E1444"/>
  <c r="E1495"/>
  <c r="E1480"/>
  <c r="E1463"/>
  <c r="E1504"/>
  <c r="E1488"/>
  <c r="E1472"/>
  <c r="E1456"/>
  <c r="E1674"/>
  <c r="E1658"/>
  <c r="E1642"/>
  <c r="E1626"/>
  <c r="E1669"/>
  <c r="E1653"/>
  <c r="E1637"/>
  <c r="E1743"/>
  <c r="E1751"/>
  <c r="E1759"/>
  <c r="E1767"/>
  <c r="E1775"/>
  <c r="E1783"/>
  <c r="E1791"/>
  <c r="E1799"/>
  <c r="E2096"/>
  <c r="E2106"/>
  <c r="E2122"/>
  <c r="E2138"/>
  <c r="E2211"/>
  <c r="E2227"/>
  <c r="E2243"/>
  <c r="E61"/>
  <c r="E77"/>
  <c r="E93"/>
  <c r="E109"/>
  <c r="E279"/>
  <c r="E247"/>
  <c r="E252"/>
  <c r="E246"/>
  <c r="E439"/>
  <c r="E462"/>
  <c r="E456"/>
  <c r="E575"/>
  <c r="E543"/>
  <c r="E556"/>
  <c r="E550"/>
  <c r="E880"/>
  <c r="E896"/>
  <c r="E912"/>
  <c r="E928"/>
  <c r="E1253"/>
  <c r="E1221"/>
  <c r="E1272"/>
  <c r="E1564"/>
  <c r="E1532"/>
  <c r="E2104"/>
  <c r="E2112"/>
  <c r="E2120"/>
  <c r="E2128"/>
  <c r="E2136"/>
  <c r="E2144"/>
  <c r="E2209"/>
  <c r="E2217"/>
  <c r="E2225"/>
  <c r="E2233"/>
  <c r="E2241"/>
  <c r="E2249"/>
  <c r="E67"/>
  <c r="E75"/>
  <c r="E83"/>
  <c r="E91"/>
  <c r="E99"/>
  <c r="E107"/>
  <c r="E115"/>
  <c r="E283"/>
  <c r="E267"/>
  <c r="E251"/>
  <c r="E235"/>
  <c r="E260"/>
  <c r="E286"/>
  <c r="E254"/>
  <c r="E459"/>
  <c r="E443"/>
  <c r="E427"/>
  <c r="E411"/>
  <c r="E438"/>
  <c r="E464"/>
  <c r="E432"/>
  <c r="E579"/>
  <c r="E563"/>
  <c r="E547"/>
  <c r="E531"/>
  <c r="E564"/>
  <c r="E532"/>
  <c r="E558"/>
  <c r="E526"/>
  <c r="E878"/>
  <c r="E886"/>
  <c r="E894"/>
  <c r="E902"/>
  <c r="E910"/>
  <c r="E918"/>
  <c r="E926"/>
  <c r="E1273"/>
  <c r="E1257"/>
  <c r="E1241"/>
  <c r="E1225"/>
  <c r="E1254"/>
  <c r="E1222"/>
  <c r="E1248"/>
  <c r="E1552"/>
  <c r="E1536"/>
  <c r="G66" i="15"/>
  <c r="G75"/>
  <c r="E28" i="2"/>
  <c r="E47"/>
  <c r="G95" i="15"/>
  <c r="E6" i="2"/>
  <c r="E12"/>
  <c r="G70" i="15"/>
  <c r="G79"/>
  <c r="E32" i="2"/>
  <c r="E51"/>
  <c r="G99" i="15"/>
  <c r="E10" i="2"/>
  <c r="E18"/>
  <c r="E1053"/>
  <c r="E1061"/>
  <c r="E1069"/>
  <c r="E1077"/>
  <c r="E1085"/>
  <c r="E1093"/>
  <c r="E1101"/>
  <c r="E2575"/>
  <c r="E223"/>
  <c r="E207"/>
  <c r="E191"/>
  <c r="E232"/>
  <c r="E200"/>
  <c r="E226"/>
  <c r="E194"/>
  <c r="E294"/>
  <c r="E302"/>
  <c r="E310"/>
  <c r="E318"/>
  <c r="E326"/>
  <c r="E334"/>
  <c r="E342"/>
  <c r="E799"/>
  <c r="E783"/>
  <c r="E767"/>
  <c r="E802"/>
  <c r="E770"/>
  <c r="E796"/>
  <c r="E764"/>
  <c r="E818"/>
  <c r="E826"/>
  <c r="E834"/>
  <c r="E842"/>
  <c r="E850"/>
  <c r="E858"/>
  <c r="E866"/>
  <c r="E1041"/>
  <c r="E1025"/>
  <c r="E1009"/>
  <c r="E993"/>
  <c r="E1024"/>
  <c r="E992"/>
  <c r="E1018"/>
  <c r="E1392"/>
  <c r="E1376"/>
  <c r="E1359"/>
  <c r="E1344"/>
  <c r="E1387"/>
  <c r="E1371"/>
  <c r="E1355"/>
  <c r="E1339"/>
  <c r="E1399"/>
  <c r="E1407"/>
  <c r="E1415"/>
  <c r="E1423"/>
  <c r="E1431"/>
  <c r="E1439"/>
  <c r="E1447"/>
  <c r="E1505"/>
  <c r="E1489"/>
  <c r="E1474"/>
  <c r="E1457"/>
  <c r="E1498"/>
  <c r="E1482"/>
  <c r="E1466"/>
  <c r="E1668"/>
  <c r="E1652"/>
  <c r="E1636"/>
  <c r="E1679"/>
  <c r="E1663"/>
  <c r="E1647"/>
  <c r="E1631"/>
  <c r="E1746"/>
  <c r="E1754"/>
  <c r="E1762"/>
  <c r="E1770"/>
  <c r="E1778"/>
  <c r="E1786"/>
  <c r="E1794"/>
  <c r="E2091"/>
  <c r="E2099"/>
  <c r="E2107"/>
  <c r="E2115"/>
  <c r="E2123"/>
  <c r="E2131"/>
  <c r="E2139"/>
  <c r="E2147"/>
  <c r="E2212"/>
  <c r="E2220"/>
  <c r="E2228"/>
  <c r="E2236"/>
  <c r="E2244"/>
  <c r="E2252"/>
  <c r="E62"/>
  <c r="E70"/>
  <c r="E78"/>
  <c r="E86"/>
  <c r="E94"/>
  <c r="E102"/>
  <c r="E110"/>
  <c r="E277"/>
  <c r="E261"/>
  <c r="E245"/>
  <c r="E280"/>
  <c r="E248"/>
  <c r="E274"/>
  <c r="E242"/>
  <c r="E457"/>
  <c r="E441"/>
  <c r="E425"/>
  <c r="E409"/>
  <c r="E434"/>
  <c r="E460"/>
  <c r="E428"/>
  <c r="E577"/>
  <c r="E561"/>
  <c r="E545"/>
  <c r="E529"/>
  <c r="E560"/>
  <c r="E528"/>
  <c r="E554"/>
  <c r="E879"/>
  <c r="E887"/>
  <c r="E895"/>
  <c r="E903"/>
  <c r="E911"/>
  <c r="E919"/>
  <c r="E927"/>
  <c r="E1271"/>
  <c r="E1251"/>
  <c r="E1274"/>
  <c r="E1268"/>
  <c r="E1562"/>
  <c r="E1530"/>
  <c r="E1555"/>
  <c r="E1523"/>
  <c r="E1609"/>
  <c r="E1577"/>
  <c r="E1580"/>
  <c r="G92" i="15"/>
  <c r="E44" i="2"/>
  <c r="G48" i="15"/>
  <c r="G58"/>
  <c r="E30" i="2"/>
  <c r="E42"/>
  <c r="G85" i="15"/>
  <c r="G96"/>
  <c r="E48" i="2"/>
  <c r="G51" i="15"/>
  <c r="G61"/>
  <c r="E38" i="2"/>
  <c r="E50"/>
  <c r="E1047"/>
  <c r="E1055"/>
  <c r="E1063"/>
  <c r="E1071"/>
  <c r="E1079"/>
  <c r="E1087"/>
  <c r="E1095"/>
  <c r="E1103"/>
  <c r="E219"/>
  <c r="E203"/>
  <c r="E187"/>
  <c r="E224"/>
  <c r="E192"/>
  <c r="E218"/>
  <c r="E186"/>
  <c r="E296"/>
  <c r="E304"/>
  <c r="E312"/>
  <c r="E320"/>
  <c r="E328"/>
  <c r="E336"/>
  <c r="E344"/>
  <c r="E811"/>
  <c r="E795"/>
  <c r="E779"/>
  <c r="E763"/>
  <c r="E794"/>
  <c r="E762"/>
  <c r="E788"/>
  <c r="E756"/>
  <c r="E820"/>
  <c r="E828"/>
  <c r="E836"/>
  <c r="E844"/>
  <c r="E852"/>
  <c r="E860"/>
  <c r="E868"/>
  <c r="E1037"/>
  <c r="E1021"/>
  <c r="E1005"/>
  <c r="E989"/>
  <c r="E1016"/>
  <c r="E1042"/>
  <c r="E1010"/>
  <c r="E1388"/>
  <c r="E1372"/>
  <c r="E1356"/>
  <c r="E1340"/>
  <c r="E1383"/>
  <c r="E1367"/>
  <c r="E1351"/>
  <c r="E1401"/>
  <c r="E1409"/>
  <c r="E1417"/>
  <c r="E1425"/>
  <c r="E1433"/>
  <c r="E1441"/>
  <c r="E1449"/>
  <c r="E1501"/>
  <c r="E1485"/>
  <c r="E1468"/>
  <c r="E1453"/>
  <c r="E1494"/>
  <c r="E1478"/>
  <c r="E1462"/>
  <c r="E1680"/>
  <c r="E1664"/>
  <c r="E1648"/>
  <c r="E1632"/>
  <c r="E1675"/>
  <c r="E1659"/>
  <c r="E1643"/>
  <c r="E1627"/>
  <c r="E1748"/>
  <c r="E1756"/>
  <c r="E1764"/>
  <c r="E1772"/>
  <c r="E1780"/>
  <c r="E1788"/>
  <c r="E1796"/>
  <c r="E2093"/>
  <c r="E2101"/>
  <c r="E2109"/>
  <c r="E2117"/>
  <c r="E2125"/>
  <c r="E2133"/>
  <c r="E2141"/>
  <c r="E2206"/>
  <c r="E2214"/>
  <c r="E2222"/>
  <c r="E2230"/>
  <c r="E2238"/>
  <c r="E2246"/>
  <c r="E2254"/>
  <c r="E64"/>
  <c r="E72"/>
  <c r="E80"/>
  <c r="E88"/>
  <c r="E96"/>
  <c r="E104"/>
  <c r="E112"/>
  <c r="E289"/>
  <c r="E273"/>
  <c r="E257"/>
  <c r="E241"/>
  <c r="E272"/>
  <c r="E240"/>
  <c r="E266"/>
  <c r="E234"/>
  <c r="E453"/>
  <c r="E437"/>
  <c r="E421"/>
  <c r="E458"/>
  <c r="E426"/>
  <c r="E452"/>
  <c r="E420"/>
  <c r="E573"/>
  <c r="E557"/>
  <c r="E541"/>
  <c r="E525"/>
  <c r="E552"/>
  <c r="E578"/>
  <c r="E530"/>
  <c r="E877"/>
  <c r="E885"/>
  <c r="E893"/>
  <c r="E901"/>
  <c r="E909"/>
  <c r="E917"/>
  <c r="E925"/>
  <c r="E1275"/>
  <c r="E1259"/>
  <c r="E1227"/>
  <c r="E1226"/>
  <c r="E1220"/>
  <c r="E1538"/>
  <c r="E1563"/>
  <c r="E1531"/>
  <c r="E1617"/>
  <c r="E1585"/>
  <c r="E1596"/>
  <c r="E1590"/>
  <c r="E1855"/>
  <c r="E1839"/>
  <c r="E1823"/>
  <c r="E1807"/>
  <c r="E1838"/>
  <c r="E1806"/>
  <c r="E1832"/>
  <c r="E1800"/>
  <c r="E1980"/>
  <c r="E1988"/>
  <c r="E1996"/>
  <c r="E2004"/>
  <c r="E2012"/>
  <c r="E2020"/>
  <c r="E2028"/>
  <c r="E640"/>
  <c r="E648"/>
  <c r="E656"/>
  <c r="E664"/>
  <c r="E672"/>
  <c r="E680"/>
  <c r="E688"/>
  <c r="E696"/>
  <c r="E743"/>
  <c r="E727"/>
  <c r="E711"/>
  <c r="E750"/>
  <c r="E718"/>
  <c r="E744"/>
  <c r="E712"/>
  <c r="E1165"/>
  <c r="E1173"/>
  <c r="E1181"/>
  <c r="E1189"/>
  <c r="E1197"/>
  <c r="E1205"/>
  <c r="E1213"/>
  <c r="E1684"/>
  <c r="E1692"/>
  <c r="E1700"/>
  <c r="E1708"/>
  <c r="E1716"/>
  <c r="E1724"/>
  <c r="E1732"/>
  <c r="E1740"/>
  <c r="E2327"/>
  <c r="E2335"/>
  <c r="E2344"/>
  <c r="E2351"/>
  <c r="E2359"/>
  <c r="E395"/>
  <c r="E379"/>
  <c r="E363"/>
  <c r="E402"/>
  <c r="E370"/>
  <c r="E396"/>
  <c r="E364"/>
  <c r="E515"/>
  <c r="E499"/>
  <c r="E483"/>
  <c r="E467"/>
  <c r="E492"/>
  <c r="E518"/>
  <c r="E486"/>
  <c r="E583"/>
  <c r="E591"/>
  <c r="E599"/>
  <c r="E607"/>
  <c r="E615"/>
  <c r="E623"/>
  <c r="E631"/>
  <c r="E639"/>
  <c r="E1110"/>
  <c r="E1118"/>
  <c r="E1526"/>
  <c r="E1510"/>
  <c r="E1553"/>
  <c r="E1537"/>
  <c r="E1521"/>
  <c r="E1623"/>
  <c r="E1607"/>
  <c r="E1591"/>
  <c r="E1575"/>
  <c r="E1608"/>
  <c r="E1576"/>
  <c r="E1602"/>
  <c r="E1570"/>
  <c r="E1845"/>
  <c r="E1829"/>
  <c r="E1813"/>
  <c r="E1850"/>
  <c r="E1818"/>
  <c r="E1844"/>
  <c r="E1812"/>
  <c r="E1977"/>
  <c r="E1985"/>
  <c r="E1993"/>
  <c r="E2001"/>
  <c r="E2009"/>
  <c r="E2017"/>
  <c r="E2025"/>
  <c r="E2729"/>
  <c r="E645"/>
  <c r="E653"/>
  <c r="E661"/>
  <c r="E669"/>
  <c r="E677"/>
  <c r="E685"/>
  <c r="E693"/>
  <c r="E749"/>
  <c r="E733"/>
  <c r="E717"/>
  <c r="E701"/>
  <c r="E730"/>
  <c r="E698"/>
  <c r="E724"/>
  <c r="E1162"/>
  <c r="E1170"/>
  <c r="E1178"/>
  <c r="E1186"/>
  <c r="E1194"/>
  <c r="E1202"/>
  <c r="E1210"/>
  <c r="E1218"/>
  <c r="E1689"/>
  <c r="E1697"/>
  <c r="E1705"/>
  <c r="E1713"/>
  <c r="E1721"/>
  <c r="E1729"/>
  <c r="E1737"/>
  <c r="E2324"/>
  <c r="E2332"/>
  <c r="E2340"/>
  <c r="E2348"/>
  <c r="E2356"/>
  <c r="E401"/>
  <c r="E385"/>
  <c r="E369"/>
  <c r="E353"/>
  <c r="E382"/>
  <c r="E350"/>
  <c r="E376"/>
  <c r="E521"/>
  <c r="E506"/>
  <c r="E489"/>
  <c r="E473"/>
  <c r="E504"/>
  <c r="E472"/>
  <c r="E498"/>
  <c r="E466"/>
  <c r="E588"/>
  <c r="E596"/>
  <c r="E604"/>
  <c r="E612"/>
  <c r="E620"/>
  <c r="E628"/>
  <c r="E636"/>
  <c r="E1107"/>
  <c r="E1115"/>
  <c r="E1123"/>
  <c r="E1247"/>
  <c r="E1231"/>
  <c r="E1266"/>
  <c r="E1234"/>
  <c r="E1260"/>
  <c r="E1228"/>
  <c r="E1558"/>
  <c r="E1542"/>
  <c r="E1524"/>
  <c r="E1567"/>
  <c r="E1551"/>
  <c r="E1535"/>
  <c r="E1519"/>
  <c r="E1621"/>
  <c r="E1605"/>
  <c r="E1589"/>
  <c r="E1573"/>
  <c r="E1604"/>
  <c r="E1572"/>
  <c r="E1598"/>
  <c r="E1843"/>
  <c r="E1827"/>
  <c r="E1811"/>
  <c r="E1846"/>
  <c r="E1814"/>
  <c r="E1840"/>
  <c r="E1808"/>
  <c r="E1978"/>
  <c r="E1986"/>
  <c r="E1994"/>
  <c r="E2002"/>
  <c r="E2010"/>
  <c r="E2018"/>
  <c r="E2026"/>
  <c r="E646"/>
  <c r="E654"/>
  <c r="E662"/>
  <c r="E670"/>
  <c r="E678"/>
  <c r="E686"/>
  <c r="E694"/>
  <c r="E747"/>
  <c r="E731"/>
  <c r="E715"/>
  <c r="E699"/>
  <c r="E726"/>
  <c r="E752"/>
  <c r="E720"/>
  <c r="E1163"/>
  <c r="E1171"/>
  <c r="E1179"/>
  <c r="E1187"/>
  <c r="E1195"/>
  <c r="E1203"/>
  <c r="E1211"/>
  <c r="E1219"/>
  <c r="E1690"/>
  <c r="E1698"/>
  <c r="E1706"/>
  <c r="E1714"/>
  <c r="E1722"/>
  <c r="E1730"/>
  <c r="E1738"/>
  <c r="E2325"/>
  <c r="E2333"/>
  <c r="E2341"/>
  <c r="E2349"/>
  <c r="E2357"/>
  <c r="E399"/>
  <c r="E383"/>
  <c r="E367"/>
  <c r="E351"/>
  <c r="E378"/>
  <c r="E404"/>
  <c r="E372"/>
  <c r="E519"/>
  <c r="E503"/>
  <c r="E487"/>
  <c r="E471"/>
  <c r="E500"/>
  <c r="E468"/>
  <c r="E494"/>
  <c r="E589"/>
  <c r="E597"/>
  <c r="E605"/>
  <c r="E613"/>
  <c r="E621"/>
  <c r="E629"/>
  <c r="E637"/>
  <c r="E1108"/>
  <c r="E1116"/>
  <c r="E1124"/>
  <c r="E1514"/>
  <c r="E1557"/>
  <c r="E1541"/>
  <c r="E1525"/>
  <c r="E1611"/>
  <c r="E1595"/>
  <c r="E1579"/>
  <c r="E1616"/>
  <c r="E1584"/>
  <c r="E1610"/>
  <c r="E1578"/>
  <c r="E1849"/>
  <c r="E1833"/>
  <c r="E1817"/>
  <c r="E1801"/>
  <c r="E1826"/>
  <c r="E1852"/>
  <c r="E1820"/>
  <c r="E1975"/>
  <c r="E1983"/>
  <c r="E1991"/>
  <c r="E1999"/>
  <c r="E2007"/>
  <c r="E2015"/>
  <c r="E2023"/>
  <c r="E2031"/>
  <c r="E643"/>
  <c r="E651"/>
  <c r="E659"/>
  <c r="E667"/>
  <c r="E675"/>
  <c r="E683"/>
  <c r="E691"/>
  <c r="E753"/>
  <c r="E737"/>
  <c r="E721"/>
  <c r="E705"/>
  <c r="E738"/>
  <c r="E706"/>
  <c r="E732"/>
  <c r="E700"/>
  <c r="E1168"/>
  <c r="E1176"/>
  <c r="E1184"/>
  <c r="E1192"/>
  <c r="E1200"/>
  <c r="E1208"/>
  <c r="E1216"/>
  <c r="E1687"/>
  <c r="E1695"/>
  <c r="E1703"/>
  <c r="E1711"/>
  <c r="E1719"/>
  <c r="E1727"/>
  <c r="E1735"/>
  <c r="E2322"/>
  <c r="E2330"/>
  <c r="E2338"/>
  <c r="E2346"/>
  <c r="E2354"/>
  <c r="E405"/>
  <c r="E389"/>
  <c r="E373"/>
  <c r="E357"/>
  <c r="E390"/>
  <c r="E358"/>
  <c r="E384"/>
  <c r="E352"/>
  <c r="E509"/>
  <c r="E493"/>
  <c r="E477"/>
  <c r="E512"/>
  <c r="E480"/>
  <c r="E505"/>
  <c r="E474"/>
  <c r="E586"/>
  <c r="E594"/>
  <c r="E602"/>
  <c r="E610"/>
  <c r="E618"/>
  <c r="E626"/>
  <c r="E634"/>
  <c r="E1105"/>
  <c r="E1113"/>
  <c r="E1121"/>
  <c r="E546"/>
  <c r="E873"/>
  <c r="E881"/>
  <c r="E889"/>
  <c r="E897"/>
  <c r="E905"/>
  <c r="E913"/>
  <c r="E921"/>
  <c r="E929"/>
  <c r="E1267"/>
  <c r="E1243"/>
  <c r="E1258"/>
  <c r="E1252"/>
  <c r="E1554"/>
  <c r="E1520"/>
  <c r="E1547"/>
  <c r="E1515"/>
  <c r="E1601"/>
  <c r="E1569"/>
  <c r="E1622"/>
  <c r="E1574"/>
  <c r="E1847"/>
  <c r="E1831"/>
  <c r="E1815"/>
  <c r="E1854"/>
  <c r="E1822"/>
  <c r="E1848"/>
  <c r="E1816"/>
  <c r="E1976"/>
  <c r="E1984"/>
  <c r="E1992"/>
  <c r="E2000"/>
  <c r="E2008"/>
  <c r="E2016"/>
  <c r="E2024"/>
  <c r="E2728"/>
  <c r="E644"/>
  <c r="E652"/>
  <c r="E660"/>
  <c r="E668"/>
  <c r="E676"/>
  <c r="E684"/>
  <c r="E692"/>
  <c r="E751"/>
  <c r="E735"/>
  <c r="E719"/>
  <c r="E703"/>
  <c r="E734"/>
  <c r="E702"/>
  <c r="E728"/>
  <c r="E1169"/>
  <c r="E1177"/>
  <c r="E1185"/>
  <c r="E1193"/>
  <c r="E1201"/>
  <c r="E1209"/>
  <c r="E1217"/>
  <c r="E1688"/>
  <c r="E1696"/>
  <c r="E1704"/>
  <c r="E1712"/>
  <c r="E1720"/>
  <c r="E1728"/>
  <c r="E1736"/>
  <c r="E2323"/>
  <c r="E2331"/>
  <c r="E2339"/>
  <c r="E2347"/>
  <c r="E2355"/>
  <c r="E403"/>
  <c r="E387"/>
  <c r="E371"/>
  <c r="E355"/>
  <c r="E386"/>
  <c r="E354"/>
  <c r="E380"/>
  <c r="E523"/>
  <c r="E507"/>
  <c r="E491"/>
  <c r="E475"/>
  <c r="E508"/>
  <c r="E476"/>
  <c r="E502"/>
  <c r="E470"/>
  <c r="E587"/>
  <c r="E595"/>
  <c r="E603"/>
  <c r="E611"/>
  <c r="E619"/>
  <c r="E627"/>
  <c r="E635"/>
  <c r="E1106"/>
  <c r="E1114"/>
  <c r="E1122"/>
  <c r="E1518"/>
  <c r="E1561"/>
  <c r="E1545"/>
  <c r="E1529"/>
  <c r="E1513"/>
  <c r="E1615"/>
  <c r="E1599"/>
  <c r="E1583"/>
  <c r="E1624"/>
  <c r="E1592"/>
  <c r="E1618"/>
  <c r="E1586"/>
  <c r="E1853"/>
  <c r="E1837"/>
  <c r="E1821"/>
  <c r="E1805"/>
  <c r="E1834"/>
  <c r="E1802"/>
  <c r="E1828"/>
  <c r="E1981"/>
  <c r="E1989"/>
  <c r="E1997"/>
  <c r="E2005"/>
  <c r="E2013"/>
  <c r="E2021"/>
  <c r="E2029"/>
  <c r="E641"/>
  <c r="E649"/>
  <c r="E657"/>
  <c r="E665"/>
  <c r="E673"/>
  <c r="E681"/>
  <c r="E689"/>
  <c r="E697"/>
  <c r="E741"/>
  <c r="E725"/>
  <c r="E709"/>
  <c r="E746"/>
  <c r="E714"/>
  <c r="E740"/>
  <c r="E708"/>
  <c r="E1166"/>
  <c r="E1174"/>
  <c r="E1182"/>
  <c r="E1190"/>
  <c r="E1198"/>
  <c r="E1206"/>
  <c r="E1214"/>
  <c r="E1685"/>
  <c r="E1693"/>
  <c r="E1701"/>
  <c r="E1709"/>
  <c r="E1717"/>
  <c r="E1725"/>
  <c r="E1733"/>
  <c r="E1741"/>
  <c r="E2328"/>
  <c r="E2336"/>
  <c r="E2343"/>
  <c r="E2352"/>
  <c r="E2360"/>
  <c r="E393"/>
  <c r="E377"/>
  <c r="E361"/>
  <c r="E398"/>
  <c r="E366"/>
  <c r="E392"/>
  <c r="E360"/>
  <c r="E513"/>
  <c r="E497"/>
  <c r="E481"/>
  <c r="E520"/>
  <c r="E488"/>
  <c r="E514"/>
  <c r="E482"/>
  <c r="E584"/>
  <c r="E592"/>
  <c r="E600"/>
  <c r="E608"/>
  <c r="E616"/>
  <c r="E624"/>
  <c r="E632"/>
  <c r="E1111"/>
  <c r="E1119"/>
  <c r="E1255"/>
  <c r="E1239"/>
  <c r="E1223"/>
  <c r="E1250"/>
  <c r="E1276"/>
  <c r="E1244"/>
  <c r="E1566"/>
  <c r="E1550"/>
  <c r="E1534"/>
  <c r="E1516"/>
  <c r="E1559"/>
  <c r="E1543"/>
  <c r="E1527"/>
  <c r="E1511"/>
  <c r="E1613"/>
  <c r="E1597"/>
  <c r="E1581"/>
  <c r="E1620"/>
  <c r="E1588"/>
  <c r="E1614"/>
  <c r="E1582"/>
  <c r="E1851"/>
  <c r="E1835"/>
  <c r="E1819"/>
  <c r="E1803"/>
  <c r="E1830"/>
  <c r="E1856"/>
  <c r="E1824"/>
  <c r="E1974"/>
  <c r="E1982"/>
  <c r="E1990"/>
  <c r="E1998"/>
  <c r="E2006"/>
  <c r="E2014"/>
  <c r="E2022"/>
  <c r="E2030"/>
  <c r="E642"/>
  <c r="E650"/>
  <c r="E658"/>
  <c r="E666"/>
  <c r="E674"/>
  <c r="E682"/>
  <c r="E690"/>
  <c r="E755"/>
  <c r="E739"/>
  <c r="E723"/>
  <c r="E707"/>
  <c r="E742"/>
  <c r="E710"/>
  <c r="E736"/>
  <c r="E704"/>
  <c r="E1167"/>
  <c r="E1175"/>
  <c r="E1183"/>
  <c r="E1191"/>
  <c r="E1199"/>
  <c r="E1207"/>
  <c r="E1215"/>
  <c r="E1686"/>
  <c r="E1694"/>
  <c r="E1702"/>
  <c r="E1710"/>
  <c r="E1718"/>
  <c r="E1726"/>
  <c r="E1734"/>
  <c r="E2329"/>
  <c r="E2337"/>
  <c r="E2345"/>
  <c r="E2353"/>
  <c r="E407"/>
  <c r="E391"/>
  <c r="E375"/>
  <c r="E359"/>
  <c r="E394"/>
  <c r="E362"/>
  <c r="E388"/>
  <c r="E356"/>
  <c r="E511"/>
  <c r="E495"/>
  <c r="E479"/>
  <c r="E516"/>
  <c r="E484"/>
  <c r="E510"/>
  <c r="E478"/>
  <c r="E585"/>
  <c r="E593"/>
  <c r="E601"/>
  <c r="E609"/>
  <c r="E617"/>
  <c r="E625"/>
  <c r="E633"/>
  <c r="E1104"/>
  <c r="E1112"/>
  <c r="E1120"/>
  <c r="E1522"/>
  <c r="E1565"/>
  <c r="E1549"/>
  <c r="E1533"/>
  <c r="E1517"/>
  <c r="E1619"/>
  <c r="E1603"/>
  <c r="E1587"/>
  <c r="E1571"/>
  <c r="E1600"/>
  <c r="E1568"/>
  <c r="E1594"/>
  <c r="E1857"/>
  <c r="E1841"/>
  <c r="E1825"/>
  <c r="E1809"/>
  <c r="E1842"/>
  <c r="E1810"/>
  <c r="E1836"/>
  <c r="E1804"/>
  <c r="E1979"/>
  <c r="E1987"/>
  <c r="E1995"/>
  <c r="E2003"/>
  <c r="E2011"/>
  <c r="E2019"/>
  <c r="E2027"/>
  <c r="E647"/>
  <c r="E655"/>
  <c r="E663"/>
  <c r="E671"/>
  <c r="E679"/>
  <c r="E687"/>
  <c r="E695"/>
  <c r="E745"/>
  <c r="E729"/>
  <c r="E713"/>
  <c r="E754"/>
  <c r="E722"/>
  <c r="E748"/>
  <c r="E716"/>
  <c r="E1164"/>
  <c r="E1172"/>
  <c r="E1180"/>
  <c r="E1188"/>
  <c r="E1196"/>
  <c r="E1204"/>
  <c r="E1212"/>
  <c r="E1691"/>
  <c r="E1699"/>
  <c r="E1707"/>
  <c r="E1715"/>
  <c r="E1723"/>
  <c r="E1731"/>
  <c r="E1739"/>
  <c r="E2326"/>
  <c r="E2334"/>
  <c r="E2342"/>
  <c r="E2350"/>
  <c r="E2358"/>
  <c r="E397"/>
  <c r="E381"/>
  <c r="E365"/>
  <c r="E406"/>
  <c r="E374"/>
  <c r="E400"/>
  <c r="E368"/>
  <c r="E517"/>
  <c r="E501"/>
  <c r="E485"/>
  <c r="E469"/>
  <c r="E496"/>
  <c r="E522"/>
  <c r="E490"/>
  <c r="E582"/>
  <c r="E590"/>
  <c r="E598"/>
  <c r="E606"/>
  <c r="E614"/>
  <c r="E622"/>
  <c r="E630"/>
  <c r="E638"/>
  <c r="E1109"/>
  <c r="E1117"/>
  <c r="E1125"/>
  <c r="E1133"/>
  <c r="E1141"/>
  <c r="E1149"/>
  <c r="E1157"/>
  <c r="E1280"/>
  <c r="E1288"/>
  <c r="E1296"/>
  <c r="E1304"/>
  <c r="E1312"/>
  <c r="E1320"/>
  <c r="E1328"/>
  <c r="E1865"/>
  <c r="E1873"/>
  <c r="E1881"/>
  <c r="E1889"/>
  <c r="E1897"/>
  <c r="E1905"/>
  <c r="E1913"/>
  <c r="E1920"/>
  <c r="E1928"/>
  <c r="E1936"/>
  <c r="E1944"/>
  <c r="E1952"/>
  <c r="E1960"/>
  <c r="E1968"/>
  <c r="E2033"/>
  <c r="E2041"/>
  <c r="E2049"/>
  <c r="E2057"/>
  <c r="E2065"/>
  <c r="E2073"/>
  <c r="E2081"/>
  <c r="E2089"/>
  <c r="E2154"/>
  <c r="E2162"/>
  <c r="E2170"/>
  <c r="E2178"/>
  <c r="E2186"/>
  <c r="E2194"/>
  <c r="E2202"/>
  <c r="E2268"/>
  <c r="E2276"/>
  <c r="E2284"/>
  <c r="E2292"/>
  <c r="E2300"/>
  <c r="E2412"/>
  <c r="E2396"/>
  <c r="E2380"/>
  <c r="E2397"/>
  <c r="E2381"/>
  <c r="E2444"/>
  <c r="E2452"/>
  <c r="E2460"/>
  <c r="E2572"/>
  <c r="E2556"/>
  <c r="E2561"/>
  <c r="E2618"/>
  <c r="E2619"/>
  <c r="E2672"/>
  <c r="E2516"/>
  <c r="E2500"/>
  <c r="E2503"/>
  <c r="E1126"/>
  <c r="E1134"/>
  <c r="E1142"/>
  <c r="E1150"/>
  <c r="E1158"/>
  <c r="E1281"/>
  <c r="E1289"/>
  <c r="E1297"/>
  <c r="E1305"/>
  <c r="E1313"/>
  <c r="E1321"/>
  <c r="E1329"/>
  <c r="E1858"/>
  <c r="E1866"/>
  <c r="E1874"/>
  <c r="E1882"/>
  <c r="E1890"/>
  <c r="E1898"/>
  <c r="E1906"/>
  <c r="E1914"/>
  <c r="E1921"/>
  <c r="E1929"/>
  <c r="E1937"/>
  <c r="E1945"/>
  <c r="E1953"/>
  <c r="E1961"/>
  <c r="E1969"/>
  <c r="E2034"/>
  <c r="E2042"/>
  <c r="E2050"/>
  <c r="E2058"/>
  <c r="E2066"/>
  <c r="E2074"/>
  <c r="E2082"/>
  <c r="E2155"/>
  <c r="E2163"/>
  <c r="E2171"/>
  <c r="E2179"/>
  <c r="E2187"/>
  <c r="E2195"/>
  <c r="E2203"/>
  <c r="E2269"/>
  <c r="E2277"/>
  <c r="E2285"/>
  <c r="E2293"/>
  <c r="E2301"/>
  <c r="E2410"/>
  <c r="E2394"/>
  <c r="E2411"/>
  <c r="E2395"/>
  <c r="E2445"/>
  <c r="E2453"/>
  <c r="E2461"/>
  <c r="E2570"/>
  <c r="E2554"/>
  <c r="E2559"/>
  <c r="E2616"/>
  <c r="E2617"/>
  <c r="E2673"/>
  <c r="E2514"/>
  <c r="E2498"/>
  <c r="E2499"/>
  <c r="E1127"/>
  <c r="E1135"/>
  <c r="E1143"/>
  <c r="E1151"/>
  <c r="E1159"/>
  <c r="E1282"/>
  <c r="E1290"/>
  <c r="E1298"/>
  <c r="E1306"/>
  <c r="E1314"/>
  <c r="E1322"/>
  <c r="E1330"/>
  <c r="E1859"/>
  <c r="E1867"/>
  <c r="E1875"/>
  <c r="E1883"/>
  <c r="E1891"/>
  <c r="E1899"/>
  <c r="E1907"/>
  <c r="E1915"/>
  <c r="E1922"/>
  <c r="E1930"/>
  <c r="E1938"/>
  <c r="E1946"/>
  <c r="E1954"/>
  <c r="E1962"/>
  <c r="E1970"/>
  <c r="E2035"/>
  <c r="E2043"/>
  <c r="E2051"/>
  <c r="E2059"/>
  <c r="E2067"/>
  <c r="E2075"/>
  <c r="E2083"/>
  <c r="E2148"/>
  <c r="E2156"/>
  <c r="E2164"/>
  <c r="E2172"/>
  <c r="E2180"/>
  <c r="E2188"/>
  <c r="E2196"/>
  <c r="E2204"/>
  <c r="E2270"/>
  <c r="E2278"/>
  <c r="E2286"/>
  <c r="E2294"/>
  <c r="E2302"/>
  <c r="E2408"/>
  <c r="E2392"/>
  <c r="E2409"/>
  <c r="E2393"/>
  <c r="E2438"/>
  <c r="E2446"/>
  <c r="E2454"/>
  <c r="E2462"/>
  <c r="E2568"/>
  <c r="E2573"/>
  <c r="E2557"/>
  <c r="E2614"/>
  <c r="E2615"/>
  <c r="E2674"/>
  <c r="E2512"/>
  <c r="E2496"/>
  <c r="E2517"/>
  <c r="E1128"/>
  <c r="E1136"/>
  <c r="E1144"/>
  <c r="E1152"/>
  <c r="E1160"/>
  <c r="E1283"/>
  <c r="E1291"/>
  <c r="E1299"/>
  <c r="E1307"/>
  <c r="E1315"/>
  <c r="E1323"/>
  <c r="E1331"/>
  <c r="E1860"/>
  <c r="E1868"/>
  <c r="E1876"/>
  <c r="E1884"/>
  <c r="E1892"/>
  <c r="E1900"/>
  <c r="E1908"/>
  <c r="E1923"/>
  <c r="E1931"/>
  <c r="E1939"/>
  <c r="E1947"/>
  <c r="E1955"/>
  <c r="E1963"/>
  <c r="E1971"/>
  <c r="E2036"/>
  <c r="E2044"/>
  <c r="E2052"/>
  <c r="E2060"/>
  <c r="E2068"/>
  <c r="E2076"/>
  <c r="E2084"/>
  <c r="E2149"/>
  <c r="E2157"/>
  <c r="E2165"/>
  <c r="E2173"/>
  <c r="E2181"/>
  <c r="E2189"/>
  <c r="E2197"/>
  <c r="E2271"/>
  <c r="E2279"/>
  <c r="E2287"/>
  <c r="E2295"/>
  <c r="E2303"/>
  <c r="E2406"/>
  <c r="E2390"/>
  <c r="E2407"/>
  <c r="E2391"/>
  <c r="E2439"/>
  <c r="E2447"/>
  <c r="E2455"/>
  <c r="E2463"/>
  <c r="E2566"/>
  <c r="E2571"/>
  <c r="E2555"/>
  <c r="E2612"/>
  <c r="E2613"/>
  <c r="E2675"/>
  <c r="E2510"/>
  <c r="E2521"/>
  <c r="E2513"/>
  <c r="E1129"/>
  <c r="E1137"/>
  <c r="E1145"/>
  <c r="E1153"/>
  <c r="E1161"/>
  <c r="E1284"/>
  <c r="E1292"/>
  <c r="E1300"/>
  <c r="E1308"/>
  <c r="E1316"/>
  <c r="E1324"/>
  <c r="E1332"/>
  <c r="E1861"/>
  <c r="E1869"/>
  <c r="E1877"/>
  <c r="E1885"/>
  <c r="E1893"/>
  <c r="E1901"/>
  <c r="E1909"/>
  <c r="E1916"/>
  <c r="E1924"/>
  <c r="E1932"/>
  <c r="E1940"/>
  <c r="E1948"/>
  <c r="E1956"/>
  <c r="E1964"/>
  <c r="E1972"/>
  <c r="E2037"/>
  <c r="E2045"/>
  <c r="E2053"/>
  <c r="E2061"/>
  <c r="E2069"/>
  <c r="E2077"/>
  <c r="E2085"/>
  <c r="E2150"/>
  <c r="E2158"/>
  <c r="E2166"/>
  <c r="E2174"/>
  <c r="E2182"/>
  <c r="E2190"/>
  <c r="E2198"/>
  <c r="E2264"/>
  <c r="E2272"/>
  <c r="E2280"/>
  <c r="E2288"/>
  <c r="E2296"/>
  <c r="E2304"/>
  <c r="E2404"/>
  <c r="E2388"/>
  <c r="E2405"/>
  <c r="E2389"/>
  <c r="E2440"/>
  <c r="E2448"/>
  <c r="E2456"/>
  <c r="E2464"/>
  <c r="E2564"/>
  <c r="E2569"/>
  <c r="E2626"/>
  <c r="E2627"/>
  <c r="E2628"/>
  <c r="E2676"/>
  <c r="E2508"/>
  <c r="E2519"/>
  <c r="E2509"/>
  <c r="E1130"/>
  <c r="E1138"/>
  <c r="E1146"/>
  <c r="E1154"/>
  <c r="E1285"/>
  <c r="E1293"/>
  <c r="E1301"/>
  <c r="E1309"/>
  <c r="E1317"/>
  <c r="E1325"/>
  <c r="E1333"/>
  <c r="E1862"/>
  <c r="E1870"/>
  <c r="E1878"/>
  <c r="E1886"/>
  <c r="E1894"/>
  <c r="E1902"/>
  <c r="E1910"/>
  <c r="E1917"/>
  <c r="E1925"/>
  <c r="E1933"/>
  <c r="E1941"/>
  <c r="E1949"/>
  <c r="E1957"/>
  <c r="E1965"/>
  <c r="E1973"/>
  <c r="E2038"/>
  <c r="E2046"/>
  <c r="E2054"/>
  <c r="E2062"/>
  <c r="E2070"/>
  <c r="E2078"/>
  <c r="E2086"/>
  <c r="E2151"/>
  <c r="E2159"/>
  <c r="E2167"/>
  <c r="E2175"/>
  <c r="E2183"/>
  <c r="E2191"/>
  <c r="E2199"/>
  <c r="E2265"/>
  <c r="E2273"/>
  <c r="E2281"/>
  <c r="E2289"/>
  <c r="E2297"/>
  <c r="E2305"/>
  <c r="E2402"/>
  <c r="E2386"/>
  <c r="E2403"/>
  <c r="E2387"/>
  <c r="E2441"/>
  <c r="E2449"/>
  <c r="E2457"/>
  <c r="E2465"/>
  <c r="E2562"/>
  <c r="E2567"/>
  <c r="E2624"/>
  <c r="E2625"/>
  <c r="E2506"/>
  <c r="E2515"/>
  <c r="E2505"/>
  <c r="E1131"/>
  <c r="E1139"/>
  <c r="E1147"/>
  <c r="E1155"/>
  <c r="E1278"/>
  <c r="E1286"/>
  <c r="E1294"/>
  <c r="E1302"/>
  <c r="E1310"/>
  <c r="E1318"/>
  <c r="E1326"/>
  <c r="E1334"/>
  <c r="E1863"/>
  <c r="E1871"/>
  <c r="E1879"/>
  <c r="E1887"/>
  <c r="E1895"/>
  <c r="E1903"/>
  <c r="E1911"/>
  <c r="E1918"/>
  <c r="E1926"/>
  <c r="E1934"/>
  <c r="E1942"/>
  <c r="E1950"/>
  <c r="E1958"/>
  <c r="E1966"/>
  <c r="E2039"/>
  <c r="E2047"/>
  <c r="E2055"/>
  <c r="E2063"/>
  <c r="E2071"/>
  <c r="E2079"/>
  <c r="E2087"/>
  <c r="E2152"/>
  <c r="E2160"/>
  <c r="E2168"/>
  <c r="E2176"/>
  <c r="E2184"/>
  <c r="E2192"/>
  <c r="E2200"/>
  <c r="E2266"/>
  <c r="E2274"/>
  <c r="E2282"/>
  <c r="E2290"/>
  <c r="E2298"/>
  <c r="E2306"/>
  <c r="E2400"/>
  <c r="E2384"/>
  <c r="E2401"/>
  <c r="E2385"/>
  <c r="E2442"/>
  <c r="E2450"/>
  <c r="E2458"/>
  <c r="E2466"/>
  <c r="E2560"/>
  <c r="E2565"/>
  <c r="E2622"/>
  <c r="E2623"/>
  <c r="E2670"/>
  <c r="E2520"/>
  <c r="E2504"/>
  <c r="E2511"/>
  <c r="E2501"/>
  <c r="E1132"/>
  <c r="E1140"/>
  <c r="E1148"/>
  <c r="E1156"/>
  <c r="E1279"/>
  <c r="E1287"/>
  <c r="E1295"/>
  <c r="E1303"/>
  <c r="E1311"/>
  <c r="E1319"/>
  <c r="E1327"/>
  <c r="E1335"/>
  <c r="E1864"/>
  <c r="E1872"/>
  <c r="E1880"/>
  <c r="E1888"/>
  <c r="E1896"/>
  <c r="E1904"/>
  <c r="E1912"/>
  <c r="E1919"/>
  <c r="E1927"/>
  <c r="E1935"/>
  <c r="E1943"/>
  <c r="E1951"/>
  <c r="E1959"/>
  <c r="E1967"/>
  <c r="E2032"/>
  <c r="E2040"/>
  <c r="E2048"/>
  <c r="E2056"/>
  <c r="E2064"/>
  <c r="E2072"/>
  <c r="E2080"/>
  <c r="E2088"/>
  <c r="E2153"/>
  <c r="E2161"/>
  <c r="E2169"/>
  <c r="E2177"/>
  <c r="E2185"/>
  <c r="E2193"/>
  <c r="E2201"/>
  <c r="E2267"/>
  <c r="E2275"/>
  <c r="E2283"/>
  <c r="E2291"/>
  <c r="E2299"/>
  <c r="E2398"/>
  <c r="E2382"/>
  <c r="E2399"/>
  <c r="E2383"/>
  <c r="E2443"/>
  <c r="E2451"/>
  <c r="E2459"/>
  <c r="E2574"/>
  <c r="E2558"/>
  <c r="E2563"/>
  <c r="E2620"/>
  <c r="E2621"/>
  <c r="E2671"/>
  <c r="E2518"/>
  <c r="E2502"/>
  <c r="E2507"/>
  <c r="E2497"/>
  <c r="E2530"/>
  <c r="E2684"/>
  <c r="E2474"/>
  <c r="E2582"/>
  <c r="E2263"/>
  <c r="E2529"/>
  <c r="E2636"/>
  <c r="E2737"/>
  <c r="E2314"/>
  <c r="E2420"/>
  <c r="E2368"/>
  <c r="C11"/>
  <c r="C2369"/>
  <c r="C2685"/>
  <c r="C2315"/>
  <c r="C2475"/>
  <c r="C2421"/>
  <c r="C2583"/>
  <c r="C2738"/>
  <c r="C2637"/>
  <c r="C2531"/>
  <c r="D1519"/>
  <c r="D1516"/>
  <c r="D1660"/>
  <c r="D1521"/>
  <c r="D1520"/>
  <c r="D1518"/>
  <c r="D739"/>
  <c r="D1517"/>
  <c r="D2134"/>
  <c r="D924"/>
  <c r="D2130"/>
  <c r="D888"/>
  <c r="D920"/>
  <c r="D2116"/>
  <c r="D2132"/>
  <c r="D898"/>
  <c r="D914"/>
  <c r="D2103"/>
  <c r="D2119"/>
  <c r="D2135"/>
  <c r="D899"/>
  <c r="D915"/>
  <c r="D2105"/>
  <c r="D2121"/>
  <c r="D2137"/>
  <c r="D916"/>
  <c r="D2106"/>
  <c r="D2138"/>
  <c r="D896"/>
  <c r="D2104"/>
  <c r="D2120"/>
  <c r="D2136"/>
  <c r="D886"/>
  <c r="D902"/>
  <c r="D918"/>
  <c r="D1770"/>
  <c r="D2107"/>
  <c r="D2123"/>
  <c r="D2139"/>
  <c r="D895"/>
  <c r="D911"/>
  <c r="D2117"/>
  <c r="D2133"/>
  <c r="D893"/>
  <c r="D909"/>
  <c r="D672"/>
  <c r="D688"/>
  <c r="D1189"/>
  <c r="D1205"/>
  <c r="D1716"/>
  <c r="D653"/>
  <c r="D669"/>
  <c r="D685"/>
  <c r="D1186"/>
  <c r="D1202"/>
  <c r="D1713"/>
  <c r="D678"/>
  <c r="D1179"/>
  <c r="D1195"/>
  <c r="D1211"/>
  <c r="D1706"/>
  <c r="D1722"/>
  <c r="D675"/>
  <c r="D1176"/>
  <c r="D1192"/>
  <c r="D1208"/>
  <c r="D1703"/>
  <c r="D1719"/>
  <c r="D889"/>
  <c r="D905"/>
  <c r="D921"/>
  <c r="D668"/>
  <c r="D684"/>
  <c r="D1193"/>
  <c r="D1209"/>
  <c r="D1704"/>
  <c r="D1720"/>
  <c r="D665"/>
  <c r="D681"/>
  <c r="D1182"/>
  <c r="D1198"/>
  <c r="D1214"/>
  <c r="D1709"/>
  <c r="D1725"/>
  <c r="D666"/>
  <c r="D682"/>
  <c r="D1183"/>
  <c r="D1199"/>
  <c r="D1710"/>
  <c r="D663"/>
  <c r="D679"/>
  <c r="D1196"/>
  <c r="D1715"/>
  <c r="D1292"/>
  <c r="D2118"/>
  <c r="D908"/>
  <c r="D1771"/>
  <c r="D904"/>
  <c r="D2108"/>
  <c r="D2140"/>
  <c r="D2237"/>
  <c r="D890"/>
  <c r="D922"/>
  <c r="D2111"/>
  <c r="D891"/>
  <c r="D907"/>
  <c r="D2113"/>
  <c r="D2129"/>
  <c r="D2110"/>
  <c r="D2142"/>
  <c r="D900"/>
  <c r="D2122"/>
  <c r="D912"/>
  <c r="D2112"/>
  <c r="D2128"/>
  <c r="D2144"/>
  <c r="D894"/>
  <c r="D910"/>
  <c r="D926"/>
  <c r="D2131"/>
  <c r="D887"/>
  <c r="D903"/>
  <c r="D919"/>
  <c r="D1772"/>
  <c r="D2109"/>
  <c r="D2125"/>
  <c r="D901"/>
  <c r="D917"/>
  <c r="D664"/>
  <c r="D680"/>
  <c r="D1181"/>
  <c r="D1197"/>
  <c r="D1708"/>
  <c r="D677"/>
  <c r="D1178"/>
  <c r="D1194"/>
  <c r="D1210"/>
  <c r="D1705"/>
  <c r="D1721"/>
  <c r="D670"/>
  <c r="D686"/>
  <c r="D1187"/>
  <c r="D1203"/>
  <c r="D1698"/>
  <c r="D1714"/>
  <c r="D667"/>
  <c r="D683"/>
  <c r="D1184"/>
  <c r="D1200"/>
  <c r="D1216"/>
  <c r="D1711"/>
  <c r="D897"/>
  <c r="D913"/>
  <c r="D660"/>
  <c r="D676"/>
  <c r="D1185"/>
  <c r="D1201"/>
  <c r="D1696"/>
  <c r="D1712"/>
  <c r="D673"/>
  <c r="D689"/>
  <c r="D1190"/>
  <c r="D1206"/>
  <c r="D1701"/>
  <c r="D1717"/>
  <c r="D674"/>
  <c r="D1175"/>
  <c r="D1191"/>
  <c r="D1207"/>
  <c r="D1702"/>
  <c r="D1718"/>
  <c r="D671"/>
  <c r="D687"/>
  <c r="D1188"/>
  <c r="D1204"/>
  <c r="D1707"/>
  <c r="D1723"/>
  <c r="D809"/>
  <c r="D777"/>
  <c r="D790"/>
  <c r="D784"/>
  <c r="D1370"/>
  <c r="D1338"/>
  <c r="D1365"/>
  <c r="D89"/>
  <c r="D966"/>
  <c r="D959"/>
  <c r="D2633"/>
  <c r="D952"/>
  <c r="D946"/>
  <c r="D949"/>
  <c r="D781"/>
  <c r="D798"/>
  <c r="D792"/>
  <c r="D1390"/>
  <c r="D1358"/>
  <c r="D1385"/>
  <c r="D1353"/>
  <c r="D1677"/>
  <c r="D85"/>
  <c r="D79"/>
  <c r="D95"/>
  <c r="D111"/>
  <c r="D1544"/>
  <c r="D2629"/>
  <c r="D807"/>
  <c r="D775"/>
  <c r="D786"/>
  <c r="D780"/>
  <c r="D1384"/>
  <c r="D1352"/>
  <c r="D1379"/>
  <c r="D1347"/>
  <c r="D1676"/>
  <c r="D1671"/>
  <c r="D66"/>
  <c r="D82"/>
  <c r="D98"/>
  <c r="D114"/>
  <c r="D1546"/>
  <c r="D1539"/>
  <c r="D787"/>
  <c r="D810"/>
  <c r="D804"/>
  <c r="D1364"/>
  <c r="D1391"/>
  <c r="D1360"/>
  <c r="D76"/>
  <c r="D92"/>
  <c r="D108"/>
  <c r="D968"/>
  <c r="D969"/>
  <c r="D2635"/>
  <c r="D2524"/>
  <c r="D951"/>
  <c r="D2631"/>
  <c r="D945"/>
  <c r="D785"/>
  <c r="D806"/>
  <c r="D800"/>
  <c r="D1362"/>
  <c r="D1389"/>
  <c r="D1357"/>
  <c r="D1654"/>
  <c r="D81"/>
  <c r="D113"/>
  <c r="D943"/>
  <c r="D956"/>
  <c r="D957"/>
  <c r="D789"/>
  <c r="D808"/>
  <c r="D1366"/>
  <c r="D1361"/>
  <c r="D1674"/>
  <c r="D1669"/>
  <c r="D93"/>
  <c r="D83"/>
  <c r="D99"/>
  <c r="D1536"/>
  <c r="D783"/>
  <c r="D802"/>
  <c r="D796"/>
  <c r="D1359"/>
  <c r="D1387"/>
  <c r="D1355"/>
  <c r="D1668"/>
  <c r="D78"/>
  <c r="D94"/>
  <c r="D110"/>
  <c r="D1530"/>
  <c r="D1523"/>
  <c r="D795"/>
  <c r="D1372"/>
  <c r="D1340"/>
  <c r="D1367"/>
  <c r="D1675"/>
  <c r="D72"/>
  <c r="D88"/>
  <c r="D104"/>
  <c r="D1538"/>
  <c r="D1531"/>
  <c r="D743"/>
  <c r="D711"/>
  <c r="D718"/>
  <c r="D712"/>
  <c r="D379"/>
  <c r="D396"/>
  <c r="D1537"/>
  <c r="D717"/>
  <c r="D730"/>
  <c r="D724"/>
  <c r="D385"/>
  <c r="D353"/>
  <c r="D350"/>
  <c r="D1558"/>
  <c r="D1524"/>
  <c r="D1551"/>
  <c r="D699"/>
  <c r="D399"/>
  <c r="D367"/>
  <c r="D378"/>
  <c r="D372"/>
  <c r="D1541"/>
  <c r="D737"/>
  <c r="D706"/>
  <c r="D700"/>
  <c r="D373"/>
  <c r="D390"/>
  <c r="D384"/>
  <c r="D1554"/>
  <c r="D1547"/>
  <c r="D719"/>
  <c r="D734"/>
  <c r="D728"/>
  <c r="D371"/>
  <c r="D386"/>
  <c r="D380"/>
  <c r="D1529"/>
  <c r="D725"/>
  <c r="D746"/>
  <c r="D740"/>
  <c r="D393"/>
  <c r="D361"/>
  <c r="D366"/>
  <c r="D360"/>
  <c r="D1550"/>
  <c r="D1543"/>
  <c r="D723"/>
  <c r="D742"/>
  <c r="D736"/>
  <c r="D375"/>
  <c r="D394"/>
  <c r="D388"/>
  <c r="D1533"/>
  <c r="D729"/>
  <c r="D748"/>
  <c r="D381"/>
  <c r="D400"/>
  <c r="D2618"/>
  <c r="D2500"/>
  <c r="D2616"/>
  <c r="D2614"/>
  <c r="D2612"/>
  <c r="D2521"/>
  <c r="D2627"/>
  <c r="D2519"/>
  <c r="D2624"/>
  <c r="D2506"/>
  <c r="D2505"/>
  <c r="D2623"/>
  <c r="D2520"/>
  <c r="D2511"/>
  <c r="D2620"/>
  <c r="D2502"/>
  <c r="D2474"/>
  <c r="D2420"/>
  <c r="D2684"/>
  <c r="D2636"/>
  <c r="E2475" a="1"/>
  <c r="E2738" a="1"/>
  <c r="D2737"/>
  <c r="D2529"/>
  <c r="D2522"/>
  <c r="D793"/>
  <c r="D1386"/>
  <c r="D1354"/>
  <c r="D1381"/>
  <c r="D1349"/>
  <c r="D1673"/>
  <c r="D73"/>
  <c r="D105"/>
  <c r="D1540"/>
  <c r="D2632"/>
  <c r="D958"/>
  <c r="D955"/>
  <c r="D972"/>
  <c r="D965"/>
  <c r="D797"/>
  <c r="D1374"/>
  <c r="D1342"/>
  <c r="D1369"/>
  <c r="D1337"/>
  <c r="D1666"/>
  <c r="D69"/>
  <c r="D101"/>
  <c r="D1548"/>
  <c r="D71"/>
  <c r="D87"/>
  <c r="D103"/>
  <c r="D1528"/>
  <c r="D791"/>
  <c r="D1368"/>
  <c r="D1336"/>
  <c r="D1363"/>
  <c r="D74"/>
  <c r="D90"/>
  <c r="D106"/>
  <c r="D803"/>
  <c r="D771"/>
  <c r="D778"/>
  <c r="D772"/>
  <c r="D1380"/>
  <c r="D1348"/>
  <c r="D1375"/>
  <c r="D1343"/>
  <c r="D1672"/>
  <c r="D1667"/>
  <c r="D68"/>
  <c r="D84"/>
  <c r="D100"/>
  <c r="D2634"/>
  <c r="D2630"/>
  <c r="D974"/>
  <c r="D954"/>
  <c r="D953"/>
  <c r="D2528"/>
  <c r="D944"/>
  <c r="D2525"/>
  <c r="D942"/>
  <c r="D947"/>
  <c r="D970"/>
  <c r="D964"/>
  <c r="D801"/>
  <c r="D769"/>
  <c r="D1378"/>
  <c r="D1346"/>
  <c r="D1373"/>
  <c r="D1341"/>
  <c r="D1670"/>
  <c r="D1665"/>
  <c r="D65"/>
  <c r="D97"/>
  <c r="D1556"/>
  <c r="D2527"/>
  <c r="D2523"/>
  <c r="D975"/>
  <c r="D971"/>
  <c r="D941"/>
  <c r="D973"/>
  <c r="D805"/>
  <c r="D782"/>
  <c r="D1382"/>
  <c r="D1350"/>
  <c r="D1377"/>
  <c r="D1345"/>
  <c r="D77"/>
  <c r="D109"/>
  <c r="D1532"/>
  <c r="D75"/>
  <c r="D91"/>
  <c r="D107"/>
  <c r="D1552"/>
  <c r="D799"/>
  <c r="D770"/>
  <c r="D1376"/>
  <c r="D1344"/>
  <c r="D1371"/>
  <c r="D1339"/>
  <c r="D86"/>
  <c r="D102"/>
  <c r="D1555"/>
  <c r="D779"/>
  <c r="D794"/>
  <c r="D788"/>
  <c r="D1388"/>
  <c r="D1356"/>
  <c r="D1383"/>
  <c r="D1351"/>
  <c r="D1664"/>
  <c r="D1659"/>
  <c r="D80"/>
  <c r="D96"/>
  <c r="D112"/>
  <c r="D727"/>
  <c r="D744"/>
  <c r="D395"/>
  <c r="D363"/>
  <c r="D370"/>
  <c r="D364"/>
  <c r="D1526"/>
  <c r="D1553"/>
  <c r="D733"/>
  <c r="D701"/>
  <c r="D698"/>
  <c r="D369"/>
  <c r="D382"/>
  <c r="D376"/>
  <c r="D1542"/>
  <c r="D1535"/>
  <c r="D715"/>
  <c r="D726"/>
  <c r="D720"/>
  <c r="D383"/>
  <c r="D351"/>
  <c r="D1557"/>
  <c r="D1525"/>
  <c r="D721"/>
  <c r="D738"/>
  <c r="D732"/>
  <c r="D389"/>
  <c r="D357"/>
  <c r="D358"/>
  <c r="D352"/>
  <c r="D735"/>
  <c r="D703"/>
  <c r="D702"/>
  <c r="D387"/>
  <c r="D355"/>
  <c r="D354"/>
  <c r="D1545"/>
  <c r="D741"/>
  <c r="D709"/>
  <c r="D714"/>
  <c r="D708"/>
  <c r="D377"/>
  <c r="D398"/>
  <c r="D392"/>
  <c r="D1559"/>
  <c r="D1527"/>
  <c r="D707"/>
  <c r="D710"/>
  <c r="D391"/>
  <c r="D359"/>
  <c r="D362"/>
  <c r="D356"/>
  <c r="D1522"/>
  <c r="D1549"/>
  <c r="D745"/>
  <c r="D713"/>
  <c r="D716"/>
  <c r="D397"/>
  <c r="D365"/>
  <c r="D374"/>
  <c r="D368"/>
  <c r="D2619"/>
  <c r="D2516"/>
  <c r="D2503"/>
  <c r="D2617"/>
  <c r="D2514"/>
  <c r="D2615"/>
  <c r="D2512"/>
  <c r="D2517"/>
  <c r="D2613"/>
  <c r="D2510"/>
  <c r="D2513"/>
  <c r="D2626"/>
  <c r="D2628"/>
  <c r="D2508"/>
  <c r="D2509"/>
  <c r="D2625"/>
  <c r="D2515"/>
  <c r="D2622"/>
  <c r="D2504"/>
  <c r="D2501"/>
  <c r="D2621"/>
  <c r="D2518"/>
  <c r="D2507"/>
  <c r="D2530"/>
  <c r="D2314"/>
  <c r="E2531" a="1"/>
  <c r="E2421" a="1"/>
  <c r="E2685" a="1"/>
  <c r="D2582"/>
  <c r="E2369" a="1"/>
  <c r="E2637" a="1"/>
  <c r="E2583" a="1"/>
  <c r="E2315" a="1"/>
  <c r="E2531" l="1"/>
  <c r="E2738"/>
  <c r="E2421"/>
  <c r="E2315"/>
  <c r="E2369"/>
  <c r="E2637"/>
  <c r="E2583"/>
  <c r="E2475"/>
  <c r="E2685"/>
  <c r="C12"/>
  <c r="C2584"/>
  <c r="C2422"/>
  <c r="C2476"/>
  <c r="C2316"/>
  <c r="C2686"/>
  <c r="C2370"/>
  <c r="C2739"/>
  <c r="C2532"/>
  <c r="C2638"/>
  <c r="D2315"/>
  <c r="E2476" a="1"/>
  <c r="E2686" a="1"/>
  <c r="E2584" a="1"/>
  <c r="E2638" a="1"/>
  <c r="D2685"/>
  <c r="D2475"/>
  <c r="D2531"/>
  <c r="D2421"/>
  <c r="D2583"/>
  <c r="E2316" a="1"/>
  <c r="E2739" a="1"/>
  <c r="E2532" a="1"/>
  <c r="E2422" a="1"/>
  <c r="D2738"/>
  <c r="D11"/>
  <c r="D2637"/>
  <c r="E2370" a="1"/>
  <c r="E2638" l="1"/>
  <c r="E2739"/>
  <c r="E2686"/>
  <c r="E2476"/>
  <c r="E2584"/>
  <c r="E2532"/>
  <c r="E2370"/>
  <c r="E2316"/>
  <c r="E2422"/>
  <c r="C13"/>
  <c r="C2687"/>
  <c r="C2317"/>
  <c r="C2477"/>
  <c r="C2423"/>
  <c r="C2585"/>
  <c r="C2371"/>
  <c r="C2740"/>
  <c r="C2639"/>
  <c r="C2533"/>
  <c r="D2316"/>
  <c r="D2638"/>
  <c r="E2477" a="1"/>
  <c r="E2317" a="1"/>
  <c r="E2639" a="1"/>
  <c r="D2584"/>
  <c r="D2422"/>
  <c r="E2533" a="1"/>
  <c r="E2371" a="1"/>
  <c r="E2585" a="1"/>
  <c r="D2476"/>
  <c r="D2739"/>
  <c r="E2687" a="1"/>
  <c r="E2423" a="1"/>
  <c r="D2532"/>
  <c r="D2686"/>
  <c r="E2740" a="1"/>
  <c r="E2533" l="1"/>
  <c r="E2740"/>
  <c r="E2585"/>
  <c r="E2477"/>
  <c r="E2687"/>
  <c r="E2639"/>
  <c r="E2371"/>
  <c r="E2423"/>
  <c r="E2317"/>
  <c r="C14"/>
  <c r="C2372"/>
  <c r="C2586"/>
  <c r="C2424"/>
  <c r="C2478"/>
  <c r="C2318"/>
  <c r="C2688"/>
  <c r="C2741"/>
  <c r="C2534"/>
  <c r="C2640"/>
  <c r="D2317"/>
  <c r="D2639"/>
  <c r="D2687"/>
  <c r="E2640" a="1"/>
  <c r="E2318" a="1"/>
  <c r="D2423"/>
  <c r="D2477"/>
  <c r="E2372" a="1"/>
  <c r="E2688" a="1"/>
  <c r="E2424" a="1"/>
  <c r="E2586" a="1"/>
  <c r="D2533"/>
  <c r="D2585"/>
  <c r="E2478" a="1"/>
  <c r="D2740"/>
  <c r="E2741" a="1"/>
  <c r="E2534" a="1"/>
  <c r="D13"/>
  <c r="E2640" l="1"/>
  <c r="E2741"/>
  <c r="E2318"/>
  <c r="E2424"/>
  <c r="E2372"/>
  <c r="E2534"/>
  <c r="E2688"/>
  <c r="E2478"/>
  <c r="E2586"/>
  <c r="C15"/>
  <c r="C2373"/>
  <c r="C2689"/>
  <c r="C2319"/>
  <c r="C2479"/>
  <c r="C2425"/>
  <c r="C2587"/>
  <c r="C2742"/>
  <c r="C2641"/>
  <c r="C2535"/>
  <c r="D2478"/>
  <c r="D2640"/>
  <c r="D2688"/>
  <c r="E2742" a="1"/>
  <c r="E2641" a="1"/>
  <c r="E2373" a="1"/>
  <c r="D2586"/>
  <c r="E2425" a="1"/>
  <c r="E2535" a="1"/>
  <c r="D2534"/>
  <c r="D2741"/>
  <c r="E2689" a="1"/>
  <c r="D2424"/>
  <c r="E2319" a="1"/>
  <c r="E2587" a="1"/>
  <c r="E2479" a="1"/>
  <c r="E2535" l="1"/>
  <c r="E2742"/>
  <c r="E2425"/>
  <c r="E2319"/>
  <c r="E2373"/>
  <c r="E2641"/>
  <c r="E2587"/>
  <c r="E2479"/>
  <c r="E2689"/>
  <c r="C16"/>
  <c r="C2320"/>
  <c r="C2588"/>
  <c r="C2426"/>
  <c r="C2480"/>
  <c r="C2690"/>
  <c r="C2374"/>
  <c r="C2743"/>
  <c r="C2536"/>
  <c r="C2642"/>
  <c r="D2479"/>
  <c r="D2689"/>
  <c r="E2320" a="1"/>
  <c r="E2588" a="1"/>
  <c r="E2536" a="1"/>
  <c r="D2641"/>
  <c r="E2642" a="1"/>
  <c r="E2690" a="1"/>
  <c r="E2480" a="1"/>
  <c r="D2425"/>
  <c r="E2426" a="1"/>
  <c r="D2535"/>
  <c r="D15"/>
  <c r="D2587"/>
  <c r="D2742"/>
  <c r="E2743" a="1"/>
  <c r="E2374" a="1"/>
  <c r="E2642" l="1"/>
  <c r="E2743"/>
  <c r="E2690"/>
  <c r="E2426"/>
  <c r="E2320"/>
  <c r="E2536"/>
  <c r="E2374"/>
  <c r="E2480"/>
  <c r="E2588"/>
  <c r="C17"/>
  <c r="C2375"/>
  <c r="C2691"/>
  <c r="C2481"/>
  <c r="C2427"/>
  <c r="C2589"/>
  <c r="C2321"/>
  <c r="C2744"/>
  <c r="C2643"/>
  <c r="C2537"/>
  <c r="D2480"/>
  <c r="D2743"/>
  <c r="E2375" a="1"/>
  <c r="E2691" a="1"/>
  <c r="E2427" a="1"/>
  <c r="D2588"/>
  <c r="D2426"/>
  <c r="E2744" a="1"/>
  <c r="D2690"/>
  <c r="E2481" a="1"/>
  <c r="D2642"/>
  <c r="D16"/>
  <c r="E2643" a="1"/>
  <c r="D2536"/>
  <c r="E2537" a="1"/>
  <c r="E2589" a="1"/>
  <c r="E2321" a="1"/>
  <c r="E2537" l="1"/>
  <c r="E2744"/>
  <c r="E2589"/>
  <c r="E2481"/>
  <c r="E2375"/>
  <c r="E2643"/>
  <c r="E2321"/>
  <c r="E2427"/>
  <c r="E2691"/>
  <c r="C18"/>
  <c r="C2590"/>
  <c r="C2428"/>
  <c r="C2482"/>
  <c r="C2692"/>
  <c r="C2376"/>
  <c r="C2745"/>
  <c r="C2538"/>
  <c r="C2644"/>
  <c r="D2643"/>
  <c r="E2376" a="1"/>
  <c r="E2590" a="1"/>
  <c r="E2745" a="1"/>
  <c r="D2744"/>
  <c r="D2427"/>
  <c r="D2537"/>
  <c r="E2538" a="1"/>
  <c r="D17"/>
  <c r="E2482" a="1"/>
  <c r="E2428" a="1"/>
  <c r="D2481"/>
  <c r="D2691"/>
  <c r="E2692" a="1"/>
  <c r="E2644" a="1"/>
  <c r="E2644" l="1"/>
  <c r="E2538"/>
  <c r="E2376"/>
  <c r="E2482"/>
  <c r="E2590"/>
  <c r="E2745"/>
  <c r="E2692"/>
  <c r="E2428"/>
  <c r="C19"/>
  <c r="C2693"/>
  <c r="C2483"/>
  <c r="C2429"/>
  <c r="C2377"/>
  <c r="C2591"/>
  <c r="C2746"/>
  <c r="C2645"/>
  <c r="C2539"/>
  <c r="D2482"/>
  <c r="D2428"/>
  <c r="E2645" a="1"/>
  <c r="D18"/>
  <c r="D2644"/>
  <c r="D2376"/>
  <c r="E2483" a="1"/>
  <c r="E2746" a="1"/>
  <c r="D2590"/>
  <c r="D2538"/>
  <c r="D2745"/>
  <c r="E2693" a="1"/>
  <c r="E2377" a="1"/>
  <c r="E2539" a="1"/>
  <c r="E2591" a="1"/>
  <c r="E2429" a="1"/>
  <c r="E2645" l="1"/>
  <c r="E2539"/>
  <c r="E2746"/>
  <c r="E2377"/>
  <c r="E2483"/>
  <c r="E2591"/>
  <c r="E2429"/>
  <c r="E2693"/>
  <c r="C20"/>
  <c r="C2592"/>
  <c r="C2430"/>
  <c r="C2484"/>
  <c r="C2694"/>
  <c r="C2378"/>
  <c r="C2747"/>
  <c r="C2540"/>
  <c r="C2646"/>
  <c r="D2483"/>
  <c r="D2693"/>
  <c r="E2694" a="1"/>
  <c r="E2378" a="1"/>
  <c r="E2540" a="1"/>
  <c r="E2592" a="1"/>
  <c r="D19"/>
  <c r="E2646" a="1"/>
  <c r="D2645"/>
  <c r="E2430" a="1"/>
  <c r="D2429"/>
  <c r="E2747" a="1"/>
  <c r="D2539"/>
  <c r="D2746"/>
  <c r="D2591"/>
  <c r="E2484" a="1"/>
  <c r="E2646" l="1"/>
  <c r="E2747"/>
  <c r="E2694"/>
  <c r="E2430"/>
  <c r="E2540"/>
  <c r="E2378"/>
  <c r="E2484"/>
  <c r="E2592"/>
  <c r="C21"/>
  <c r="C2379"/>
  <c r="C2695"/>
  <c r="C2485"/>
  <c r="C2431"/>
  <c r="C2593"/>
  <c r="C2748"/>
  <c r="C2647"/>
  <c r="C2541"/>
  <c r="D2484"/>
  <c r="D20"/>
  <c r="E2431" a="1"/>
  <c r="E2647" a="1"/>
  <c r="D2747"/>
  <c r="E2593" a="1"/>
  <c r="D2540"/>
  <c r="E2748" a="1"/>
  <c r="E2695" a="1"/>
  <c r="E2541" a="1"/>
  <c r="D2646"/>
  <c r="E2379" a="1"/>
  <c r="E2485" a="1"/>
  <c r="E2593" l="1"/>
  <c r="E2541"/>
  <c r="E2748"/>
  <c r="E2431"/>
  <c r="E2695"/>
  <c r="E2647"/>
  <c r="E2485"/>
  <c r="E2379"/>
  <c r="C22"/>
  <c r="C2486"/>
  <c r="C2594"/>
  <c r="C2432"/>
  <c r="C2696"/>
  <c r="C2749"/>
  <c r="C2542"/>
  <c r="C2648"/>
  <c r="D21"/>
  <c r="D2695"/>
  <c r="D2541"/>
  <c r="E2542" a="1"/>
  <c r="E2594" a="1"/>
  <c r="E2432" a="1"/>
  <c r="E2648" a="1"/>
  <c r="E2749" a="1"/>
  <c r="D2485"/>
  <c r="D2593"/>
  <c r="D2748"/>
  <c r="E2696" a="1"/>
  <c r="D2647"/>
  <c r="E2486" a="1"/>
  <c r="E2749" l="1"/>
  <c r="E2542"/>
  <c r="E2696"/>
  <c r="E2594"/>
  <c r="E2648"/>
  <c r="E2432"/>
  <c r="E2486"/>
  <c r="C23"/>
  <c r="C2433"/>
  <c r="C2697"/>
  <c r="C2595"/>
  <c r="C2487"/>
  <c r="C2750"/>
  <c r="C2649"/>
  <c r="C2543"/>
  <c r="E2697" a="1"/>
  <c r="D2749"/>
  <c r="E2487" a="1"/>
  <c r="E2433" a="1"/>
  <c r="D22"/>
  <c r="D2648"/>
  <c r="E2595" a="1"/>
  <c r="E2543" a="1"/>
  <c r="D2594"/>
  <c r="E2750" a="1"/>
  <c r="D2542"/>
  <c r="E2649" a="1"/>
  <c r="E2543" l="1"/>
  <c r="E2750"/>
  <c r="E2595"/>
  <c r="E2433"/>
  <c r="E2649"/>
  <c r="E2487"/>
  <c r="E2697"/>
  <c r="C24"/>
  <c r="C2488"/>
  <c r="C2596"/>
  <c r="C2698"/>
  <c r="C2434"/>
  <c r="C2751"/>
  <c r="C2544"/>
  <c r="C2650"/>
  <c r="E2596" a="1"/>
  <c r="D2649"/>
  <c r="D23"/>
  <c r="E2488" a="1"/>
  <c r="D2543"/>
  <c r="D2750"/>
  <c r="E2698" a="1"/>
  <c r="E2650" a="1"/>
  <c r="E2544" a="1"/>
  <c r="E2751" a="1"/>
  <c r="D2697"/>
  <c r="E2434" a="1"/>
  <c r="D2595"/>
  <c r="E2650" l="1"/>
  <c r="E2751"/>
  <c r="E2698"/>
  <c r="E2488"/>
  <c r="E2544"/>
  <c r="E2434"/>
  <c r="E2596"/>
  <c r="C25"/>
  <c r="C2435"/>
  <c r="C2699"/>
  <c r="C2597"/>
  <c r="C2489"/>
  <c r="C2752"/>
  <c r="C2651"/>
  <c r="C2545"/>
  <c r="E2699" a="1"/>
  <c r="D2650"/>
  <c r="D2751"/>
  <c r="E2597" a="1"/>
  <c r="D2434"/>
  <c r="D2698"/>
  <c r="E2752" a="1"/>
  <c r="D2544"/>
  <c r="E2435" a="1"/>
  <c r="E2489" a="1"/>
  <c r="D24"/>
  <c r="D2596"/>
  <c r="E2545" a="1"/>
  <c r="E2651" a="1"/>
  <c r="E2545" l="1"/>
  <c r="E2752"/>
  <c r="E2597"/>
  <c r="E2435"/>
  <c r="E2651"/>
  <c r="E2489"/>
  <c r="E2699"/>
  <c r="C26"/>
  <c r="C2490"/>
  <c r="C2598"/>
  <c r="C2700"/>
  <c r="C2436"/>
  <c r="C2753"/>
  <c r="C2546"/>
  <c r="C2652"/>
  <c r="E2598" a="1"/>
  <c r="E2490" a="1"/>
  <c r="E2546" a="1"/>
  <c r="E2753" a="1"/>
  <c r="D25"/>
  <c r="D2752"/>
  <c r="E2652" a="1"/>
  <c r="E2700" a="1"/>
  <c r="D2545"/>
  <c r="D2651"/>
  <c r="D2699"/>
  <c r="D2597"/>
  <c r="E2436" a="1"/>
  <c r="E2652" l="1"/>
  <c r="E2753"/>
  <c r="E2700"/>
  <c r="E2490"/>
  <c r="E2546"/>
  <c r="E2436"/>
  <c r="E2598"/>
  <c r="C27"/>
  <c r="C2437"/>
  <c r="C2701"/>
  <c r="C2599"/>
  <c r="C2491"/>
  <c r="C2754"/>
  <c r="C2653"/>
  <c r="C2547"/>
  <c r="E2701" a="1"/>
  <c r="D2546"/>
  <c r="D26"/>
  <c r="E2437" a="1"/>
  <c r="D2652"/>
  <c r="D2753"/>
  <c r="E2653" a="1"/>
  <c r="E2599" a="1"/>
  <c r="E2547" a="1"/>
  <c r="D2700"/>
  <c r="E2754" a="1"/>
  <c r="D2598"/>
  <c r="E2491" a="1"/>
  <c r="E2547" l="1"/>
  <c r="E2754"/>
  <c r="E2599"/>
  <c r="E2437"/>
  <c r="E2653"/>
  <c r="E2491"/>
  <c r="E2701"/>
  <c r="C28"/>
  <c r="C2600"/>
  <c r="C2702"/>
  <c r="C2492"/>
  <c r="C2755"/>
  <c r="C2548"/>
  <c r="C2654"/>
  <c r="E2702" a="1"/>
  <c r="E2492" a="1"/>
  <c r="E2755" a="1"/>
  <c r="E2654" a="1"/>
  <c r="D27"/>
  <c r="D2599"/>
  <c r="D2547"/>
  <c r="E2600" a="1"/>
  <c r="E2548" a="1"/>
  <c r="D2701"/>
  <c r="D2653"/>
  <c r="D2754"/>
  <c r="E2654" l="1"/>
  <c r="E2548"/>
  <c r="E2492"/>
  <c r="E2600"/>
  <c r="E2755"/>
  <c r="E2702"/>
  <c r="C29"/>
  <c r="C2493"/>
  <c r="C2703"/>
  <c r="C2601"/>
  <c r="C2756"/>
  <c r="C2655"/>
  <c r="C2549"/>
  <c r="E2493" a="1"/>
  <c r="E2703" a="1"/>
  <c r="E2549" a="1"/>
  <c r="D28"/>
  <c r="D2654"/>
  <c r="E2601" a="1"/>
  <c r="D2702"/>
  <c r="D2600"/>
  <c r="E2756" a="1"/>
  <c r="E2655" a="1"/>
  <c r="D2755"/>
  <c r="D2548"/>
  <c r="E2655" l="1"/>
  <c r="E2549"/>
  <c r="E2756"/>
  <c r="E2703"/>
  <c r="E2601"/>
  <c r="E2493"/>
  <c r="C30"/>
  <c r="C2550"/>
  <c r="C2602"/>
  <c r="C2704"/>
  <c r="C2494"/>
  <c r="C2757"/>
  <c r="C2656"/>
  <c r="E2550" a="1"/>
  <c r="E2602" a="1"/>
  <c r="E2656" a="1"/>
  <c r="D2703"/>
  <c r="E2704" a="1"/>
  <c r="E2494" a="1"/>
  <c r="D2601"/>
  <c r="D2756"/>
  <c r="D29"/>
  <c r="D2655"/>
  <c r="E2757" a="1"/>
  <c r="E2704" l="1"/>
  <c r="E2656"/>
  <c r="E2494"/>
  <c r="E2602"/>
  <c r="E2757"/>
  <c r="E2550"/>
  <c r="C31"/>
  <c r="C2495"/>
  <c r="C2705"/>
  <c r="C2603"/>
  <c r="C2551"/>
  <c r="C2758"/>
  <c r="C2657"/>
  <c r="E2495" a="1"/>
  <c r="D2550"/>
  <c r="E2705" a="1"/>
  <c r="E2657" a="1"/>
  <c r="D2602"/>
  <c r="E2603" a="1"/>
  <c r="D2757"/>
  <c r="E2551" a="1"/>
  <c r="D2656"/>
  <c r="D30"/>
  <c r="D2704"/>
  <c r="E2758" a="1"/>
  <c r="E2657" l="1"/>
  <c r="E2551"/>
  <c r="E2705"/>
  <c r="E2758"/>
  <c r="E2603"/>
  <c r="E2495"/>
  <c r="C32"/>
  <c r="C2658"/>
  <c r="C2552"/>
  <c r="C2604"/>
  <c r="C2706"/>
  <c r="C2759"/>
  <c r="D2758"/>
  <c r="D2603"/>
  <c r="E2552" a="1"/>
  <c r="D2705"/>
  <c r="E2658" a="1"/>
  <c r="E2759" a="1"/>
  <c r="D31"/>
  <c r="E2706" a="1"/>
  <c r="E2604" a="1"/>
  <c r="E2706" l="1"/>
  <c r="E2552"/>
  <c r="E2759"/>
  <c r="E2604"/>
  <c r="E2658"/>
  <c r="C33"/>
  <c r="C2707"/>
  <c r="C2605"/>
  <c r="C2659"/>
  <c r="C2553"/>
  <c r="C2760"/>
  <c r="E2605" a="1"/>
  <c r="D2706"/>
  <c r="E2553" a="1"/>
  <c r="E2659" a="1"/>
  <c r="D2759"/>
  <c r="D32"/>
  <c r="D2658"/>
  <c r="E2707" a="1"/>
  <c r="E2760" a="1"/>
  <c r="D2604"/>
  <c r="E2553" l="1"/>
  <c r="E2760"/>
  <c r="E2659"/>
  <c r="E2707"/>
  <c r="E2605"/>
  <c r="C34"/>
  <c r="C2660"/>
  <c r="C2606"/>
  <c r="C2708"/>
  <c r="C2761"/>
  <c r="E2660" a="1"/>
  <c r="D2760"/>
  <c r="D33"/>
  <c r="D2605"/>
  <c r="D2659"/>
  <c r="E2708" a="1"/>
  <c r="D2707"/>
  <c r="E2606" a="1"/>
  <c r="E2761" a="1"/>
  <c r="E2761" l="1"/>
  <c r="E2708"/>
  <c r="E2660"/>
  <c r="E2606"/>
  <c r="C35"/>
  <c r="C2661"/>
  <c r="C2709"/>
  <c r="C2607"/>
  <c r="C2762"/>
  <c r="C2662"/>
  <c r="D34"/>
  <c r="D2761"/>
  <c r="D2708"/>
  <c r="E2709" a="1"/>
  <c r="E2662" a="1"/>
  <c r="D2606"/>
  <c r="E2661" a="1"/>
  <c r="E2607" a="1"/>
  <c r="D2660"/>
  <c r="E2762" a="1"/>
  <c r="E2762" l="1"/>
  <c r="E2709"/>
  <c r="E2662"/>
  <c r="E2607"/>
  <c r="E2661"/>
  <c r="C36"/>
  <c r="C2608"/>
  <c r="C2710"/>
  <c r="C2763"/>
  <c r="C2663"/>
  <c r="E2763" a="1"/>
  <c r="D2762"/>
  <c r="D2661"/>
  <c r="D2662"/>
  <c r="D2709"/>
  <c r="E2710" a="1"/>
  <c r="E2608" a="1"/>
  <c r="D35"/>
  <c r="E2663" a="1"/>
  <c r="E2763" l="1"/>
  <c r="E2608"/>
  <c r="E2663"/>
  <c r="E2710"/>
  <c r="C37"/>
  <c r="C2609"/>
  <c r="C2711"/>
  <c r="C2764"/>
  <c r="C2664"/>
  <c r="E2609" a="1"/>
  <c r="D2763"/>
  <c r="D2710"/>
  <c r="E2764" a="1"/>
  <c r="D2663"/>
  <c r="D36"/>
  <c r="E2664" a="1"/>
  <c r="E2711" a="1"/>
  <c r="E2664" l="1"/>
  <c r="E2711"/>
  <c r="E2764"/>
  <c r="E2609"/>
  <c r="C38"/>
  <c r="C2610"/>
  <c r="C2712"/>
  <c r="C2765"/>
  <c r="C2665"/>
  <c r="E2610" a="1"/>
  <c r="E2712" a="1"/>
  <c r="D2764"/>
  <c r="E2765" a="1"/>
  <c r="D2664"/>
  <c r="E2665" a="1"/>
  <c r="D37"/>
  <c r="D2711"/>
  <c r="E2665" l="1"/>
  <c r="E2712"/>
  <c r="E2765"/>
  <c r="E2610"/>
  <c r="C39"/>
  <c r="C2666"/>
  <c r="C2611"/>
  <c r="C2713"/>
  <c r="C2766"/>
  <c r="D2665"/>
  <c r="E2766" a="1"/>
  <c r="D38"/>
  <c r="E2713" a="1"/>
  <c r="E2611" a="1"/>
  <c r="D2712"/>
  <c r="D2765"/>
  <c r="E2666" a="1"/>
  <c r="E2666" l="1"/>
  <c r="E2766"/>
  <c r="E2611"/>
  <c r="E2713"/>
  <c r="C40"/>
  <c r="C2667"/>
  <c r="C2714"/>
  <c r="C2767"/>
  <c r="D2766"/>
  <c r="D2666"/>
  <c r="D39"/>
  <c r="D2713"/>
  <c r="E2714" a="1"/>
  <c r="E2667" a="1"/>
  <c r="E2767" a="1"/>
  <c r="E2714" l="1"/>
  <c r="E2767"/>
  <c r="E2667"/>
  <c r="C41"/>
  <c r="C2668"/>
  <c r="C2715"/>
  <c r="C2768"/>
  <c r="D2667"/>
  <c r="D40"/>
  <c r="E2668" a="1"/>
  <c r="E2715" a="1"/>
  <c r="D2714"/>
  <c r="D2767"/>
  <c r="E2768" a="1"/>
  <c r="E2768" l="1"/>
  <c r="E2668"/>
  <c r="E2715"/>
  <c r="C42"/>
  <c r="C2669"/>
  <c r="C2716"/>
  <c r="C2769"/>
  <c r="D41"/>
  <c r="E2669" a="1"/>
  <c r="E2769" a="1"/>
  <c r="D2715"/>
  <c r="D2768"/>
  <c r="E2716" a="1"/>
  <c r="E2769" l="1"/>
  <c r="E2669"/>
  <c r="E2716"/>
  <c r="C43"/>
  <c r="C2717"/>
  <c r="C2770"/>
  <c r="D2716"/>
  <c r="D42"/>
  <c r="D2769"/>
  <c r="E2717" a="1"/>
  <c r="E2770" a="1"/>
  <c r="E2717" l="1"/>
  <c r="E2770"/>
  <c r="C44"/>
  <c r="C2718"/>
  <c r="C2771"/>
  <c r="D2717"/>
  <c r="E2771" a="1"/>
  <c r="D43"/>
  <c r="D2770"/>
  <c r="E2718" a="1"/>
  <c r="E2718" l="1"/>
  <c r="E2771"/>
  <c r="C45"/>
  <c r="C2719"/>
  <c r="C2772"/>
  <c r="D2771"/>
  <c r="E2772" a="1"/>
  <c r="D44"/>
  <c r="E2719" a="1"/>
  <c r="E2719" l="1"/>
  <c r="E2772"/>
  <c r="C46"/>
  <c r="C2720"/>
  <c r="C2773"/>
  <c r="D2772"/>
  <c r="E2773" a="1"/>
  <c r="D45"/>
  <c r="E2720" a="1"/>
  <c r="E2720" l="1"/>
  <c r="E2773"/>
  <c r="C47"/>
  <c r="C2721"/>
  <c r="C2774"/>
  <c r="D2773"/>
  <c r="D46"/>
  <c r="E2774" a="1"/>
  <c r="E2721" a="1"/>
  <c r="E2721" l="1"/>
  <c r="E2774"/>
  <c r="C48"/>
  <c r="C2722"/>
  <c r="C2775"/>
  <c r="D2774"/>
  <c r="E2775" a="1"/>
  <c r="D47"/>
  <c r="E2722" a="1"/>
  <c r="E2775" l="1"/>
  <c r="E2722"/>
  <c r="C49"/>
  <c r="C2723"/>
  <c r="C2776"/>
  <c r="D2775"/>
  <c r="E2776" a="1"/>
  <c r="D48"/>
  <c r="E2723" a="1"/>
  <c r="E2776" l="1"/>
  <c r="E2723"/>
  <c r="C50"/>
  <c r="C2724"/>
  <c r="C2777"/>
  <c r="D2776"/>
  <c r="E2777" a="1"/>
  <c r="D49"/>
  <c r="E2724" a="1"/>
  <c r="E2777" l="1"/>
  <c r="E2724"/>
  <c r="C51"/>
  <c r="C2725"/>
  <c r="C2778"/>
  <c r="D2777"/>
  <c r="E2778" a="1"/>
  <c r="D50"/>
  <c r="E2725" a="1"/>
  <c r="E2778" l="1"/>
  <c r="E2725"/>
  <c r="C52"/>
  <c r="C2726"/>
  <c r="C2779"/>
  <c r="D51"/>
  <c r="E2779" a="1"/>
  <c r="D2778"/>
  <c r="E2726" a="1"/>
  <c r="E2779" l="1"/>
  <c r="E2726"/>
  <c r="C53"/>
  <c r="C2727"/>
  <c r="C2780"/>
  <c r="E2727" a="1"/>
  <c r="D52"/>
  <c r="E2780" a="1"/>
  <c r="D2779"/>
  <c r="E2780" l="1"/>
  <c r="E2727"/>
  <c r="C54"/>
  <c r="C2781"/>
  <c r="D53"/>
  <c r="D2780"/>
  <c r="E2781" a="1"/>
  <c r="E2781" l="1"/>
  <c r="C55"/>
  <c r="C2782"/>
  <c r="D54"/>
  <c r="E2782" a="1"/>
  <c r="E2782" l="1"/>
  <c r="C56"/>
  <c r="C2783"/>
  <c r="C2784" s="1"/>
  <c r="E2783" a="1"/>
  <c r="D2782"/>
  <c r="E2784" a="1"/>
  <c r="E2784" l="1"/>
  <c r="E2783"/>
  <c r="C57"/>
  <c r="C2785"/>
  <c r="E2785" a="1"/>
  <c r="E2785" l="1"/>
  <c r="C58"/>
  <c r="C59" l="1"/>
  <c r="F48" i="15" a="1"/>
  <c r="F58" a="1"/>
  <c r="F66" a="1"/>
  <c r="F76" a="1"/>
  <c r="F91" a="1"/>
  <c r="F46" a="1"/>
  <c r="F56" a="1"/>
  <c r="F71" a="1"/>
  <c r="F81" a="1"/>
  <c r="F89" a="1"/>
  <c r="F51" a="1"/>
  <c r="F62" a="1"/>
  <c r="F70" a="1"/>
  <c r="F79" a="1"/>
  <c r="F95" a="1"/>
  <c r="F50" a="1"/>
  <c r="F59" a="1"/>
  <c r="F75" a="1"/>
  <c r="F85" a="1"/>
  <c r="F93" a="1"/>
  <c r="F55" a="1"/>
  <c r="F65" a="1"/>
  <c r="F73" a="1"/>
  <c r="F84" a="1"/>
  <c r="F99" a="1"/>
  <c r="F53" a="1"/>
  <c r="F63" a="1"/>
  <c r="F100" a="1"/>
  <c r="F80" a="1"/>
  <c r="F90" a="1"/>
  <c r="F97" a="1"/>
  <c r="F60" a="1"/>
  <c r="F69" a="1"/>
  <c r="F77" a="1"/>
  <c r="F87" a="1"/>
  <c r="F49" a="1"/>
  <c r="F57" a="1"/>
  <c r="F67" a="1"/>
  <c r="F83" a="1"/>
  <c r="F94" a="1"/>
  <c r="F47" a="1"/>
  <c r="F64" a="1"/>
  <c r="F74" a="1"/>
  <c r="F82" a="1"/>
  <c r="F92" a="1"/>
  <c r="F54" a="1"/>
  <c r="F61" a="1"/>
  <c r="F72" a="1"/>
  <c r="F88" a="1"/>
  <c r="F98" a="1"/>
  <c r="F52" a="1"/>
  <c r="F68" a="1"/>
  <c r="F78" a="1"/>
  <c r="F86" a="1"/>
  <c r="F96" a="1"/>
  <c r="F100" l="1"/>
  <c r="F96"/>
  <c r="F92"/>
  <c r="F87"/>
  <c r="F84"/>
  <c r="F79"/>
  <c r="F76"/>
  <c r="F72"/>
  <c r="F67"/>
  <c r="F63"/>
  <c r="F59"/>
  <c r="F56"/>
  <c r="F52"/>
  <c r="F47"/>
  <c r="F97"/>
  <c r="F93"/>
  <c r="F89"/>
  <c r="F86"/>
  <c r="F82"/>
  <c r="F77"/>
  <c r="F73"/>
  <c r="F70"/>
  <c r="F66"/>
  <c r="F61"/>
  <c r="F57"/>
  <c r="F53"/>
  <c r="F50"/>
  <c r="F46"/>
  <c r="F98"/>
  <c r="F94"/>
  <c r="F90"/>
  <c r="F85"/>
  <c r="F81"/>
  <c r="F78"/>
  <c r="F74"/>
  <c r="F69"/>
  <c r="F65"/>
  <c r="F62"/>
  <c r="F58"/>
  <c r="F54"/>
  <c r="F49"/>
  <c r="F99"/>
  <c r="F95"/>
  <c r="F91"/>
  <c r="F88"/>
  <c r="F83"/>
  <c r="F80"/>
  <c r="F75"/>
  <c r="F71"/>
  <c r="F68"/>
  <c r="F64"/>
  <c r="F60"/>
  <c r="F55"/>
  <c r="F51"/>
  <c r="F48"/>
  <c r="H96" a="1"/>
  <c r="H86" a="1"/>
  <c r="H69" a="1"/>
  <c r="H60" a="1"/>
  <c r="H97" a="1"/>
  <c r="H80" a="1"/>
  <c r="H67" a="1"/>
  <c r="H57" a="1"/>
  <c r="H49" a="1"/>
  <c r="E46" a="1"/>
  <c r="H74" a="1"/>
  <c r="H93" a="1"/>
  <c r="H83" a="1"/>
  <c r="H94" a="1"/>
  <c r="H79" a="1"/>
  <c r="H70" a="1"/>
  <c r="H54" a="1"/>
  <c r="H55" a="1"/>
  <c r="H66" a="1"/>
  <c r="H46" a="1"/>
  <c r="H52" a="1"/>
  <c r="H98" a="1"/>
  <c r="H88" a="1"/>
  <c r="H59" a="1"/>
  <c r="H95" a="1"/>
  <c r="H61" a="1"/>
  <c r="H87" a="1"/>
  <c r="H99" a="1"/>
  <c r="H63" a="1"/>
  <c r="H53" a="1"/>
  <c r="H91" a="1"/>
  <c r="H92" a="1"/>
  <c r="H90" a="1"/>
  <c r="H100" a="1"/>
  <c r="H89" a="1"/>
  <c r="H81" a="1"/>
  <c r="H71" a="1"/>
  <c r="H82" a="1"/>
  <c r="H64" a="1"/>
  <c r="H78" a="1"/>
  <c r="H56" a="1"/>
  <c r="H68" a="1"/>
  <c r="H47" a="1"/>
  <c r="H85" a="1"/>
  <c r="H75" a="1"/>
  <c r="H76" a="1"/>
  <c r="H58" a="1"/>
  <c r="H84" a="1"/>
  <c r="H73" a="1"/>
  <c r="H65" a="1"/>
  <c r="H48" a="1"/>
  <c r="H50" a="1"/>
  <c r="H72" a="1"/>
  <c r="H62" a="1"/>
  <c r="H77" a="1"/>
  <c r="H51" a="1"/>
  <c r="H48" l="1"/>
  <c r="H64"/>
  <c r="H71"/>
  <c r="H80"/>
  <c r="H88"/>
  <c r="H95"/>
  <c r="H49"/>
  <c r="H58"/>
  <c r="H65"/>
  <c r="H74"/>
  <c r="H81"/>
  <c r="H90"/>
  <c r="H98"/>
  <c r="H50"/>
  <c r="H57"/>
  <c r="H66"/>
  <c r="H73"/>
  <c r="H82"/>
  <c r="H89"/>
  <c r="H97"/>
  <c r="H52"/>
  <c r="H59"/>
  <c r="H67"/>
  <c r="H76"/>
  <c r="H84"/>
  <c r="H92"/>
  <c r="H100"/>
  <c r="H55"/>
  <c r="H51"/>
  <c r="H60"/>
  <c r="H68"/>
  <c r="H75"/>
  <c r="H83"/>
  <c r="H91"/>
  <c r="H99"/>
  <c r="H54"/>
  <c r="H62"/>
  <c r="H69"/>
  <c r="H78"/>
  <c r="H85"/>
  <c r="H94"/>
  <c r="H53"/>
  <c r="H61"/>
  <c r="H70"/>
  <c r="H77"/>
  <c r="H86"/>
  <c r="H93"/>
  <c r="H47"/>
  <c r="H56"/>
  <c r="H63"/>
  <c r="H72"/>
  <c r="H79"/>
  <c r="H87"/>
  <c r="H96"/>
  <c r="H46"/>
  <c r="E46"/>
  <c r="D51" a="1"/>
  <c r="D51" s="1"/>
  <c r="D60" a="1"/>
  <c r="D60" s="1"/>
  <c r="D68" a="1"/>
  <c r="D68" s="1"/>
  <c r="D75" a="1"/>
  <c r="D75" s="1"/>
  <c r="D83" a="1"/>
  <c r="D83" s="1"/>
  <c r="D91" a="1"/>
  <c r="D91" s="1"/>
  <c r="D99" a="1"/>
  <c r="D99" s="1"/>
  <c r="D54" a="1"/>
  <c r="D54" s="1"/>
  <c r="D62" a="1"/>
  <c r="D62" s="1"/>
  <c r="D69" a="1"/>
  <c r="D69" s="1"/>
  <c r="D78" a="1"/>
  <c r="D78" s="1"/>
  <c r="D85" a="1"/>
  <c r="D85" s="1"/>
  <c r="D94" a="1"/>
  <c r="D94" s="1"/>
  <c r="D46" a="1"/>
  <c r="D46" s="1"/>
  <c r="D53" a="1"/>
  <c r="D53" s="1"/>
  <c r="D61" a="1"/>
  <c r="D61" s="1"/>
  <c r="D70" a="1"/>
  <c r="D70" s="1"/>
  <c r="D77" a="1"/>
  <c r="D77" s="1"/>
  <c r="D86" a="1"/>
  <c r="D86" s="1"/>
  <c r="D93" a="1"/>
  <c r="D93" s="1"/>
  <c r="D47" a="1"/>
  <c r="D47" s="1"/>
  <c r="D56" a="1"/>
  <c r="D56" s="1"/>
  <c r="D63" a="1"/>
  <c r="D63" s="1"/>
  <c r="D72" a="1"/>
  <c r="D72" s="1"/>
  <c r="D79" a="1"/>
  <c r="D79" s="1"/>
  <c r="D87" a="1"/>
  <c r="D87" s="1"/>
  <c r="D96" a="1"/>
  <c r="D96" s="1"/>
  <c r="D48" a="1"/>
  <c r="D48" s="1"/>
  <c r="D55" a="1"/>
  <c r="D55" s="1"/>
  <c r="D64" a="1"/>
  <c r="D64" s="1"/>
  <c r="D71" a="1"/>
  <c r="D71" s="1"/>
  <c r="D80" a="1"/>
  <c r="D80" s="1"/>
  <c r="D88" a="1"/>
  <c r="D88" s="1"/>
  <c r="D95" a="1"/>
  <c r="D95" s="1"/>
  <c r="D49" a="1"/>
  <c r="D49" s="1"/>
  <c r="D58" a="1"/>
  <c r="D58" s="1"/>
  <c r="D65" a="1"/>
  <c r="D65" s="1"/>
  <c r="D74" a="1"/>
  <c r="D74" s="1"/>
  <c r="D81" a="1"/>
  <c r="D81" s="1"/>
  <c r="D90" a="1"/>
  <c r="D90" s="1"/>
  <c r="D98" a="1"/>
  <c r="D98" s="1"/>
  <c r="D50" a="1"/>
  <c r="D50" s="1"/>
  <c r="D57" a="1"/>
  <c r="D57" s="1"/>
  <c r="D66" a="1"/>
  <c r="D66" s="1"/>
  <c r="D73" a="1"/>
  <c r="D73" s="1"/>
  <c r="D82" a="1"/>
  <c r="D82" s="1"/>
  <c r="D89" a="1"/>
  <c r="D89" s="1"/>
  <c r="D97" a="1"/>
  <c r="D97" s="1"/>
  <c r="D52" a="1"/>
  <c r="D52" s="1"/>
  <c r="D59" a="1"/>
  <c r="D59" s="1"/>
  <c r="D67" a="1"/>
  <c r="D67" s="1"/>
  <c r="D76" a="1"/>
  <c r="D76" s="1"/>
  <c r="D84" a="1"/>
  <c r="D84" s="1"/>
  <c r="D92" a="1"/>
  <c r="D92" s="1"/>
  <c r="D100" a="1"/>
  <c r="D100" s="1"/>
  <c r="E100" a="1"/>
  <c r="E53" a="1"/>
  <c r="E71" a="1"/>
  <c r="E89" a="1"/>
  <c r="E69" a="1"/>
  <c r="E48" a="1"/>
  <c r="E66" a="1"/>
  <c r="E75" a="1"/>
  <c r="E47" a="1"/>
  <c r="E65" a="1"/>
  <c r="E99" a="1"/>
  <c r="E77" a="1"/>
  <c r="E95" a="1"/>
  <c r="E59" a="1"/>
  <c r="E60" a="1"/>
  <c r="E86" a="1"/>
  <c r="E49" a="1"/>
  <c r="E67" a="1"/>
  <c r="E61" a="1"/>
  <c r="E80" a="1"/>
  <c r="E97" a="1"/>
  <c r="E62" a="1"/>
  <c r="E79" a="1"/>
  <c r="E98" a="1"/>
  <c r="E68" a="1"/>
  <c r="E56" a="1"/>
  <c r="E74" a="1"/>
  <c r="E82" a="1"/>
  <c r="E91" a="1"/>
  <c r="E63" a="1"/>
  <c r="E81" a="1"/>
  <c r="E51" a="1"/>
  <c r="E93" a="1"/>
  <c r="E58" a="1"/>
  <c r="E76" a="1"/>
  <c r="E94" a="1"/>
  <c r="E55" a="1"/>
  <c r="E73" a="1"/>
  <c r="E54" a="1"/>
  <c r="E87" a="1"/>
  <c r="E50" a="1"/>
  <c r="E84" a="1"/>
  <c r="E78" a="1"/>
  <c r="E96" a="1"/>
  <c r="E57" a="1"/>
  <c r="E83" a="1"/>
  <c r="E72" a="1"/>
  <c r="E90" a="1"/>
  <c r="E92" a="1"/>
  <c r="E70" a="1"/>
  <c r="E88" a="1"/>
  <c r="E52" a="1"/>
  <c r="E85" a="1"/>
  <c r="E64" a="1"/>
  <c r="I46" l="1"/>
  <c r="E99"/>
  <c r="I99" s="1"/>
  <c r="E100"/>
  <c r="I100" s="1"/>
  <c r="E84"/>
  <c r="I84" s="1"/>
  <c r="E76"/>
  <c r="I76" s="1"/>
  <c r="E67"/>
  <c r="I67" s="1"/>
  <c r="E59"/>
  <c r="I59" s="1"/>
  <c r="E52"/>
  <c r="I52" s="1"/>
  <c r="E97"/>
  <c r="I97" s="1"/>
  <c r="E89"/>
  <c r="I89" s="1"/>
  <c r="E82"/>
  <c r="I82" s="1"/>
  <c r="E73"/>
  <c r="I73" s="1"/>
  <c r="E66"/>
  <c r="I66" s="1"/>
  <c r="E57"/>
  <c r="I57" s="1"/>
  <c r="E50"/>
  <c r="I50" s="1"/>
  <c r="E98"/>
  <c r="I98" s="1"/>
  <c r="E90"/>
  <c r="I90" s="1"/>
  <c r="E81"/>
  <c r="I81" s="1"/>
  <c r="E74"/>
  <c r="I74" s="1"/>
  <c r="E65"/>
  <c r="I65" s="1"/>
  <c r="E58"/>
  <c r="I58" s="1"/>
  <c r="E49"/>
  <c r="I49" s="1"/>
  <c r="E95"/>
  <c r="I95" s="1"/>
  <c r="E88"/>
  <c r="I88" s="1"/>
  <c r="E80"/>
  <c r="I80" s="1"/>
  <c r="E71"/>
  <c r="I71" s="1"/>
  <c r="E64"/>
  <c r="I64" s="1"/>
  <c r="E55"/>
  <c r="I55" s="1"/>
  <c r="E48"/>
  <c r="I48" s="1"/>
  <c r="E96"/>
  <c r="I96" s="1"/>
  <c r="E87"/>
  <c r="I87" s="1"/>
  <c r="E79"/>
  <c r="I79" s="1"/>
  <c r="E72"/>
  <c r="I72" s="1"/>
  <c r="E63"/>
  <c r="I63" s="1"/>
  <c r="E56"/>
  <c r="I56" s="1"/>
  <c r="E47"/>
  <c r="I47" s="1"/>
  <c r="E93"/>
  <c r="I93" s="1"/>
  <c r="E86"/>
  <c r="I86" s="1"/>
  <c r="E77"/>
  <c r="I77" s="1"/>
  <c r="E70"/>
  <c r="I70" s="1"/>
  <c r="E61"/>
  <c r="I61" s="1"/>
  <c r="E53"/>
  <c r="I53" s="1"/>
  <c r="E94"/>
  <c r="I94" s="1"/>
  <c r="E85"/>
  <c r="I85" s="1"/>
  <c r="E78"/>
  <c r="I78" s="1"/>
  <c r="E69"/>
  <c r="I69" s="1"/>
  <c r="E62"/>
  <c r="I62" s="1"/>
  <c r="E54"/>
  <c r="I54" s="1"/>
  <c r="E91"/>
  <c r="I91" s="1"/>
  <c r="E83"/>
  <c r="I83" s="1"/>
  <c r="E75"/>
  <c r="I75" s="1"/>
  <c r="E68"/>
  <c r="I68" s="1"/>
  <c r="E60"/>
  <c r="I60" s="1"/>
  <c r="E51"/>
  <c r="I51" s="1"/>
  <c r="E92"/>
  <c r="I92" s="1"/>
</calcChain>
</file>

<file path=xl/comments1.xml><?xml version="1.0" encoding="utf-8"?>
<comments xmlns="http://schemas.openxmlformats.org/spreadsheetml/2006/main">
  <authors>
    <author>J</author>
  </authors>
  <commentList>
    <comment ref="D45" authorId="0">
      <text>
        <r>
          <rPr>
            <b/>
            <sz val="8"/>
            <color indexed="81"/>
            <rFont val="Tahoma"/>
            <family val="2"/>
          </rPr>
          <t>J:</t>
        </r>
        <r>
          <rPr>
            <sz val="8"/>
            <color indexed="81"/>
            <rFont val="Tahoma"/>
            <family val="2"/>
          </rPr>
          <t xml:space="preserve">
value will be #N/A if minimum point criteria not met.
This is an array formula column
</t>
        </r>
      </text>
    </comment>
    <comment ref="E45" authorId="0">
      <text>
        <r>
          <rPr>
            <b/>
            <sz val="8"/>
            <color indexed="81"/>
            <rFont val="Tahoma"/>
            <family val="2"/>
          </rPr>
          <t>J:</t>
        </r>
        <r>
          <rPr>
            <sz val="8"/>
            <color indexed="81"/>
            <rFont val="Tahoma"/>
            <family val="2"/>
          </rPr>
          <t xml:space="preserve">
this is an array formula column</t>
        </r>
      </text>
    </comment>
    <comment ref="F45" authorId="0">
      <text>
        <r>
          <rPr>
            <b/>
            <sz val="8"/>
            <color indexed="81"/>
            <rFont val="Tahoma"/>
            <family val="2"/>
          </rPr>
          <t>J:</t>
        </r>
        <r>
          <rPr>
            <sz val="8"/>
            <color indexed="81"/>
            <rFont val="Tahoma"/>
            <family val="2"/>
          </rPr>
          <t xml:space="preserve">
This is an array formula column
</t>
        </r>
      </text>
    </comment>
  </commentList>
</comments>
</file>

<file path=xl/comments2.xml><?xml version="1.0" encoding="utf-8"?>
<comments xmlns="http://schemas.openxmlformats.org/spreadsheetml/2006/main">
  <authors>
    <author>J</author>
    <author>TracyW</author>
  </authors>
  <commentList>
    <comment ref="D1" authorId="0">
      <text>
        <r>
          <rPr>
            <b/>
            <sz val="8"/>
            <color indexed="81"/>
            <rFont val="Tahoma"/>
            <family val="2"/>
          </rPr>
          <t>J:</t>
        </r>
        <r>
          <rPr>
            <sz val="8"/>
            <color indexed="81"/>
            <rFont val="Tahoma"/>
            <family val="2"/>
          </rPr>
          <t xml:space="preserve">
NOT an array formula colm
</t>
        </r>
      </text>
    </comment>
    <comment ref="E1" authorId="0">
      <text>
        <r>
          <rPr>
            <b/>
            <sz val="8"/>
            <color indexed="81"/>
            <rFont val="Tahoma"/>
            <charset val="1"/>
          </rPr>
          <t>J:</t>
        </r>
        <r>
          <rPr>
            <sz val="8"/>
            <color indexed="81"/>
            <rFont val="Tahoma"/>
            <charset val="1"/>
          </rPr>
          <t xml:space="preserve">
Array formula! This could also be max value for a different index</t>
        </r>
      </text>
    </comment>
    <comment ref="G109" authorId="1">
      <text>
        <r>
          <rPr>
            <b/>
            <sz val="10"/>
            <color indexed="81"/>
            <rFont val="Tahoma"/>
            <charset val="1"/>
          </rPr>
          <t>TracyW:</t>
        </r>
        <r>
          <rPr>
            <sz val="10"/>
            <color indexed="81"/>
            <rFont val="Tahoma"/>
            <charset val="1"/>
          </rPr>
          <t xml:space="preserve">
town report says 501</t>
        </r>
      </text>
    </comment>
    <comment ref="H109" authorId="1">
      <text>
        <r>
          <rPr>
            <b/>
            <sz val="10"/>
            <color indexed="81"/>
            <rFont val="Tahoma"/>
            <charset val="1"/>
          </rPr>
          <t>TracyW:</t>
        </r>
        <r>
          <rPr>
            <sz val="10"/>
            <color indexed="81"/>
            <rFont val="Tahoma"/>
            <charset val="1"/>
          </rPr>
          <t xml:space="preserve">
town report says 419</t>
        </r>
      </text>
    </comment>
    <comment ref="I109" authorId="1">
      <text>
        <r>
          <rPr>
            <b/>
            <sz val="10"/>
            <color indexed="81"/>
            <rFont val="Tahoma"/>
            <charset val="1"/>
          </rPr>
          <t>TracyW:</t>
        </r>
        <r>
          <rPr>
            <sz val="10"/>
            <color indexed="81"/>
            <rFont val="Tahoma"/>
            <charset val="1"/>
          </rPr>
          <t xml:space="preserve">
town report says 48</t>
        </r>
      </text>
    </comment>
    <comment ref="J109" authorId="1">
      <text>
        <r>
          <rPr>
            <b/>
            <sz val="10"/>
            <color indexed="81"/>
            <rFont val="Tahoma"/>
            <charset val="1"/>
          </rPr>
          <t>TracyW:</t>
        </r>
        <r>
          <rPr>
            <sz val="10"/>
            <color indexed="81"/>
            <rFont val="Tahoma"/>
            <charset val="1"/>
          </rPr>
          <t xml:space="preserve">
town report says 1540</t>
        </r>
      </text>
    </comment>
    <comment ref="G110" authorId="1">
      <text>
        <r>
          <rPr>
            <b/>
            <sz val="10"/>
            <color indexed="81"/>
            <rFont val="Tahoma"/>
            <charset val="1"/>
          </rPr>
          <t>TracyW:</t>
        </r>
        <r>
          <rPr>
            <sz val="10"/>
            <color indexed="81"/>
            <rFont val="Tahoma"/>
            <charset val="1"/>
          </rPr>
          <t xml:space="preserve">
town report says 419</t>
        </r>
      </text>
    </comment>
    <comment ref="H110" authorId="1">
      <text>
        <r>
          <rPr>
            <b/>
            <sz val="10"/>
            <color indexed="81"/>
            <rFont val="Tahoma"/>
            <charset val="1"/>
          </rPr>
          <t>TracyW:</t>
        </r>
        <r>
          <rPr>
            <sz val="10"/>
            <color indexed="81"/>
            <rFont val="Tahoma"/>
            <charset val="1"/>
          </rPr>
          <t xml:space="preserve">
town report says 230</t>
        </r>
      </text>
    </comment>
    <comment ref="J110" authorId="1">
      <text>
        <r>
          <rPr>
            <b/>
            <sz val="10"/>
            <color indexed="81"/>
            <rFont val="Tahoma"/>
            <charset val="1"/>
          </rPr>
          <t>TracyW:</t>
        </r>
        <r>
          <rPr>
            <sz val="10"/>
            <color indexed="81"/>
            <rFont val="Tahoma"/>
            <charset val="1"/>
          </rPr>
          <t xml:space="preserve">
town report says 1166</t>
        </r>
      </text>
    </comment>
    <comment ref="G112" authorId="1">
      <text>
        <r>
          <rPr>
            <b/>
            <sz val="10"/>
            <color indexed="81"/>
            <rFont val="Tahoma"/>
            <charset val="1"/>
          </rPr>
          <t>TracyW:</t>
        </r>
        <r>
          <rPr>
            <sz val="10"/>
            <color indexed="81"/>
            <rFont val="Tahoma"/>
            <charset val="1"/>
          </rPr>
          <t xml:space="preserve">
town report says 412</t>
        </r>
      </text>
    </comment>
    <comment ref="I112" authorId="1">
      <text>
        <r>
          <rPr>
            <b/>
            <sz val="10"/>
            <color indexed="81"/>
            <rFont val="Tahoma"/>
            <charset val="1"/>
          </rPr>
          <t>TracyW:</t>
        </r>
        <r>
          <rPr>
            <sz val="10"/>
            <color indexed="81"/>
            <rFont val="Tahoma"/>
            <charset val="1"/>
          </rPr>
          <t xml:space="preserve">
town report says 25</t>
        </r>
      </text>
    </comment>
    <comment ref="J112" authorId="1">
      <text>
        <r>
          <rPr>
            <b/>
            <sz val="10"/>
            <color indexed="81"/>
            <rFont val="Tahoma"/>
            <charset val="1"/>
          </rPr>
          <t>TracyW:</t>
        </r>
        <r>
          <rPr>
            <sz val="10"/>
            <color indexed="81"/>
            <rFont val="Tahoma"/>
            <charset val="1"/>
          </rPr>
          <t xml:space="preserve">
town report says 1422</t>
        </r>
      </text>
    </comment>
    <comment ref="J1389" authorId="1">
      <text>
        <r>
          <rPr>
            <b/>
            <sz val="10"/>
            <color indexed="81"/>
            <rFont val="Tahoma"/>
            <charset val="1"/>
          </rPr>
          <t>TracyW:</t>
        </r>
        <r>
          <rPr>
            <sz val="10"/>
            <color indexed="81"/>
            <rFont val="Tahoma"/>
            <charset val="1"/>
          </rPr>
          <t xml:space="preserve">
town hall says no other info is available.</t>
        </r>
      </text>
    </comment>
  </commentList>
</comments>
</file>

<file path=xl/sharedStrings.xml><?xml version="1.0" encoding="utf-8"?>
<sst xmlns="http://schemas.openxmlformats.org/spreadsheetml/2006/main" count="3431" uniqueCount="327">
  <si>
    <t>none</t>
  </si>
  <si>
    <t>poor</t>
  </si>
  <si>
    <t>rec</t>
  </si>
  <si>
    <t>good</t>
  </si>
  <si>
    <t>some</t>
  </si>
  <si>
    <t>small</t>
  </si>
  <si>
    <t>&gt;2200</t>
  </si>
  <si>
    <t>Bumps R.</t>
  </si>
  <si>
    <t>fair</t>
  </si>
  <si>
    <t>excellent</t>
  </si>
  <si>
    <t>Bumper?</t>
  </si>
  <si>
    <t>low</t>
  </si>
  <si>
    <t>bumper</t>
  </si>
  <si>
    <t>very good</t>
  </si>
  <si>
    <t>abundent</t>
  </si>
  <si>
    <t>6215 lbs</t>
  </si>
  <si>
    <t>Bourne</t>
  </si>
  <si>
    <t>Brewster</t>
  </si>
  <si>
    <t>overfished</t>
  </si>
  <si>
    <t>red tide</t>
  </si>
  <si>
    <t>no data</t>
  </si>
  <si>
    <t xml:space="preserve"> </t>
  </si>
  <si>
    <t>Chatham</t>
  </si>
  <si>
    <t>Chilmark</t>
  </si>
  <si>
    <t>unknown</t>
  </si>
  <si>
    <t>Cohasset</t>
  </si>
  <si>
    <t>closed</t>
  </si>
  <si>
    <t>not in</t>
  </si>
  <si>
    <t>no report</t>
  </si>
  <si>
    <t>ditto</t>
  </si>
  <si>
    <t>Dartmouth</t>
  </si>
  <si>
    <t>Dennis</t>
  </si>
  <si>
    <t>$30,000</t>
  </si>
  <si>
    <t>for both</t>
  </si>
  <si>
    <t>columns</t>
  </si>
  <si>
    <t>$20,000</t>
  </si>
  <si>
    <t>$50,000</t>
  </si>
  <si>
    <t>$17,000</t>
  </si>
  <si>
    <t>in fam col</t>
  </si>
  <si>
    <t>$18,000</t>
  </si>
  <si>
    <t xml:space="preserve">for both </t>
  </si>
  <si>
    <t>cold weather</t>
  </si>
  <si>
    <t>$8400</t>
  </si>
  <si>
    <t>$9,000</t>
  </si>
  <si>
    <t>$5600</t>
  </si>
  <si>
    <t>$15,000</t>
  </si>
  <si>
    <t>300 lbs</t>
  </si>
  <si>
    <t>Duxbury</t>
  </si>
  <si>
    <t>200 lbs</t>
  </si>
  <si>
    <t>Eastham</t>
  </si>
  <si>
    <t>oct-dec 5955 Bags</t>
  </si>
  <si>
    <t>few</t>
  </si>
  <si>
    <t>?</t>
  </si>
  <si>
    <t>500 lbs</t>
  </si>
  <si>
    <t>100 ib</t>
  </si>
  <si>
    <t>Edgartown</t>
  </si>
  <si>
    <t>Essex</t>
  </si>
  <si>
    <t>Fairhaven</t>
  </si>
  <si>
    <t>Falmouth</t>
  </si>
  <si>
    <t>Gloucester</t>
  </si>
  <si>
    <t>Gosnold</t>
  </si>
  <si>
    <t xml:space="preserve">Harwich </t>
  </si>
  <si>
    <t>Hingham</t>
  </si>
  <si>
    <t>Hull</t>
  </si>
  <si>
    <t>x</t>
  </si>
  <si>
    <t>Ipswich</t>
  </si>
  <si>
    <t>`</t>
  </si>
  <si>
    <t>Kingston</t>
  </si>
  <si>
    <t>Manchester</t>
  </si>
  <si>
    <t>Marion</t>
  </si>
  <si>
    <t>300 lb</t>
  </si>
  <si>
    <t>Marshfield</t>
  </si>
  <si>
    <t xml:space="preserve">Mashpee </t>
  </si>
  <si>
    <t>5500 lbs</t>
  </si>
  <si>
    <t>Mattapoisett</t>
  </si>
  <si>
    <t>Nantucket</t>
  </si>
  <si>
    <t>150,000 lbs</t>
  </si>
  <si>
    <t>400,000 lbs</t>
  </si>
  <si>
    <t>300,000 lbs</t>
  </si>
  <si>
    <t>New Bedford</t>
  </si>
  <si>
    <t>Newbury</t>
  </si>
  <si>
    <t>Newburyport</t>
  </si>
  <si>
    <t>Oak Bluffs</t>
  </si>
  <si>
    <t>shovel 14</t>
  </si>
  <si>
    <t>shovel 115.5</t>
  </si>
  <si>
    <t>Orleans</t>
  </si>
  <si>
    <t>2000 lb</t>
  </si>
  <si>
    <t>1200 lbs</t>
  </si>
  <si>
    <t>P-Town</t>
  </si>
  <si>
    <t>Plymouth</t>
  </si>
  <si>
    <t>Quincy</t>
  </si>
  <si>
    <t>Rowley</t>
  </si>
  <si>
    <t>Sandwich</t>
  </si>
  <si>
    <t>100 bus QQ</t>
  </si>
  <si>
    <t>75 bus</t>
  </si>
  <si>
    <t>oysters</t>
  </si>
  <si>
    <t>no SS in</t>
  </si>
  <si>
    <t>mill creek</t>
  </si>
  <si>
    <t>all closed</t>
  </si>
  <si>
    <t>no catch</t>
  </si>
  <si>
    <t>reports</t>
  </si>
  <si>
    <t>Saugus</t>
  </si>
  <si>
    <t>Scituate</t>
  </si>
  <si>
    <t>Swansea</t>
  </si>
  <si>
    <t>7000 ibs</t>
  </si>
  <si>
    <t>total</t>
  </si>
  <si>
    <t>closure</t>
  </si>
  <si>
    <t>Tisbury</t>
  </si>
  <si>
    <t>Truro</t>
  </si>
  <si>
    <t>n/a</t>
  </si>
  <si>
    <t>Wareham</t>
  </si>
  <si>
    <t>1040lbs</t>
  </si>
  <si>
    <t>650lbs</t>
  </si>
  <si>
    <t>Year 82 to 86 Bad</t>
  </si>
  <si>
    <t>148954</t>
  </si>
  <si>
    <t>NO GOOD</t>
  </si>
  <si>
    <t>Wellfleet</t>
  </si>
  <si>
    <t>in res</t>
  </si>
  <si>
    <t>col.</t>
  </si>
  <si>
    <t>$150,000 comm</t>
  </si>
  <si>
    <t>$120,000 comm</t>
  </si>
  <si>
    <t>bus</t>
  </si>
  <si>
    <t>18000lbs?</t>
  </si>
  <si>
    <t>2000lbs</t>
  </si>
  <si>
    <t>4551lbs</t>
  </si>
  <si>
    <t>Westport</t>
  </si>
  <si>
    <t>West Tisbury</t>
  </si>
  <si>
    <t>Yarmouth</t>
  </si>
  <si>
    <t>$40000</t>
  </si>
  <si>
    <t>scallops down</t>
  </si>
  <si>
    <t>$55000</t>
  </si>
  <si>
    <t>high</t>
  </si>
  <si>
    <t>500lbs</t>
  </si>
  <si>
    <t>4000lbs</t>
  </si>
  <si>
    <t>1572lbs</t>
  </si>
  <si>
    <t>Conch Pot Landinmgs in pounds</t>
  </si>
  <si>
    <t>Aquinnah</t>
  </si>
  <si>
    <t>Barnstable</t>
  </si>
  <si>
    <t>total closure</t>
  </si>
  <si>
    <t>Plant in pounds</t>
  </si>
  <si>
    <t>Plant in bushels</t>
  </si>
  <si>
    <t>SHELLFISH CATCH REPORTS TOWN - Year</t>
  </si>
  <si>
    <t>COMM QUAHOGS MIXED Bushels</t>
  </si>
  <si>
    <t>COMM QUAHOGS MIXED Pounds</t>
  </si>
  <si>
    <t>COMM QUAHOGS Littlenecks Bushels</t>
  </si>
  <si>
    <t>COMM QUAHOGS Littlenecks Pounds</t>
  </si>
  <si>
    <t>COMM QUAHOGS Cherrystone Bushels</t>
  </si>
  <si>
    <t>COMM QUAHOGS Cherrystone Pounds</t>
  </si>
  <si>
    <t>COMM QUAHOGS Chowders Bushels</t>
  </si>
  <si>
    <t>COMM QUAHOGS Chowders Pounds</t>
  </si>
  <si>
    <t>REC QUAHOGS MIXED Bushels</t>
  </si>
  <si>
    <t>REC QUAHOGS MIXED Pounds</t>
  </si>
  <si>
    <t>REC QUAHOGS Littlenecks Bushels</t>
  </si>
  <si>
    <t>REC QUAHOGS Littlenecks Pounds</t>
  </si>
  <si>
    <t>REC QUAHOGS Cherrystone Bushels</t>
  </si>
  <si>
    <t>REC QUAHOGS Cherrystone Pounds</t>
  </si>
  <si>
    <t>REC QUAHOGS Chowders Bushels</t>
  </si>
  <si>
    <t>REC QUAHOGS Chowders Pounds</t>
  </si>
  <si>
    <t>COMM S.S.CLAM Bushels</t>
  </si>
  <si>
    <t>COMM S.S.CLAM Pounds</t>
  </si>
  <si>
    <t>REC S.S.CLAM Bushels</t>
  </si>
  <si>
    <t>REC S.S.CLAM Pounds</t>
  </si>
  <si>
    <t>COMM OYSTER Bushels</t>
  </si>
  <si>
    <t>COMM OYSTER Pounds</t>
  </si>
  <si>
    <t>REC OYSTER Bushels</t>
  </si>
  <si>
    <t>REC OYSTER Pounds</t>
  </si>
  <si>
    <t>COMM BAY SCALLOP Bushels</t>
  </si>
  <si>
    <t>COMM BAY SCALLOP Pounds</t>
  </si>
  <si>
    <t>REC BAY SCALLOP Bushels</t>
  </si>
  <si>
    <t>REC BAY SCALLOP Pounds</t>
  </si>
  <si>
    <t>COMM SURF CLAMS Bushels</t>
  </si>
  <si>
    <t>COMM SURF CLAMS Pounds</t>
  </si>
  <si>
    <t>REC SURF CLAMS Bushels</t>
  </si>
  <si>
    <t>REC SURF CLAMS Pounds</t>
  </si>
  <si>
    <t>COMM MUSSELS Bushels</t>
  </si>
  <si>
    <t>COMM MUSSELS Pounds</t>
  </si>
  <si>
    <t>REC MUSSELS Bushels</t>
  </si>
  <si>
    <t>REC MUSSELS Pounds</t>
  </si>
  <si>
    <t>COMM CONCH Bushels</t>
  </si>
  <si>
    <t>COMM CONCH Pounds</t>
  </si>
  <si>
    <t>REC CONCH Bushels</t>
  </si>
  <si>
    <t>REC CONCH Pounds</t>
  </si>
  <si>
    <t>COMM Razor Clams Bushels</t>
  </si>
  <si>
    <t>COMM Razor Clams Pounds</t>
  </si>
  <si>
    <t>REC Razor Clams Bushels</t>
  </si>
  <si>
    <t>REC Razor Clams Pounds</t>
  </si>
  <si>
    <t>COMM OCEAN QUAHOG Bushels</t>
  </si>
  <si>
    <t>COMM OCEAN QUAHOG Pounds</t>
  </si>
  <si>
    <t>REC OCEAN QUAHOG Bushels</t>
  </si>
  <si>
    <t>REC OCEAN QUAHOG Pounds</t>
  </si>
  <si>
    <t>COMM EEL POUNDS</t>
  </si>
  <si>
    <t>REC EEL POUNDS</t>
  </si>
  <si>
    <t>COMM Sea Scallops Bushels</t>
  </si>
  <si>
    <t>COMM Sea Scallops Pounds</t>
  </si>
  <si>
    <t>REC Sea Scallops Bushels</t>
  </si>
  <si>
    <t>REC Sea Scallops Pounds</t>
  </si>
  <si>
    <t>Relative value</t>
  </si>
  <si>
    <t>H</t>
  </si>
  <si>
    <t>HiRow</t>
  </si>
  <si>
    <t>column</t>
  </si>
  <si>
    <t>parameter</t>
  </si>
  <si>
    <t>G</t>
  </si>
  <si>
    <t>I</t>
  </si>
  <si>
    <t>J</t>
  </si>
  <si>
    <t>K</t>
  </si>
  <si>
    <t>L</t>
  </si>
  <si>
    <t>M</t>
  </si>
  <si>
    <t>N</t>
  </si>
  <si>
    <t>O</t>
  </si>
  <si>
    <t>P</t>
  </si>
  <si>
    <t>Q</t>
  </si>
  <si>
    <t>R</t>
  </si>
  <si>
    <t>S</t>
  </si>
  <si>
    <t>T</t>
  </si>
  <si>
    <t>U</t>
  </si>
  <si>
    <t>V</t>
  </si>
  <si>
    <t>W</t>
  </si>
  <si>
    <t>Z</t>
  </si>
  <si>
    <t>X</t>
  </si>
  <si>
    <t>Y</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</si>
  <si>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</si>
  <si>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</si>
  <si>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</si>
  <si>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</si>
  <si>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</si>
  <si>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</si>
  <si>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</si>
  <si>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</si>
  <si>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</si>
  <si>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</si>
  <si>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</si>
  <si>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</si>
  <si>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</si>
  <si>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</si>
  <si>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</si>
  <si>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</si>
  <si>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</si>
  <si>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</si>
  <si>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</si>
  <si>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</si>
  <si>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</si>
  <si>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</si>
  <si>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</si>
  <si>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</si>
  <si>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</si>
  <si>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</si>
  <si>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</si>
  <si>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</si>
  <si>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</si>
  <si>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</si>
  <si>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</si>
  <si>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</si>
  <si>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</si>
  <si>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</si>
  <si>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</si>
  <si>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TITLE=</t>
  </si>
  <si>
    <t>year</t>
  </si>
  <si>
    <t>avg relative val</t>
  </si>
  <si>
    <t>towns reporting</t>
  </si>
  <si>
    <t>Total Recreation. Permits</t>
  </si>
  <si>
    <t>Total Commercial Bushels</t>
  </si>
  <si>
    <t>Total Commercial  Pounds</t>
  </si>
  <si>
    <t>Total Recreation Bushels</t>
  </si>
  <si>
    <t>Total Recreation Pounds</t>
  </si>
  <si>
    <t>Region</t>
  </si>
  <si>
    <t>C</t>
  </si>
  <si>
    <t>Town</t>
  </si>
  <si>
    <t>Statewide Plants and Pots</t>
  </si>
  <si>
    <t>Row Labels</t>
  </si>
  <si>
    <t>Grand Total</t>
  </si>
  <si>
    <t>SS Plant landings</t>
  </si>
  <si>
    <t>Resident (non Sr) RECREATION. PERMITS</t>
  </si>
  <si>
    <t>town</t>
  </si>
  <si>
    <t>region</t>
  </si>
  <si>
    <t>B</t>
  </si>
  <si>
    <t>Count of town</t>
  </si>
  <si>
    <t>DMF</t>
  </si>
  <si>
    <t>Cape Cod</t>
  </si>
  <si>
    <t>North shore and Boston</t>
  </si>
  <si>
    <t>South Shore</t>
  </si>
  <si>
    <t>Islands</t>
  </si>
  <si>
    <t>BJ</t>
  </si>
  <si>
    <t>BK</t>
  </si>
  <si>
    <t>BL</t>
  </si>
  <si>
    <t>BM</t>
  </si>
  <si>
    <t>BN</t>
  </si>
  <si>
    <t>BO</t>
  </si>
  <si>
    <t>BP</t>
  </si>
  <si>
    <t>Senior Citizens Rec Permits</t>
  </si>
  <si>
    <t>Non-residents Rec permits</t>
  </si>
  <si>
    <t>COMMERCIAL PERMITS</t>
  </si>
  <si>
    <t>column to plot relative values=</t>
  </si>
  <si>
    <t>region=</t>
  </si>
  <si>
    <t>A</t>
  </si>
  <si>
    <t>Min required points (&gt;0)=</t>
  </si>
  <si>
    <t>Change only the shaded blocks!</t>
  </si>
  <si>
    <t>It is ok to reassign towns in column B.</t>
  </si>
  <si>
    <t>All Regions</t>
  </si>
  <si>
    <t>A=All B=Buzzards Bay C=Cape Cod I=Islands S=South Shore N=North Shore &amp; Boston O=Other; includes state depuration plant and conch)</t>
  </si>
  <si>
    <t>Other (plants and conch)</t>
  </si>
  <si>
    <t>includes state depuration plant and conch)</t>
  </si>
  <si>
    <t>Buzzards Bay</t>
  </si>
  <si>
    <t>The data set of municipal shellfish catch and permit data used on this page was prepared by the Massachusetts Division of Marine Fisheries (DMF), with some updated information collected by the BBNEP. the data was provided to the Buzzards Bay NEP by Neil Churchill, who maintains the data set. Information about the data set is available at this DMF website. Any use of this data set should credit the Massachusetts Division of Marine Fisheries (DMF). DMF can also provide additional information and guidance on the use of this data sets. This data set may contain errors, and individual municipal catch and permit data can also be independently corroborated through review of municipal annual reports, available at municipal libraries.</t>
  </si>
  <si>
    <t>As noted on the DMF website,"[DMF] is charged with collecting, analyzing and maintaining an historical database of commercial and recreational shellfish landings. This information is initially collected by each of the 65 coastal cities and towns of the Commonwealth and submitted annually to us on "Town Landings Forms". Data collected reflects the number and types of permits issued, the pounds of each species landed and by what shellfishing methods. Along with data, the municipalities submit updates of their local shellfishing regulations. This data has been maintained since 1955 in both hard copy and electronic format and is used for fisheries management on the local, state and federal levels.</t>
  </si>
  <si>
    <t>Commercial Shellfishermen report their catch with this commercial shellfishing reporting form. Most coastal municipalities in Massachusetts annually submit Town Landings Forms, which includes estimates of recreational permit catch. There is variability in how towns estimate recreational catch, with some towns estimating catch by daily counts of recreational shellfishermen, other towns basing it on survey sheets, or some other methodology. Certain permit data may not be consistently recorded. For example, some towns issue scallop-only permits, and these permit counts may not be included in reporting sheets each year.</t>
  </si>
  <si>
    <t>When evaluating historical trends with this data, methods for estimating recreational shellfish catch may have changed over time, or when there were changes in municipal personnel. Some of the limitations of this data set are contained in this MA Ocean Plan chapter on living marine resources Moreover, not every municipality reports this data each year, or may omit estimates for certain species. The most accurate information contained in this data set, when reported, is the actual number of commercial and recreational permits issued by a town.</t>
  </si>
  <si>
    <t>Data for 48 towns are listed in the data set. The greatest utility of this data set are the town specific summaries of catch and permits over time, and for making relative comparisons of catch across regions, or between municipalities for a given period. The data becomes problematic when all municipal data is aggregated, because relatively few towns are represented in the data for the 1950s and 1960s, and many municipalities are omitted in the most recent years in the data set. The purpose of this webpage is to address this single confounding element of this data set: missing data. We undertook this effort because we wanted to better characterize shellfish catch trends in the Buzzards Bay CCMP.</t>
  </si>
  <si>
    <t>Because of data omissions, it is best to evaluate trends by reviewing single municipal trends, or creating a set of indicator towns where data is consistently available during the period of interest. However, this approach discards some valuable relative trends for municipalities where the data is less complete. When data is aggregated across all towns, most species will display a graph like the one below left: Low numbers during the 1950s and 1960s, a somewhat noisy trend in subsequent years, then dramatic declines in the past decade. This trend, however, is primarily reflecting the fact that the data set includes few values for the 1950s and 60s, or after 2006, as illustrated by the graph, below right.</t>
  </si>
  <si>
    <t>Database analysis techniques</t>
  </si>
  <si>
    <t>This processing of the data set on this page was undertaken with this Excel spreadsheet lookup tables, array formulas, index functions, and dynamic graphs to minimize time-consuming brute force manipulations of the data set, and to quickly graphs.</t>
  </si>
  <si>
    <t>The calculation of the average relative value on the Relative tab uses this array equation: {=IF(F28&gt;C$2,AVERAGE(IF($C28=INDEX(alltowndata,0,1),IF(ISNUMBER(INDEX(alltowndata,0,4)),INDEX(alltowndata,0,4)))),NA())}</t>
  </si>
  <si>
    <t>This translates into roughly "repeat for every value in the entire database: If you have more than the number of minimum required points in the column selected, for every instance where the year matches, and where there is a number in the "Relative Value" column,as opposed to NA(), calculate the average of the relative index."</t>
  </si>
  <si>
    <t>Please note that the calculation methodology in some cells use of array formulas. These are identifiable by the {curly brackets} surrounding the cell formula. To preserve the array formula function (and not break the calculations), when editing these cells, make sure you press CTL-SHIFT-ENTER after making any changes in the cell function.  There is also some use of the Relative Function, which means that the spreadsheet could also be broken by inserting rows or columns in certain areas.</t>
  </si>
  <si>
    <t>Massachusetts Shellfish Landings Relative Trends Analysis Tool Spreadsheet</t>
  </si>
  <si>
    <t>select single town for graph to the left</t>
  </si>
  <si>
    <t>In an effort to standardize or normalize this data set, the BBNEP added a new field (column) to calculate the relative ranking of each town's species catch for the entire 1955-2008 period to create a quantity-independent index of trends among all municipalities where data is available. For every year, the shellfish catch for that species was normalized by the average catch of that species in that town.  For example, if the long term average for that species ina town were 1000 bushels, and in a specific year the town catch was 2000 bushels, then the index value for that year would be 2.0.  By taking the average of all these relative ranks (excluding missing data), statewide trends over the 53 year period become more apparent as illustrated by the graph below. [Note: an alternative ranking could also be achieved by dividing each year's catch by the best year catch, but there is little additional benefit offered by this approach.]</t>
  </si>
  <si>
    <t>The advantage of this approach is that towns with few data points can be included in the analysis in a meaningful way to better characterize long-term statewide trends. The chief disadvantage of this approach is that towns that issue few permits or have modest shellfish catch are weighted in the analysis as towns with large shellfish catch. Howerver, the strong correlation in the graph below suggestions there is considerable commonality of trends among the towns, at least for some species.  In these relative trend graphs, for any particular year, values above 1 means above the long term relative average.  Values below 1 are less than the long term average.</t>
  </si>
  <si>
    <t>Relative reference</t>
  </si>
  <si>
    <t>This spreadsheet is made available at this website: http://www.buzzardsbay.org/shellfish_catch_trends.htm</t>
  </si>
  <si>
    <t>BQ</t>
  </si>
  <si>
    <t>sum of selected</t>
  </si>
  <si>
    <t>BB Only</t>
  </si>
  <si>
    <t>BB % of MA</t>
  </si>
  <si>
    <t>by Dr. Joe Costa, Buzzards Bay NEP.    Last update 24 January 2011.    Report errors to jcosta@buzzardsbay.org</t>
  </si>
  <si>
    <t>Note: Unless you are entering new data, the only data entry needed on this spreadsheets is to select a value for the 3 variables in the shaded box on the "Relative" tab.  The graphs on those pages will automatically select based on the selection of variables.  You may also wish to consider municipal region assignments in the "regions" tab.</t>
  </si>
  <si>
    <t>The Relative Value field on the COMBINED tab uses the non-array formula: ==IF(AND((INDIRECT(DatCol&amp;TEXT(ROW(),"###"))&gt;0),((F2645=RegionSelect)+(RegionSelect="A"))),INDIRECT(DatCol&amp;TEXT(ROW(),"###"))/E2645,NA())</t>
  </si>
  <si>
    <t>This translates into roughly "if the value of the selected data column is greater than zero, and the region matches or you selected all regions, then take the value in the selected column, and divide it by the relative reference value in the adjacent column for that town (which utilizes the value in the column Hi Row, 57 years in the period 1955 to 2012 to determine the range)."  The relative reference , which is the average value for the period for the selected parameter and that town (if it is in the region selected) is calcuated by the array formula: {=AVERAGE(IF(INDIRECT(DatCol&amp;"$"&amp;TEXT(C2645,"###")):INDIRECT(DatCol&amp;"$"&amp;TEXT(C2645+57,"###"))&gt;0,INDIRECT(DatCol&amp;"$"&amp;TEXT(C2645,"###")):INDIRECT(DatCol&amp;"$"&amp;TEXT(C2645+57,"###"))))}</t>
  </si>
</sst>
</file>

<file path=xl/styles.xml><?xml version="1.0" encoding="utf-8"?>
<styleSheet xmlns="http://schemas.openxmlformats.org/spreadsheetml/2006/main">
  <numFmts count="3">
    <numFmt numFmtId="164" formatCode="#,##0.0_);\(#,##0.0\)"/>
    <numFmt numFmtId="165" formatCode="0_);\(0\)"/>
    <numFmt numFmtId="166" formatCode="0.000"/>
  </numFmts>
  <fonts count="17">
    <font>
      <sz val="10"/>
      <name val="Courier"/>
    </font>
    <font>
      <sz val="8"/>
      <name val="Courier New"/>
      <family val="3"/>
    </font>
    <font>
      <b/>
      <sz val="8"/>
      <name val="Courier New"/>
      <family val="3"/>
    </font>
    <font>
      <sz val="8"/>
      <name val="Courier"/>
      <family val="3"/>
    </font>
    <font>
      <sz val="8"/>
      <name val="Arial"/>
      <family val="2"/>
    </font>
    <font>
      <sz val="10"/>
      <name val="Courier"/>
      <family val="3"/>
    </font>
    <font>
      <b/>
      <sz val="12"/>
      <name val="Courier New"/>
      <family val="3"/>
    </font>
    <font>
      <b/>
      <sz val="10"/>
      <name val="Courier"/>
      <family val="3"/>
    </font>
    <font>
      <sz val="11"/>
      <color rgb="FF9C6500"/>
      <name val="Calibri"/>
      <family val="2"/>
      <scheme val="minor"/>
    </font>
    <font>
      <sz val="8"/>
      <color indexed="81"/>
      <name val="Tahoma"/>
      <family val="2"/>
    </font>
    <font>
      <b/>
      <sz val="8"/>
      <color indexed="81"/>
      <name val="Tahoma"/>
      <family val="2"/>
    </font>
    <font>
      <b/>
      <sz val="10"/>
      <name val="Arial"/>
      <family val="2"/>
    </font>
    <font>
      <sz val="10"/>
      <name val="Arial"/>
      <family val="2"/>
    </font>
    <font>
      <sz val="8"/>
      <color indexed="81"/>
      <name val="Tahoma"/>
      <charset val="1"/>
    </font>
    <font>
      <b/>
      <sz val="8"/>
      <color indexed="81"/>
      <name val="Tahoma"/>
      <charset val="1"/>
    </font>
    <font>
      <sz val="10"/>
      <color indexed="81"/>
      <name val="Tahoma"/>
      <charset val="1"/>
    </font>
    <font>
      <b/>
      <sz val="10"/>
      <color indexed="81"/>
      <name val="Tahoma"/>
      <charset val="1"/>
    </font>
  </fonts>
  <fills count="6">
    <fill>
      <patternFill patternType="none"/>
    </fill>
    <fill>
      <patternFill patternType="gray125"/>
    </fill>
    <fill>
      <patternFill patternType="solid">
        <fgColor theme="9" tint="0.79998168889431442"/>
        <bgColor indexed="64"/>
      </patternFill>
    </fill>
    <fill>
      <patternFill patternType="solid">
        <fgColor theme="6" tint="0.79998168889431442"/>
        <bgColor indexed="64"/>
      </patternFill>
    </fill>
    <fill>
      <patternFill patternType="solid">
        <fgColor rgb="FFFFEB9C"/>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164" fontId="0" fillId="0" borderId="0"/>
    <xf numFmtId="0" fontId="8" fillId="4" borderId="0" applyNumberFormat="0" applyBorder="0" applyAlignment="0" applyProtection="0"/>
  </cellStyleXfs>
  <cellXfs count="60">
    <xf numFmtId="164" fontId="0" fillId="0" borderId="0" xfId="0"/>
    <xf numFmtId="164" fontId="1" fillId="0" borderId="0" xfId="0" applyFont="1"/>
    <xf numFmtId="164" fontId="1" fillId="0" borderId="0" xfId="0" applyFont="1" applyProtection="1"/>
    <xf numFmtId="164" fontId="3" fillId="0" borderId="0" xfId="0" applyFont="1"/>
    <xf numFmtId="164" fontId="5" fillId="0" borderId="0" xfId="0" applyFont="1"/>
    <xf numFmtId="166" fontId="6" fillId="2" borderId="1" xfId="0" applyNumberFormat="1" applyFont="1" applyFill="1" applyBorder="1" applyAlignment="1">
      <alignment horizontal="right"/>
    </xf>
    <xf numFmtId="165" fontId="0" fillId="0" borderId="0" xfId="0" applyNumberFormat="1"/>
    <xf numFmtId="166" fontId="1" fillId="0" borderId="1" xfId="0" applyNumberFormat="1" applyFont="1" applyBorder="1" applyAlignment="1" applyProtection="1">
      <alignment horizontal="right"/>
    </xf>
    <xf numFmtId="3" fontId="1" fillId="0" borderId="1" xfId="0" applyNumberFormat="1" applyFont="1" applyBorder="1" applyAlignment="1" applyProtection="1">
      <alignment horizontal="right"/>
    </xf>
    <xf numFmtId="3" fontId="1" fillId="0" borderId="1" xfId="0" applyNumberFormat="1" applyFont="1" applyBorder="1" applyAlignment="1">
      <alignment horizontal="right"/>
    </xf>
    <xf numFmtId="37" fontId="1" fillId="0" borderId="1" xfId="0" applyNumberFormat="1" applyFont="1" applyBorder="1" applyAlignment="1">
      <alignment horizontal="right"/>
    </xf>
    <xf numFmtId="164" fontId="1" fillId="0" borderId="1" xfId="0" applyFont="1" applyBorder="1" applyAlignment="1">
      <alignment horizontal="right"/>
    </xf>
    <xf numFmtId="37" fontId="1" fillId="0" borderId="1" xfId="0" applyNumberFormat="1" applyFont="1" applyBorder="1" applyAlignment="1" applyProtection="1">
      <alignment horizontal="right"/>
    </xf>
    <xf numFmtId="164" fontId="1" fillId="0" borderId="1" xfId="0" applyFont="1" applyBorder="1" applyAlignment="1" applyProtection="1">
      <alignment horizontal="right"/>
    </xf>
    <xf numFmtId="37" fontId="2" fillId="0" borderId="1" xfId="0" applyNumberFormat="1" applyFont="1" applyBorder="1" applyAlignment="1">
      <alignment horizontal="right"/>
    </xf>
    <xf numFmtId="164" fontId="2" fillId="0" borderId="1" xfId="0" applyFont="1" applyBorder="1" applyAlignment="1">
      <alignment horizontal="right"/>
    </xf>
    <xf numFmtId="37" fontId="3" fillId="0" borderId="1" xfId="0" applyNumberFormat="1" applyFont="1" applyBorder="1" applyAlignment="1">
      <alignment horizontal="right"/>
    </xf>
    <xf numFmtId="164" fontId="3" fillId="0" borderId="1" xfId="0" applyFont="1" applyBorder="1" applyAlignment="1">
      <alignment horizontal="right"/>
    </xf>
    <xf numFmtId="164" fontId="2" fillId="0" borderId="1" xfId="0" applyFont="1" applyBorder="1" applyAlignment="1" applyProtection="1">
      <alignment horizontal="right"/>
    </xf>
    <xf numFmtId="37" fontId="4" fillId="0" borderId="1" xfId="0" applyNumberFormat="1" applyFont="1" applyBorder="1" applyAlignment="1">
      <alignment horizontal="right"/>
    </xf>
    <xf numFmtId="164" fontId="4" fillId="0" borderId="1" xfId="0" applyFont="1" applyBorder="1" applyAlignment="1">
      <alignment horizontal="right"/>
    </xf>
    <xf numFmtId="3" fontId="4" fillId="0" borderId="1" xfId="0" applyNumberFormat="1" applyFont="1" applyBorder="1" applyAlignment="1">
      <alignment horizontal="right"/>
    </xf>
    <xf numFmtId="3" fontId="2" fillId="0" borderId="1" xfId="0" applyNumberFormat="1" applyFont="1" applyBorder="1" applyAlignment="1">
      <alignment horizontal="right"/>
    </xf>
    <xf numFmtId="166" fontId="1" fillId="0" borderId="1" xfId="0" applyNumberFormat="1" applyFont="1" applyBorder="1" applyAlignment="1">
      <alignment horizontal="right"/>
    </xf>
    <xf numFmtId="1" fontId="1" fillId="0" borderId="2" xfId="0" applyNumberFormat="1" applyFont="1" applyBorder="1" applyAlignment="1" applyProtection="1">
      <alignment horizontal="center"/>
    </xf>
    <xf numFmtId="164" fontId="1" fillId="0" borderId="2" xfId="0" applyFont="1" applyBorder="1" applyAlignment="1">
      <alignment horizontal="center"/>
    </xf>
    <xf numFmtId="166" fontId="1" fillId="0" borderId="3" xfId="0" applyNumberFormat="1" applyFont="1" applyBorder="1" applyAlignment="1" applyProtection="1">
      <alignment horizontal="right"/>
    </xf>
    <xf numFmtId="164" fontId="1" fillId="3" borderId="1" xfId="0" applyFont="1" applyFill="1" applyBorder="1" applyAlignment="1">
      <alignment horizontal="left" wrapText="1"/>
    </xf>
    <xf numFmtId="165" fontId="1" fillId="3" borderId="1" xfId="0" applyNumberFormat="1" applyFont="1" applyFill="1" applyBorder="1" applyAlignment="1">
      <alignment horizontal="left" wrapText="1"/>
    </xf>
    <xf numFmtId="164" fontId="1" fillId="3" borderId="1" xfId="0" applyFont="1" applyFill="1" applyBorder="1" applyAlignment="1" applyProtection="1">
      <alignment horizontal="left" wrapText="1"/>
    </xf>
    <xf numFmtId="164" fontId="1" fillId="3" borderId="1" xfId="0" applyFont="1" applyFill="1" applyBorder="1" applyAlignment="1">
      <alignment horizontal="center" wrapText="1"/>
    </xf>
    <xf numFmtId="166" fontId="1" fillId="3" borderId="1" xfId="0" applyNumberFormat="1" applyFont="1" applyFill="1" applyBorder="1" applyAlignment="1">
      <alignment horizontal="center" wrapText="1"/>
    </xf>
    <xf numFmtId="3" fontId="1" fillId="3" borderId="1" xfId="0" applyNumberFormat="1" applyFont="1" applyFill="1" applyBorder="1" applyAlignment="1">
      <alignment horizontal="center" wrapText="1"/>
    </xf>
    <xf numFmtId="37" fontId="1" fillId="3" borderId="1" xfId="0" applyNumberFormat="1" applyFont="1" applyFill="1" applyBorder="1" applyAlignment="1">
      <alignment horizontal="center" wrapText="1"/>
    </xf>
    <xf numFmtId="37" fontId="0" fillId="0" borderId="0" xfId="0" applyNumberFormat="1"/>
    <xf numFmtId="37" fontId="5" fillId="0" borderId="0" xfId="0" applyNumberFormat="1" applyFont="1"/>
    <xf numFmtId="39" fontId="0" fillId="0" borderId="0" xfId="0" applyNumberFormat="1"/>
    <xf numFmtId="164" fontId="5" fillId="0" borderId="0" xfId="0" applyFont="1" applyAlignment="1"/>
    <xf numFmtId="164" fontId="0" fillId="0" borderId="0" xfId="0" applyAlignment="1"/>
    <xf numFmtId="164" fontId="5" fillId="0" borderId="0" xfId="0" applyFont="1" applyAlignment="1">
      <alignment horizontal="right"/>
    </xf>
    <xf numFmtId="164" fontId="0" fillId="0" borderId="0" xfId="0" pivotButton="1"/>
    <xf numFmtId="164" fontId="0" fillId="0" borderId="0" xfId="0" applyAlignment="1">
      <alignment horizontal="left"/>
    </xf>
    <xf numFmtId="164" fontId="0" fillId="0" borderId="0" xfId="0" applyNumberFormat="1"/>
    <xf numFmtId="37" fontId="2" fillId="0" borderId="1" xfId="0" applyNumberFormat="1" applyFont="1" applyBorder="1" applyAlignment="1" applyProtection="1">
      <alignment horizontal="right" wrapText="1"/>
    </xf>
    <xf numFmtId="37" fontId="2" fillId="0" borderId="1" xfId="0" applyNumberFormat="1" applyFont="1" applyBorder="1" applyAlignment="1">
      <alignment horizontal="right" wrapText="1"/>
    </xf>
    <xf numFmtId="164" fontId="2" fillId="0" borderId="1" xfId="0" applyFont="1" applyBorder="1" applyAlignment="1" applyProtection="1">
      <alignment horizontal="right" wrapText="1"/>
    </xf>
    <xf numFmtId="164" fontId="5" fillId="0" borderId="0" xfId="0" applyNumberFormat="1" applyFont="1"/>
    <xf numFmtId="164" fontId="7" fillId="2" borderId="1" xfId="0" applyFont="1" applyFill="1" applyBorder="1" applyAlignment="1">
      <alignment horizontal="right"/>
    </xf>
    <xf numFmtId="164" fontId="7" fillId="0" borderId="0" xfId="0" applyFont="1" applyAlignment="1">
      <alignment horizontal="right"/>
    </xf>
    <xf numFmtId="0" fontId="7" fillId="2" borderId="1" xfId="0" applyNumberFormat="1" applyFont="1" applyFill="1" applyBorder="1" applyAlignment="1"/>
    <xf numFmtId="164" fontId="7" fillId="0" borderId="0" xfId="0" applyFont="1" applyAlignment="1">
      <alignment horizontal="left"/>
    </xf>
    <xf numFmtId="164" fontId="5" fillId="0" borderId="1" xfId="0" applyFont="1" applyBorder="1"/>
    <xf numFmtId="164" fontId="8" fillId="4" borderId="1" xfId="1" applyNumberFormat="1" applyBorder="1"/>
    <xf numFmtId="164" fontId="0" fillId="0" borderId="1" xfId="0" applyBorder="1"/>
    <xf numFmtId="164" fontId="7" fillId="0" borderId="0" xfId="0" applyFont="1"/>
    <xf numFmtId="164" fontId="11" fillId="0" borderId="0" xfId="0" applyFont="1" applyAlignment="1">
      <alignment wrapText="1"/>
    </xf>
    <xf numFmtId="164" fontId="12" fillId="0" borderId="0" xfId="0" applyFont="1"/>
    <xf numFmtId="164" fontId="12" fillId="0" borderId="0" xfId="0" applyFont="1" applyAlignment="1">
      <alignment wrapText="1"/>
    </xf>
    <xf numFmtId="37" fontId="0" fillId="3" borderId="1" xfId="0" applyNumberFormat="1" applyFont="1" applyFill="1" applyBorder="1"/>
    <xf numFmtId="3" fontId="1" fillId="5" borderId="1" xfId="0" applyNumberFormat="1" applyFont="1" applyFill="1" applyBorder="1" applyAlignment="1">
      <alignment horizontal="right"/>
    </xf>
  </cellXfs>
  <cellStyles count="2">
    <cellStyle name="Neutral" xfId="1" builtinId="2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9126946631671041"/>
          <c:y val="0.14399314668999783"/>
          <c:w val="0.70685323709536363"/>
          <c:h val="0.72415099154272378"/>
        </c:manualLayout>
      </c:layout>
      <c:scatterChart>
        <c:scatterStyle val="lineMarker"/>
        <c:ser>
          <c:idx val="1"/>
          <c:order val="1"/>
          <c:tx>
            <c:v>statewide total</c:v>
          </c:tx>
          <c:spPr>
            <a:ln>
              <a:solidFill>
                <a:schemeClr val="accent1"/>
              </a:solidFill>
            </a:ln>
          </c:spPr>
          <c:marker>
            <c:symbol val="none"/>
          </c:marker>
          <c:xVal>
            <c:numRef>
              <c:f>Relative!$C$46:$C$100</c:f>
              <c:numCache>
                <c:formatCode>0_);\(0\)</c:formatCode>
                <c:ptCount val="55"/>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numCache>
            </c:numRef>
          </c:xVal>
          <c:yVal>
            <c:numRef>
              <c:f>Relative!$E$46:$E$99</c:f>
              <c:numCache>
                <c:formatCode>#,##0_);\(#,##0\)</c:formatCode>
                <c:ptCount val="54"/>
                <c:pt idx="0">
                  <c:v>90</c:v>
                </c:pt>
                <c:pt idx="1">
                  <c:v>700</c:v>
                </c:pt>
                <c:pt idx="2">
                  <c:v>2000</c:v>
                </c:pt>
                <c:pt idx="3">
                  <c:v>2250</c:v>
                </c:pt>
                <c:pt idx="4">
                  <c:v>2000</c:v>
                </c:pt>
                <c:pt idx="5">
                  <c:v>4134</c:v>
                </c:pt>
                <c:pt idx="6">
                  <c:v>3380</c:v>
                </c:pt>
                <c:pt idx="7">
                  <c:v>3532</c:v>
                </c:pt>
                <c:pt idx="8">
                  <c:v>7455</c:v>
                </c:pt>
                <c:pt idx="9">
                  <c:v>5030</c:v>
                </c:pt>
                <c:pt idx="10">
                  <c:v>6108</c:v>
                </c:pt>
                <c:pt idx="11">
                  <c:v>10399</c:v>
                </c:pt>
                <c:pt idx="12">
                  <c:v>9475</c:v>
                </c:pt>
                <c:pt idx="13">
                  <c:v>12889</c:v>
                </c:pt>
                <c:pt idx="14">
                  <c:v>14521</c:v>
                </c:pt>
                <c:pt idx="15">
                  <c:v>12112</c:v>
                </c:pt>
                <c:pt idx="16">
                  <c:v>6928</c:v>
                </c:pt>
                <c:pt idx="17">
                  <c:v>4156</c:v>
                </c:pt>
                <c:pt idx="18">
                  <c:v>5289</c:v>
                </c:pt>
                <c:pt idx="19">
                  <c:v>7872</c:v>
                </c:pt>
                <c:pt idx="20">
                  <c:v>6457</c:v>
                </c:pt>
                <c:pt idx="21">
                  <c:v>7049</c:v>
                </c:pt>
                <c:pt idx="22">
                  <c:v>5812</c:v>
                </c:pt>
                <c:pt idx="23">
                  <c:v>5800</c:v>
                </c:pt>
                <c:pt idx="24">
                  <c:v>5670</c:v>
                </c:pt>
                <c:pt idx="25">
                  <c:v>7141</c:v>
                </c:pt>
                <c:pt idx="26">
                  <c:v>7553</c:v>
                </c:pt>
                <c:pt idx="27">
                  <c:v>7583</c:v>
                </c:pt>
                <c:pt idx="28">
                  <c:v>2995</c:v>
                </c:pt>
                <c:pt idx="29">
                  <c:v>2394</c:v>
                </c:pt>
                <c:pt idx="30">
                  <c:v>4387</c:v>
                </c:pt>
                <c:pt idx="31">
                  <c:v>4786</c:v>
                </c:pt>
                <c:pt idx="32">
                  <c:v>10984.5</c:v>
                </c:pt>
                <c:pt idx="33">
                  <c:v>9989</c:v>
                </c:pt>
                <c:pt idx="34">
                  <c:v>11419</c:v>
                </c:pt>
                <c:pt idx="35">
                  <c:v>8217.5</c:v>
                </c:pt>
                <c:pt idx="36">
                  <c:v>7838</c:v>
                </c:pt>
                <c:pt idx="37">
                  <c:v>6907</c:v>
                </c:pt>
                <c:pt idx="38">
                  <c:v>7465</c:v>
                </c:pt>
                <c:pt idx="39">
                  <c:v>6483</c:v>
                </c:pt>
                <c:pt idx="40">
                  <c:v>6009</c:v>
                </c:pt>
                <c:pt idx="41">
                  <c:v>7702.5</c:v>
                </c:pt>
                <c:pt idx="42">
                  <c:v>5639.5</c:v>
                </c:pt>
                <c:pt idx="43">
                  <c:v>5455.8</c:v>
                </c:pt>
                <c:pt idx="44">
                  <c:v>2587.5500000000002</c:v>
                </c:pt>
                <c:pt idx="45">
                  <c:v>1621.42</c:v>
                </c:pt>
                <c:pt idx="46">
                  <c:v>623.79999999999995</c:v>
                </c:pt>
                <c:pt idx="47">
                  <c:v>2239.1799999999998</c:v>
                </c:pt>
                <c:pt idx="48">
                  <c:v>1062</c:v>
                </c:pt>
                <c:pt idx="49">
                  <c:v>2063.601090909091</c:v>
                </c:pt>
                <c:pt idx="50">
                  <c:v>1605.1</c:v>
                </c:pt>
                <c:pt idx="51">
                  <c:v>1710.75</c:v>
                </c:pt>
                <c:pt idx="52">
                  <c:v>941.9</c:v>
                </c:pt>
                <c:pt idx="53">
                  <c:v>180</c:v>
                </c:pt>
              </c:numCache>
            </c:numRef>
          </c:yVal>
        </c:ser>
        <c:axId val="103234560"/>
        <c:axId val="103375616"/>
      </c:scatterChart>
      <c:scatterChart>
        <c:scatterStyle val="lineMarker"/>
        <c:ser>
          <c:idx val="0"/>
          <c:order val="0"/>
          <c:tx>
            <c:strRef>
              <c:f>Relative!$F$45</c:f>
              <c:strCache>
                <c:ptCount val="1"/>
                <c:pt idx="0">
                  <c:v>towns reporting</c:v>
                </c:pt>
              </c:strCache>
            </c:strRef>
          </c:tx>
          <c:spPr>
            <a:ln>
              <a:solidFill>
                <a:srgbClr val="FF0000"/>
              </a:solidFill>
            </a:ln>
          </c:spPr>
          <c:marker>
            <c:symbol val="none"/>
          </c:marker>
          <c:xVal>
            <c:numRef>
              <c:f>Relative!$C$46:$C$100</c:f>
              <c:numCache>
                <c:formatCode>0_);\(0\)</c:formatCode>
                <c:ptCount val="55"/>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numCache>
            </c:numRef>
          </c:xVal>
          <c:yVal>
            <c:numRef>
              <c:f>Relative!$F$46:$F$100</c:f>
              <c:numCache>
                <c:formatCode>#,##0_);\(#,##0\)</c:formatCode>
                <c:ptCount val="55"/>
                <c:pt idx="0">
                  <c:v>1</c:v>
                </c:pt>
                <c:pt idx="1">
                  <c:v>1</c:v>
                </c:pt>
                <c:pt idx="2">
                  <c:v>1</c:v>
                </c:pt>
                <c:pt idx="3">
                  <c:v>1</c:v>
                </c:pt>
                <c:pt idx="4">
                  <c:v>1</c:v>
                </c:pt>
                <c:pt idx="5">
                  <c:v>3</c:v>
                </c:pt>
                <c:pt idx="6">
                  <c:v>3</c:v>
                </c:pt>
                <c:pt idx="7">
                  <c:v>3</c:v>
                </c:pt>
                <c:pt idx="8">
                  <c:v>5</c:v>
                </c:pt>
                <c:pt idx="9">
                  <c:v>3</c:v>
                </c:pt>
                <c:pt idx="10">
                  <c:v>4</c:v>
                </c:pt>
                <c:pt idx="11">
                  <c:v>6</c:v>
                </c:pt>
                <c:pt idx="12">
                  <c:v>7</c:v>
                </c:pt>
                <c:pt idx="13">
                  <c:v>7</c:v>
                </c:pt>
                <c:pt idx="14">
                  <c:v>8</c:v>
                </c:pt>
                <c:pt idx="15">
                  <c:v>9</c:v>
                </c:pt>
                <c:pt idx="16">
                  <c:v>8</c:v>
                </c:pt>
                <c:pt idx="17">
                  <c:v>7</c:v>
                </c:pt>
                <c:pt idx="18">
                  <c:v>6</c:v>
                </c:pt>
                <c:pt idx="19">
                  <c:v>8</c:v>
                </c:pt>
                <c:pt idx="20">
                  <c:v>4</c:v>
                </c:pt>
                <c:pt idx="21">
                  <c:v>8</c:v>
                </c:pt>
                <c:pt idx="22">
                  <c:v>7</c:v>
                </c:pt>
                <c:pt idx="23">
                  <c:v>7</c:v>
                </c:pt>
                <c:pt idx="24">
                  <c:v>7</c:v>
                </c:pt>
                <c:pt idx="25">
                  <c:v>8</c:v>
                </c:pt>
                <c:pt idx="26">
                  <c:v>8</c:v>
                </c:pt>
                <c:pt idx="27">
                  <c:v>9</c:v>
                </c:pt>
                <c:pt idx="28">
                  <c:v>8</c:v>
                </c:pt>
                <c:pt idx="29">
                  <c:v>7</c:v>
                </c:pt>
                <c:pt idx="30">
                  <c:v>7</c:v>
                </c:pt>
                <c:pt idx="31">
                  <c:v>5</c:v>
                </c:pt>
                <c:pt idx="32">
                  <c:v>8</c:v>
                </c:pt>
                <c:pt idx="33">
                  <c:v>6</c:v>
                </c:pt>
                <c:pt idx="34">
                  <c:v>10</c:v>
                </c:pt>
                <c:pt idx="35">
                  <c:v>9</c:v>
                </c:pt>
                <c:pt idx="36">
                  <c:v>8</c:v>
                </c:pt>
                <c:pt idx="37">
                  <c:v>8</c:v>
                </c:pt>
                <c:pt idx="38">
                  <c:v>8</c:v>
                </c:pt>
                <c:pt idx="39">
                  <c:v>7</c:v>
                </c:pt>
                <c:pt idx="40">
                  <c:v>8</c:v>
                </c:pt>
                <c:pt idx="41">
                  <c:v>9</c:v>
                </c:pt>
                <c:pt idx="42">
                  <c:v>9</c:v>
                </c:pt>
                <c:pt idx="43">
                  <c:v>9</c:v>
                </c:pt>
                <c:pt idx="44">
                  <c:v>9</c:v>
                </c:pt>
                <c:pt idx="45">
                  <c:v>7</c:v>
                </c:pt>
                <c:pt idx="46">
                  <c:v>7</c:v>
                </c:pt>
                <c:pt idx="47">
                  <c:v>7</c:v>
                </c:pt>
                <c:pt idx="48">
                  <c:v>7</c:v>
                </c:pt>
                <c:pt idx="49">
                  <c:v>6</c:v>
                </c:pt>
                <c:pt idx="50">
                  <c:v>7</c:v>
                </c:pt>
                <c:pt idx="51">
                  <c:v>5</c:v>
                </c:pt>
                <c:pt idx="52">
                  <c:v>5</c:v>
                </c:pt>
                <c:pt idx="53">
                  <c:v>1</c:v>
                </c:pt>
                <c:pt idx="54">
                  <c:v>2</c:v>
                </c:pt>
              </c:numCache>
            </c:numRef>
          </c:yVal>
        </c:ser>
        <c:axId val="103383424"/>
        <c:axId val="103377536"/>
      </c:scatterChart>
      <c:valAx>
        <c:axId val="103234560"/>
        <c:scaling>
          <c:orientation val="minMax"/>
        </c:scaling>
        <c:axPos val="b"/>
        <c:numFmt formatCode="0_);\(0\)" sourceLinked="1"/>
        <c:tickLblPos val="nextTo"/>
        <c:crossAx val="103375616"/>
        <c:crosses val="autoZero"/>
        <c:crossBetween val="midCat"/>
      </c:valAx>
      <c:valAx>
        <c:axId val="103375616"/>
        <c:scaling>
          <c:orientation val="minMax"/>
        </c:scaling>
        <c:axPos val="l"/>
        <c:majorGridlines/>
        <c:title>
          <c:tx>
            <c:rich>
              <a:bodyPr rot="-5400000" vert="horz"/>
              <a:lstStyle/>
              <a:p>
                <a:pPr>
                  <a:defRPr sz="1200"/>
                </a:pPr>
                <a:r>
                  <a:rPr lang="en-US" sz="1200"/>
                  <a:t>Sum for all town data </a:t>
                </a:r>
              </a:p>
            </c:rich>
          </c:tx>
          <c:layout/>
        </c:title>
        <c:numFmt formatCode="#,##0_);\(#,##0\)" sourceLinked="1"/>
        <c:tickLblPos val="nextTo"/>
        <c:crossAx val="103234560"/>
        <c:crosses val="autoZero"/>
        <c:crossBetween val="midCat"/>
      </c:valAx>
      <c:valAx>
        <c:axId val="103377536"/>
        <c:scaling>
          <c:orientation val="minMax"/>
          <c:max val="45"/>
        </c:scaling>
        <c:axPos val="r"/>
        <c:numFmt formatCode="#,##0_);\(#,##0\)" sourceLinked="1"/>
        <c:tickLblPos val="nextTo"/>
        <c:crossAx val="103383424"/>
        <c:crosses val="max"/>
        <c:crossBetween val="midCat"/>
      </c:valAx>
      <c:valAx>
        <c:axId val="103383424"/>
        <c:scaling>
          <c:orientation val="minMax"/>
        </c:scaling>
        <c:delete val="1"/>
        <c:axPos val="b"/>
        <c:numFmt formatCode="0_);\(0\)" sourceLinked="1"/>
        <c:tickLblPos val="none"/>
        <c:crossAx val="103377536"/>
        <c:crosses val="autoZero"/>
        <c:crossBetween val="midCat"/>
      </c:valAx>
    </c:plotArea>
    <c:legend>
      <c:legendPos val="r"/>
      <c:layout>
        <c:manualLayout>
          <c:xMode val="edge"/>
          <c:yMode val="edge"/>
          <c:x val="0.6729735345581852"/>
          <c:y val="2.0651064450277114E-3"/>
          <c:w val="0.26466666666666688"/>
          <c:h val="0.16743438320210047"/>
        </c:manualLayout>
      </c:layout>
    </c:legend>
    <c:plotVisOnly val="1"/>
  </c:chart>
  <c:printSettings>
    <c:headerFooter/>
    <c:pageMargins b="0.75000000000000189" l="0.70000000000000062" r="0.70000000000000062" t="0.75000000000000189"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7014668573526479"/>
          <c:y val="0.14399322425122449"/>
          <c:w val="0.78178795500249321"/>
          <c:h val="0.72415099154272378"/>
        </c:manualLayout>
      </c:layout>
      <c:scatterChart>
        <c:scatterStyle val="lineMarker"/>
        <c:ser>
          <c:idx val="1"/>
          <c:order val="0"/>
          <c:tx>
            <c:strRef>
              <c:f>Relative!$E$1</c:f>
              <c:strCache>
                <c:ptCount val="1"/>
                <c:pt idx="0">
                  <c:v>REC S.S.CLAM Bushels</c:v>
                </c:pt>
              </c:strCache>
            </c:strRef>
          </c:tx>
          <c:spPr>
            <a:ln w="28575">
              <a:solidFill>
                <a:schemeClr val="accent1"/>
              </a:solidFill>
            </a:ln>
          </c:spPr>
          <c:marker>
            <c:symbol val="square"/>
            <c:size val="5"/>
            <c:spPr>
              <a:solidFill>
                <a:schemeClr val="accent1"/>
              </a:solidFill>
              <a:ln>
                <a:solidFill>
                  <a:srgbClr val="4F81BD"/>
                </a:solidFill>
              </a:ln>
            </c:spPr>
          </c:marker>
          <c:trendline>
            <c:trendlineType val="linear"/>
            <c:dispRSqr val="1"/>
            <c:trendlineLbl>
              <c:layout>
                <c:manualLayout>
                  <c:x val="-0.66788035870516183"/>
                  <c:y val="0.4412620297462817"/>
                </c:manualLayout>
              </c:layout>
              <c:numFmt formatCode="General" sourceLinked="0"/>
            </c:trendlineLbl>
          </c:trendline>
          <c:xVal>
            <c:numRef>
              <c:f>Relative!$C$46:$C$100</c:f>
              <c:numCache>
                <c:formatCode>0_);\(0\)</c:formatCode>
                <c:ptCount val="55"/>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numCache>
            </c:numRef>
          </c:xVal>
          <c:yVal>
            <c:numRef>
              <c:f>Relative!$D$46:$D$100</c:f>
              <c:numCache>
                <c:formatCode>#,##0.00_);\(#,##0.00\)</c:formatCode>
                <c:ptCount val="55"/>
                <c:pt idx="0">
                  <c:v>#N/A</c:v>
                </c:pt>
                <c:pt idx="1">
                  <c:v>#N/A</c:v>
                </c:pt>
                <c:pt idx="2">
                  <c:v>#N/A</c:v>
                </c:pt>
                <c:pt idx="3">
                  <c:v>#N/A</c:v>
                </c:pt>
                <c:pt idx="4">
                  <c:v>#N/A</c:v>
                </c:pt>
                <c:pt idx="5">
                  <c:v>1.4272267862355035</c:v>
                </c:pt>
                <c:pt idx="6">
                  <c:v>1.7053250103656235</c:v>
                </c:pt>
                <c:pt idx="7">
                  <c:v>1.6422905040826024</c:v>
                </c:pt>
                <c:pt idx="8">
                  <c:v>1.6530442957894962</c:v>
                </c:pt>
                <c:pt idx="9">
                  <c:v>1.5224118013834369</c:v>
                </c:pt>
                <c:pt idx="10">
                  <c:v>1.6941106577992255</c:v>
                </c:pt>
                <c:pt idx="11">
                  <c:v>1.9468693097324499</c:v>
                </c:pt>
                <c:pt idx="12">
                  <c:v>1.4481469321594858</c:v>
                </c:pt>
                <c:pt idx="13">
                  <c:v>2.3539704982003431</c:v>
                </c:pt>
                <c:pt idx="14">
                  <c:v>1.9720322220691247</c:v>
                </c:pt>
                <c:pt idx="15">
                  <c:v>1.6566350943391821</c:v>
                </c:pt>
                <c:pt idx="16">
                  <c:v>1.1200459098871545</c:v>
                </c:pt>
                <c:pt idx="17">
                  <c:v>0.64325900733588171</c:v>
                </c:pt>
                <c:pt idx="18">
                  <c:v>0.71877489430135177</c:v>
                </c:pt>
                <c:pt idx="19">
                  <c:v>0.88868005864327404</c:v>
                </c:pt>
                <c:pt idx="20">
                  <c:v>0.77256660161914381</c:v>
                </c:pt>
                <c:pt idx="21">
                  <c:v>0.73203646207930406</c:v>
                </c:pt>
                <c:pt idx="22">
                  <c:v>0.63833973722650994</c:v>
                </c:pt>
                <c:pt idx="23">
                  <c:v>0.58327594770359714</c:v>
                </c:pt>
                <c:pt idx="24">
                  <c:v>0.58428379161064825</c:v>
                </c:pt>
                <c:pt idx="25">
                  <c:v>0.69987254034496527</c:v>
                </c:pt>
                <c:pt idx="26">
                  <c:v>0.67391164632871881</c:v>
                </c:pt>
                <c:pt idx="27">
                  <c:v>0.88101214944397999</c:v>
                </c:pt>
                <c:pt idx="28">
                  <c:v>1.1311721492436373</c:v>
                </c:pt>
                <c:pt idx="29">
                  <c:v>1.0277478195620333</c:v>
                </c:pt>
                <c:pt idx="30">
                  <c:v>1.5235907132867195</c:v>
                </c:pt>
                <c:pt idx="31">
                  <c:v>2.0802502430131411</c:v>
                </c:pt>
                <c:pt idx="32">
                  <c:v>1.9693826623602746</c:v>
                </c:pt>
                <c:pt idx="33">
                  <c:v>1.7163247572702509</c:v>
                </c:pt>
                <c:pt idx="34">
                  <c:v>1.5624785052084746</c:v>
                </c:pt>
                <c:pt idx="35">
                  <c:v>1.1133769340183066</c:v>
                </c:pt>
                <c:pt idx="36">
                  <c:v>0.90278366532846865</c:v>
                </c:pt>
                <c:pt idx="37">
                  <c:v>0.92919735140916004</c:v>
                </c:pt>
                <c:pt idx="38">
                  <c:v>1.1600118564882933</c:v>
                </c:pt>
                <c:pt idx="39">
                  <c:v>1.2182832684147991</c:v>
                </c:pt>
                <c:pt idx="40">
                  <c:v>0.73196762557714701</c:v>
                </c:pt>
                <c:pt idx="41">
                  <c:v>0.78774626049054364</c:v>
                </c:pt>
                <c:pt idx="42">
                  <c:v>0.63190592442728977</c:v>
                </c:pt>
                <c:pt idx="43">
                  <c:v>0.64020980671577321</c:v>
                </c:pt>
                <c:pt idx="44">
                  <c:v>0.38632368272395728</c:v>
                </c:pt>
                <c:pt idx="45">
                  <c:v>0.4212662635441588</c:v>
                </c:pt>
                <c:pt idx="46">
                  <c:v>0.25662883583210483</c:v>
                </c:pt>
                <c:pt idx="47">
                  <c:v>0.24339005844498529</c:v>
                </c:pt>
                <c:pt idx="48">
                  <c:v>0.11901816836783144</c:v>
                </c:pt>
                <c:pt idx="49">
                  <c:v>0.2864299824105434</c:v>
                </c:pt>
                <c:pt idx="50">
                  <c:v>0.18277705324849966</c:v>
                </c:pt>
                <c:pt idx="51">
                  <c:v>0.17335355581641915</c:v>
                </c:pt>
                <c:pt idx="52">
                  <c:v>0.11023099754065617</c:v>
                </c:pt>
                <c:pt idx="53">
                  <c:v>#N/A</c:v>
                </c:pt>
                <c:pt idx="54">
                  <c:v>#N/A</c:v>
                </c:pt>
              </c:numCache>
            </c:numRef>
          </c:yVal>
        </c:ser>
        <c:axId val="103412096"/>
        <c:axId val="103413632"/>
      </c:scatterChart>
      <c:valAx>
        <c:axId val="103412096"/>
        <c:scaling>
          <c:orientation val="minMax"/>
        </c:scaling>
        <c:axPos val="b"/>
        <c:numFmt formatCode="0_);\(0\)" sourceLinked="1"/>
        <c:tickLblPos val="nextTo"/>
        <c:crossAx val="103413632"/>
        <c:crosses val="autoZero"/>
        <c:crossBetween val="midCat"/>
      </c:valAx>
      <c:valAx>
        <c:axId val="103413632"/>
        <c:scaling>
          <c:orientation val="minMax"/>
        </c:scaling>
        <c:axPos val="l"/>
        <c:majorGridlines/>
        <c:title>
          <c:tx>
            <c:rich>
              <a:bodyPr rot="-5400000" vert="horz"/>
              <a:lstStyle/>
              <a:p>
                <a:pPr>
                  <a:defRPr sz="1200"/>
                </a:pPr>
                <a:r>
                  <a:rPr lang="en-US" sz="1200"/>
                  <a:t>Average Relative Trend</a:t>
                </a:r>
              </a:p>
            </c:rich>
          </c:tx>
          <c:layout>
            <c:manualLayout>
              <c:xMode val="edge"/>
              <c:yMode val="edge"/>
              <c:x val="2.1929133858267671E-3"/>
              <c:y val="0.26852216389618055"/>
            </c:manualLayout>
          </c:layout>
        </c:title>
        <c:numFmt formatCode="#,##0.00_);\(#,##0.00\)" sourceLinked="1"/>
        <c:tickLblPos val="nextTo"/>
        <c:crossAx val="103412096"/>
        <c:crosses val="autoZero"/>
        <c:crossBetween val="midCat"/>
      </c:valAx>
    </c:plotArea>
    <c:legend>
      <c:legendPos val="r"/>
      <c:layout>
        <c:manualLayout>
          <c:xMode val="edge"/>
          <c:yMode val="edge"/>
          <c:x val="0.74797353455818427"/>
          <c:y val="2.0651064450277136E-3"/>
          <c:w val="0.24851399825021891"/>
          <c:h val="0.13965660542432196"/>
        </c:manualLayout>
      </c:layout>
    </c:legend>
    <c:plotVisOnly val="1"/>
  </c:chart>
  <c:printSettings>
    <c:headerFooter/>
    <c:pageMargins b="0.75000000000000211" l="0.70000000000000062" r="0.70000000000000062" t="0.750000000000002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9126946631671041"/>
          <c:y val="0.14399314668999794"/>
          <c:w val="0.70685323709536363"/>
          <c:h val="0.72415099154272378"/>
        </c:manualLayout>
      </c:layout>
      <c:barChart>
        <c:barDir val="col"/>
        <c:grouping val="clustered"/>
        <c:ser>
          <c:idx val="1"/>
          <c:order val="0"/>
          <c:tx>
            <c:v>statewide total</c:v>
          </c:tx>
          <c:spPr>
            <a:ln>
              <a:solidFill>
                <a:schemeClr val="accent1"/>
              </a:solidFill>
            </a:ln>
          </c:spPr>
          <c:cat>
            <c:numRef>
              <c:f>Relative!$C$46:$C$100</c:f>
              <c:numCache>
                <c:formatCode>0_);\(0\)</c:formatCode>
                <c:ptCount val="55"/>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numCache>
            </c:numRef>
          </c:cat>
          <c:val>
            <c:numRef>
              <c:f>Relative!$G$46:$G$99</c:f>
              <c:numCache>
                <c:formatCode>#,##0_);\(#,##0\)</c:formatCode>
                <c:ptCount val="54"/>
                <c:pt idx="0">
                  <c:v>0</c:v>
                </c:pt>
                <c:pt idx="1">
                  <c:v>0</c:v>
                </c:pt>
                <c:pt idx="2">
                  <c:v>0</c:v>
                </c:pt>
                <c:pt idx="3">
                  <c:v>0</c:v>
                </c:pt>
                <c:pt idx="4">
                  <c:v>0</c:v>
                </c:pt>
                <c:pt idx="5">
                  <c:v>0</c:v>
                </c:pt>
                <c:pt idx="6">
                  <c:v>0</c:v>
                </c:pt>
                <c:pt idx="7">
                  <c:v>0</c:v>
                </c:pt>
                <c:pt idx="8">
                  <c:v>1500</c:v>
                </c:pt>
                <c:pt idx="9">
                  <c:v>0</c:v>
                </c:pt>
                <c:pt idx="10">
                  <c:v>0</c:v>
                </c:pt>
                <c:pt idx="11">
                  <c:v>2178</c:v>
                </c:pt>
                <c:pt idx="12">
                  <c:v>1785</c:v>
                </c:pt>
                <c:pt idx="13">
                  <c:v>3667</c:v>
                </c:pt>
                <c:pt idx="14">
                  <c:v>1732</c:v>
                </c:pt>
                <c:pt idx="15">
                  <c:v>1854</c:v>
                </c:pt>
                <c:pt idx="16">
                  <c:v>1200</c:v>
                </c:pt>
                <c:pt idx="17">
                  <c:v>1242</c:v>
                </c:pt>
                <c:pt idx="18">
                  <c:v>1052</c:v>
                </c:pt>
                <c:pt idx="19">
                  <c:v>500</c:v>
                </c:pt>
                <c:pt idx="20">
                  <c:v>0</c:v>
                </c:pt>
                <c:pt idx="21">
                  <c:v>50</c:v>
                </c:pt>
                <c:pt idx="22">
                  <c:v>0</c:v>
                </c:pt>
                <c:pt idx="23">
                  <c:v>326</c:v>
                </c:pt>
                <c:pt idx="24">
                  <c:v>251</c:v>
                </c:pt>
                <c:pt idx="25">
                  <c:v>800</c:v>
                </c:pt>
                <c:pt idx="26">
                  <c:v>1065</c:v>
                </c:pt>
                <c:pt idx="27">
                  <c:v>1070</c:v>
                </c:pt>
                <c:pt idx="28">
                  <c:v>846</c:v>
                </c:pt>
                <c:pt idx="29">
                  <c:v>650</c:v>
                </c:pt>
                <c:pt idx="30">
                  <c:v>918</c:v>
                </c:pt>
                <c:pt idx="31">
                  <c:v>907</c:v>
                </c:pt>
                <c:pt idx="32">
                  <c:v>789</c:v>
                </c:pt>
                <c:pt idx="33">
                  <c:v>1067</c:v>
                </c:pt>
                <c:pt idx="34">
                  <c:v>1081</c:v>
                </c:pt>
                <c:pt idx="35">
                  <c:v>862.5</c:v>
                </c:pt>
                <c:pt idx="36">
                  <c:v>689</c:v>
                </c:pt>
                <c:pt idx="37">
                  <c:v>765</c:v>
                </c:pt>
                <c:pt idx="38">
                  <c:v>956</c:v>
                </c:pt>
                <c:pt idx="39">
                  <c:v>0</c:v>
                </c:pt>
                <c:pt idx="40">
                  <c:v>634</c:v>
                </c:pt>
                <c:pt idx="41">
                  <c:v>2148</c:v>
                </c:pt>
                <c:pt idx="42">
                  <c:v>624</c:v>
                </c:pt>
                <c:pt idx="43">
                  <c:v>780</c:v>
                </c:pt>
                <c:pt idx="44">
                  <c:v>736.95</c:v>
                </c:pt>
                <c:pt idx="45">
                  <c:v>244</c:v>
                </c:pt>
                <c:pt idx="46">
                  <c:v>215</c:v>
                </c:pt>
                <c:pt idx="47">
                  <c:v>275</c:v>
                </c:pt>
                <c:pt idx="48">
                  <c:v>258</c:v>
                </c:pt>
                <c:pt idx="49">
                  <c:v>258</c:v>
                </c:pt>
                <c:pt idx="50">
                  <c:v>123.5</c:v>
                </c:pt>
                <c:pt idx="51">
                  <c:v>192.75</c:v>
                </c:pt>
                <c:pt idx="52">
                  <c:v>81.5</c:v>
                </c:pt>
                <c:pt idx="53">
                  <c:v>0</c:v>
                </c:pt>
              </c:numCache>
            </c:numRef>
          </c:val>
        </c:ser>
        <c:gapWidth val="0"/>
        <c:axId val="103692928"/>
        <c:axId val="103717888"/>
      </c:barChart>
      <c:catAx>
        <c:axId val="103692928"/>
        <c:scaling>
          <c:orientation val="minMax"/>
        </c:scaling>
        <c:axPos val="b"/>
        <c:numFmt formatCode="0_);\(0\)" sourceLinked="1"/>
        <c:tickLblPos val="nextTo"/>
        <c:crossAx val="103717888"/>
        <c:crosses val="autoZero"/>
        <c:auto val="1"/>
        <c:lblAlgn val="ctr"/>
        <c:lblOffset val="100"/>
        <c:tickLblSkip val="10"/>
        <c:tickMarkSkip val="1"/>
      </c:catAx>
      <c:valAx>
        <c:axId val="103717888"/>
        <c:scaling>
          <c:orientation val="minMax"/>
        </c:scaling>
        <c:axPos val="l"/>
        <c:majorGridlines/>
        <c:title>
          <c:tx>
            <c:rich>
              <a:bodyPr rot="-5400000" vert="horz"/>
              <a:lstStyle/>
              <a:p>
                <a:pPr>
                  <a:defRPr sz="1200"/>
                </a:pPr>
                <a:r>
                  <a:rPr lang="en-US" sz="1200"/>
                  <a:t>Total for Municipality</a:t>
                </a:r>
              </a:p>
            </c:rich>
          </c:tx>
          <c:layout/>
        </c:title>
        <c:numFmt formatCode="#,##0_);\(#,##0\)" sourceLinked="1"/>
        <c:tickLblPos val="nextTo"/>
        <c:crossAx val="103692928"/>
        <c:crosses val="autoZero"/>
        <c:crossBetween val="midCat"/>
      </c:valAx>
    </c:plotArea>
    <c:plotVisOnly val="1"/>
  </c:chart>
  <c:printSettings>
    <c:headerFooter/>
    <c:pageMargins b="0.75000000000000211" l="0.70000000000000062" r="0.70000000000000062" t="0.7500000000000021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7014668573526484"/>
          <c:y val="0.14399322425122457"/>
          <c:w val="0.78178795500249321"/>
          <c:h val="0.72415099154272378"/>
        </c:manualLayout>
      </c:layout>
      <c:scatterChart>
        <c:scatterStyle val="lineMarker"/>
        <c:ser>
          <c:idx val="1"/>
          <c:order val="0"/>
          <c:tx>
            <c:strRef>
              <c:f>Relative!$E$1</c:f>
              <c:strCache>
                <c:ptCount val="1"/>
                <c:pt idx="0">
                  <c:v>REC S.S.CLAM Bushels</c:v>
                </c:pt>
              </c:strCache>
            </c:strRef>
          </c:tx>
          <c:spPr>
            <a:ln w="28575">
              <a:solidFill>
                <a:schemeClr val="accent1"/>
              </a:solidFill>
            </a:ln>
          </c:spPr>
          <c:marker>
            <c:symbol val="square"/>
            <c:size val="5"/>
            <c:spPr>
              <a:solidFill>
                <a:schemeClr val="accent1"/>
              </a:solidFill>
              <a:ln>
                <a:solidFill>
                  <a:srgbClr val="4F81BD"/>
                </a:solidFill>
              </a:ln>
            </c:spPr>
          </c:marker>
          <c:trendline>
            <c:trendlineType val="linear"/>
            <c:dispRSqr val="1"/>
            <c:trendlineLbl>
              <c:layout>
                <c:manualLayout>
                  <c:x val="-0.66788035870516183"/>
                  <c:y val="0.4412620297462817"/>
                </c:manualLayout>
              </c:layout>
              <c:numFmt formatCode="General" sourceLinked="0"/>
            </c:trendlineLbl>
          </c:trendline>
          <c:xVal>
            <c:numRef>
              <c:f>Relative!$C$46:$C$100</c:f>
              <c:numCache>
                <c:formatCode>0_);\(0\)</c:formatCode>
                <c:ptCount val="55"/>
                <c:pt idx="0">
                  <c:v>1955</c:v>
                </c:pt>
                <c:pt idx="1">
                  <c:v>1956</c:v>
                </c:pt>
                <c:pt idx="2">
                  <c:v>1957</c:v>
                </c:pt>
                <c:pt idx="3">
                  <c:v>1958</c:v>
                </c:pt>
                <c:pt idx="4">
                  <c:v>1959</c:v>
                </c:pt>
                <c:pt idx="5">
                  <c:v>1960</c:v>
                </c:pt>
                <c:pt idx="6">
                  <c:v>1961</c:v>
                </c:pt>
                <c:pt idx="7">
                  <c:v>1962</c:v>
                </c:pt>
                <c:pt idx="8">
                  <c:v>1963</c:v>
                </c:pt>
                <c:pt idx="9">
                  <c:v>1964</c:v>
                </c:pt>
                <c:pt idx="10">
                  <c:v>1965</c:v>
                </c:pt>
                <c:pt idx="11">
                  <c:v>1966</c:v>
                </c:pt>
                <c:pt idx="12">
                  <c:v>1967</c:v>
                </c:pt>
                <c:pt idx="13">
                  <c:v>1968</c:v>
                </c:pt>
                <c:pt idx="14">
                  <c:v>1969</c:v>
                </c:pt>
                <c:pt idx="15">
                  <c:v>1970</c:v>
                </c:pt>
                <c:pt idx="16">
                  <c:v>1971</c:v>
                </c:pt>
                <c:pt idx="17">
                  <c:v>1972</c:v>
                </c:pt>
                <c:pt idx="18">
                  <c:v>1973</c:v>
                </c:pt>
                <c:pt idx="19">
                  <c:v>1974</c:v>
                </c:pt>
                <c:pt idx="20">
                  <c:v>1975</c:v>
                </c:pt>
                <c:pt idx="21">
                  <c:v>1976</c:v>
                </c:pt>
                <c:pt idx="22">
                  <c:v>1977</c:v>
                </c:pt>
                <c:pt idx="23">
                  <c:v>1978</c:v>
                </c:pt>
                <c:pt idx="24">
                  <c:v>1979</c:v>
                </c:pt>
                <c:pt idx="25">
                  <c:v>1980</c:v>
                </c:pt>
                <c:pt idx="26">
                  <c:v>1981</c:v>
                </c:pt>
                <c:pt idx="27">
                  <c:v>1982</c:v>
                </c:pt>
                <c:pt idx="28">
                  <c:v>1983</c:v>
                </c:pt>
                <c:pt idx="29">
                  <c:v>1984</c:v>
                </c:pt>
                <c:pt idx="30">
                  <c:v>1985</c:v>
                </c:pt>
                <c:pt idx="31">
                  <c:v>1986</c:v>
                </c:pt>
                <c:pt idx="32">
                  <c:v>1987</c:v>
                </c:pt>
                <c:pt idx="33">
                  <c:v>1988</c:v>
                </c:pt>
                <c:pt idx="34">
                  <c:v>1989</c:v>
                </c:pt>
                <c:pt idx="35">
                  <c:v>1990</c:v>
                </c:pt>
                <c:pt idx="36">
                  <c:v>1991</c:v>
                </c:pt>
                <c:pt idx="37">
                  <c:v>1992</c:v>
                </c:pt>
                <c:pt idx="38">
                  <c:v>1993</c:v>
                </c:pt>
                <c:pt idx="39">
                  <c:v>1994</c:v>
                </c:pt>
                <c:pt idx="40">
                  <c:v>1995</c:v>
                </c:pt>
                <c:pt idx="41">
                  <c:v>1996</c:v>
                </c:pt>
                <c:pt idx="42">
                  <c:v>1997</c:v>
                </c:pt>
                <c:pt idx="43">
                  <c:v>1998</c:v>
                </c:pt>
                <c:pt idx="44">
                  <c:v>1999</c:v>
                </c:pt>
                <c:pt idx="45">
                  <c:v>2000</c:v>
                </c:pt>
                <c:pt idx="46">
                  <c:v>2001</c:v>
                </c:pt>
                <c:pt idx="47">
                  <c:v>2002</c:v>
                </c:pt>
                <c:pt idx="48">
                  <c:v>2003</c:v>
                </c:pt>
                <c:pt idx="49">
                  <c:v>2004</c:v>
                </c:pt>
                <c:pt idx="50">
                  <c:v>2005</c:v>
                </c:pt>
                <c:pt idx="51">
                  <c:v>2006</c:v>
                </c:pt>
                <c:pt idx="52">
                  <c:v>2007</c:v>
                </c:pt>
                <c:pt idx="53">
                  <c:v>2008</c:v>
                </c:pt>
                <c:pt idx="54">
                  <c:v>2009</c:v>
                </c:pt>
              </c:numCache>
            </c:numRef>
          </c:xVal>
          <c:yVal>
            <c:numRef>
              <c:f>Relative!$I$46:$I$100</c:f>
              <c:numCache>
                <c:formatCode>#,##0.0_);\(#,##0.0\)</c:formatCode>
                <c:ptCount val="55"/>
                <c:pt idx="0">
                  <c:v>#N/A</c:v>
                </c:pt>
                <c:pt idx="1">
                  <c:v>#N/A</c:v>
                </c:pt>
                <c:pt idx="2">
                  <c:v>#N/A</c:v>
                </c:pt>
                <c:pt idx="3">
                  <c:v>#N/A</c:v>
                </c:pt>
                <c:pt idx="4">
                  <c:v>#N/A</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#N/A</c:v>
                </c:pt>
                <c:pt idx="54">
                  <c:v>#N/A</c:v>
                </c:pt>
              </c:numCache>
            </c:numRef>
          </c:yVal>
        </c:ser>
        <c:axId val="103880192"/>
        <c:axId val="103949056"/>
      </c:scatterChart>
      <c:valAx>
        <c:axId val="103880192"/>
        <c:scaling>
          <c:orientation val="minMax"/>
        </c:scaling>
        <c:axPos val="b"/>
        <c:numFmt formatCode="0_);\(0\)" sourceLinked="1"/>
        <c:tickLblPos val="nextTo"/>
        <c:crossAx val="103949056"/>
        <c:crosses val="autoZero"/>
        <c:crossBetween val="midCat"/>
      </c:valAx>
      <c:valAx>
        <c:axId val="103949056"/>
        <c:scaling>
          <c:orientation val="minMax"/>
        </c:scaling>
        <c:axPos val="l"/>
        <c:majorGridlines/>
        <c:title>
          <c:tx>
            <c:rich>
              <a:bodyPr rot="-5400000" vert="horz"/>
              <a:lstStyle/>
              <a:p>
                <a:pPr>
                  <a:defRPr sz="1200"/>
                </a:pPr>
                <a:r>
                  <a:rPr lang="en-US" sz="1200"/>
                  <a:t>Buzzard</a:t>
                </a:r>
                <a:r>
                  <a:rPr lang="en-US" sz="1200" baseline="0"/>
                  <a:t> Bay % of State Total</a:t>
                </a:r>
                <a:endParaRPr lang="en-US" sz="1200"/>
              </a:p>
            </c:rich>
          </c:tx>
          <c:layout>
            <c:manualLayout>
              <c:xMode val="edge"/>
              <c:yMode val="edge"/>
              <c:x val="1.0051511625076882E-2"/>
              <c:y val="0.15031886971575364"/>
            </c:manualLayout>
          </c:layout>
        </c:title>
        <c:numFmt formatCode="0%" sourceLinked="0"/>
        <c:tickLblPos val="nextTo"/>
        <c:crossAx val="103880192"/>
        <c:crosses val="autoZero"/>
        <c:crossBetween val="midCat"/>
      </c:valAx>
    </c:plotArea>
    <c:legend>
      <c:legendPos val="r"/>
      <c:layout>
        <c:manualLayout>
          <c:xMode val="edge"/>
          <c:yMode val="edge"/>
          <c:x val="0.74797353455818483"/>
          <c:y val="2.0651064450277145E-3"/>
          <c:w val="0.24851399825021891"/>
          <c:h val="0.13965660542432196"/>
        </c:manualLayout>
      </c:layout>
    </c:legend>
    <c:plotVisOnly val="1"/>
  </c:chart>
  <c:printSettings>
    <c:headerFooter/>
    <c:pageMargins b="0.75000000000000233" l="0.70000000000000062" r="0.70000000000000062" t="0.7500000000000023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523875</xdr:colOff>
      <xdr:row>4</xdr:row>
      <xdr:rowOff>57150</xdr:rowOff>
    </xdr:from>
    <xdr:to>
      <xdr:col>6</xdr:col>
      <xdr:colOff>1038225</xdr:colOff>
      <xdr:row>22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1066798</xdr:colOff>
      <xdr:row>4</xdr:row>
      <xdr:rowOff>57150</xdr:rowOff>
    </xdr:from>
    <xdr:to>
      <xdr:col>13</xdr:col>
      <xdr:colOff>419099</xdr:colOff>
      <xdr:row>22</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504824</xdr:colOff>
      <xdr:row>22</xdr:row>
      <xdr:rowOff>47625</xdr:rowOff>
    </xdr:from>
    <xdr:to>
      <xdr:col>6</xdr:col>
      <xdr:colOff>1047750</xdr:colOff>
      <xdr:row>37</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26</xdr:row>
      <xdr:rowOff>0</xdr:rowOff>
    </xdr:from>
    <xdr:to>
      <xdr:col>13</xdr:col>
      <xdr:colOff>514351</xdr:colOff>
      <xdr:row>43</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0.425</cdr:x>
      <cdr:y>0.10069</cdr:y>
    </cdr:to>
    <cdr:sp macro="" textlink="Relative!$E$5">
      <cdr:nvSpPr>
        <cdr:cNvPr id="2" name="TextBox 1"/>
        <cdr:cNvSpPr txBox="1"/>
      </cdr:nvSpPr>
      <cdr:spPr>
        <a:xfrm xmlns:a="http://schemas.openxmlformats.org/drawingml/2006/main">
          <a:off x="0" y="0"/>
          <a:ext cx="194310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E43B1A3-0A5E-439C-A61B-FE90DDEE627B}" type="TxLink">
            <a:rPr lang="en-US" sz="1400"/>
            <a:pPr/>
            <a:t> </a:t>
          </a:fld>
          <a:endParaRPr lang="en-US" sz="1400"/>
        </a:p>
      </cdr:txBody>
    </cdr:sp>
  </cdr:relSizeAnchor>
  <cdr:relSizeAnchor xmlns:cdr="http://schemas.openxmlformats.org/drawingml/2006/chartDrawing">
    <cdr:from>
      <cdr:x>0</cdr:x>
      <cdr:y>0</cdr:y>
    </cdr:from>
    <cdr:to>
      <cdr:x>0.46458</cdr:x>
      <cdr:y>0.0922</cdr:y>
    </cdr:to>
    <cdr:sp macro="" textlink="Relative!$E$1">
      <cdr:nvSpPr>
        <cdr:cNvPr id="4" name="TextBox 1"/>
        <cdr:cNvSpPr txBox="1"/>
      </cdr:nvSpPr>
      <cdr:spPr>
        <a:xfrm xmlns:a="http://schemas.openxmlformats.org/drawingml/2006/main">
          <a:off x="0" y="0"/>
          <a:ext cx="2124075" cy="2476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C479FFB-1D4F-44D7-A6AD-2221628D7565}" type="TxLink">
            <a:rPr lang="en-US" sz="1100" b="0" i="0" u="none" strike="noStrike">
              <a:solidFill>
                <a:srgbClr val="000000"/>
              </a:solidFill>
              <a:latin typeface="Courier"/>
            </a:rPr>
            <a:pPr/>
            <a:t>REC S.S.CLAM Bushels</a:t>
          </a:fld>
          <a:endParaRPr lang="en-US" sz="1100"/>
        </a:p>
      </cdr:txBody>
    </cdr:sp>
  </cdr:relSizeAnchor>
  <cdr:relSizeAnchor xmlns:cdr="http://schemas.openxmlformats.org/drawingml/2006/chartDrawing">
    <cdr:from>
      <cdr:x>0.35208</cdr:x>
      <cdr:y>0.06028</cdr:y>
    </cdr:from>
    <cdr:to>
      <cdr:x>0.69167</cdr:x>
      <cdr:y>0.14184</cdr:y>
    </cdr:to>
    <cdr:sp macro="" textlink="Relative!$D$3">
      <cdr:nvSpPr>
        <cdr:cNvPr id="8" name="TextBox 1"/>
        <cdr:cNvSpPr txBox="1"/>
      </cdr:nvSpPr>
      <cdr:spPr>
        <a:xfrm xmlns:a="http://schemas.openxmlformats.org/drawingml/2006/main">
          <a:off x="1609725" y="161925"/>
          <a:ext cx="1552575" cy="2190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01F2BF1-519D-48AB-9248-96F7C956E539}" type="TxLink">
            <a:rPr lang="en-US" sz="1100" b="0" i="0" u="none" strike="noStrike">
              <a:solidFill>
                <a:srgbClr val="000000"/>
              </a:solidFill>
              <a:latin typeface="Courier"/>
            </a:rPr>
            <a:pPr/>
            <a:t>Buzzards Bay</a:t>
          </a:fld>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0.425</cdr:x>
      <cdr:y>0.10069</cdr:y>
    </cdr:to>
    <cdr:sp macro="" textlink="Relative!$E$5">
      <cdr:nvSpPr>
        <cdr:cNvPr id="2" name="TextBox 1"/>
        <cdr:cNvSpPr txBox="1"/>
      </cdr:nvSpPr>
      <cdr:spPr>
        <a:xfrm xmlns:a="http://schemas.openxmlformats.org/drawingml/2006/main">
          <a:off x="0" y="0"/>
          <a:ext cx="1943100"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39D8272-95EB-4015-8454-199F41459388}" type="TxLink">
            <a:rPr lang="en-US" sz="1400"/>
            <a:pPr/>
            <a:t> </a:t>
          </a:fld>
          <a:endParaRPr lang="en-US" sz="1400"/>
        </a:p>
      </cdr:txBody>
    </cdr:sp>
  </cdr:relSizeAnchor>
  <cdr:relSizeAnchor xmlns:cdr="http://schemas.openxmlformats.org/drawingml/2006/chartDrawing">
    <cdr:from>
      <cdr:x>0.62708</cdr:x>
      <cdr:y>0.125</cdr:y>
    </cdr:from>
    <cdr:to>
      <cdr:x>0.67444</cdr:x>
      <cdr:y>0.22144</cdr:y>
    </cdr:to>
    <cdr:sp macro="" textlink="Relative!$F$7">
      <cdr:nvSpPr>
        <cdr:cNvPr id="3" name="TextBox 3"/>
        <cdr:cNvSpPr txBox="1"/>
      </cdr:nvSpPr>
      <cdr:spPr>
        <a:xfrm xmlns:a="http://schemas.openxmlformats.org/drawingml/2006/main">
          <a:off x="2867010" y="342900"/>
          <a:ext cx="216534"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24029B10-C282-482F-B665-BF2DCBFDF837}" type="TxLink">
            <a:rPr lang="en-US" sz="1100"/>
            <a:pPr/>
            <a:t> </a:t>
          </a:fld>
          <a:endParaRPr lang="en-US" sz="1100"/>
        </a:p>
      </cdr:txBody>
    </cdr:sp>
  </cdr:relSizeAnchor>
  <cdr:relSizeAnchor xmlns:cdr="http://schemas.openxmlformats.org/drawingml/2006/chartDrawing">
    <cdr:from>
      <cdr:x>0</cdr:x>
      <cdr:y>0</cdr:y>
    </cdr:from>
    <cdr:to>
      <cdr:x>0.46458</cdr:x>
      <cdr:y>0.09028</cdr:y>
    </cdr:to>
    <cdr:sp macro="" textlink="Relative!$E$1">
      <cdr:nvSpPr>
        <cdr:cNvPr id="4" name="TextBox 1"/>
        <cdr:cNvSpPr txBox="1"/>
      </cdr:nvSpPr>
      <cdr:spPr>
        <a:xfrm xmlns:a="http://schemas.openxmlformats.org/drawingml/2006/main">
          <a:off x="0" y="0"/>
          <a:ext cx="1995732" cy="2424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2D28BD77-D10E-4D4E-BFED-02E1CEB6F128}" type="TxLink">
            <a:rPr lang="en-US" sz="1100" b="0" i="0" u="none" strike="noStrike">
              <a:solidFill>
                <a:srgbClr val="000000"/>
              </a:solidFill>
              <a:latin typeface="Courier"/>
            </a:rPr>
            <a:pPr/>
            <a:t>REC S.S.CLAM Bushels</a:t>
          </a:fld>
          <a:endParaRPr lang="en-US" sz="1100"/>
        </a:p>
      </cdr:txBody>
    </cdr:sp>
  </cdr:relSizeAnchor>
  <cdr:relSizeAnchor xmlns:cdr="http://schemas.openxmlformats.org/drawingml/2006/chartDrawing">
    <cdr:from>
      <cdr:x>0.57678</cdr:x>
      <cdr:y>0.14221</cdr:y>
    </cdr:from>
    <cdr:to>
      <cdr:x>0.9499</cdr:x>
      <cdr:y>0.24071</cdr:y>
    </cdr:to>
    <cdr:sp macro="" textlink="Relative!$D$2">
      <cdr:nvSpPr>
        <cdr:cNvPr id="5" name="TextBox 3"/>
        <cdr:cNvSpPr txBox="1"/>
      </cdr:nvSpPr>
      <cdr:spPr>
        <a:xfrm xmlns:a="http://schemas.openxmlformats.org/drawingml/2006/main">
          <a:off x="2631550" y="381992"/>
          <a:ext cx="1702325"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6C5C65BC-DD49-44FA-9699-C4951AEAFC93}" type="TxLink">
            <a:rPr lang="en-US" sz="1100" b="0" i="0" u="none" strike="noStrike">
              <a:solidFill>
                <a:srgbClr val="000000"/>
              </a:solidFill>
              <a:latin typeface="Courier"/>
            </a:rPr>
            <a:pPr/>
            <a:t>Minimum no. reporting= 2</a:t>
          </a:fld>
          <a:endParaRPr lang="en-US" sz="1100"/>
        </a:p>
      </cdr:txBody>
    </cdr:sp>
  </cdr:relSizeAnchor>
  <cdr:relSizeAnchor xmlns:cdr="http://schemas.openxmlformats.org/drawingml/2006/chartDrawing">
    <cdr:from>
      <cdr:x>0.36117</cdr:x>
      <cdr:y>0.05674</cdr:y>
    </cdr:from>
    <cdr:to>
      <cdr:x>0.70146</cdr:x>
      <cdr:y>0.1383</cdr:y>
    </cdr:to>
    <cdr:sp macro="" textlink="Relative!$D$3">
      <cdr:nvSpPr>
        <cdr:cNvPr id="6" name="TextBox 1"/>
        <cdr:cNvSpPr txBox="1"/>
      </cdr:nvSpPr>
      <cdr:spPr>
        <a:xfrm xmlns:a="http://schemas.openxmlformats.org/drawingml/2006/main">
          <a:off x="1647825" y="152400"/>
          <a:ext cx="1552575" cy="2190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93547DA-F887-4E63-BC39-ECB229D7EBDB}" type="TxLink">
            <a:rPr lang="en-US" sz="1100" b="0" i="0" u="none" strike="noStrike">
              <a:solidFill>
                <a:srgbClr val="000000"/>
              </a:solidFill>
              <a:latin typeface="Courier"/>
            </a:rPr>
            <a:pPr/>
            <a:t>Buzzards Bay</a:t>
          </a:fld>
          <a:endParaRPr lang="en-US" sz="1100"/>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0.425</cdr:x>
      <cdr:y>0.10069</cdr:y>
    </cdr:to>
    <cdr:sp macro="" textlink="Relative!$E$5">
      <cdr:nvSpPr>
        <cdr:cNvPr id="2" name="TextBox 1"/>
        <cdr:cNvSpPr txBox="1"/>
      </cdr:nvSpPr>
      <cdr:spPr>
        <a:xfrm xmlns:a="http://schemas.openxmlformats.org/drawingml/2006/main">
          <a:off x="0" y="0"/>
          <a:ext cx="194310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E43B1A3-0A5E-439C-A61B-FE90DDEE627B}" type="TxLink">
            <a:rPr lang="en-US" sz="1400"/>
            <a:pPr/>
            <a:t> </a:t>
          </a:fld>
          <a:endParaRPr lang="en-US" sz="1400"/>
        </a:p>
      </cdr:txBody>
    </cdr:sp>
  </cdr:relSizeAnchor>
  <cdr:relSizeAnchor xmlns:cdr="http://schemas.openxmlformats.org/drawingml/2006/chartDrawing">
    <cdr:from>
      <cdr:x>0</cdr:x>
      <cdr:y>0</cdr:y>
    </cdr:from>
    <cdr:to>
      <cdr:x>0.46458</cdr:x>
      <cdr:y>0.0922</cdr:y>
    </cdr:to>
    <cdr:sp macro="" textlink="Relative!$E$1">
      <cdr:nvSpPr>
        <cdr:cNvPr id="4" name="TextBox 1"/>
        <cdr:cNvSpPr txBox="1"/>
      </cdr:nvSpPr>
      <cdr:spPr>
        <a:xfrm xmlns:a="http://schemas.openxmlformats.org/drawingml/2006/main">
          <a:off x="0" y="0"/>
          <a:ext cx="2124075" cy="2476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C479FFB-1D4F-44D7-A6AD-2221628D7565}" type="TxLink">
            <a:rPr lang="en-US" sz="1100" b="0" i="0" u="none" strike="noStrike">
              <a:solidFill>
                <a:srgbClr val="000000"/>
              </a:solidFill>
              <a:latin typeface="Courier"/>
            </a:rPr>
            <a:pPr/>
            <a:t>REC S.S.CLAM Bushels</a:t>
          </a:fld>
          <a:endParaRPr lang="en-US" sz="1100"/>
        </a:p>
      </cdr:txBody>
    </cdr:sp>
  </cdr:relSizeAnchor>
  <cdr:relSizeAnchor xmlns:cdr="http://schemas.openxmlformats.org/drawingml/2006/chartDrawing">
    <cdr:from>
      <cdr:x>0.66041</cdr:x>
      <cdr:y>0.04964</cdr:y>
    </cdr:from>
    <cdr:to>
      <cdr:x>1</cdr:x>
      <cdr:y>0.1312</cdr:y>
    </cdr:to>
    <cdr:sp macro="" textlink="TownSelect">
      <cdr:nvSpPr>
        <cdr:cNvPr id="8" name="TextBox 1"/>
        <cdr:cNvSpPr txBox="1"/>
      </cdr:nvSpPr>
      <cdr:spPr>
        <a:xfrm xmlns:a="http://schemas.openxmlformats.org/drawingml/2006/main">
          <a:off x="3225197" y="133340"/>
          <a:ext cx="1594655" cy="2190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BFA44B6-9996-4858-BCC8-67F1477777E4}" type="TxLink">
            <a:rPr lang="en-US" sz="1100"/>
            <a:pPr/>
            <a:t>Bourne</a:t>
          </a:fld>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0.425</cdr:x>
      <cdr:y>0.10069</cdr:y>
    </cdr:to>
    <cdr:sp macro="" textlink="Relative!$E$5">
      <cdr:nvSpPr>
        <cdr:cNvPr id="2" name="TextBox 1"/>
        <cdr:cNvSpPr txBox="1"/>
      </cdr:nvSpPr>
      <cdr:spPr>
        <a:xfrm xmlns:a="http://schemas.openxmlformats.org/drawingml/2006/main">
          <a:off x="0" y="0"/>
          <a:ext cx="1943100"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39D8272-95EB-4015-8454-199F41459388}" type="TxLink">
            <a:rPr lang="en-US" sz="1400"/>
            <a:pPr/>
            <a:t> </a:t>
          </a:fld>
          <a:endParaRPr lang="en-US" sz="1400"/>
        </a:p>
      </cdr:txBody>
    </cdr:sp>
  </cdr:relSizeAnchor>
  <cdr:relSizeAnchor xmlns:cdr="http://schemas.openxmlformats.org/drawingml/2006/chartDrawing">
    <cdr:from>
      <cdr:x>0.62708</cdr:x>
      <cdr:y>0.125</cdr:y>
    </cdr:from>
    <cdr:to>
      <cdr:x>0.67444</cdr:x>
      <cdr:y>0.22144</cdr:y>
    </cdr:to>
    <cdr:sp macro="" textlink="Relative!$F$7">
      <cdr:nvSpPr>
        <cdr:cNvPr id="3" name="TextBox 3"/>
        <cdr:cNvSpPr txBox="1"/>
      </cdr:nvSpPr>
      <cdr:spPr>
        <a:xfrm xmlns:a="http://schemas.openxmlformats.org/drawingml/2006/main">
          <a:off x="2867010" y="342900"/>
          <a:ext cx="216534"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24029B10-C282-482F-B665-BF2DCBFDF837}" type="TxLink">
            <a:rPr lang="en-US" sz="1100"/>
            <a:pPr/>
            <a:t> </a:t>
          </a:fld>
          <a:endParaRPr lang="en-US" sz="1100"/>
        </a:p>
      </cdr:txBody>
    </cdr:sp>
  </cdr:relSizeAnchor>
  <cdr:relSizeAnchor xmlns:cdr="http://schemas.openxmlformats.org/drawingml/2006/chartDrawing">
    <cdr:from>
      <cdr:x>0</cdr:x>
      <cdr:y>0</cdr:y>
    </cdr:from>
    <cdr:to>
      <cdr:x>0.46458</cdr:x>
      <cdr:y>0.09028</cdr:y>
    </cdr:to>
    <cdr:sp macro="" textlink="Relative!$E$1">
      <cdr:nvSpPr>
        <cdr:cNvPr id="4" name="TextBox 1"/>
        <cdr:cNvSpPr txBox="1"/>
      </cdr:nvSpPr>
      <cdr:spPr>
        <a:xfrm xmlns:a="http://schemas.openxmlformats.org/drawingml/2006/main">
          <a:off x="0" y="0"/>
          <a:ext cx="1995732" cy="2424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2D28BD77-D10E-4D4E-BFED-02E1CEB6F128}" type="TxLink">
            <a:rPr lang="en-US" sz="1100" b="0" i="0" u="none" strike="noStrike">
              <a:solidFill>
                <a:srgbClr val="000000"/>
              </a:solidFill>
              <a:latin typeface="Courier"/>
            </a:rPr>
            <a:pPr/>
            <a:t>REC S.S.CLAM Bushels</a:t>
          </a:fld>
          <a:endParaRPr lang="en-US" sz="1100"/>
        </a:p>
      </cdr:txBody>
    </cdr:sp>
  </cdr:relSizeAnchor>
  <cdr:relSizeAnchor xmlns:cdr="http://schemas.openxmlformats.org/drawingml/2006/chartDrawing">
    <cdr:from>
      <cdr:x>0.57678</cdr:x>
      <cdr:y>0.14221</cdr:y>
    </cdr:from>
    <cdr:to>
      <cdr:x>0.9499</cdr:x>
      <cdr:y>0.24071</cdr:y>
    </cdr:to>
    <cdr:sp macro="" textlink="Relative!$D$2">
      <cdr:nvSpPr>
        <cdr:cNvPr id="5" name="TextBox 3"/>
        <cdr:cNvSpPr txBox="1"/>
      </cdr:nvSpPr>
      <cdr:spPr>
        <a:xfrm xmlns:a="http://schemas.openxmlformats.org/drawingml/2006/main">
          <a:off x="2631550" y="381992"/>
          <a:ext cx="1702325"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6C5C65BC-DD49-44FA-9699-C4951AEAFC93}" type="TxLink">
            <a:rPr lang="en-US" sz="1100" b="0" i="0" u="none" strike="noStrike">
              <a:solidFill>
                <a:srgbClr val="000000"/>
              </a:solidFill>
              <a:latin typeface="Courier"/>
            </a:rPr>
            <a:pPr/>
            <a:t>Minimum no. reporting= 2</a:t>
          </a:fld>
          <a:endParaRPr lang="en-US" sz="1100"/>
        </a:p>
      </cdr:txBody>
    </cdr:sp>
  </cdr:relSizeAnchor>
  <cdr:relSizeAnchor xmlns:cdr="http://schemas.openxmlformats.org/drawingml/2006/chartDrawing">
    <cdr:from>
      <cdr:x>0.36117</cdr:x>
      <cdr:y>0.05674</cdr:y>
    </cdr:from>
    <cdr:to>
      <cdr:x>0.70146</cdr:x>
      <cdr:y>0.1383</cdr:y>
    </cdr:to>
    <cdr:sp macro="" textlink="Relative!$J$46">
      <cdr:nvSpPr>
        <cdr:cNvPr id="6" name="TextBox 1"/>
        <cdr:cNvSpPr txBox="1"/>
      </cdr:nvSpPr>
      <cdr:spPr>
        <a:xfrm xmlns:a="http://schemas.openxmlformats.org/drawingml/2006/main">
          <a:off x="1647825" y="152400"/>
          <a:ext cx="1552575" cy="2190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761F000-FF0C-4853-ACBB-E8406B05AB48}" type="TxLink">
            <a:rPr lang="en-US" sz="1100" b="0" i="0" u="none" strike="noStrike">
              <a:solidFill>
                <a:srgbClr val="000000"/>
              </a:solidFill>
              <a:latin typeface="Courier"/>
            </a:rPr>
            <a:pPr/>
            <a:t>Buzzards Bay vs. Buzzards Bay</a:t>
          </a:fld>
          <a:endParaRPr lang="en-US" sz="1100"/>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 refreshedDate="40553.665154050927" createdVersion="3" refreshedVersion="3" minRefreshableVersion="3" recordCount="49">
  <cacheSource type="worksheet">
    <worksheetSource ref="A1:B50" sheet="regions"/>
  </cacheSource>
  <cacheFields count="2">
    <cacheField name="town" numFmtId="164">
      <sharedItems/>
    </cacheField>
    <cacheField name="region" numFmtId="164">
      <sharedItems count="6">
        <s v="I"/>
        <s v="C"/>
        <s v="B"/>
        <s v="S"/>
        <s v="N"/>
        <s v="O"/>
      </sharedItems>
    </cacheField>
  </cacheFields>
</pivotCacheDefinition>
</file>

<file path=xl/pivotCache/pivotCacheRecords1.xml><?xml version="1.0" encoding="utf-8"?>
<pivotCacheRecords xmlns="http://schemas.openxmlformats.org/spreadsheetml/2006/main" xmlns:r="http://schemas.openxmlformats.org/officeDocument/2006/relationships" count="49">
  <r>
    <s v="Aquinnah"/>
    <x v="0"/>
  </r>
  <r>
    <s v="Barnstable"/>
    <x v="1"/>
  </r>
  <r>
    <s v="Bourne"/>
    <x v="2"/>
  </r>
  <r>
    <s v="Brewster"/>
    <x v="1"/>
  </r>
  <r>
    <s v="Chatham"/>
    <x v="1"/>
  </r>
  <r>
    <s v="Chilmark"/>
    <x v="0"/>
  </r>
  <r>
    <s v="Cohasset"/>
    <x v="3"/>
  </r>
  <r>
    <s v="Dartmouth"/>
    <x v="2"/>
  </r>
  <r>
    <s v="Dennis"/>
    <x v="1"/>
  </r>
  <r>
    <s v="Duxbury"/>
    <x v="3"/>
  </r>
  <r>
    <s v="Eastham"/>
    <x v="1"/>
  </r>
  <r>
    <s v="Edgartown"/>
    <x v="0"/>
  </r>
  <r>
    <s v="Essex"/>
    <x v="4"/>
  </r>
  <r>
    <s v="Fairhaven"/>
    <x v="2"/>
  </r>
  <r>
    <s v="Falmouth"/>
    <x v="2"/>
  </r>
  <r>
    <s v="Gloucester"/>
    <x v="4"/>
  </r>
  <r>
    <s v="Gosnold"/>
    <x v="2"/>
  </r>
  <r>
    <s v="Harwich "/>
    <x v="1"/>
  </r>
  <r>
    <s v="Hingham"/>
    <x v="3"/>
  </r>
  <r>
    <s v="Hull"/>
    <x v="3"/>
  </r>
  <r>
    <s v="Ipswich"/>
    <x v="4"/>
  </r>
  <r>
    <s v="Kingston"/>
    <x v="3"/>
  </r>
  <r>
    <s v="Manchester"/>
    <x v="4"/>
  </r>
  <r>
    <s v="Marion"/>
    <x v="2"/>
  </r>
  <r>
    <s v="Marshfield"/>
    <x v="3"/>
  </r>
  <r>
    <s v="Mashpee "/>
    <x v="1"/>
  </r>
  <r>
    <s v="Mattapoisett"/>
    <x v="2"/>
  </r>
  <r>
    <s v="Nantucket"/>
    <x v="0"/>
  </r>
  <r>
    <s v="New Bedford"/>
    <x v="2"/>
  </r>
  <r>
    <s v="Newbury"/>
    <x v="4"/>
  </r>
  <r>
    <s v="Newburyport"/>
    <x v="4"/>
  </r>
  <r>
    <s v="Oak Bluffs"/>
    <x v="0"/>
  </r>
  <r>
    <s v="Orleans"/>
    <x v="1"/>
  </r>
  <r>
    <s v="Plymouth"/>
    <x v="3"/>
  </r>
  <r>
    <s v="P-Town"/>
    <x v="1"/>
  </r>
  <r>
    <s v="Quincy"/>
    <x v="3"/>
  </r>
  <r>
    <s v="Rowley"/>
    <x v="4"/>
  </r>
  <r>
    <s v="Sandwich"/>
    <x v="1"/>
  </r>
  <r>
    <s v="Saugus"/>
    <x v="4"/>
  </r>
  <r>
    <s v="Scituate"/>
    <x v="3"/>
  </r>
  <r>
    <s v="Statewide Plants and Pots"/>
    <x v="5"/>
  </r>
  <r>
    <s v="Swansea"/>
    <x v="5"/>
  </r>
  <r>
    <s v="Tisbury"/>
    <x v="0"/>
  </r>
  <r>
    <s v="Truro"/>
    <x v="1"/>
  </r>
  <r>
    <s v="Wareham"/>
    <x v="2"/>
  </r>
  <r>
    <s v="Wellfleet"/>
    <x v="1"/>
  </r>
  <r>
    <s v="West Tisbury"/>
    <x v="0"/>
  </r>
  <r>
    <s v="Westport"/>
    <x v="2"/>
  </r>
  <r>
    <s v="Yarmouth"/>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E1:F8" firstHeaderRow="1" firstDataRow="1" firstDataCol="1"/>
  <pivotFields count="2">
    <pivotField dataField="1" showAll="0"/>
    <pivotField axis="axisRow" showAll="0">
      <items count="7">
        <item x="2"/>
        <item x="1"/>
        <item x="0"/>
        <item x="4"/>
        <item x="5"/>
        <item x="3"/>
        <item t="default"/>
      </items>
    </pivotField>
  </pivotFields>
  <rowFields count="1">
    <field x="1"/>
  </rowFields>
  <rowItems count="7">
    <i>
      <x/>
    </i>
    <i>
      <x v="1"/>
    </i>
    <i>
      <x v="2"/>
    </i>
    <i>
      <x v="3"/>
    </i>
    <i>
      <x v="4"/>
    </i>
    <i>
      <x v="5"/>
    </i>
    <i t="grand">
      <x/>
    </i>
  </rowItems>
  <colItems count="1">
    <i/>
  </colItems>
  <dataFields count="1">
    <dataField name="Count of town" fld="0" subtotal="count" baseField="0" baseItem="0" numFmtId="164"/>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A33"/>
  <sheetViews>
    <sheetView topLeftCell="A19" workbookViewId="0">
      <selection activeCell="A29" sqref="A29"/>
    </sheetView>
  </sheetViews>
  <sheetFormatPr defaultRowHeight="12.75"/>
  <cols>
    <col min="1" max="1" width="122.875" style="57" customWidth="1"/>
    <col min="2" max="16384" width="9" style="56"/>
  </cols>
  <sheetData>
    <row r="1" spans="1:1">
      <c r="A1" s="55" t="s">
        <v>313</v>
      </c>
    </row>
    <row r="2" spans="1:1">
      <c r="A2" s="57" t="s">
        <v>323</v>
      </c>
    </row>
    <row r="4" spans="1:1" ht="38.25">
      <c r="A4" s="55" t="s">
        <v>324</v>
      </c>
    </row>
    <row r="5" spans="1:1">
      <c r="A5" s="55"/>
    </row>
    <row r="6" spans="1:1" ht="63.75">
      <c r="A6" s="57" t="s">
        <v>302</v>
      </c>
    </row>
    <row r="8" spans="1:1" ht="63.75">
      <c r="A8" s="57" t="s">
        <v>303</v>
      </c>
    </row>
    <row r="10" spans="1:1" ht="51">
      <c r="A10" s="57" t="s">
        <v>304</v>
      </c>
    </row>
    <row r="12" spans="1:1" ht="51">
      <c r="A12" s="57" t="s">
        <v>305</v>
      </c>
    </row>
    <row r="14" spans="1:1" ht="63.75">
      <c r="A14" s="57" t="s">
        <v>306</v>
      </c>
    </row>
    <row r="16" spans="1:1" ht="63.75">
      <c r="A16" s="57" t="s">
        <v>307</v>
      </c>
    </row>
    <row r="18" spans="1:1" ht="76.5">
      <c r="A18" s="57" t="s">
        <v>315</v>
      </c>
    </row>
    <row r="20" spans="1:1" ht="63.75">
      <c r="A20" s="57" t="s">
        <v>316</v>
      </c>
    </row>
    <row r="22" spans="1:1">
      <c r="A22" s="55" t="s">
        <v>308</v>
      </c>
    </row>
    <row r="23" spans="1:1" ht="25.5">
      <c r="A23" s="57" t="s">
        <v>309</v>
      </c>
    </row>
    <row r="25" spans="1:1" ht="51">
      <c r="A25" s="57" t="s">
        <v>312</v>
      </c>
    </row>
    <row r="27" spans="1:1" ht="25.5">
      <c r="A27" s="57" t="s">
        <v>325</v>
      </c>
    </row>
    <row r="28" spans="1:1" ht="76.5">
      <c r="A28" s="57" t="s">
        <v>326</v>
      </c>
    </row>
    <row r="30" spans="1:1" ht="25.5">
      <c r="A30" s="57" t="s">
        <v>310</v>
      </c>
    </row>
    <row r="31" spans="1:1" ht="25.5">
      <c r="A31" s="57" t="s">
        <v>311</v>
      </c>
    </row>
    <row r="33" spans="1:1">
      <c r="A33" s="57" t="s">
        <v>318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N100"/>
  <sheetViews>
    <sheetView tabSelected="1" topLeftCell="A4" workbookViewId="0">
      <selection activeCell="C1" sqref="C1"/>
    </sheetView>
  </sheetViews>
  <sheetFormatPr defaultRowHeight="12"/>
  <cols>
    <col min="1" max="1" width="8" customWidth="1"/>
    <col min="2" max="2" width="34.875" style="38" customWidth="1"/>
    <col min="3" max="3" width="9" style="48"/>
    <col min="4" max="4" width="10.5" customWidth="1"/>
    <col min="5" max="5" width="18" customWidth="1"/>
    <col min="6" max="6" width="13.25" style="34" customWidth="1"/>
    <col min="7" max="7" width="15.25" customWidth="1"/>
    <col min="8" max="8" width="11.875" customWidth="1"/>
  </cols>
  <sheetData>
    <row r="1" spans="1:6" ht="16.5">
      <c r="B1" s="39" t="s">
        <v>291</v>
      </c>
      <c r="C1" s="5" t="s">
        <v>207</v>
      </c>
      <c r="D1" s="4" t="s">
        <v>255</v>
      </c>
      <c r="E1" t="str">
        <f ca="1">INDIRECT("COMBINED!"&amp;C1&amp;"1")</f>
        <v>REC S.S.CLAM Bushels</v>
      </c>
    </row>
    <row r="2" spans="1:6">
      <c r="B2" s="39" t="s">
        <v>294</v>
      </c>
      <c r="C2" s="49">
        <v>2</v>
      </c>
      <c r="D2" s="34" t="str">
        <f>"Minimum no. reporting= "&amp;C2</f>
        <v>Minimum no. reporting= 2</v>
      </c>
    </row>
    <row r="3" spans="1:6">
      <c r="B3" s="39" t="s">
        <v>292</v>
      </c>
      <c r="C3" s="47" t="s">
        <v>274</v>
      </c>
      <c r="D3" t="str">
        <f>VLOOKUP(RegionSelect,RegionLookup,2,FALSE)</f>
        <v>Buzzards Bay</v>
      </c>
      <c r="F3" s="4" t="s">
        <v>298</v>
      </c>
    </row>
    <row r="4" spans="1:6">
      <c r="A4" s="4" t="s">
        <v>199</v>
      </c>
      <c r="B4" s="37" t="s">
        <v>200</v>
      </c>
      <c r="C4" s="50" t="s">
        <v>295</v>
      </c>
    </row>
    <row r="5" spans="1:6">
      <c r="A5" s="4" t="s">
        <v>201</v>
      </c>
      <c r="B5" s="37" t="str">
        <f ca="1">INDIRECT("COMBINED!"&amp;A5&amp;1)</f>
        <v>Senior Citizens Rec Permits</v>
      </c>
    </row>
    <row r="6" spans="1:6">
      <c r="A6" s="4" t="s">
        <v>197</v>
      </c>
      <c r="B6" s="37" t="str">
        <f t="shared" ref="B6:B67" ca="1" si="0">INDIRECT("COMBINED!"&amp;A6&amp;1)</f>
        <v>Non-residents Rec permits</v>
      </c>
    </row>
    <row r="7" spans="1:6">
      <c r="A7" s="4" t="s">
        <v>202</v>
      </c>
      <c r="B7" s="37" t="str">
        <f t="shared" ca="1" si="0"/>
        <v>COMMERCIAL PERMITS</v>
      </c>
      <c r="D7" s="4"/>
    </row>
    <row r="8" spans="1:6">
      <c r="A8" s="4" t="s">
        <v>203</v>
      </c>
      <c r="B8" s="37" t="str">
        <f t="shared" ca="1" si="0"/>
        <v>Resident (non Sr) RECREATION. PERMITS</v>
      </c>
    </row>
    <row r="9" spans="1:6">
      <c r="A9" s="4" t="s">
        <v>204</v>
      </c>
      <c r="B9" s="37" t="str">
        <f t="shared" ca="1" si="0"/>
        <v>Total Recreation. Permits</v>
      </c>
    </row>
    <row r="10" spans="1:6">
      <c r="A10" s="4" t="s">
        <v>205</v>
      </c>
      <c r="B10" s="37" t="str">
        <f t="shared" ca="1" si="0"/>
        <v>COMM S.S.CLAM Bushels</v>
      </c>
    </row>
    <row r="11" spans="1:6">
      <c r="A11" s="4" t="s">
        <v>206</v>
      </c>
      <c r="B11" s="37" t="str">
        <f t="shared" ca="1" si="0"/>
        <v>COMM S.S.CLAM Pounds</v>
      </c>
    </row>
    <row r="12" spans="1:6">
      <c r="A12" s="4" t="s">
        <v>207</v>
      </c>
      <c r="B12" s="37" t="str">
        <f t="shared" ca="1" si="0"/>
        <v>REC S.S.CLAM Bushels</v>
      </c>
    </row>
    <row r="13" spans="1:6">
      <c r="A13" s="4" t="s">
        <v>208</v>
      </c>
      <c r="B13" s="37" t="str">
        <f t="shared" ca="1" si="0"/>
        <v>REC S.S.CLAM Pounds</v>
      </c>
    </row>
    <row r="14" spans="1:6">
      <c r="A14" s="4" t="s">
        <v>209</v>
      </c>
      <c r="B14" s="37" t="str">
        <f t="shared" ca="1" si="0"/>
        <v>COMM QUAHOGS MIXED Bushels</v>
      </c>
    </row>
    <row r="15" spans="1:6">
      <c r="A15" s="4" t="s">
        <v>210</v>
      </c>
      <c r="B15" s="37" t="str">
        <f t="shared" ca="1" si="0"/>
        <v>COMM QUAHOGS MIXED Pounds</v>
      </c>
    </row>
    <row r="16" spans="1:6">
      <c r="A16" s="4" t="s">
        <v>211</v>
      </c>
      <c r="B16" s="37" t="str">
        <f t="shared" ca="1" si="0"/>
        <v>COMM QUAHOGS Littlenecks Bushels</v>
      </c>
    </row>
    <row r="17" spans="1:14">
      <c r="A17" s="4" t="s">
        <v>212</v>
      </c>
      <c r="B17" s="37" t="str">
        <f t="shared" ca="1" si="0"/>
        <v>COMM QUAHOGS Littlenecks Pounds</v>
      </c>
    </row>
    <row r="18" spans="1:14">
      <c r="A18" s="4" t="s">
        <v>213</v>
      </c>
      <c r="B18" s="37" t="str">
        <f t="shared" ca="1" si="0"/>
        <v>COMM QUAHOGS Cherrystone Bushels</v>
      </c>
    </row>
    <row r="19" spans="1:14">
      <c r="A19" s="4" t="s">
        <v>214</v>
      </c>
      <c r="B19" s="37" t="str">
        <f t="shared" ca="1" si="0"/>
        <v>COMM QUAHOGS Cherrystone Pounds</v>
      </c>
      <c r="N19" s="4"/>
    </row>
    <row r="20" spans="1:14">
      <c r="A20" s="4" t="s">
        <v>215</v>
      </c>
      <c r="B20" s="37" t="str">
        <f t="shared" ca="1" si="0"/>
        <v>COMM QUAHOGS Chowders Bushels</v>
      </c>
    </row>
    <row r="21" spans="1:14">
      <c r="A21" s="4" t="s">
        <v>216</v>
      </c>
      <c r="B21" s="37" t="str">
        <f t="shared" ca="1" si="0"/>
        <v>COMM QUAHOGS Chowders Pounds</v>
      </c>
    </row>
    <row r="22" spans="1:14">
      <c r="A22" s="4" t="s">
        <v>218</v>
      </c>
      <c r="B22" s="37" t="str">
        <f t="shared" ca="1" si="0"/>
        <v>REC QUAHOGS MIXED Bushels</v>
      </c>
    </row>
    <row r="23" spans="1:14">
      <c r="A23" s="4" t="s">
        <v>219</v>
      </c>
      <c r="B23" s="37" t="str">
        <f t="shared" ca="1" si="0"/>
        <v>REC QUAHOGS MIXED Pounds</v>
      </c>
    </row>
    <row r="24" spans="1:14">
      <c r="A24" s="4" t="s">
        <v>217</v>
      </c>
      <c r="B24" s="37" t="str">
        <f t="shared" ca="1" si="0"/>
        <v>REC QUAHOGS Littlenecks Bushels</v>
      </c>
    </row>
    <row r="25" spans="1:14">
      <c r="A25" s="4" t="s">
        <v>220</v>
      </c>
      <c r="B25" s="37" t="str">
        <f t="shared" ca="1" si="0"/>
        <v>REC QUAHOGS Littlenecks Pounds</v>
      </c>
      <c r="H25" s="58" t="s">
        <v>16</v>
      </c>
      <c r="I25" s="35" t="s">
        <v>314</v>
      </c>
    </row>
    <row r="26" spans="1:14">
      <c r="A26" s="4" t="s">
        <v>221</v>
      </c>
      <c r="B26" s="37" t="str">
        <f t="shared" ca="1" si="0"/>
        <v>REC QUAHOGS Cherrystone Bushels</v>
      </c>
    </row>
    <row r="27" spans="1:14">
      <c r="A27" s="4" t="s">
        <v>222</v>
      </c>
      <c r="B27" s="37" t="str">
        <f t="shared" ca="1" si="0"/>
        <v>REC QUAHOGS Cherrystone Pounds</v>
      </c>
    </row>
    <row r="28" spans="1:14">
      <c r="A28" s="4" t="s">
        <v>223</v>
      </c>
      <c r="B28" s="37" t="str">
        <f t="shared" ca="1" si="0"/>
        <v>REC QUAHOGS Chowders Bushels</v>
      </c>
    </row>
    <row r="29" spans="1:14">
      <c r="A29" s="4" t="s">
        <v>224</v>
      </c>
      <c r="B29" s="37" t="str">
        <f t="shared" ca="1" si="0"/>
        <v>REC QUAHOGS Chowders Pounds</v>
      </c>
    </row>
    <row r="30" spans="1:14">
      <c r="A30" s="4" t="s">
        <v>225</v>
      </c>
      <c r="B30" s="37" t="str">
        <f t="shared" ca="1" si="0"/>
        <v>COMM OYSTER Bushels</v>
      </c>
    </row>
    <row r="31" spans="1:14">
      <c r="A31" s="4" t="s">
        <v>226</v>
      </c>
      <c r="B31" s="37" t="str">
        <f t="shared" ca="1" si="0"/>
        <v>COMM OYSTER Pounds</v>
      </c>
    </row>
    <row r="32" spans="1:14">
      <c r="A32" s="4" t="s">
        <v>227</v>
      </c>
      <c r="B32" s="37" t="str">
        <f t="shared" ca="1" si="0"/>
        <v>REC OYSTER Bushels</v>
      </c>
    </row>
    <row r="33" spans="1:10">
      <c r="A33" s="4" t="s">
        <v>228</v>
      </c>
      <c r="B33" s="37" t="str">
        <f t="shared" ca="1" si="0"/>
        <v>REC OYSTER Pounds</v>
      </c>
    </row>
    <row r="34" spans="1:10">
      <c r="A34" s="4" t="s">
        <v>229</v>
      </c>
      <c r="B34" s="37" t="str">
        <f t="shared" ca="1" si="0"/>
        <v>COMM BAY SCALLOP Bushels</v>
      </c>
    </row>
    <row r="35" spans="1:10">
      <c r="A35" s="4" t="s">
        <v>230</v>
      </c>
      <c r="B35" s="37" t="str">
        <f t="shared" ca="1" si="0"/>
        <v>COMM BAY SCALLOP Pounds</v>
      </c>
    </row>
    <row r="36" spans="1:10">
      <c r="A36" s="4" t="s">
        <v>231</v>
      </c>
      <c r="B36" s="37" t="str">
        <f t="shared" ca="1" si="0"/>
        <v>REC BAY SCALLOP Bushels</v>
      </c>
    </row>
    <row r="37" spans="1:10">
      <c r="A37" s="4" t="s">
        <v>232</v>
      </c>
      <c r="B37" s="37" t="str">
        <f t="shared" ca="1" si="0"/>
        <v>REC BAY SCALLOP Pounds</v>
      </c>
    </row>
    <row r="38" spans="1:10">
      <c r="A38" s="4" t="s">
        <v>233</v>
      </c>
      <c r="B38" s="37" t="str">
        <f t="shared" ca="1" si="0"/>
        <v>COMM SURF CLAMS Bushels</v>
      </c>
    </row>
    <row r="39" spans="1:10">
      <c r="A39" s="4" t="s">
        <v>234</v>
      </c>
      <c r="B39" s="37" t="str">
        <f t="shared" ca="1" si="0"/>
        <v>COMM SURF CLAMS Pounds</v>
      </c>
    </row>
    <row r="40" spans="1:10">
      <c r="A40" s="4" t="s">
        <v>235</v>
      </c>
      <c r="B40" s="37" t="str">
        <f t="shared" ca="1" si="0"/>
        <v>REC SURF CLAMS Bushels</v>
      </c>
    </row>
    <row r="41" spans="1:10">
      <c r="A41" s="4" t="s">
        <v>236</v>
      </c>
      <c r="B41" s="37" t="str">
        <f t="shared" ca="1" si="0"/>
        <v>REC SURF CLAMS Pounds</v>
      </c>
    </row>
    <row r="42" spans="1:10">
      <c r="A42" s="4" t="s">
        <v>237</v>
      </c>
      <c r="B42" s="37" t="str">
        <f t="shared" ca="1" si="0"/>
        <v>COMM MUSSELS Bushels</v>
      </c>
    </row>
    <row r="43" spans="1:10">
      <c r="A43" s="4" t="s">
        <v>238</v>
      </c>
      <c r="B43" s="37" t="str">
        <f t="shared" ca="1" si="0"/>
        <v>COMM MUSSELS Pounds</v>
      </c>
    </row>
    <row r="44" spans="1:10">
      <c r="A44" s="4" t="s">
        <v>239</v>
      </c>
      <c r="B44" s="37" t="str">
        <f t="shared" ca="1" si="0"/>
        <v>REC MUSSELS Bushels</v>
      </c>
    </row>
    <row r="45" spans="1:10">
      <c r="A45" s="4" t="s">
        <v>240</v>
      </c>
      <c r="B45" s="37" t="str">
        <f t="shared" ca="1" si="0"/>
        <v>REC MUSSELS Pounds</v>
      </c>
      <c r="C45" s="4" t="s">
        <v>256</v>
      </c>
      <c r="D45" s="4" t="s">
        <v>257</v>
      </c>
      <c r="E45" s="35" t="s">
        <v>320</v>
      </c>
      <c r="F45" s="35" t="s">
        <v>258</v>
      </c>
      <c r="G45" t="str">
        <f>H25</f>
        <v>Bourne</v>
      </c>
      <c r="H45" t="s">
        <v>321</v>
      </c>
      <c r="I45" t="s">
        <v>322</v>
      </c>
    </row>
    <row r="46" spans="1:10">
      <c r="A46" s="4" t="s">
        <v>241</v>
      </c>
      <c r="B46" s="37" t="str">
        <f t="shared" ca="1" si="0"/>
        <v>COMM CONCH Bushels</v>
      </c>
      <c r="C46" s="6">
        <v>1955</v>
      </c>
      <c r="D46" s="36" t="e">
        <f t="array" aca="1" ref="D46" ca="1">IF(F46&gt;C$2,AVERAGE(IF($C46=INDEX(alltowndata,0,1),IF(ISNUMBER(INDEX(alltowndata,0,4)),INDEX(alltowndata,0,4)))),NA())</f>
        <v>#N/A</v>
      </c>
      <c r="E46" s="34">
        <f t="array" aca="1" ref="E46" ca="1">IF(F46&gt;0,SUM(IF(($C46=INDEX(alltowndata,0,1))*((INDEX(alltowndata,0,6)=RegionSelect)+(RegionSelect="A")),INDEX(alltowndata,0,COLUMN(INDIRECT($C$1&amp;"3"))),0)),NA())</f>
        <v>90</v>
      </c>
      <c r="F46" s="34">
        <f t="array" aca="1" ref="F46" ca="1">SUM(IF(($C46=INDEX(alltowndata,0,1))*((INDEX(alltowndata,0,6)=RegionSelect)+(RegionSelect="A")),IF(INDEX(alltowndata,0,COLUMN(INDIRECT($C$1&amp;"3")))&gt;0,1,0)))</f>
        <v>1</v>
      </c>
      <c r="G46" s="34">
        <f t="array" aca="1" ref="G46" ca="1">SUM(IF(($C46=INDEX(alltowndata,0,1))*(INDEX(alltowndata,0,2)=TownSelect),INDEX(alltowndata,0,COLUMN(INDIRECT($C$1&amp;"3"))),0))</f>
        <v>0</v>
      </c>
      <c r="H46" s="34">
        <f t="array" aca="1" ref="H46" ca="1">IF(F46&gt;0,SUM(IF(($C46=INDEX(alltowndata,0,1))*((INDEX(alltowndata,0,6)="B")),INDEX(alltowndata,0,COLUMN(INDIRECT($C$1&amp;"3"))),0)),NA())</f>
        <v>90</v>
      </c>
      <c r="I46" t="e">
        <f ca="1">IF(H46*D46,H46/E46,NA())</f>
        <v>#N/A</v>
      </c>
      <c r="J46" t="str">
        <f>"Buzzards Bay vs. "&amp;D3</f>
        <v>Buzzards Bay vs. Buzzards Bay</v>
      </c>
    </row>
    <row r="47" spans="1:10">
      <c r="A47" s="4" t="s">
        <v>242</v>
      </c>
      <c r="B47" s="37" t="str">
        <f t="shared" ca="1" si="0"/>
        <v>COMM CONCH Pounds</v>
      </c>
      <c r="C47" s="6">
        <v>1956</v>
      </c>
      <c r="D47" s="36" t="e">
        <f t="array" aca="1" ref="D47" ca="1">IF(F47&gt;C$2,AVERAGE(IF($C47=INDEX(alltowndata,0,1),IF(ISNUMBER(INDEX(alltowndata,0,4)),INDEX(alltowndata,0,4)))),NA())</f>
        <v>#N/A</v>
      </c>
      <c r="E47" s="34">
        <f t="array" aca="1" ref="E47" ca="1">IF(F47&gt;0,SUM(IF(($C47=INDEX(alltowndata,0,1))*((INDEX(alltowndata,0,6)=RegionSelect)+(RegionSelect="A")),INDEX(alltowndata,0,COLUMN(INDIRECT($C$1&amp;"3"))),0)),NA())</f>
        <v>700</v>
      </c>
      <c r="F47" s="34">
        <f t="array" aca="1" ref="F47" ca="1">SUM(IF(($C47=INDEX(alltowndata,0,1))*((INDEX(alltowndata,0,6)=RegionSelect)+(RegionSelect="A")),IF(INDEX(alltowndata,0,COLUMN(INDIRECT($C$1&amp;"3")))&gt;0,1,0)))</f>
        <v>1</v>
      </c>
      <c r="G47" s="34">
        <f t="array" aca="1" ref="G47" ca="1">SUM(IF(($C47=INDEX(alltowndata,0,1))*(INDEX(alltowndata,0,2)=TownSelect),INDEX(alltowndata,0,COLUMN(INDIRECT($C$1&amp;"3"))),0))</f>
        <v>0</v>
      </c>
      <c r="H47" s="34">
        <f t="array" aca="1" ref="H47" ca="1">IF(F47&gt;0,SUM(IF(($C47=INDEX(alltowndata,0,1))*((INDEX(alltowndata,0,6)="B")),INDEX(alltowndata,0,COLUMN(INDIRECT($C$1&amp;"3"))),0)),NA())</f>
        <v>700</v>
      </c>
      <c r="I47" t="e">
        <f t="shared" ref="I47:I100" ca="1" si="1">IF(H47*D47,H47/E47,NA())</f>
        <v>#N/A</v>
      </c>
    </row>
    <row r="48" spans="1:10">
      <c r="A48" s="4" t="s">
        <v>243</v>
      </c>
      <c r="B48" s="37" t="str">
        <f t="shared" ca="1" si="0"/>
        <v>REC CONCH Bushels</v>
      </c>
      <c r="C48" s="6">
        <v>1957</v>
      </c>
      <c r="D48" s="36" t="e">
        <f t="array" aca="1" ref="D48" ca="1">IF(F48&gt;C$2,AVERAGE(IF($C48=INDEX(alltowndata,0,1),IF(ISNUMBER(INDEX(alltowndata,0,4)),INDEX(alltowndata,0,4)))),NA())</f>
        <v>#N/A</v>
      </c>
      <c r="E48" s="34">
        <f t="array" aca="1" ref="E48" ca="1">IF(F48&gt;0,SUM(IF(($C48=INDEX(alltowndata,0,1))*((INDEX(alltowndata,0,6)=RegionSelect)+(RegionSelect="A")),INDEX(alltowndata,0,COLUMN(INDIRECT($C$1&amp;"3"))),0)),NA())</f>
        <v>2000</v>
      </c>
      <c r="F48" s="34">
        <f t="array" aca="1" ref="F48" ca="1">SUM(IF(($C48=INDEX(alltowndata,0,1))*((INDEX(alltowndata,0,6)=RegionSelect)+(RegionSelect="A")),IF(INDEX(alltowndata,0,COLUMN(INDIRECT($C$1&amp;"3")))&gt;0,1,0)))</f>
        <v>1</v>
      </c>
      <c r="G48" s="34">
        <f t="array" aca="1" ref="G48" ca="1">SUM(IF(($C48=INDEX(alltowndata,0,1))*(INDEX(alltowndata,0,2)=TownSelect),INDEX(alltowndata,0,COLUMN(INDIRECT($C$1&amp;"3"))),0))</f>
        <v>0</v>
      </c>
      <c r="H48" s="34">
        <f t="array" aca="1" ref="H48" ca="1">IF(F48&gt;0,SUM(IF(($C48=INDEX(alltowndata,0,1))*((INDEX(alltowndata,0,6)="B")),INDEX(alltowndata,0,COLUMN(INDIRECT($C$1&amp;"3"))),0)),NA())</f>
        <v>2000</v>
      </c>
      <c r="I48" t="e">
        <f t="shared" ca="1" si="1"/>
        <v>#N/A</v>
      </c>
    </row>
    <row r="49" spans="1:9">
      <c r="A49" s="4" t="s">
        <v>244</v>
      </c>
      <c r="B49" s="37" t="str">
        <f t="shared" ca="1" si="0"/>
        <v>REC CONCH Pounds</v>
      </c>
      <c r="C49" s="6">
        <v>1958</v>
      </c>
      <c r="D49" s="36" t="e">
        <f t="array" aca="1" ref="D49" ca="1">IF(F49&gt;C$2,AVERAGE(IF($C49=INDEX(alltowndata,0,1),IF(ISNUMBER(INDEX(alltowndata,0,4)),INDEX(alltowndata,0,4)))),NA())</f>
        <v>#N/A</v>
      </c>
      <c r="E49" s="34">
        <f t="array" aca="1" ref="E49" ca="1">IF(F49&gt;0,SUM(IF(($C49=INDEX(alltowndata,0,1))*((INDEX(alltowndata,0,6)=RegionSelect)+(RegionSelect="A")),INDEX(alltowndata,0,COLUMN(INDIRECT($C$1&amp;"3"))),0)),NA())</f>
        <v>2250</v>
      </c>
      <c r="F49" s="34">
        <f t="array" aca="1" ref="F49" ca="1">SUM(IF(($C49=INDEX(alltowndata,0,1))*((INDEX(alltowndata,0,6)=RegionSelect)+(RegionSelect="A")),IF(INDEX(alltowndata,0,COLUMN(INDIRECT($C$1&amp;"3")))&gt;0,1,0)))</f>
        <v>1</v>
      </c>
      <c r="G49" s="34">
        <f t="array" aca="1" ref="G49" ca="1">SUM(IF(($C49=INDEX(alltowndata,0,1))*(INDEX(alltowndata,0,2)=TownSelect),INDEX(alltowndata,0,COLUMN(INDIRECT($C$1&amp;"3"))),0))</f>
        <v>0</v>
      </c>
      <c r="H49" s="34">
        <f t="array" aca="1" ref="H49" ca="1">IF(F49&gt;0,SUM(IF(($C49=INDEX(alltowndata,0,1))*((INDEX(alltowndata,0,6)="B")),INDEX(alltowndata,0,COLUMN(INDIRECT($C$1&amp;"3"))),0)),NA())</f>
        <v>2250</v>
      </c>
      <c r="I49" t="e">
        <f t="shared" ca="1" si="1"/>
        <v>#N/A</v>
      </c>
    </row>
    <row r="50" spans="1:9">
      <c r="A50" s="4" t="s">
        <v>245</v>
      </c>
      <c r="B50" s="37" t="str">
        <f t="shared" ca="1" si="0"/>
        <v>COMM Razor Clams Bushels</v>
      </c>
      <c r="C50" s="6">
        <v>1959</v>
      </c>
      <c r="D50" s="36" t="e">
        <f t="array" aca="1" ref="D50" ca="1">IF(F50&gt;C$2,AVERAGE(IF($C50=INDEX(alltowndata,0,1),IF(ISNUMBER(INDEX(alltowndata,0,4)),INDEX(alltowndata,0,4)))),NA())</f>
        <v>#N/A</v>
      </c>
      <c r="E50" s="34">
        <f t="array" aca="1" ref="E50" ca="1">IF(F50&gt;0,SUM(IF(($C50=INDEX(alltowndata,0,1))*((INDEX(alltowndata,0,6)=RegionSelect)+(RegionSelect="A")),INDEX(alltowndata,0,COLUMN(INDIRECT($C$1&amp;"3"))),0)),NA())</f>
        <v>2000</v>
      </c>
      <c r="F50" s="34">
        <f t="array" aca="1" ref="F50" ca="1">SUM(IF(($C50=INDEX(alltowndata,0,1))*((INDEX(alltowndata,0,6)=RegionSelect)+(RegionSelect="A")),IF(INDEX(alltowndata,0,COLUMN(INDIRECT($C$1&amp;"3")))&gt;0,1,0)))</f>
        <v>1</v>
      </c>
      <c r="G50" s="34">
        <f t="array" aca="1" ref="G50" ca="1">SUM(IF(($C50=INDEX(alltowndata,0,1))*(INDEX(alltowndata,0,2)=TownSelect),INDEX(alltowndata,0,COLUMN(INDIRECT($C$1&amp;"3"))),0))</f>
        <v>0</v>
      </c>
      <c r="H50" s="34">
        <f t="array" aca="1" ref="H50" ca="1">IF(F50&gt;0,SUM(IF(($C50=INDEX(alltowndata,0,1))*((INDEX(alltowndata,0,6)="B")),INDEX(alltowndata,0,COLUMN(INDIRECT($C$1&amp;"3"))),0)),NA())</f>
        <v>2000</v>
      </c>
      <c r="I50" t="e">
        <f t="shared" ca="1" si="1"/>
        <v>#N/A</v>
      </c>
    </row>
    <row r="51" spans="1:9">
      <c r="A51" s="4" t="s">
        <v>246</v>
      </c>
      <c r="B51" s="37" t="str">
        <f t="shared" ca="1" si="0"/>
        <v>COMM Razor Clams Pounds</v>
      </c>
      <c r="C51" s="6">
        <v>1960</v>
      </c>
      <c r="D51" s="36">
        <f t="array" aca="1" ref="D51" ca="1">IF(F51&gt;C$2,AVERAGE(IF($C51=INDEX(alltowndata,0,1),IF(ISNUMBER(INDEX(alltowndata,0,4)),INDEX(alltowndata,0,4)))),NA())</f>
        <v>1.4272267862355035</v>
      </c>
      <c r="E51" s="34">
        <f t="array" aca="1" ref="E51" ca="1">IF(F51&gt;0,SUM(IF(($C51=INDEX(alltowndata,0,1))*((INDEX(alltowndata,0,6)=RegionSelect)+(RegionSelect="A")),INDEX(alltowndata,0,COLUMN(INDIRECT($C$1&amp;"3"))),0)),NA())</f>
        <v>4134</v>
      </c>
      <c r="F51" s="34">
        <f t="array" aca="1" ref="F51" ca="1">SUM(IF(($C51=INDEX(alltowndata,0,1))*((INDEX(alltowndata,0,6)=RegionSelect)+(RegionSelect="A")),IF(INDEX(alltowndata,0,COLUMN(INDIRECT($C$1&amp;"3")))&gt;0,1,0)))</f>
        <v>3</v>
      </c>
      <c r="G51" s="34">
        <f t="array" aca="1" ref="G51" ca="1">SUM(IF(($C51=INDEX(alltowndata,0,1))*(INDEX(alltowndata,0,2)=TownSelect),INDEX(alltowndata,0,COLUMN(INDIRECT($C$1&amp;"3"))),0))</f>
        <v>0</v>
      </c>
      <c r="H51" s="34">
        <f t="array" aca="1" ref="H51" ca="1">IF(F51&gt;0,SUM(IF(($C51=INDEX(alltowndata,0,1))*((INDEX(alltowndata,0,6)="B")),INDEX(alltowndata,0,COLUMN(INDIRECT($C$1&amp;"3"))),0)),NA())</f>
        <v>4134</v>
      </c>
      <c r="I51">
        <f t="shared" ca="1" si="1"/>
        <v>1</v>
      </c>
    </row>
    <row r="52" spans="1:9">
      <c r="A52" s="4" t="s">
        <v>247</v>
      </c>
      <c r="B52" s="37" t="str">
        <f t="shared" ca="1" si="0"/>
        <v>REC Razor Clams Bushels</v>
      </c>
      <c r="C52" s="6">
        <v>1961</v>
      </c>
      <c r="D52" s="36">
        <f t="array" aca="1" ref="D52" ca="1">IF(F52&gt;C$2,AVERAGE(IF($C52=INDEX(alltowndata,0,1),IF(ISNUMBER(INDEX(alltowndata,0,4)),INDEX(alltowndata,0,4)))),NA())</f>
        <v>1.7053250103656235</v>
      </c>
      <c r="E52" s="34">
        <f t="array" aca="1" ref="E52" ca="1">IF(F52&gt;0,SUM(IF(($C52=INDEX(alltowndata,0,1))*((INDEX(alltowndata,0,6)=RegionSelect)+(RegionSelect="A")),INDEX(alltowndata,0,COLUMN(INDIRECT($C$1&amp;"3"))),0)),NA())</f>
        <v>3380</v>
      </c>
      <c r="F52" s="34">
        <f t="array" aca="1" ref="F52" ca="1">SUM(IF(($C52=INDEX(alltowndata,0,1))*((INDEX(alltowndata,0,6)=RegionSelect)+(RegionSelect="A")),IF(INDEX(alltowndata,0,COLUMN(INDIRECT($C$1&amp;"3")))&gt;0,1,0)))</f>
        <v>3</v>
      </c>
      <c r="G52" s="34">
        <f t="array" aca="1" ref="G52" ca="1">SUM(IF(($C52=INDEX(alltowndata,0,1))*(INDEX(alltowndata,0,2)=TownSelect),INDEX(alltowndata,0,COLUMN(INDIRECT($C$1&amp;"3"))),0))</f>
        <v>0</v>
      </c>
      <c r="H52" s="34">
        <f t="array" aca="1" ref="H52" ca="1">IF(F52&gt;0,SUM(IF(($C52=INDEX(alltowndata,0,1))*((INDEX(alltowndata,0,6)="B")),INDEX(alltowndata,0,COLUMN(INDIRECT($C$1&amp;"3"))),0)),NA())</f>
        <v>3380</v>
      </c>
      <c r="I52">
        <f t="shared" ca="1" si="1"/>
        <v>1</v>
      </c>
    </row>
    <row r="53" spans="1:9">
      <c r="A53" s="4" t="s">
        <v>248</v>
      </c>
      <c r="B53" s="37" t="str">
        <f t="shared" ca="1" si="0"/>
        <v>REC Razor Clams Pounds</v>
      </c>
      <c r="C53" s="6">
        <v>1962</v>
      </c>
      <c r="D53" s="36">
        <f t="array" aca="1" ref="D53" ca="1">IF(F53&gt;C$2,AVERAGE(IF($C53=INDEX(alltowndata,0,1),IF(ISNUMBER(INDEX(alltowndata,0,4)),INDEX(alltowndata,0,4)))),NA())</f>
        <v>1.6422905040826024</v>
      </c>
      <c r="E53" s="34">
        <f t="array" aca="1" ref="E53" ca="1">IF(F53&gt;0,SUM(IF(($C53=INDEX(alltowndata,0,1))*((INDEX(alltowndata,0,6)=RegionSelect)+(RegionSelect="A")),INDEX(alltowndata,0,COLUMN(INDIRECT($C$1&amp;"3"))),0)),NA())</f>
        <v>3532</v>
      </c>
      <c r="F53" s="34">
        <f t="array" aca="1" ref="F53" ca="1">SUM(IF(($C53=INDEX(alltowndata,0,1))*((INDEX(alltowndata,0,6)=RegionSelect)+(RegionSelect="A")),IF(INDEX(alltowndata,0,COLUMN(INDIRECT($C$1&amp;"3")))&gt;0,1,0)))</f>
        <v>3</v>
      </c>
      <c r="G53" s="34">
        <f t="array" aca="1" ref="G53" ca="1">SUM(IF(($C53=INDEX(alltowndata,0,1))*(INDEX(alltowndata,0,2)=TownSelect),INDEX(alltowndata,0,COLUMN(INDIRECT($C$1&amp;"3"))),0))</f>
        <v>0</v>
      </c>
      <c r="H53" s="34">
        <f t="array" aca="1" ref="H53" ca="1">IF(F53&gt;0,SUM(IF(($C53=INDEX(alltowndata,0,1))*((INDEX(alltowndata,0,6)="B")),INDEX(alltowndata,0,COLUMN(INDIRECT($C$1&amp;"3"))),0)),NA())</f>
        <v>3532</v>
      </c>
      <c r="I53">
        <f t="shared" ca="1" si="1"/>
        <v>1</v>
      </c>
    </row>
    <row r="54" spans="1:9">
      <c r="A54" s="4" t="s">
        <v>249</v>
      </c>
      <c r="B54" s="37" t="str">
        <f t="shared" ca="1" si="0"/>
        <v>COMM OCEAN QUAHOG Bushels</v>
      </c>
      <c r="C54" s="6">
        <v>1963</v>
      </c>
      <c r="D54" s="36">
        <f t="array" aca="1" ref="D54" ca="1">IF(F54&gt;C$2,AVERAGE(IF($C54=INDEX(alltowndata,0,1),IF(ISNUMBER(INDEX(alltowndata,0,4)),INDEX(alltowndata,0,4)))),NA())</f>
        <v>1.6530442957894962</v>
      </c>
      <c r="E54" s="34">
        <f t="array" aca="1" ref="E54" ca="1">IF(F54&gt;0,SUM(IF(($C54=INDEX(alltowndata,0,1))*((INDEX(alltowndata,0,6)=RegionSelect)+(RegionSelect="A")),INDEX(alltowndata,0,COLUMN(INDIRECT($C$1&amp;"3"))),0)),NA())</f>
        <v>7455</v>
      </c>
      <c r="F54" s="34">
        <f t="array" aca="1" ref="F54" ca="1">SUM(IF(($C54=INDEX(alltowndata,0,1))*((INDEX(alltowndata,0,6)=RegionSelect)+(RegionSelect="A")),IF(INDEX(alltowndata,0,COLUMN(INDIRECT($C$1&amp;"3")))&gt;0,1,0)))</f>
        <v>5</v>
      </c>
      <c r="G54" s="34">
        <f t="array" aca="1" ref="G54" ca="1">SUM(IF(($C54=INDEX(alltowndata,0,1))*(INDEX(alltowndata,0,2)=TownSelect),INDEX(alltowndata,0,COLUMN(INDIRECT($C$1&amp;"3"))),0))</f>
        <v>1500</v>
      </c>
      <c r="H54" s="34">
        <f t="array" aca="1" ref="H54" ca="1">IF(F54&gt;0,SUM(IF(($C54=INDEX(alltowndata,0,1))*((INDEX(alltowndata,0,6)="B")),INDEX(alltowndata,0,COLUMN(INDIRECT($C$1&amp;"3"))),0)),NA())</f>
        <v>7455</v>
      </c>
      <c r="I54">
        <f t="shared" ca="1" si="1"/>
        <v>1</v>
      </c>
    </row>
    <row r="55" spans="1:9">
      <c r="A55" s="4" t="s">
        <v>250</v>
      </c>
      <c r="B55" s="37" t="str">
        <f t="shared" ca="1" si="0"/>
        <v>COMM OCEAN QUAHOG Pounds</v>
      </c>
      <c r="C55" s="6">
        <v>1964</v>
      </c>
      <c r="D55" s="36">
        <f t="array" aca="1" ref="D55" ca="1">IF(F55&gt;C$2,AVERAGE(IF($C55=INDEX(alltowndata,0,1),IF(ISNUMBER(INDEX(alltowndata,0,4)),INDEX(alltowndata,0,4)))),NA())</f>
        <v>1.5224118013834369</v>
      </c>
      <c r="E55" s="34">
        <f t="array" aca="1" ref="E55" ca="1">IF(F55&gt;0,SUM(IF(($C55=INDEX(alltowndata,0,1))*((INDEX(alltowndata,0,6)=RegionSelect)+(RegionSelect="A")),INDEX(alltowndata,0,COLUMN(INDIRECT($C$1&amp;"3"))),0)),NA())</f>
        <v>5030</v>
      </c>
      <c r="F55" s="34">
        <f t="array" aca="1" ref="F55" ca="1">SUM(IF(($C55=INDEX(alltowndata,0,1))*((INDEX(alltowndata,0,6)=RegionSelect)+(RegionSelect="A")),IF(INDEX(alltowndata,0,COLUMN(INDIRECT($C$1&amp;"3")))&gt;0,1,0)))</f>
        <v>3</v>
      </c>
      <c r="G55" s="34">
        <f t="array" aca="1" ref="G55" ca="1">SUM(IF(($C55=INDEX(alltowndata,0,1))*(INDEX(alltowndata,0,2)=TownSelect),INDEX(alltowndata,0,COLUMN(INDIRECT($C$1&amp;"3"))),0))</f>
        <v>0</v>
      </c>
      <c r="H55" s="34">
        <f t="array" aca="1" ref="H55" ca="1">IF(F55&gt;0,SUM(IF(($C55=INDEX(alltowndata,0,1))*((INDEX(alltowndata,0,6)="B")),INDEX(alltowndata,0,COLUMN(INDIRECT($C$1&amp;"3"))),0)),NA())</f>
        <v>5030</v>
      </c>
      <c r="I55">
        <f t="shared" ca="1" si="1"/>
        <v>1</v>
      </c>
    </row>
    <row r="56" spans="1:9">
      <c r="A56" s="4" t="s">
        <v>251</v>
      </c>
      <c r="B56" s="37" t="str">
        <f t="shared" ca="1" si="0"/>
        <v>REC OCEAN QUAHOG Bushels</v>
      </c>
      <c r="C56" s="6">
        <v>1965</v>
      </c>
      <c r="D56" s="36">
        <f t="array" aca="1" ref="D56" ca="1">IF(F56&gt;C$2,AVERAGE(IF($C56=INDEX(alltowndata,0,1),IF(ISNUMBER(INDEX(alltowndata,0,4)),INDEX(alltowndata,0,4)))),NA())</f>
        <v>1.6941106577992255</v>
      </c>
      <c r="E56" s="34">
        <f t="array" aca="1" ref="E56" ca="1">IF(F56&gt;0,SUM(IF(($C56=INDEX(alltowndata,0,1))*((INDEX(alltowndata,0,6)=RegionSelect)+(RegionSelect="A")),INDEX(alltowndata,0,COLUMN(INDIRECT($C$1&amp;"3"))),0)),NA())</f>
        <v>6108</v>
      </c>
      <c r="F56" s="34">
        <f t="array" aca="1" ref="F56" ca="1">SUM(IF(($C56=INDEX(alltowndata,0,1))*((INDEX(alltowndata,0,6)=RegionSelect)+(RegionSelect="A")),IF(INDEX(alltowndata,0,COLUMN(INDIRECT($C$1&amp;"3")))&gt;0,1,0)))</f>
        <v>4</v>
      </c>
      <c r="G56" s="34">
        <f t="array" aca="1" ref="G56" ca="1">SUM(IF(($C56=INDEX(alltowndata,0,1))*(INDEX(alltowndata,0,2)=TownSelect),INDEX(alltowndata,0,COLUMN(INDIRECT($C$1&amp;"3"))),0))</f>
        <v>0</v>
      </c>
      <c r="H56" s="34">
        <f t="array" aca="1" ref="H56" ca="1">IF(F56&gt;0,SUM(IF(($C56=INDEX(alltowndata,0,1))*((INDEX(alltowndata,0,6)="B")),INDEX(alltowndata,0,COLUMN(INDIRECT($C$1&amp;"3"))),0)),NA())</f>
        <v>6108</v>
      </c>
      <c r="I56">
        <f t="shared" ca="1" si="1"/>
        <v>1</v>
      </c>
    </row>
    <row r="57" spans="1:9">
      <c r="A57" s="4" t="s">
        <v>252</v>
      </c>
      <c r="B57" s="37" t="str">
        <f t="shared" ca="1" si="0"/>
        <v>REC OCEAN QUAHOG Pounds</v>
      </c>
      <c r="C57" s="6">
        <v>1966</v>
      </c>
      <c r="D57" s="36">
        <f t="array" aca="1" ref="D57" ca="1">IF(F57&gt;C$2,AVERAGE(IF($C57=INDEX(alltowndata,0,1),IF(ISNUMBER(INDEX(alltowndata,0,4)),INDEX(alltowndata,0,4)))),NA())</f>
        <v>1.9468693097324499</v>
      </c>
      <c r="E57" s="34">
        <f t="array" aca="1" ref="E57" ca="1">IF(F57&gt;0,SUM(IF(($C57=INDEX(alltowndata,0,1))*((INDEX(alltowndata,0,6)=RegionSelect)+(RegionSelect="A")),INDEX(alltowndata,0,COLUMN(INDIRECT($C$1&amp;"3"))),0)),NA())</f>
        <v>10399</v>
      </c>
      <c r="F57" s="34">
        <f t="array" aca="1" ref="F57" ca="1">SUM(IF(($C57=INDEX(alltowndata,0,1))*((INDEX(alltowndata,0,6)=RegionSelect)+(RegionSelect="A")),IF(INDEX(alltowndata,0,COLUMN(INDIRECT($C$1&amp;"3")))&gt;0,1,0)))</f>
        <v>6</v>
      </c>
      <c r="G57" s="34">
        <f t="array" aca="1" ref="G57" ca="1">SUM(IF(($C57=INDEX(alltowndata,0,1))*(INDEX(alltowndata,0,2)=TownSelect),INDEX(alltowndata,0,COLUMN(INDIRECT($C$1&amp;"3"))),0))</f>
        <v>2178</v>
      </c>
      <c r="H57" s="34">
        <f t="array" aca="1" ref="H57" ca="1">IF(F57&gt;0,SUM(IF(($C57=INDEX(alltowndata,0,1))*((INDEX(alltowndata,0,6)="B")),INDEX(alltowndata,0,COLUMN(INDIRECT($C$1&amp;"3"))),0)),NA())</f>
        <v>10399</v>
      </c>
      <c r="I57">
        <f t="shared" ca="1" si="1"/>
        <v>1</v>
      </c>
    </row>
    <row r="58" spans="1:9">
      <c r="A58" s="4" t="s">
        <v>253</v>
      </c>
      <c r="B58" s="37" t="str">
        <f t="shared" ca="1" si="0"/>
        <v>COMM EEL POUNDS</v>
      </c>
      <c r="C58" s="6">
        <v>1967</v>
      </c>
      <c r="D58" s="36">
        <f t="array" aca="1" ref="D58" ca="1">IF(F58&gt;C$2,AVERAGE(IF($C58=INDEX(alltowndata,0,1),IF(ISNUMBER(INDEX(alltowndata,0,4)),INDEX(alltowndata,0,4)))),NA())</f>
        <v>1.4481469321594858</v>
      </c>
      <c r="E58" s="34">
        <f t="array" aca="1" ref="E58" ca="1">IF(F58&gt;0,SUM(IF(($C58=INDEX(alltowndata,0,1))*((INDEX(alltowndata,0,6)=RegionSelect)+(RegionSelect="A")),INDEX(alltowndata,0,COLUMN(INDIRECT($C$1&amp;"3"))),0)),NA())</f>
        <v>9475</v>
      </c>
      <c r="F58" s="34">
        <f t="array" aca="1" ref="F58" ca="1">SUM(IF(($C58=INDEX(alltowndata,0,1))*((INDEX(alltowndata,0,6)=RegionSelect)+(RegionSelect="A")),IF(INDEX(alltowndata,0,COLUMN(INDIRECT($C$1&amp;"3")))&gt;0,1,0)))</f>
        <v>7</v>
      </c>
      <c r="G58" s="34">
        <f t="array" aca="1" ref="G58" ca="1">SUM(IF(($C58=INDEX(alltowndata,0,1))*(INDEX(alltowndata,0,2)=TownSelect),INDEX(alltowndata,0,COLUMN(INDIRECT($C$1&amp;"3"))),0))</f>
        <v>1785</v>
      </c>
      <c r="H58" s="34">
        <f t="array" aca="1" ref="H58" ca="1">IF(F58&gt;0,SUM(IF(($C58=INDEX(alltowndata,0,1))*((INDEX(alltowndata,0,6)="B")),INDEX(alltowndata,0,COLUMN(INDIRECT($C$1&amp;"3"))),0)),NA())</f>
        <v>9475</v>
      </c>
      <c r="I58">
        <f t="shared" ca="1" si="1"/>
        <v>1</v>
      </c>
    </row>
    <row r="59" spans="1:9">
      <c r="A59" s="4" t="s">
        <v>254</v>
      </c>
      <c r="B59" s="37" t="str">
        <f t="shared" ca="1" si="0"/>
        <v>REC EEL POUNDS</v>
      </c>
      <c r="C59" s="6">
        <v>1968</v>
      </c>
      <c r="D59" s="36">
        <f t="array" aca="1" ref="D59" ca="1">IF(F59&gt;C$2,AVERAGE(IF($C59=INDEX(alltowndata,0,1),IF(ISNUMBER(INDEX(alltowndata,0,4)),INDEX(alltowndata,0,4)))),NA())</f>
        <v>2.3539704982003431</v>
      </c>
      <c r="E59" s="34">
        <f t="array" aca="1" ref="E59" ca="1">IF(F59&gt;0,SUM(IF(($C59=INDEX(alltowndata,0,1))*((INDEX(alltowndata,0,6)=RegionSelect)+(RegionSelect="A")),INDEX(alltowndata,0,COLUMN(INDIRECT($C$1&amp;"3"))),0)),NA())</f>
        <v>12889</v>
      </c>
      <c r="F59" s="34">
        <f t="array" aca="1" ref="F59" ca="1">SUM(IF(($C59=INDEX(alltowndata,0,1))*((INDEX(alltowndata,0,6)=RegionSelect)+(RegionSelect="A")),IF(INDEX(alltowndata,0,COLUMN(INDIRECT($C$1&amp;"3")))&gt;0,1,0)))</f>
        <v>7</v>
      </c>
      <c r="G59" s="34">
        <f t="array" aca="1" ref="G59" ca="1">SUM(IF(($C59=INDEX(alltowndata,0,1))*(INDEX(alltowndata,0,2)=TownSelect),INDEX(alltowndata,0,COLUMN(INDIRECT($C$1&amp;"3"))),0))</f>
        <v>3667</v>
      </c>
      <c r="H59" s="34">
        <f t="array" aca="1" ref="H59" ca="1">IF(F59&gt;0,SUM(IF(($C59=INDEX(alltowndata,0,1))*((INDEX(alltowndata,0,6)="B")),INDEX(alltowndata,0,COLUMN(INDIRECT($C$1&amp;"3"))),0)),NA())</f>
        <v>12889</v>
      </c>
      <c r="I59">
        <f t="shared" ca="1" si="1"/>
        <v>1</v>
      </c>
    </row>
    <row r="60" spans="1:9">
      <c r="A60" s="4" t="s">
        <v>281</v>
      </c>
      <c r="B60" s="37" t="str">
        <f t="shared" ca="1" si="0"/>
        <v>COMM Sea Scallops Bushels</v>
      </c>
      <c r="C60" s="6">
        <v>1969</v>
      </c>
      <c r="D60" s="36">
        <f t="array" aca="1" ref="D60" ca="1">IF(F60&gt;C$2,AVERAGE(IF($C60=INDEX(alltowndata,0,1),IF(ISNUMBER(INDEX(alltowndata,0,4)),INDEX(alltowndata,0,4)))),NA())</f>
        <v>1.9720322220691247</v>
      </c>
      <c r="E60" s="34">
        <f t="array" aca="1" ref="E60" ca="1">IF(F60&gt;0,SUM(IF(($C60=INDEX(alltowndata,0,1))*((INDEX(alltowndata,0,6)=RegionSelect)+(RegionSelect="A")),INDEX(alltowndata,0,COLUMN(INDIRECT($C$1&amp;"3"))),0)),NA())</f>
        <v>14521</v>
      </c>
      <c r="F60" s="34">
        <f t="array" aca="1" ref="F60" ca="1">SUM(IF(($C60=INDEX(alltowndata,0,1))*((INDEX(alltowndata,0,6)=RegionSelect)+(RegionSelect="A")),IF(INDEX(alltowndata,0,COLUMN(INDIRECT($C$1&amp;"3")))&gt;0,1,0)))</f>
        <v>8</v>
      </c>
      <c r="G60" s="34">
        <f t="array" aca="1" ref="G60" ca="1">SUM(IF(($C60=INDEX(alltowndata,0,1))*(INDEX(alltowndata,0,2)=TownSelect),INDEX(alltowndata,0,COLUMN(INDIRECT($C$1&amp;"3"))),0))</f>
        <v>1732</v>
      </c>
      <c r="H60" s="34">
        <f t="array" aca="1" ref="H60" ca="1">IF(F60&gt;0,SUM(IF(($C60=INDEX(alltowndata,0,1))*((INDEX(alltowndata,0,6)="B")),INDEX(alltowndata,0,COLUMN(INDIRECT($C$1&amp;"3"))),0)),NA())</f>
        <v>14521</v>
      </c>
      <c r="I60">
        <f t="shared" ca="1" si="1"/>
        <v>1</v>
      </c>
    </row>
    <row r="61" spans="1:9">
      <c r="A61" s="4" t="s">
        <v>282</v>
      </c>
      <c r="B61" s="37" t="str">
        <f t="shared" ca="1" si="0"/>
        <v>COMM Sea Scallops Pounds</v>
      </c>
      <c r="C61" s="6">
        <v>1970</v>
      </c>
      <c r="D61" s="36">
        <f t="array" aca="1" ref="D61" ca="1">IF(F61&gt;C$2,AVERAGE(IF($C61=INDEX(alltowndata,0,1),IF(ISNUMBER(INDEX(alltowndata,0,4)),INDEX(alltowndata,0,4)))),NA())</f>
        <v>1.6566350943391821</v>
      </c>
      <c r="E61" s="34">
        <f t="array" aca="1" ref="E61" ca="1">IF(F61&gt;0,SUM(IF(($C61=INDEX(alltowndata,0,1))*((INDEX(alltowndata,0,6)=RegionSelect)+(RegionSelect="A")),INDEX(alltowndata,0,COLUMN(INDIRECT($C$1&amp;"3"))),0)),NA())</f>
        <v>12112</v>
      </c>
      <c r="F61" s="34">
        <f t="array" aca="1" ref="F61" ca="1">SUM(IF(($C61=INDEX(alltowndata,0,1))*((INDEX(alltowndata,0,6)=RegionSelect)+(RegionSelect="A")),IF(INDEX(alltowndata,0,COLUMN(INDIRECT($C$1&amp;"3")))&gt;0,1,0)))</f>
        <v>9</v>
      </c>
      <c r="G61" s="34">
        <f t="array" aca="1" ref="G61" ca="1">SUM(IF(($C61=INDEX(alltowndata,0,1))*(INDEX(alltowndata,0,2)=TownSelect),INDEX(alltowndata,0,COLUMN(INDIRECT($C$1&amp;"3"))),0))</f>
        <v>1854</v>
      </c>
      <c r="H61" s="34">
        <f t="array" aca="1" ref="H61" ca="1">IF(F61&gt;0,SUM(IF(($C61=INDEX(alltowndata,0,1))*((INDEX(alltowndata,0,6)="B")),INDEX(alltowndata,0,COLUMN(INDIRECT($C$1&amp;"3"))),0)),NA())</f>
        <v>12112</v>
      </c>
      <c r="I61">
        <f t="shared" ca="1" si="1"/>
        <v>1</v>
      </c>
    </row>
    <row r="62" spans="1:9">
      <c r="A62" s="4" t="s">
        <v>283</v>
      </c>
      <c r="B62" s="37" t="str">
        <f t="shared" ca="1" si="0"/>
        <v>REC Sea Scallops Bushels</v>
      </c>
      <c r="C62" s="6">
        <v>1971</v>
      </c>
      <c r="D62" s="36">
        <f t="array" aca="1" ref="D62" ca="1">IF(F62&gt;C$2,AVERAGE(IF($C62=INDEX(alltowndata,0,1),IF(ISNUMBER(INDEX(alltowndata,0,4)),INDEX(alltowndata,0,4)))),NA())</f>
        <v>1.1200459098871545</v>
      </c>
      <c r="E62" s="34">
        <f t="array" aca="1" ref="E62" ca="1">IF(F62&gt;0,SUM(IF(($C62=INDEX(alltowndata,0,1))*((INDEX(alltowndata,0,6)=RegionSelect)+(RegionSelect="A")),INDEX(alltowndata,0,COLUMN(INDIRECT($C$1&amp;"3"))),0)),NA())</f>
        <v>6928</v>
      </c>
      <c r="F62" s="34">
        <f t="array" aca="1" ref="F62" ca="1">SUM(IF(($C62=INDEX(alltowndata,0,1))*((INDEX(alltowndata,0,6)=RegionSelect)+(RegionSelect="A")),IF(INDEX(alltowndata,0,COLUMN(INDIRECT($C$1&amp;"3")))&gt;0,1,0)))</f>
        <v>8</v>
      </c>
      <c r="G62" s="34">
        <f t="array" aca="1" ref="G62" ca="1">SUM(IF(($C62=INDEX(alltowndata,0,1))*(INDEX(alltowndata,0,2)=TownSelect),INDEX(alltowndata,0,COLUMN(INDIRECT($C$1&amp;"3"))),0))</f>
        <v>1200</v>
      </c>
      <c r="H62" s="34">
        <f t="array" aca="1" ref="H62" ca="1">IF(F62&gt;0,SUM(IF(($C62=INDEX(alltowndata,0,1))*((INDEX(alltowndata,0,6)="B")),INDEX(alltowndata,0,COLUMN(INDIRECT($C$1&amp;"3"))),0)),NA())</f>
        <v>6928</v>
      </c>
      <c r="I62">
        <f t="shared" ca="1" si="1"/>
        <v>1</v>
      </c>
    </row>
    <row r="63" spans="1:9">
      <c r="A63" s="4" t="s">
        <v>284</v>
      </c>
      <c r="B63" s="37" t="str">
        <f t="shared" ca="1" si="0"/>
        <v>REC Sea Scallops Pounds</v>
      </c>
      <c r="C63" s="6">
        <v>1972</v>
      </c>
      <c r="D63" s="36">
        <f t="array" aca="1" ref="D63" ca="1">IF(F63&gt;C$2,AVERAGE(IF($C63=INDEX(alltowndata,0,1),IF(ISNUMBER(INDEX(alltowndata,0,4)),INDEX(alltowndata,0,4)))),NA())</f>
        <v>0.64325900733588171</v>
      </c>
      <c r="E63" s="34">
        <f t="array" aca="1" ref="E63" ca="1">IF(F63&gt;0,SUM(IF(($C63=INDEX(alltowndata,0,1))*((INDEX(alltowndata,0,6)=RegionSelect)+(RegionSelect="A")),INDEX(alltowndata,0,COLUMN(INDIRECT($C$1&amp;"3"))),0)),NA())</f>
        <v>4156</v>
      </c>
      <c r="F63" s="34">
        <f t="array" aca="1" ref="F63" ca="1">SUM(IF(($C63=INDEX(alltowndata,0,1))*((INDEX(alltowndata,0,6)=RegionSelect)+(RegionSelect="A")),IF(INDEX(alltowndata,0,COLUMN(INDIRECT($C$1&amp;"3")))&gt;0,1,0)))</f>
        <v>7</v>
      </c>
      <c r="G63" s="34">
        <f t="array" aca="1" ref="G63" ca="1">SUM(IF(($C63=INDEX(alltowndata,0,1))*(INDEX(alltowndata,0,2)=TownSelect),INDEX(alltowndata,0,COLUMN(INDIRECT($C$1&amp;"3"))),0))</f>
        <v>1242</v>
      </c>
      <c r="H63" s="34">
        <f t="array" aca="1" ref="H63" ca="1">IF(F63&gt;0,SUM(IF(($C63=INDEX(alltowndata,0,1))*((INDEX(alltowndata,0,6)="B")),INDEX(alltowndata,0,COLUMN(INDIRECT($C$1&amp;"3"))),0)),NA())</f>
        <v>4156</v>
      </c>
      <c r="I63">
        <f t="shared" ca="1" si="1"/>
        <v>1</v>
      </c>
    </row>
    <row r="64" spans="1:9">
      <c r="A64" s="4" t="s">
        <v>285</v>
      </c>
      <c r="B64" s="37" t="str">
        <f t="shared" ca="1" si="0"/>
        <v>Total Commercial Bushels</v>
      </c>
      <c r="C64" s="6">
        <v>1973</v>
      </c>
      <c r="D64" s="36">
        <f t="array" aca="1" ref="D64" ca="1">IF(F64&gt;C$2,AVERAGE(IF($C64=INDEX(alltowndata,0,1),IF(ISNUMBER(INDEX(alltowndata,0,4)),INDEX(alltowndata,0,4)))),NA())</f>
        <v>0.71877489430135177</v>
      </c>
      <c r="E64" s="34">
        <f t="array" aca="1" ref="E64" ca="1">IF(F64&gt;0,SUM(IF(($C64=INDEX(alltowndata,0,1))*((INDEX(alltowndata,0,6)=RegionSelect)+(RegionSelect="A")),INDEX(alltowndata,0,COLUMN(INDIRECT($C$1&amp;"3"))),0)),NA())</f>
        <v>5289</v>
      </c>
      <c r="F64" s="34">
        <f t="array" aca="1" ref="F64" ca="1">SUM(IF(($C64=INDEX(alltowndata,0,1))*((INDEX(alltowndata,0,6)=RegionSelect)+(RegionSelect="A")),IF(INDEX(alltowndata,0,COLUMN(INDIRECT($C$1&amp;"3")))&gt;0,1,0)))</f>
        <v>6</v>
      </c>
      <c r="G64" s="34">
        <f t="array" aca="1" ref="G64" ca="1">SUM(IF(($C64=INDEX(alltowndata,0,1))*(INDEX(alltowndata,0,2)=TownSelect),INDEX(alltowndata,0,COLUMN(INDIRECT($C$1&amp;"3"))),0))</f>
        <v>1052</v>
      </c>
      <c r="H64" s="34">
        <f t="array" aca="1" ref="H64" ca="1">IF(F64&gt;0,SUM(IF(($C64=INDEX(alltowndata,0,1))*((INDEX(alltowndata,0,6)="B")),INDEX(alltowndata,0,COLUMN(INDIRECT($C$1&amp;"3"))),0)),NA())</f>
        <v>5289</v>
      </c>
      <c r="I64">
        <f t="shared" ca="1" si="1"/>
        <v>1</v>
      </c>
    </row>
    <row r="65" spans="1:9">
      <c r="A65" s="4" t="s">
        <v>286</v>
      </c>
      <c r="B65" s="37" t="str">
        <f t="shared" ca="1" si="0"/>
        <v>Total Commercial  Pounds</v>
      </c>
      <c r="C65" s="6">
        <v>1974</v>
      </c>
      <c r="D65" s="36">
        <f t="array" aca="1" ref="D65" ca="1">IF(F65&gt;C$2,AVERAGE(IF($C65=INDEX(alltowndata,0,1),IF(ISNUMBER(INDEX(alltowndata,0,4)),INDEX(alltowndata,0,4)))),NA())</f>
        <v>0.88868005864327404</v>
      </c>
      <c r="E65" s="34">
        <f t="array" aca="1" ref="E65" ca="1">IF(F65&gt;0,SUM(IF(($C65=INDEX(alltowndata,0,1))*((INDEX(alltowndata,0,6)=RegionSelect)+(RegionSelect="A")),INDEX(alltowndata,0,COLUMN(INDIRECT($C$1&amp;"3"))),0)),NA())</f>
        <v>7872</v>
      </c>
      <c r="F65" s="34">
        <f t="array" aca="1" ref="F65" ca="1">SUM(IF(($C65=INDEX(alltowndata,0,1))*((INDEX(alltowndata,0,6)=RegionSelect)+(RegionSelect="A")),IF(INDEX(alltowndata,0,COLUMN(INDIRECT($C$1&amp;"3")))&gt;0,1,0)))</f>
        <v>8</v>
      </c>
      <c r="G65" s="34">
        <f t="array" aca="1" ref="G65" ca="1">SUM(IF(($C65=INDEX(alltowndata,0,1))*(INDEX(alltowndata,0,2)=TownSelect),INDEX(alltowndata,0,COLUMN(INDIRECT($C$1&amp;"3"))),0))</f>
        <v>500</v>
      </c>
      <c r="H65" s="34">
        <f t="array" aca="1" ref="H65" ca="1">IF(F65&gt;0,SUM(IF(($C65=INDEX(alltowndata,0,1))*((INDEX(alltowndata,0,6)="B")),INDEX(alltowndata,0,COLUMN(INDIRECT($C$1&amp;"3"))),0)),NA())</f>
        <v>7872</v>
      </c>
      <c r="I65">
        <f t="shared" ca="1" si="1"/>
        <v>1</v>
      </c>
    </row>
    <row r="66" spans="1:9">
      <c r="A66" s="4" t="s">
        <v>287</v>
      </c>
      <c r="B66" s="37" t="str">
        <f t="shared" ca="1" si="0"/>
        <v>Total Recreation Bushels</v>
      </c>
      <c r="C66" s="6">
        <v>1975</v>
      </c>
      <c r="D66" s="36">
        <f t="array" aca="1" ref="D66" ca="1">IF(F66&gt;C$2,AVERAGE(IF($C66=INDEX(alltowndata,0,1),IF(ISNUMBER(INDEX(alltowndata,0,4)),INDEX(alltowndata,0,4)))),NA())</f>
        <v>0.77256660161914381</v>
      </c>
      <c r="E66" s="34">
        <f t="array" aca="1" ref="E66" ca="1">IF(F66&gt;0,SUM(IF(($C66=INDEX(alltowndata,0,1))*((INDEX(alltowndata,0,6)=RegionSelect)+(RegionSelect="A")),INDEX(alltowndata,0,COLUMN(INDIRECT($C$1&amp;"3"))),0)),NA())</f>
        <v>6457</v>
      </c>
      <c r="F66" s="34">
        <f t="array" aca="1" ref="F66" ca="1">SUM(IF(($C66=INDEX(alltowndata,0,1))*((INDEX(alltowndata,0,6)=RegionSelect)+(RegionSelect="A")),IF(INDEX(alltowndata,0,COLUMN(INDIRECT($C$1&amp;"3")))&gt;0,1,0)))</f>
        <v>4</v>
      </c>
      <c r="G66" s="34">
        <f t="array" aca="1" ref="G66" ca="1">SUM(IF(($C66=INDEX(alltowndata,0,1))*(INDEX(alltowndata,0,2)=TownSelect),INDEX(alltowndata,0,COLUMN(INDIRECT($C$1&amp;"3"))),0))</f>
        <v>0</v>
      </c>
      <c r="H66" s="34">
        <f t="array" aca="1" ref="H66" ca="1">IF(F66&gt;0,SUM(IF(($C66=INDEX(alltowndata,0,1))*((INDEX(alltowndata,0,6)="B")),INDEX(alltowndata,0,COLUMN(INDIRECT($C$1&amp;"3"))),0)),NA())</f>
        <v>6457</v>
      </c>
      <c r="I66">
        <f t="shared" ca="1" si="1"/>
        <v>1</v>
      </c>
    </row>
    <row r="67" spans="1:9">
      <c r="A67" s="4" t="s">
        <v>319</v>
      </c>
      <c r="B67" s="37" t="str">
        <f t="shared" ca="1" si="0"/>
        <v>Total Recreation Pounds</v>
      </c>
      <c r="C67" s="6">
        <v>1976</v>
      </c>
      <c r="D67" s="36">
        <f t="array" aca="1" ref="D67" ca="1">IF(F67&gt;C$2,AVERAGE(IF($C67=INDEX(alltowndata,0,1),IF(ISNUMBER(INDEX(alltowndata,0,4)),INDEX(alltowndata,0,4)))),NA())</f>
        <v>0.73203646207930406</v>
      </c>
      <c r="E67" s="34">
        <f t="array" aca="1" ref="E67" ca="1">IF(F67&gt;0,SUM(IF(($C67=INDEX(alltowndata,0,1))*((INDEX(alltowndata,0,6)=RegionSelect)+(RegionSelect="A")),INDEX(alltowndata,0,COLUMN(INDIRECT($C$1&amp;"3"))),0)),NA())</f>
        <v>7049</v>
      </c>
      <c r="F67" s="34">
        <f t="array" aca="1" ref="F67" ca="1">SUM(IF(($C67=INDEX(alltowndata,0,1))*((INDEX(alltowndata,0,6)=RegionSelect)+(RegionSelect="A")),IF(INDEX(alltowndata,0,COLUMN(INDIRECT($C$1&amp;"3")))&gt;0,1,0)))</f>
        <v>8</v>
      </c>
      <c r="G67" s="34">
        <f t="array" aca="1" ref="G67" ca="1">SUM(IF(($C67=INDEX(alltowndata,0,1))*(INDEX(alltowndata,0,2)=TownSelect),INDEX(alltowndata,0,COLUMN(INDIRECT($C$1&amp;"3"))),0))</f>
        <v>50</v>
      </c>
      <c r="H67" s="34">
        <f t="array" aca="1" ref="H67" ca="1">IF(F67&gt;0,SUM(IF(($C67=INDEX(alltowndata,0,1))*((INDEX(alltowndata,0,6)="B")),INDEX(alltowndata,0,COLUMN(INDIRECT($C$1&amp;"3"))),0)),NA())</f>
        <v>7049</v>
      </c>
      <c r="I67">
        <f t="shared" ca="1" si="1"/>
        <v>1</v>
      </c>
    </row>
    <row r="68" spans="1:9">
      <c r="A68" s="4"/>
      <c r="B68" s="37"/>
      <c r="C68" s="6">
        <v>1977</v>
      </c>
      <c r="D68" s="36">
        <f t="array" aca="1" ref="D68" ca="1">IF(F68&gt;C$2,AVERAGE(IF($C68=INDEX(alltowndata,0,1),IF(ISNUMBER(INDEX(alltowndata,0,4)),INDEX(alltowndata,0,4)))),NA())</f>
        <v>0.63833973722650994</v>
      </c>
      <c r="E68" s="34">
        <f t="array" aca="1" ref="E68" ca="1">IF(F68&gt;0,SUM(IF(($C68=INDEX(alltowndata,0,1))*((INDEX(alltowndata,0,6)=RegionSelect)+(RegionSelect="A")),INDEX(alltowndata,0,COLUMN(INDIRECT($C$1&amp;"3"))),0)),NA())</f>
        <v>5812</v>
      </c>
      <c r="F68" s="34">
        <f t="array" aca="1" ref="F68" ca="1">SUM(IF(($C68=INDEX(alltowndata,0,1))*((INDEX(alltowndata,0,6)=RegionSelect)+(RegionSelect="A")),IF(INDEX(alltowndata,0,COLUMN(INDIRECT($C$1&amp;"3")))&gt;0,1,0)))</f>
        <v>7</v>
      </c>
      <c r="G68" s="34">
        <f t="array" aca="1" ref="G68" ca="1">SUM(IF(($C68=INDEX(alltowndata,0,1))*(INDEX(alltowndata,0,2)=TownSelect),INDEX(alltowndata,0,COLUMN(INDIRECT($C$1&amp;"3"))),0))</f>
        <v>0</v>
      </c>
      <c r="H68" s="34">
        <f t="array" aca="1" ref="H68" ca="1">IF(F68&gt;0,SUM(IF(($C68=INDEX(alltowndata,0,1))*((INDEX(alltowndata,0,6)="B")),INDEX(alltowndata,0,COLUMN(INDIRECT($C$1&amp;"3"))),0)),NA())</f>
        <v>5812</v>
      </c>
      <c r="I68">
        <f t="shared" ca="1" si="1"/>
        <v>1</v>
      </c>
    </row>
    <row r="69" spans="1:9">
      <c r="A69" s="4"/>
      <c r="B69" s="37"/>
      <c r="C69" s="6">
        <v>1978</v>
      </c>
      <c r="D69" s="36">
        <f t="array" aca="1" ref="D69" ca="1">IF(F69&gt;C$2,AVERAGE(IF($C69=INDEX(alltowndata,0,1),IF(ISNUMBER(INDEX(alltowndata,0,4)),INDEX(alltowndata,0,4)))),NA())</f>
        <v>0.58327594770359714</v>
      </c>
      <c r="E69" s="34">
        <f t="array" aca="1" ref="E69" ca="1">IF(F69&gt;0,SUM(IF(($C69=INDEX(alltowndata,0,1))*((INDEX(alltowndata,0,6)=RegionSelect)+(RegionSelect="A")),INDEX(alltowndata,0,COLUMN(INDIRECT($C$1&amp;"3"))),0)),NA())</f>
        <v>5800</v>
      </c>
      <c r="F69" s="34">
        <f t="array" aca="1" ref="F69" ca="1">SUM(IF(($C69=INDEX(alltowndata,0,1))*((INDEX(alltowndata,0,6)=RegionSelect)+(RegionSelect="A")),IF(INDEX(alltowndata,0,COLUMN(INDIRECT($C$1&amp;"3")))&gt;0,1,0)))</f>
        <v>7</v>
      </c>
      <c r="G69" s="34">
        <f t="array" aca="1" ref="G69" ca="1">SUM(IF(($C69=INDEX(alltowndata,0,1))*(INDEX(alltowndata,0,2)=TownSelect),INDEX(alltowndata,0,COLUMN(INDIRECT($C$1&amp;"3"))),0))</f>
        <v>326</v>
      </c>
      <c r="H69" s="34">
        <f t="array" aca="1" ref="H69" ca="1">IF(F69&gt;0,SUM(IF(($C69=INDEX(alltowndata,0,1))*((INDEX(alltowndata,0,6)="B")),INDEX(alltowndata,0,COLUMN(INDIRECT($C$1&amp;"3"))),0)),NA())</f>
        <v>5800</v>
      </c>
      <c r="I69">
        <f t="shared" ca="1" si="1"/>
        <v>1</v>
      </c>
    </row>
    <row r="70" spans="1:9">
      <c r="A70" s="4"/>
      <c r="B70" s="37"/>
      <c r="C70" s="6">
        <v>1979</v>
      </c>
      <c r="D70" s="36">
        <f t="array" aca="1" ref="D70" ca="1">IF(F70&gt;C$2,AVERAGE(IF($C70=INDEX(alltowndata,0,1),IF(ISNUMBER(INDEX(alltowndata,0,4)),INDEX(alltowndata,0,4)))),NA())</f>
        <v>0.58428379161064825</v>
      </c>
      <c r="E70" s="34">
        <f t="array" aca="1" ref="E70" ca="1">IF(F70&gt;0,SUM(IF(($C70=INDEX(alltowndata,0,1))*((INDEX(alltowndata,0,6)=RegionSelect)+(RegionSelect="A")),INDEX(alltowndata,0,COLUMN(INDIRECT($C$1&amp;"3"))),0)),NA())</f>
        <v>5670</v>
      </c>
      <c r="F70" s="34">
        <f t="array" aca="1" ref="F70" ca="1">SUM(IF(($C70=INDEX(alltowndata,0,1))*((INDEX(alltowndata,0,6)=RegionSelect)+(RegionSelect="A")),IF(INDEX(alltowndata,0,COLUMN(INDIRECT($C$1&amp;"3")))&gt;0,1,0)))</f>
        <v>7</v>
      </c>
      <c r="G70" s="34">
        <f t="array" aca="1" ref="G70" ca="1">SUM(IF(($C70=INDEX(alltowndata,0,1))*(INDEX(alltowndata,0,2)=TownSelect),INDEX(alltowndata,0,COLUMN(INDIRECT($C$1&amp;"3"))),0))</f>
        <v>251</v>
      </c>
      <c r="H70" s="34">
        <f t="array" aca="1" ref="H70" ca="1">IF(F70&gt;0,SUM(IF(($C70=INDEX(alltowndata,0,1))*((INDEX(alltowndata,0,6)="B")),INDEX(alltowndata,0,COLUMN(INDIRECT($C$1&amp;"3"))),0)),NA())</f>
        <v>5670</v>
      </c>
      <c r="I70">
        <f t="shared" ca="1" si="1"/>
        <v>1</v>
      </c>
    </row>
    <row r="71" spans="1:9">
      <c r="C71" s="6">
        <v>1980</v>
      </c>
      <c r="D71" s="36">
        <f t="array" aca="1" ref="D71" ca="1">IF(F71&gt;C$2,AVERAGE(IF($C71=INDEX(alltowndata,0,1),IF(ISNUMBER(INDEX(alltowndata,0,4)),INDEX(alltowndata,0,4)))),NA())</f>
        <v>0.69987254034496527</v>
      </c>
      <c r="E71" s="34">
        <f t="array" aca="1" ref="E71" ca="1">IF(F71&gt;0,SUM(IF(($C71=INDEX(alltowndata,0,1))*((INDEX(alltowndata,0,6)=RegionSelect)+(RegionSelect="A")),INDEX(alltowndata,0,COLUMN(INDIRECT($C$1&amp;"3"))),0)),NA())</f>
        <v>7141</v>
      </c>
      <c r="F71" s="34">
        <f t="array" aca="1" ref="F71" ca="1">SUM(IF(($C71=INDEX(alltowndata,0,1))*((INDEX(alltowndata,0,6)=RegionSelect)+(RegionSelect="A")),IF(INDEX(alltowndata,0,COLUMN(INDIRECT($C$1&amp;"3")))&gt;0,1,0)))</f>
        <v>8</v>
      </c>
      <c r="G71" s="34">
        <f t="array" aca="1" ref="G71" ca="1">SUM(IF(($C71=INDEX(alltowndata,0,1))*(INDEX(alltowndata,0,2)=TownSelect),INDEX(alltowndata,0,COLUMN(INDIRECT($C$1&amp;"3"))),0))</f>
        <v>800</v>
      </c>
      <c r="H71" s="34">
        <f t="array" aca="1" ref="H71" ca="1">IF(F71&gt;0,SUM(IF(($C71=INDEX(alltowndata,0,1))*((INDEX(alltowndata,0,6)="B")),INDEX(alltowndata,0,COLUMN(INDIRECT($C$1&amp;"3"))),0)),NA())</f>
        <v>7141</v>
      </c>
      <c r="I71">
        <f t="shared" ca="1" si="1"/>
        <v>1</v>
      </c>
    </row>
    <row r="72" spans="1:9">
      <c r="C72" s="6">
        <v>1981</v>
      </c>
      <c r="D72" s="36">
        <f t="array" aca="1" ref="D72" ca="1">IF(F72&gt;C$2,AVERAGE(IF($C72=INDEX(alltowndata,0,1),IF(ISNUMBER(INDEX(alltowndata,0,4)),INDEX(alltowndata,0,4)))),NA())</f>
        <v>0.67391164632871881</v>
      </c>
      <c r="E72" s="34">
        <f t="array" aca="1" ref="E72" ca="1">IF(F72&gt;0,SUM(IF(($C72=INDEX(alltowndata,0,1))*((INDEX(alltowndata,0,6)=RegionSelect)+(RegionSelect="A")),INDEX(alltowndata,0,COLUMN(INDIRECT($C$1&amp;"3"))),0)),NA())</f>
        <v>7553</v>
      </c>
      <c r="F72" s="34">
        <f t="array" aca="1" ref="F72" ca="1">SUM(IF(($C72=INDEX(alltowndata,0,1))*((INDEX(alltowndata,0,6)=RegionSelect)+(RegionSelect="A")),IF(INDEX(alltowndata,0,COLUMN(INDIRECT($C$1&amp;"3")))&gt;0,1,0)))</f>
        <v>8</v>
      </c>
      <c r="G72" s="34">
        <f t="array" aca="1" ref="G72" ca="1">SUM(IF(($C72=INDEX(alltowndata,0,1))*(INDEX(alltowndata,0,2)=TownSelect),INDEX(alltowndata,0,COLUMN(INDIRECT($C$1&amp;"3"))),0))</f>
        <v>1065</v>
      </c>
      <c r="H72" s="34">
        <f t="array" aca="1" ref="H72" ca="1">IF(F72&gt;0,SUM(IF(($C72=INDEX(alltowndata,0,1))*((INDEX(alltowndata,0,6)="B")),INDEX(alltowndata,0,COLUMN(INDIRECT($C$1&amp;"3"))),0)),NA())</f>
        <v>7553</v>
      </c>
      <c r="I72">
        <f t="shared" ca="1" si="1"/>
        <v>1</v>
      </c>
    </row>
    <row r="73" spans="1:9">
      <c r="C73" s="6">
        <v>1982</v>
      </c>
      <c r="D73" s="36">
        <f t="array" aca="1" ref="D73" ca="1">IF(F73&gt;C$2,AVERAGE(IF($C73=INDEX(alltowndata,0,1),IF(ISNUMBER(INDEX(alltowndata,0,4)),INDEX(alltowndata,0,4)))),NA())</f>
        <v>0.88101214944397999</v>
      </c>
      <c r="E73" s="34">
        <f t="array" aca="1" ref="E73" ca="1">IF(F73&gt;0,SUM(IF(($C73=INDEX(alltowndata,0,1))*((INDEX(alltowndata,0,6)=RegionSelect)+(RegionSelect="A")),INDEX(alltowndata,0,COLUMN(INDIRECT($C$1&amp;"3"))),0)),NA())</f>
        <v>7583</v>
      </c>
      <c r="F73" s="34">
        <f t="array" aca="1" ref="F73" ca="1">SUM(IF(($C73=INDEX(alltowndata,0,1))*((INDEX(alltowndata,0,6)=RegionSelect)+(RegionSelect="A")),IF(INDEX(alltowndata,0,COLUMN(INDIRECT($C$1&amp;"3")))&gt;0,1,0)))</f>
        <v>9</v>
      </c>
      <c r="G73" s="34">
        <f t="array" aca="1" ref="G73" ca="1">SUM(IF(($C73=INDEX(alltowndata,0,1))*(INDEX(alltowndata,0,2)=TownSelect),INDEX(alltowndata,0,COLUMN(INDIRECT($C$1&amp;"3"))),0))</f>
        <v>1070</v>
      </c>
      <c r="H73" s="34">
        <f t="array" aca="1" ref="H73" ca="1">IF(F73&gt;0,SUM(IF(($C73=INDEX(alltowndata,0,1))*((INDEX(alltowndata,0,6)="B")),INDEX(alltowndata,0,COLUMN(INDIRECT($C$1&amp;"3"))),0)),NA())</f>
        <v>7583</v>
      </c>
      <c r="I73">
        <f t="shared" ca="1" si="1"/>
        <v>1</v>
      </c>
    </row>
    <row r="74" spans="1:9">
      <c r="C74" s="6">
        <v>1983</v>
      </c>
      <c r="D74" s="36">
        <f t="array" aca="1" ref="D74" ca="1">IF(F74&gt;C$2,AVERAGE(IF($C74=INDEX(alltowndata,0,1),IF(ISNUMBER(INDEX(alltowndata,0,4)),INDEX(alltowndata,0,4)))),NA())</f>
        <v>1.1311721492436373</v>
      </c>
      <c r="E74" s="34">
        <f t="array" aca="1" ref="E74" ca="1">IF(F74&gt;0,SUM(IF(($C74=INDEX(alltowndata,0,1))*((INDEX(alltowndata,0,6)=RegionSelect)+(RegionSelect="A")),INDEX(alltowndata,0,COLUMN(INDIRECT($C$1&amp;"3"))),0)),NA())</f>
        <v>2995</v>
      </c>
      <c r="F74" s="34">
        <f t="array" aca="1" ref="F74" ca="1">SUM(IF(($C74=INDEX(alltowndata,0,1))*((INDEX(alltowndata,0,6)=RegionSelect)+(RegionSelect="A")),IF(INDEX(alltowndata,0,COLUMN(INDIRECT($C$1&amp;"3")))&gt;0,1,0)))</f>
        <v>8</v>
      </c>
      <c r="G74" s="34">
        <f t="array" aca="1" ref="G74" ca="1">SUM(IF(($C74=INDEX(alltowndata,0,1))*(INDEX(alltowndata,0,2)=TownSelect),INDEX(alltowndata,0,COLUMN(INDIRECT($C$1&amp;"3"))),0))</f>
        <v>846</v>
      </c>
      <c r="H74" s="34">
        <f t="array" aca="1" ref="H74" ca="1">IF(F74&gt;0,SUM(IF(($C74=INDEX(alltowndata,0,1))*((INDEX(alltowndata,0,6)="B")),INDEX(alltowndata,0,COLUMN(INDIRECT($C$1&amp;"3"))),0)),NA())</f>
        <v>2995</v>
      </c>
      <c r="I74">
        <f t="shared" ca="1" si="1"/>
        <v>1</v>
      </c>
    </row>
    <row r="75" spans="1:9">
      <c r="C75" s="6">
        <v>1984</v>
      </c>
      <c r="D75" s="36">
        <f t="array" aca="1" ref="D75" ca="1">IF(F75&gt;C$2,AVERAGE(IF($C75=INDEX(alltowndata,0,1),IF(ISNUMBER(INDEX(alltowndata,0,4)),INDEX(alltowndata,0,4)))),NA())</f>
        <v>1.0277478195620333</v>
      </c>
      <c r="E75" s="34">
        <f t="array" aca="1" ref="E75" ca="1">IF(F75&gt;0,SUM(IF(($C75=INDEX(alltowndata,0,1))*((INDEX(alltowndata,0,6)=RegionSelect)+(RegionSelect="A")),INDEX(alltowndata,0,COLUMN(INDIRECT($C$1&amp;"3"))),0)),NA())</f>
        <v>2394</v>
      </c>
      <c r="F75" s="34">
        <f t="array" aca="1" ref="F75" ca="1">SUM(IF(($C75=INDEX(alltowndata,0,1))*((INDEX(alltowndata,0,6)=RegionSelect)+(RegionSelect="A")),IF(INDEX(alltowndata,0,COLUMN(INDIRECT($C$1&amp;"3")))&gt;0,1,0)))</f>
        <v>7</v>
      </c>
      <c r="G75" s="34">
        <f t="array" aca="1" ref="G75" ca="1">SUM(IF(($C75=INDEX(alltowndata,0,1))*(INDEX(alltowndata,0,2)=TownSelect),INDEX(alltowndata,0,COLUMN(INDIRECT($C$1&amp;"3"))),0))</f>
        <v>650</v>
      </c>
      <c r="H75" s="34">
        <f t="array" aca="1" ref="H75" ca="1">IF(F75&gt;0,SUM(IF(($C75=INDEX(alltowndata,0,1))*((INDEX(alltowndata,0,6)="B")),INDEX(alltowndata,0,COLUMN(INDIRECT($C$1&amp;"3"))),0)),NA())</f>
        <v>2394</v>
      </c>
      <c r="I75">
        <f t="shared" ca="1" si="1"/>
        <v>1</v>
      </c>
    </row>
    <row r="76" spans="1:9">
      <c r="C76" s="6">
        <v>1985</v>
      </c>
      <c r="D76" s="36">
        <f t="array" aca="1" ref="D76" ca="1">IF(F76&gt;C$2,AVERAGE(IF($C76=INDEX(alltowndata,0,1),IF(ISNUMBER(INDEX(alltowndata,0,4)),INDEX(alltowndata,0,4)))),NA())</f>
        <v>1.5235907132867195</v>
      </c>
      <c r="E76" s="34">
        <f t="array" aca="1" ref="E76" ca="1">IF(F76&gt;0,SUM(IF(($C76=INDEX(alltowndata,0,1))*((INDEX(alltowndata,0,6)=RegionSelect)+(RegionSelect="A")),INDEX(alltowndata,0,COLUMN(INDIRECT($C$1&amp;"3"))),0)),NA())</f>
        <v>4387</v>
      </c>
      <c r="F76" s="34">
        <f t="array" aca="1" ref="F76" ca="1">SUM(IF(($C76=INDEX(alltowndata,0,1))*((INDEX(alltowndata,0,6)=RegionSelect)+(RegionSelect="A")),IF(INDEX(alltowndata,0,COLUMN(INDIRECT($C$1&amp;"3")))&gt;0,1,0)))</f>
        <v>7</v>
      </c>
      <c r="G76" s="34">
        <f t="array" aca="1" ref="G76" ca="1">SUM(IF(($C76=INDEX(alltowndata,0,1))*(INDEX(alltowndata,0,2)=TownSelect),INDEX(alltowndata,0,COLUMN(INDIRECT($C$1&amp;"3"))),0))</f>
        <v>918</v>
      </c>
      <c r="H76" s="34">
        <f t="array" aca="1" ref="H76" ca="1">IF(F76&gt;0,SUM(IF(($C76=INDEX(alltowndata,0,1))*((INDEX(alltowndata,0,6)="B")),INDEX(alltowndata,0,COLUMN(INDIRECT($C$1&amp;"3"))),0)),NA())</f>
        <v>4387</v>
      </c>
      <c r="I76">
        <f t="shared" ca="1" si="1"/>
        <v>1</v>
      </c>
    </row>
    <row r="77" spans="1:9">
      <c r="C77" s="6">
        <v>1986</v>
      </c>
      <c r="D77" s="36">
        <f t="array" aca="1" ref="D77" ca="1">IF(F77&gt;C$2,AVERAGE(IF($C77=INDEX(alltowndata,0,1),IF(ISNUMBER(INDEX(alltowndata,0,4)),INDEX(alltowndata,0,4)))),NA())</f>
        <v>2.0802502430131411</v>
      </c>
      <c r="E77" s="34">
        <f t="array" aca="1" ref="E77" ca="1">IF(F77&gt;0,SUM(IF(($C77=INDEX(alltowndata,0,1))*((INDEX(alltowndata,0,6)=RegionSelect)+(RegionSelect="A")),INDEX(alltowndata,0,COLUMN(INDIRECT($C$1&amp;"3"))),0)),NA())</f>
        <v>4786</v>
      </c>
      <c r="F77" s="34">
        <f t="array" aca="1" ref="F77" ca="1">SUM(IF(($C77=INDEX(alltowndata,0,1))*((INDEX(alltowndata,0,6)=RegionSelect)+(RegionSelect="A")),IF(INDEX(alltowndata,0,COLUMN(INDIRECT($C$1&amp;"3")))&gt;0,1,0)))</f>
        <v>5</v>
      </c>
      <c r="G77" s="34">
        <f t="array" aca="1" ref="G77" ca="1">SUM(IF(($C77=INDEX(alltowndata,0,1))*(INDEX(alltowndata,0,2)=TownSelect),INDEX(alltowndata,0,COLUMN(INDIRECT($C$1&amp;"3"))),0))</f>
        <v>907</v>
      </c>
      <c r="H77" s="34">
        <f t="array" aca="1" ref="H77" ca="1">IF(F77&gt;0,SUM(IF(($C77=INDEX(alltowndata,0,1))*((INDEX(alltowndata,0,6)="B")),INDEX(alltowndata,0,COLUMN(INDIRECT($C$1&amp;"3"))),0)),NA())</f>
        <v>4786</v>
      </c>
      <c r="I77">
        <f t="shared" ca="1" si="1"/>
        <v>1</v>
      </c>
    </row>
    <row r="78" spans="1:9">
      <c r="C78" s="6">
        <v>1987</v>
      </c>
      <c r="D78" s="36">
        <f t="array" aca="1" ref="D78" ca="1">IF(F78&gt;C$2,AVERAGE(IF($C78=INDEX(alltowndata,0,1),IF(ISNUMBER(INDEX(alltowndata,0,4)),INDEX(alltowndata,0,4)))),NA())</f>
        <v>1.9693826623602746</v>
      </c>
      <c r="E78" s="34">
        <f t="array" aca="1" ref="E78" ca="1">IF(F78&gt;0,SUM(IF(($C78=INDEX(alltowndata,0,1))*((INDEX(alltowndata,0,6)=RegionSelect)+(RegionSelect="A")),INDEX(alltowndata,0,COLUMN(INDIRECT($C$1&amp;"3"))),0)),NA())</f>
        <v>10984.5</v>
      </c>
      <c r="F78" s="34">
        <f t="array" aca="1" ref="F78" ca="1">SUM(IF(($C78=INDEX(alltowndata,0,1))*((INDEX(alltowndata,0,6)=RegionSelect)+(RegionSelect="A")),IF(INDEX(alltowndata,0,COLUMN(INDIRECT($C$1&amp;"3")))&gt;0,1,0)))</f>
        <v>8</v>
      </c>
      <c r="G78" s="34">
        <f t="array" aca="1" ref="G78" ca="1">SUM(IF(($C78=INDEX(alltowndata,0,1))*(INDEX(alltowndata,0,2)=TownSelect),INDEX(alltowndata,0,COLUMN(INDIRECT($C$1&amp;"3"))),0))</f>
        <v>789</v>
      </c>
      <c r="H78" s="34">
        <f t="array" aca="1" ref="H78" ca="1">IF(F78&gt;0,SUM(IF(($C78=INDEX(alltowndata,0,1))*((INDEX(alltowndata,0,6)="B")),INDEX(alltowndata,0,COLUMN(INDIRECT($C$1&amp;"3"))),0)),NA())</f>
        <v>10984.5</v>
      </c>
      <c r="I78">
        <f t="shared" ca="1" si="1"/>
        <v>1</v>
      </c>
    </row>
    <row r="79" spans="1:9">
      <c r="C79" s="6">
        <v>1988</v>
      </c>
      <c r="D79" s="36">
        <f t="array" aca="1" ref="D79" ca="1">IF(F79&gt;C$2,AVERAGE(IF($C79=INDEX(alltowndata,0,1),IF(ISNUMBER(INDEX(alltowndata,0,4)),INDEX(alltowndata,0,4)))),NA())</f>
        <v>1.7163247572702509</v>
      </c>
      <c r="E79" s="34">
        <f t="array" aca="1" ref="E79" ca="1">IF(F79&gt;0,SUM(IF(($C79=INDEX(alltowndata,0,1))*((INDEX(alltowndata,0,6)=RegionSelect)+(RegionSelect="A")),INDEX(alltowndata,0,COLUMN(INDIRECT($C$1&amp;"3"))),0)),NA())</f>
        <v>9989</v>
      </c>
      <c r="F79" s="34">
        <f t="array" aca="1" ref="F79" ca="1">SUM(IF(($C79=INDEX(alltowndata,0,1))*((INDEX(alltowndata,0,6)=RegionSelect)+(RegionSelect="A")),IF(INDEX(alltowndata,0,COLUMN(INDIRECT($C$1&amp;"3")))&gt;0,1,0)))</f>
        <v>6</v>
      </c>
      <c r="G79" s="34">
        <f t="array" aca="1" ref="G79" ca="1">SUM(IF(($C79=INDEX(alltowndata,0,1))*(INDEX(alltowndata,0,2)=TownSelect),INDEX(alltowndata,0,COLUMN(INDIRECT($C$1&amp;"3"))),0))</f>
        <v>1067</v>
      </c>
      <c r="H79" s="34">
        <f t="array" aca="1" ref="H79" ca="1">IF(F79&gt;0,SUM(IF(($C79=INDEX(alltowndata,0,1))*((INDEX(alltowndata,0,6)="B")),INDEX(alltowndata,0,COLUMN(INDIRECT($C$1&amp;"3"))),0)),NA())</f>
        <v>9989</v>
      </c>
      <c r="I79">
        <f t="shared" ca="1" si="1"/>
        <v>1</v>
      </c>
    </row>
    <row r="80" spans="1:9">
      <c r="C80" s="6">
        <v>1989</v>
      </c>
      <c r="D80" s="36">
        <f t="array" aca="1" ref="D80" ca="1">IF(F80&gt;C$2,AVERAGE(IF($C80=INDEX(alltowndata,0,1),IF(ISNUMBER(INDEX(alltowndata,0,4)),INDEX(alltowndata,0,4)))),NA())</f>
        <v>1.5624785052084746</v>
      </c>
      <c r="E80" s="34">
        <f t="array" aca="1" ref="E80" ca="1">IF(F80&gt;0,SUM(IF(($C80=INDEX(alltowndata,0,1))*((INDEX(alltowndata,0,6)=RegionSelect)+(RegionSelect="A")),INDEX(alltowndata,0,COLUMN(INDIRECT($C$1&amp;"3"))),0)),NA())</f>
        <v>11419</v>
      </c>
      <c r="F80" s="34">
        <f t="array" aca="1" ref="F80" ca="1">SUM(IF(($C80=INDEX(alltowndata,0,1))*((INDEX(alltowndata,0,6)=RegionSelect)+(RegionSelect="A")),IF(INDEX(alltowndata,0,COLUMN(INDIRECT($C$1&amp;"3")))&gt;0,1,0)))</f>
        <v>10</v>
      </c>
      <c r="G80" s="34">
        <f t="array" aca="1" ref="G80" ca="1">SUM(IF(($C80=INDEX(alltowndata,0,1))*(INDEX(alltowndata,0,2)=TownSelect),INDEX(alltowndata,0,COLUMN(INDIRECT($C$1&amp;"3"))),0))</f>
        <v>1081</v>
      </c>
      <c r="H80" s="34">
        <f t="array" aca="1" ref="H80" ca="1">IF(F80&gt;0,SUM(IF(($C80=INDEX(alltowndata,0,1))*((INDEX(alltowndata,0,6)="B")),INDEX(alltowndata,0,COLUMN(INDIRECT($C$1&amp;"3"))),0)),NA())</f>
        <v>11419</v>
      </c>
      <c r="I80">
        <f t="shared" ca="1" si="1"/>
        <v>1</v>
      </c>
    </row>
    <row r="81" spans="3:9">
      <c r="C81" s="6">
        <v>1990</v>
      </c>
      <c r="D81" s="36">
        <f t="array" aca="1" ref="D81" ca="1">IF(F81&gt;C$2,AVERAGE(IF($C81=INDEX(alltowndata,0,1),IF(ISNUMBER(INDEX(alltowndata,0,4)),INDEX(alltowndata,0,4)))),NA())</f>
        <v>1.1133769340183066</v>
      </c>
      <c r="E81" s="34">
        <f t="array" aca="1" ref="E81" ca="1">IF(F81&gt;0,SUM(IF(($C81=INDEX(alltowndata,0,1))*((INDEX(alltowndata,0,6)=RegionSelect)+(RegionSelect="A")),INDEX(alltowndata,0,COLUMN(INDIRECT($C$1&amp;"3"))),0)),NA())</f>
        <v>8217.5</v>
      </c>
      <c r="F81" s="34">
        <f t="array" aca="1" ref="F81" ca="1">SUM(IF(($C81=INDEX(alltowndata,0,1))*((INDEX(alltowndata,0,6)=RegionSelect)+(RegionSelect="A")),IF(INDEX(alltowndata,0,COLUMN(INDIRECT($C$1&amp;"3")))&gt;0,1,0)))</f>
        <v>9</v>
      </c>
      <c r="G81" s="34">
        <f t="array" aca="1" ref="G81" ca="1">SUM(IF(($C81=INDEX(alltowndata,0,1))*(INDEX(alltowndata,0,2)=TownSelect),INDEX(alltowndata,0,COLUMN(INDIRECT($C$1&amp;"3"))),0))</f>
        <v>862.5</v>
      </c>
      <c r="H81" s="34">
        <f t="array" aca="1" ref="H81" ca="1">IF(F81&gt;0,SUM(IF(($C81=INDEX(alltowndata,0,1))*((INDEX(alltowndata,0,6)="B")),INDEX(alltowndata,0,COLUMN(INDIRECT($C$1&amp;"3"))),0)),NA())</f>
        <v>8217.5</v>
      </c>
      <c r="I81">
        <f t="shared" ca="1" si="1"/>
        <v>1</v>
      </c>
    </row>
    <row r="82" spans="3:9">
      <c r="C82" s="6">
        <v>1991</v>
      </c>
      <c r="D82" s="36">
        <f t="array" aca="1" ref="D82" ca="1">IF(F82&gt;C$2,AVERAGE(IF($C82=INDEX(alltowndata,0,1),IF(ISNUMBER(INDEX(alltowndata,0,4)),INDEX(alltowndata,0,4)))),NA())</f>
        <v>0.90278366532846865</v>
      </c>
      <c r="E82" s="34">
        <f t="array" aca="1" ref="E82" ca="1">IF(F82&gt;0,SUM(IF(($C82=INDEX(alltowndata,0,1))*((INDEX(alltowndata,0,6)=RegionSelect)+(RegionSelect="A")),INDEX(alltowndata,0,COLUMN(INDIRECT($C$1&amp;"3"))),0)),NA())</f>
        <v>7838</v>
      </c>
      <c r="F82" s="34">
        <f t="array" aca="1" ref="F82" ca="1">SUM(IF(($C82=INDEX(alltowndata,0,1))*((INDEX(alltowndata,0,6)=RegionSelect)+(RegionSelect="A")),IF(INDEX(alltowndata,0,COLUMN(INDIRECT($C$1&amp;"3")))&gt;0,1,0)))</f>
        <v>8</v>
      </c>
      <c r="G82" s="34">
        <f t="array" aca="1" ref="G82" ca="1">SUM(IF(($C82=INDEX(alltowndata,0,1))*(INDEX(alltowndata,0,2)=TownSelect),INDEX(alltowndata,0,COLUMN(INDIRECT($C$1&amp;"3"))),0))</f>
        <v>689</v>
      </c>
      <c r="H82" s="34">
        <f t="array" aca="1" ref="H82" ca="1">IF(F82&gt;0,SUM(IF(($C82=INDEX(alltowndata,0,1))*((INDEX(alltowndata,0,6)="B")),INDEX(alltowndata,0,COLUMN(INDIRECT($C$1&amp;"3"))),0)),NA())</f>
        <v>7838</v>
      </c>
      <c r="I82">
        <f t="shared" ca="1" si="1"/>
        <v>1</v>
      </c>
    </row>
    <row r="83" spans="3:9">
      <c r="C83" s="6">
        <v>1992</v>
      </c>
      <c r="D83" s="36">
        <f t="array" aca="1" ref="D83" ca="1">IF(F83&gt;C$2,AVERAGE(IF($C83=INDEX(alltowndata,0,1),IF(ISNUMBER(INDEX(alltowndata,0,4)),INDEX(alltowndata,0,4)))),NA())</f>
        <v>0.92919735140916004</v>
      </c>
      <c r="E83" s="34">
        <f t="array" aca="1" ref="E83" ca="1">IF(F83&gt;0,SUM(IF(($C83=INDEX(alltowndata,0,1))*((INDEX(alltowndata,0,6)=RegionSelect)+(RegionSelect="A")),INDEX(alltowndata,0,COLUMN(INDIRECT($C$1&amp;"3"))),0)),NA())</f>
        <v>6907</v>
      </c>
      <c r="F83" s="34">
        <f t="array" aca="1" ref="F83" ca="1">SUM(IF(($C83=INDEX(alltowndata,0,1))*((INDEX(alltowndata,0,6)=RegionSelect)+(RegionSelect="A")),IF(INDEX(alltowndata,0,COLUMN(INDIRECT($C$1&amp;"3")))&gt;0,1,0)))</f>
        <v>8</v>
      </c>
      <c r="G83" s="34">
        <f t="array" aca="1" ref="G83" ca="1">SUM(IF(($C83=INDEX(alltowndata,0,1))*(INDEX(alltowndata,0,2)=TownSelect),INDEX(alltowndata,0,COLUMN(INDIRECT($C$1&amp;"3"))),0))</f>
        <v>765</v>
      </c>
      <c r="H83" s="34">
        <f t="array" aca="1" ref="H83" ca="1">IF(F83&gt;0,SUM(IF(($C83=INDEX(alltowndata,0,1))*((INDEX(alltowndata,0,6)="B")),INDEX(alltowndata,0,COLUMN(INDIRECT($C$1&amp;"3"))),0)),NA())</f>
        <v>6907</v>
      </c>
      <c r="I83">
        <f t="shared" ca="1" si="1"/>
        <v>1</v>
      </c>
    </row>
    <row r="84" spans="3:9">
      <c r="C84" s="6">
        <v>1993</v>
      </c>
      <c r="D84" s="36">
        <f t="array" aca="1" ref="D84" ca="1">IF(F84&gt;C$2,AVERAGE(IF($C84=INDEX(alltowndata,0,1),IF(ISNUMBER(INDEX(alltowndata,0,4)),INDEX(alltowndata,0,4)))),NA())</f>
        <v>1.1600118564882933</v>
      </c>
      <c r="E84" s="34">
        <f t="array" aca="1" ref="E84" ca="1">IF(F84&gt;0,SUM(IF(($C84=INDEX(alltowndata,0,1))*((INDEX(alltowndata,0,6)=RegionSelect)+(RegionSelect="A")),INDEX(alltowndata,0,COLUMN(INDIRECT($C$1&amp;"3"))),0)),NA())</f>
        <v>7465</v>
      </c>
      <c r="F84" s="34">
        <f t="array" aca="1" ref="F84" ca="1">SUM(IF(($C84=INDEX(alltowndata,0,1))*((INDEX(alltowndata,0,6)=RegionSelect)+(RegionSelect="A")),IF(INDEX(alltowndata,0,COLUMN(INDIRECT($C$1&amp;"3")))&gt;0,1,0)))</f>
        <v>8</v>
      </c>
      <c r="G84" s="34">
        <f t="array" aca="1" ref="G84" ca="1">SUM(IF(($C84=INDEX(alltowndata,0,1))*(INDEX(alltowndata,0,2)=TownSelect),INDEX(alltowndata,0,COLUMN(INDIRECT($C$1&amp;"3"))),0))</f>
        <v>956</v>
      </c>
      <c r="H84" s="34">
        <f t="array" aca="1" ref="H84" ca="1">IF(F84&gt;0,SUM(IF(($C84=INDEX(alltowndata,0,1))*((INDEX(alltowndata,0,6)="B")),INDEX(alltowndata,0,COLUMN(INDIRECT($C$1&amp;"3"))),0)),NA())</f>
        <v>7465</v>
      </c>
      <c r="I84">
        <f t="shared" ca="1" si="1"/>
        <v>1</v>
      </c>
    </row>
    <row r="85" spans="3:9">
      <c r="C85" s="6">
        <v>1994</v>
      </c>
      <c r="D85" s="36">
        <f t="array" aca="1" ref="D85" ca="1">IF(F85&gt;C$2,AVERAGE(IF($C85=INDEX(alltowndata,0,1),IF(ISNUMBER(INDEX(alltowndata,0,4)),INDEX(alltowndata,0,4)))),NA())</f>
        <v>1.2182832684147991</v>
      </c>
      <c r="E85" s="34">
        <f t="array" aca="1" ref="E85" ca="1">IF(F85&gt;0,SUM(IF(($C85=INDEX(alltowndata,0,1))*((INDEX(alltowndata,0,6)=RegionSelect)+(RegionSelect="A")),INDEX(alltowndata,0,COLUMN(INDIRECT($C$1&amp;"3"))),0)),NA())</f>
        <v>6483</v>
      </c>
      <c r="F85" s="34">
        <f t="array" aca="1" ref="F85" ca="1">SUM(IF(($C85=INDEX(alltowndata,0,1))*((INDEX(alltowndata,0,6)=RegionSelect)+(RegionSelect="A")),IF(INDEX(alltowndata,0,COLUMN(INDIRECT($C$1&amp;"3")))&gt;0,1,0)))</f>
        <v>7</v>
      </c>
      <c r="G85" s="34">
        <f t="array" aca="1" ref="G85" ca="1">SUM(IF(($C85=INDEX(alltowndata,0,1))*(INDEX(alltowndata,0,2)=TownSelect),INDEX(alltowndata,0,COLUMN(INDIRECT($C$1&amp;"3"))),0))</f>
        <v>0</v>
      </c>
      <c r="H85" s="34">
        <f t="array" aca="1" ref="H85" ca="1">IF(F85&gt;0,SUM(IF(($C85=INDEX(alltowndata,0,1))*((INDEX(alltowndata,0,6)="B")),INDEX(alltowndata,0,COLUMN(INDIRECT($C$1&amp;"3"))),0)),NA())</f>
        <v>6483</v>
      </c>
      <c r="I85">
        <f t="shared" ca="1" si="1"/>
        <v>1</v>
      </c>
    </row>
    <row r="86" spans="3:9">
      <c r="C86" s="6">
        <v>1995</v>
      </c>
      <c r="D86" s="36">
        <f t="array" aca="1" ref="D86" ca="1">IF(F86&gt;C$2,AVERAGE(IF($C86=INDEX(alltowndata,0,1),IF(ISNUMBER(INDEX(alltowndata,0,4)),INDEX(alltowndata,0,4)))),NA())</f>
        <v>0.73196762557714701</v>
      </c>
      <c r="E86" s="34">
        <f t="array" aca="1" ref="E86" ca="1">IF(F86&gt;0,SUM(IF(($C86=INDEX(alltowndata,0,1))*((INDEX(alltowndata,0,6)=RegionSelect)+(RegionSelect="A")),INDEX(alltowndata,0,COLUMN(INDIRECT($C$1&amp;"3"))),0)),NA())</f>
        <v>6009</v>
      </c>
      <c r="F86" s="34">
        <f t="array" aca="1" ref="F86" ca="1">SUM(IF(($C86=INDEX(alltowndata,0,1))*((INDEX(alltowndata,0,6)=RegionSelect)+(RegionSelect="A")),IF(INDEX(alltowndata,0,COLUMN(INDIRECT($C$1&amp;"3")))&gt;0,1,0)))</f>
        <v>8</v>
      </c>
      <c r="G86" s="34">
        <f t="array" aca="1" ref="G86" ca="1">SUM(IF(($C86=INDEX(alltowndata,0,1))*(INDEX(alltowndata,0,2)=TownSelect),INDEX(alltowndata,0,COLUMN(INDIRECT($C$1&amp;"3"))),0))</f>
        <v>634</v>
      </c>
      <c r="H86" s="34">
        <f t="array" aca="1" ref="H86" ca="1">IF(F86&gt;0,SUM(IF(($C86=INDEX(alltowndata,0,1))*((INDEX(alltowndata,0,6)="B")),INDEX(alltowndata,0,COLUMN(INDIRECT($C$1&amp;"3"))),0)),NA())</f>
        <v>6009</v>
      </c>
      <c r="I86">
        <f t="shared" ca="1" si="1"/>
        <v>1</v>
      </c>
    </row>
    <row r="87" spans="3:9">
      <c r="C87" s="6">
        <v>1996</v>
      </c>
      <c r="D87" s="36">
        <f t="array" aca="1" ref="D87" ca="1">IF(F87&gt;C$2,AVERAGE(IF($C87=INDEX(alltowndata,0,1),IF(ISNUMBER(INDEX(alltowndata,0,4)),INDEX(alltowndata,0,4)))),NA())</f>
        <v>0.78774626049054364</v>
      </c>
      <c r="E87" s="34">
        <f t="array" aca="1" ref="E87" ca="1">IF(F87&gt;0,SUM(IF(($C87=INDEX(alltowndata,0,1))*((INDEX(alltowndata,0,6)=RegionSelect)+(RegionSelect="A")),INDEX(alltowndata,0,COLUMN(INDIRECT($C$1&amp;"3"))),0)),NA())</f>
        <v>7702.5</v>
      </c>
      <c r="F87" s="34">
        <f t="array" aca="1" ref="F87" ca="1">SUM(IF(($C87=INDEX(alltowndata,0,1))*((INDEX(alltowndata,0,6)=RegionSelect)+(RegionSelect="A")),IF(INDEX(alltowndata,0,COLUMN(INDIRECT($C$1&amp;"3")))&gt;0,1,0)))</f>
        <v>9</v>
      </c>
      <c r="G87" s="34">
        <f t="array" aca="1" ref="G87" ca="1">SUM(IF(($C87=INDEX(alltowndata,0,1))*(INDEX(alltowndata,0,2)=TownSelect),INDEX(alltowndata,0,COLUMN(INDIRECT($C$1&amp;"3"))),0))</f>
        <v>2148</v>
      </c>
      <c r="H87" s="34">
        <f t="array" aca="1" ref="H87" ca="1">IF(F87&gt;0,SUM(IF(($C87=INDEX(alltowndata,0,1))*((INDEX(alltowndata,0,6)="B")),INDEX(alltowndata,0,COLUMN(INDIRECT($C$1&amp;"3"))),0)),NA())</f>
        <v>7702.5</v>
      </c>
      <c r="I87">
        <f t="shared" ca="1" si="1"/>
        <v>1</v>
      </c>
    </row>
    <row r="88" spans="3:9">
      <c r="C88" s="6">
        <v>1997</v>
      </c>
      <c r="D88" s="36">
        <f t="array" aca="1" ref="D88" ca="1">IF(F88&gt;C$2,AVERAGE(IF($C88=INDEX(alltowndata,0,1),IF(ISNUMBER(INDEX(alltowndata,0,4)),INDEX(alltowndata,0,4)))),NA())</f>
        <v>0.63190592442728977</v>
      </c>
      <c r="E88" s="34">
        <f t="array" aca="1" ref="E88" ca="1">IF(F88&gt;0,SUM(IF(($C88=INDEX(alltowndata,0,1))*((INDEX(alltowndata,0,6)=RegionSelect)+(RegionSelect="A")),INDEX(alltowndata,0,COLUMN(INDIRECT($C$1&amp;"3"))),0)),NA())</f>
        <v>5639.5</v>
      </c>
      <c r="F88" s="34">
        <f t="array" aca="1" ref="F88" ca="1">SUM(IF(($C88=INDEX(alltowndata,0,1))*((INDEX(alltowndata,0,6)=RegionSelect)+(RegionSelect="A")),IF(INDEX(alltowndata,0,COLUMN(INDIRECT($C$1&amp;"3")))&gt;0,1,0)))</f>
        <v>9</v>
      </c>
      <c r="G88" s="34">
        <f t="array" aca="1" ref="G88" ca="1">SUM(IF(($C88=INDEX(alltowndata,0,1))*(INDEX(alltowndata,0,2)=TownSelect),INDEX(alltowndata,0,COLUMN(INDIRECT($C$1&amp;"3"))),0))</f>
        <v>624</v>
      </c>
      <c r="H88" s="34">
        <f t="array" aca="1" ref="H88" ca="1">IF(F88&gt;0,SUM(IF(($C88=INDEX(alltowndata,0,1))*((INDEX(alltowndata,0,6)="B")),INDEX(alltowndata,0,COLUMN(INDIRECT($C$1&amp;"3"))),0)),NA())</f>
        <v>5639.5</v>
      </c>
      <c r="I88">
        <f t="shared" ca="1" si="1"/>
        <v>1</v>
      </c>
    </row>
    <row r="89" spans="3:9">
      <c r="C89" s="6">
        <v>1998</v>
      </c>
      <c r="D89" s="36">
        <f t="array" aca="1" ref="D89" ca="1">IF(F89&gt;C$2,AVERAGE(IF($C89=INDEX(alltowndata,0,1),IF(ISNUMBER(INDEX(alltowndata,0,4)),INDEX(alltowndata,0,4)))),NA())</f>
        <v>0.64020980671577321</v>
      </c>
      <c r="E89" s="34">
        <f t="array" aca="1" ref="E89" ca="1">IF(F89&gt;0,SUM(IF(($C89=INDEX(alltowndata,0,1))*((INDEX(alltowndata,0,6)=RegionSelect)+(RegionSelect="A")),INDEX(alltowndata,0,COLUMN(INDIRECT($C$1&amp;"3"))),0)),NA())</f>
        <v>5455.8</v>
      </c>
      <c r="F89" s="34">
        <f t="array" aca="1" ref="F89" ca="1">SUM(IF(($C89=INDEX(alltowndata,0,1))*((INDEX(alltowndata,0,6)=RegionSelect)+(RegionSelect="A")),IF(INDEX(alltowndata,0,COLUMN(INDIRECT($C$1&amp;"3")))&gt;0,1,0)))</f>
        <v>9</v>
      </c>
      <c r="G89" s="34">
        <f t="array" aca="1" ref="G89" ca="1">SUM(IF(($C89=INDEX(alltowndata,0,1))*(INDEX(alltowndata,0,2)=TownSelect),INDEX(alltowndata,0,COLUMN(INDIRECT($C$1&amp;"3"))),0))</f>
        <v>780</v>
      </c>
      <c r="H89" s="34">
        <f t="array" aca="1" ref="H89" ca="1">IF(F89&gt;0,SUM(IF(($C89=INDEX(alltowndata,0,1))*((INDEX(alltowndata,0,6)="B")),INDEX(alltowndata,0,COLUMN(INDIRECT($C$1&amp;"3"))),0)),NA())</f>
        <v>5455.8</v>
      </c>
      <c r="I89">
        <f t="shared" ca="1" si="1"/>
        <v>1</v>
      </c>
    </row>
    <row r="90" spans="3:9">
      <c r="C90" s="6">
        <v>1999</v>
      </c>
      <c r="D90" s="36">
        <f t="array" aca="1" ref="D90" ca="1">IF(F90&gt;C$2,AVERAGE(IF($C90=INDEX(alltowndata,0,1),IF(ISNUMBER(INDEX(alltowndata,0,4)),INDEX(alltowndata,0,4)))),NA())</f>
        <v>0.38632368272395728</v>
      </c>
      <c r="E90" s="34">
        <f t="array" aca="1" ref="E90" ca="1">IF(F90&gt;0,SUM(IF(($C90=INDEX(alltowndata,0,1))*((INDEX(alltowndata,0,6)=RegionSelect)+(RegionSelect="A")),INDEX(alltowndata,0,COLUMN(INDIRECT($C$1&amp;"3"))),0)),NA())</f>
        <v>2587.5500000000002</v>
      </c>
      <c r="F90" s="34">
        <f t="array" aca="1" ref="F90" ca="1">SUM(IF(($C90=INDEX(alltowndata,0,1))*((INDEX(alltowndata,0,6)=RegionSelect)+(RegionSelect="A")),IF(INDEX(alltowndata,0,COLUMN(INDIRECT($C$1&amp;"3")))&gt;0,1,0)))</f>
        <v>9</v>
      </c>
      <c r="G90" s="34">
        <f t="array" aca="1" ref="G90" ca="1">SUM(IF(($C90=INDEX(alltowndata,0,1))*(INDEX(alltowndata,0,2)=TownSelect),INDEX(alltowndata,0,COLUMN(INDIRECT($C$1&amp;"3"))),0))</f>
        <v>736.95</v>
      </c>
      <c r="H90" s="34">
        <f t="array" aca="1" ref="H90" ca="1">IF(F90&gt;0,SUM(IF(($C90=INDEX(alltowndata,0,1))*((INDEX(alltowndata,0,6)="B")),INDEX(alltowndata,0,COLUMN(INDIRECT($C$1&amp;"3"))),0)),NA())</f>
        <v>2587.5500000000002</v>
      </c>
      <c r="I90">
        <f t="shared" ca="1" si="1"/>
        <v>1</v>
      </c>
    </row>
    <row r="91" spans="3:9">
      <c r="C91" s="6">
        <v>2000</v>
      </c>
      <c r="D91" s="36">
        <f t="array" aca="1" ref="D91" ca="1">IF(F91&gt;C$2,AVERAGE(IF($C91=INDEX(alltowndata,0,1),IF(ISNUMBER(INDEX(alltowndata,0,4)),INDEX(alltowndata,0,4)))),NA())</f>
        <v>0.4212662635441588</v>
      </c>
      <c r="E91" s="34">
        <f t="array" aca="1" ref="E91" ca="1">IF(F91&gt;0,SUM(IF(($C91=INDEX(alltowndata,0,1))*((INDEX(alltowndata,0,6)=RegionSelect)+(RegionSelect="A")),INDEX(alltowndata,0,COLUMN(INDIRECT($C$1&amp;"3"))),0)),NA())</f>
        <v>1621.42</v>
      </c>
      <c r="F91" s="34">
        <f t="array" aca="1" ref="F91" ca="1">SUM(IF(($C91=INDEX(alltowndata,0,1))*((INDEX(alltowndata,0,6)=RegionSelect)+(RegionSelect="A")),IF(INDEX(alltowndata,0,COLUMN(INDIRECT($C$1&amp;"3")))&gt;0,1,0)))</f>
        <v>7</v>
      </c>
      <c r="G91" s="34">
        <f t="array" aca="1" ref="G91" ca="1">SUM(IF(($C91=INDEX(alltowndata,0,1))*(INDEX(alltowndata,0,2)=TownSelect),INDEX(alltowndata,0,COLUMN(INDIRECT($C$1&amp;"3"))),0))</f>
        <v>244</v>
      </c>
      <c r="H91" s="34">
        <f t="array" aca="1" ref="H91" ca="1">IF(F91&gt;0,SUM(IF(($C91=INDEX(alltowndata,0,1))*((INDEX(alltowndata,0,6)="B")),INDEX(alltowndata,0,COLUMN(INDIRECT($C$1&amp;"3"))),0)),NA())</f>
        <v>1621.42</v>
      </c>
      <c r="I91">
        <f t="shared" ca="1" si="1"/>
        <v>1</v>
      </c>
    </row>
    <row r="92" spans="3:9">
      <c r="C92" s="6">
        <v>2001</v>
      </c>
      <c r="D92" s="36">
        <f t="array" aca="1" ref="D92" ca="1">IF(F92&gt;C$2,AVERAGE(IF($C92=INDEX(alltowndata,0,1),IF(ISNUMBER(INDEX(alltowndata,0,4)),INDEX(alltowndata,0,4)))),NA())</f>
        <v>0.25662883583210483</v>
      </c>
      <c r="E92" s="34">
        <f t="array" aca="1" ref="E92" ca="1">IF(F92&gt;0,SUM(IF(($C92=INDEX(alltowndata,0,1))*((INDEX(alltowndata,0,6)=RegionSelect)+(RegionSelect="A")),INDEX(alltowndata,0,COLUMN(INDIRECT($C$1&amp;"3"))),0)),NA())</f>
        <v>623.79999999999995</v>
      </c>
      <c r="F92" s="34">
        <f t="array" aca="1" ref="F92" ca="1">SUM(IF(($C92=INDEX(alltowndata,0,1))*((INDEX(alltowndata,0,6)=RegionSelect)+(RegionSelect="A")),IF(INDEX(alltowndata,0,COLUMN(INDIRECT($C$1&amp;"3")))&gt;0,1,0)))</f>
        <v>7</v>
      </c>
      <c r="G92" s="34">
        <f t="array" aca="1" ref="G92" ca="1">SUM(IF(($C92=INDEX(alltowndata,0,1))*(INDEX(alltowndata,0,2)=TownSelect),INDEX(alltowndata,0,COLUMN(INDIRECT($C$1&amp;"3"))),0))</f>
        <v>215</v>
      </c>
      <c r="H92" s="34">
        <f t="array" aca="1" ref="H92" ca="1">IF(F92&gt;0,SUM(IF(($C92=INDEX(alltowndata,0,1))*((INDEX(alltowndata,0,6)="B")),INDEX(alltowndata,0,COLUMN(INDIRECT($C$1&amp;"3"))),0)),NA())</f>
        <v>623.79999999999995</v>
      </c>
      <c r="I92">
        <f t="shared" ca="1" si="1"/>
        <v>1</v>
      </c>
    </row>
    <row r="93" spans="3:9">
      <c r="C93" s="6">
        <v>2002</v>
      </c>
      <c r="D93" s="36">
        <f t="array" aca="1" ref="D93" ca="1">IF(F93&gt;C$2,AVERAGE(IF($C93=INDEX(alltowndata,0,1),IF(ISNUMBER(INDEX(alltowndata,0,4)),INDEX(alltowndata,0,4)))),NA())</f>
        <v>0.24339005844498529</v>
      </c>
      <c r="E93" s="34">
        <f t="array" aca="1" ref="E93" ca="1">IF(F93&gt;0,SUM(IF(($C93=INDEX(alltowndata,0,1))*((INDEX(alltowndata,0,6)=RegionSelect)+(RegionSelect="A")),INDEX(alltowndata,0,COLUMN(INDIRECT($C$1&amp;"3"))),0)),NA())</f>
        <v>2239.1799999999998</v>
      </c>
      <c r="F93" s="34">
        <f t="array" aca="1" ref="F93" ca="1">SUM(IF(($C93=INDEX(alltowndata,0,1))*((INDEX(alltowndata,0,6)=RegionSelect)+(RegionSelect="A")),IF(INDEX(alltowndata,0,COLUMN(INDIRECT($C$1&amp;"3")))&gt;0,1,0)))</f>
        <v>7</v>
      </c>
      <c r="G93" s="34">
        <f t="array" aca="1" ref="G93" ca="1">SUM(IF(($C93=INDEX(alltowndata,0,1))*(INDEX(alltowndata,0,2)=TownSelect),INDEX(alltowndata,0,COLUMN(INDIRECT($C$1&amp;"3"))),0))</f>
        <v>275</v>
      </c>
      <c r="H93" s="34">
        <f t="array" aca="1" ref="H93" ca="1">IF(F93&gt;0,SUM(IF(($C93=INDEX(alltowndata,0,1))*((INDEX(alltowndata,0,6)="B")),INDEX(alltowndata,0,COLUMN(INDIRECT($C$1&amp;"3"))),0)),NA())</f>
        <v>2239.1799999999998</v>
      </c>
      <c r="I93">
        <f t="shared" ca="1" si="1"/>
        <v>1</v>
      </c>
    </row>
    <row r="94" spans="3:9">
      <c r="C94" s="6">
        <v>2003</v>
      </c>
      <c r="D94" s="36">
        <f t="array" aca="1" ref="D94" ca="1">IF(F94&gt;C$2,AVERAGE(IF($C94=INDEX(alltowndata,0,1),IF(ISNUMBER(INDEX(alltowndata,0,4)),INDEX(alltowndata,0,4)))),NA())</f>
        <v>0.11901816836783144</v>
      </c>
      <c r="E94" s="34">
        <f t="array" aca="1" ref="E94" ca="1">IF(F94&gt;0,SUM(IF(($C94=INDEX(alltowndata,0,1))*((INDEX(alltowndata,0,6)=RegionSelect)+(RegionSelect="A")),INDEX(alltowndata,0,COLUMN(INDIRECT($C$1&amp;"3"))),0)),NA())</f>
        <v>1062</v>
      </c>
      <c r="F94" s="34">
        <f t="array" aca="1" ref="F94" ca="1">SUM(IF(($C94=INDEX(alltowndata,0,1))*((INDEX(alltowndata,0,6)=RegionSelect)+(RegionSelect="A")),IF(INDEX(alltowndata,0,COLUMN(INDIRECT($C$1&amp;"3")))&gt;0,1,0)))</f>
        <v>7</v>
      </c>
      <c r="G94" s="34">
        <f t="array" aca="1" ref="G94" ca="1">SUM(IF(($C94=INDEX(alltowndata,0,1))*(INDEX(alltowndata,0,2)=TownSelect),INDEX(alltowndata,0,COLUMN(INDIRECT($C$1&amp;"3"))),0))</f>
        <v>258</v>
      </c>
      <c r="H94" s="34">
        <f t="array" aca="1" ref="H94" ca="1">IF(F94&gt;0,SUM(IF(($C94=INDEX(alltowndata,0,1))*((INDEX(alltowndata,0,6)="B")),INDEX(alltowndata,0,COLUMN(INDIRECT($C$1&amp;"3"))),0)),NA())</f>
        <v>1062</v>
      </c>
      <c r="I94">
        <f t="shared" ca="1" si="1"/>
        <v>1</v>
      </c>
    </row>
    <row r="95" spans="3:9">
      <c r="C95" s="6">
        <v>2004</v>
      </c>
      <c r="D95" s="36">
        <f t="array" aca="1" ref="D95" ca="1">IF(F95&gt;C$2,AVERAGE(IF($C95=INDEX(alltowndata,0,1),IF(ISNUMBER(INDEX(alltowndata,0,4)),INDEX(alltowndata,0,4)))),NA())</f>
        <v>0.2864299824105434</v>
      </c>
      <c r="E95" s="34">
        <f t="array" aca="1" ref="E95" ca="1">IF(F95&gt;0,SUM(IF(($C95=INDEX(alltowndata,0,1))*((INDEX(alltowndata,0,6)=RegionSelect)+(RegionSelect="A")),INDEX(alltowndata,0,COLUMN(INDIRECT($C$1&amp;"3"))),0)),NA())</f>
        <v>2063.601090909091</v>
      </c>
      <c r="F95" s="34">
        <f t="array" aca="1" ref="F95" ca="1">SUM(IF(($C95=INDEX(alltowndata,0,1))*((INDEX(alltowndata,0,6)=RegionSelect)+(RegionSelect="A")),IF(INDEX(alltowndata,0,COLUMN(INDIRECT($C$1&amp;"3")))&gt;0,1,0)))</f>
        <v>6</v>
      </c>
      <c r="G95" s="34">
        <f t="array" aca="1" ref="G95" ca="1">SUM(IF(($C95=INDEX(alltowndata,0,1))*(INDEX(alltowndata,0,2)=TownSelect),INDEX(alltowndata,0,COLUMN(INDIRECT($C$1&amp;"3"))),0))</f>
        <v>258</v>
      </c>
      <c r="H95" s="34">
        <f t="array" aca="1" ref="H95" ca="1">IF(F95&gt;0,SUM(IF(($C95=INDEX(alltowndata,0,1))*((INDEX(alltowndata,0,6)="B")),INDEX(alltowndata,0,COLUMN(INDIRECT($C$1&amp;"3"))),0)),NA())</f>
        <v>2063.601090909091</v>
      </c>
      <c r="I95">
        <f t="shared" ca="1" si="1"/>
        <v>1</v>
      </c>
    </row>
    <row r="96" spans="3:9">
      <c r="C96" s="6">
        <v>2005</v>
      </c>
      <c r="D96" s="36">
        <f t="array" aca="1" ref="D96" ca="1">IF(F96&gt;C$2,AVERAGE(IF($C96=INDEX(alltowndata,0,1),IF(ISNUMBER(INDEX(alltowndata,0,4)),INDEX(alltowndata,0,4)))),NA())</f>
        <v>0.18277705324849966</v>
      </c>
      <c r="E96" s="34">
        <f t="array" aca="1" ref="E96" ca="1">IF(F96&gt;0,SUM(IF(($C96=INDEX(alltowndata,0,1))*((INDEX(alltowndata,0,6)=RegionSelect)+(RegionSelect="A")),INDEX(alltowndata,0,COLUMN(INDIRECT($C$1&amp;"3"))),0)),NA())</f>
        <v>1605.1</v>
      </c>
      <c r="F96" s="34">
        <f t="array" aca="1" ref="F96" ca="1">SUM(IF(($C96=INDEX(alltowndata,0,1))*((INDEX(alltowndata,0,6)=RegionSelect)+(RegionSelect="A")),IF(INDEX(alltowndata,0,COLUMN(INDIRECT($C$1&amp;"3")))&gt;0,1,0)))</f>
        <v>7</v>
      </c>
      <c r="G96" s="34">
        <f t="array" aca="1" ref="G96" ca="1">SUM(IF(($C96=INDEX(alltowndata,0,1))*(INDEX(alltowndata,0,2)=TownSelect),INDEX(alltowndata,0,COLUMN(INDIRECT($C$1&amp;"3"))),0))</f>
        <v>123.5</v>
      </c>
      <c r="H96" s="34">
        <f t="array" aca="1" ref="H96" ca="1">IF(F96&gt;0,SUM(IF(($C96=INDEX(alltowndata,0,1))*((INDEX(alltowndata,0,6)="B")),INDEX(alltowndata,0,COLUMN(INDIRECT($C$1&amp;"3"))),0)),NA())</f>
        <v>1605.1</v>
      </c>
      <c r="I96">
        <f t="shared" ca="1" si="1"/>
        <v>1</v>
      </c>
    </row>
    <row r="97" spans="3:9">
      <c r="C97" s="6">
        <v>2006</v>
      </c>
      <c r="D97" s="36">
        <f t="array" aca="1" ref="D97" ca="1">IF(F97&gt;C$2,AVERAGE(IF($C97=INDEX(alltowndata,0,1),IF(ISNUMBER(INDEX(alltowndata,0,4)),INDEX(alltowndata,0,4)))),NA())</f>
        <v>0.17335355581641915</v>
      </c>
      <c r="E97" s="34">
        <f t="array" aca="1" ref="E97" ca="1">IF(F97&gt;0,SUM(IF(($C97=INDEX(alltowndata,0,1))*((INDEX(alltowndata,0,6)=RegionSelect)+(RegionSelect="A")),INDEX(alltowndata,0,COLUMN(INDIRECT($C$1&amp;"3"))),0)),NA())</f>
        <v>1710.75</v>
      </c>
      <c r="F97" s="34">
        <f t="array" aca="1" ref="F97" ca="1">SUM(IF(($C97=INDEX(alltowndata,0,1))*((INDEX(alltowndata,0,6)=RegionSelect)+(RegionSelect="A")),IF(INDEX(alltowndata,0,COLUMN(INDIRECT($C$1&amp;"3")))&gt;0,1,0)))</f>
        <v>5</v>
      </c>
      <c r="G97" s="34">
        <f t="array" aca="1" ref="G97" ca="1">SUM(IF(($C97=INDEX(alltowndata,0,1))*(INDEX(alltowndata,0,2)=TownSelect),INDEX(alltowndata,0,COLUMN(INDIRECT($C$1&amp;"3"))),0))</f>
        <v>192.75</v>
      </c>
      <c r="H97" s="34">
        <f t="array" aca="1" ref="H97" ca="1">IF(F97&gt;0,SUM(IF(($C97=INDEX(alltowndata,0,1))*((INDEX(alltowndata,0,6)="B")),INDEX(alltowndata,0,COLUMN(INDIRECT($C$1&amp;"3"))),0)),NA())</f>
        <v>1710.75</v>
      </c>
      <c r="I97">
        <f t="shared" ca="1" si="1"/>
        <v>1</v>
      </c>
    </row>
    <row r="98" spans="3:9">
      <c r="C98" s="6">
        <v>2007</v>
      </c>
      <c r="D98" s="36">
        <f t="array" aca="1" ref="D98" ca="1">IF(F98&gt;C$2,AVERAGE(IF($C98=INDEX(alltowndata,0,1),IF(ISNUMBER(INDEX(alltowndata,0,4)),INDEX(alltowndata,0,4)))),NA())</f>
        <v>0.11023099754065617</v>
      </c>
      <c r="E98" s="34">
        <f t="array" aca="1" ref="E98" ca="1">IF(F98&gt;0,SUM(IF(($C98=INDEX(alltowndata,0,1))*((INDEX(alltowndata,0,6)=RegionSelect)+(RegionSelect="A")),INDEX(alltowndata,0,COLUMN(INDIRECT($C$1&amp;"3"))),0)),NA())</f>
        <v>941.9</v>
      </c>
      <c r="F98" s="34">
        <f t="array" aca="1" ref="F98" ca="1">SUM(IF(($C98=INDEX(alltowndata,0,1))*((INDEX(alltowndata,0,6)=RegionSelect)+(RegionSelect="A")),IF(INDEX(alltowndata,0,COLUMN(INDIRECT($C$1&amp;"3")))&gt;0,1,0)))</f>
        <v>5</v>
      </c>
      <c r="G98" s="34">
        <f t="array" aca="1" ref="G98" ca="1">SUM(IF(($C98=INDEX(alltowndata,0,1))*(INDEX(alltowndata,0,2)=TownSelect),INDEX(alltowndata,0,COLUMN(INDIRECT($C$1&amp;"3"))),0))</f>
        <v>81.5</v>
      </c>
      <c r="H98" s="34">
        <f t="array" aca="1" ref="H98" ca="1">IF(F98&gt;0,SUM(IF(($C98=INDEX(alltowndata,0,1))*((INDEX(alltowndata,0,6)="B")),INDEX(alltowndata,0,COLUMN(INDIRECT($C$1&amp;"3"))),0)),NA())</f>
        <v>941.9</v>
      </c>
      <c r="I98">
        <f t="shared" ca="1" si="1"/>
        <v>1</v>
      </c>
    </row>
    <row r="99" spans="3:9">
      <c r="C99" s="6">
        <v>2008</v>
      </c>
      <c r="D99" s="36" t="e">
        <f t="array" aca="1" ref="D99" ca="1">IF(F99&gt;C$2,AVERAGE(IF($C99=INDEX(alltowndata,0,1),IF(ISNUMBER(INDEX(alltowndata,0,4)),INDEX(alltowndata,0,4)))),NA())</f>
        <v>#N/A</v>
      </c>
      <c r="E99" s="34">
        <f t="array" aca="1" ref="E99" ca="1">IF(F99&gt;0,SUM(IF(($C99=INDEX(alltowndata,0,1))*((INDEX(alltowndata,0,6)=RegionSelect)+(RegionSelect="A")),INDEX(alltowndata,0,COLUMN(INDIRECT($C$1&amp;"3"))),0)),NA())</f>
        <v>180</v>
      </c>
      <c r="F99" s="34">
        <f t="array" aca="1" ref="F99" ca="1">SUM(IF(($C99=INDEX(alltowndata,0,1))*((INDEX(alltowndata,0,6)=RegionSelect)+(RegionSelect="A")),IF(INDEX(alltowndata,0,COLUMN(INDIRECT($C$1&amp;"3")))&gt;0,1,0)))</f>
        <v>1</v>
      </c>
      <c r="G99" s="34">
        <f t="array" aca="1" ref="G99" ca="1">SUM(IF(($C99=INDEX(alltowndata,0,1))*(INDEX(alltowndata,0,2)=TownSelect),INDEX(alltowndata,0,COLUMN(INDIRECT($C$1&amp;"3"))),0))</f>
        <v>0</v>
      </c>
      <c r="H99" s="34">
        <f t="array" aca="1" ref="H99" ca="1">IF(F99&gt;0,SUM(IF(($C99=INDEX(alltowndata,0,1))*((INDEX(alltowndata,0,6)="B")),INDEX(alltowndata,0,COLUMN(INDIRECT($C$1&amp;"3"))),0)),NA())</f>
        <v>180</v>
      </c>
      <c r="I99" t="e">
        <f t="shared" ca="1" si="1"/>
        <v>#N/A</v>
      </c>
    </row>
    <row r="100" spans="3:9">
      <c r="C100" s="6">
        <v>2009</v>
      </c>
      <c r="D100" s="36" t="e">
        <f t="array" aca="1" ref="D100" ca="1">IF(F100&gt;C$2,AVERAGE(IF($C100=INDEX(alltowndata,0,1),IF(ISNUMBER(INDEX(alltowndata,0,4)),INDEX(alltowndata,0,4)))),NA())</f>
        <v>#N/A</v>
      </c>
      <c r="E100" s="34">
        <f t="array" aca="1" ref="E100" ca="1">IF(F100&gt;0,SUM(IF(($C100=INDEX(alltowndata,0,1))*((INDEX(alltowndata,0,6)=RegionSelect)+(RegionSelect="A")),INDEX(alltowndata,0,COLUMN(INDIRECT($C$1&amp;"3"))),0)),NA())</f>
        <v>784</v>
      </c>
      <c r="F100" s="34">
        <f t="array" aca="1" ref="F100" ca="1">SUM(IF(($C100=INDEX(alltowndata,0,1))*((INDEX(alltowndata,0,6)=RegionSelect)+(RegionSelect="A")),IF(INDEX(alltowndata,0,COLUMN(INDIRECT($C$1&amp;"3")))&gt;0,1,0)))</f>
        <v>2</v>
      </c>
      <c r="G100" s="34">
        <f t="array" aca="1" ref="G100" ca="1">SUM(IF(($C100=INDEX(alltowndata,0,1))*(INDEX(alltowndata,0,2)=TownSelect),INDEX(alltowndata,0,COLUMN(INDIRECT($C$1&amp;"3"))),0))</f>
        <v>0</v>
      </c>
      <c r="H100" s="34">
        <f t="array" aca="1" ref="H100" ca="1">IF(F100&gt;0,SUM(IF(($C100=INDEX(alltowndata,0,1))*((INDEX(alltowndata,0,6)="B")),INDEX(alltowndata,0,COLUMN(INDIRECT($C$1&amp;"3"))),0)),NA())</f>
        <v>784</v>
      </c>
      <c r="I100" t="e">
        <f t="shared" ca="1" si="1"/>
        <v>#N/A</v>
      </c>
    </row>
  </sheetData>
  <dataValidations count="4">
    <dataValidation type="list" allowBlank="1" showInputMessage="1" showErrorMessage="1" sqref="H25">
      <formula1>towns</formula1>
    </dataValidation>
    <dataValidation type="list" allowBlank="1" showInputMessage="1" showErrorMessage="1" promptTitle="=b2:b6" sqref="C1">
      <formula1>ResourceColumn</formula1>
    </dataValidation>
    <dataValidation type="list" allowBlank="1" showInputMessage="1" showErrorMessage="1" sqref="C3">
      <formula1>Regions</formula1>
    </dataValidation>
    <dataValidation type="whole" operator="greaterThan" allowBlank="1" showInputMessage="1" showErrorMessage="1" sqref="C2">
      <formula1>0</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sheetPr syncVertical="1" syncRef="B2645" transitionEvaluation="1"/>
  <dimension ref="A1:BQ2868"/>
  <sheetViews>
    <sheetView showGridLines="0" zoomScaleNormal="100" workbookViewId="0">
      <pane xSplit="1" ySplit="1" topLeftCell="B2645" activePane="bottomRight" state="frozen"/>
      <selection pane="topRight" activeCell="B1" sqref="B1"/>
      <selection pane="bottomLeft" activeCell="A5" sqref="A5"/>
      <selection pane="bottomRight" activeCell="E2645" sqref="E2645"/>
    </sheetView>
  </sheetViews>
  <sheetFormatPr defaultColWidth="9.625" defaultRowHeight="11.25"/>
  <cols>
    <col min="1" max="1" width="11.625" style="27" customWidth="1"/>
    <col min="2" max="2" width="12.25" style="1" customWidth="1"/>
    <col min="3" max="3" width="6.375" style="25" customWidth="1"/>
    <col min="4" max="5" width="8.75" style="23" customWidth="1"/>
    <col min="6" max="6" width="6.375" style="23" customWidth="1"/>
    <col min="7" max="7" width="11.375" style="9" customWidth="1"/>
    <col min="8" max="8" width="11" style="9" customWidth="1"/>
    <col min="9" max="9" width="12.25" style="9" customWidth="1"/>
    <col min="10" max="11" width="10.625" style="9" customWidth="1"/>
    <col min="12" max="12" width="12.125" style="10" customWidth="1"/>
    <col min="13" max="13" width="14.375" style="11" customWidth="1"/>
    <col min="14" max="14" width="12.125" style="10" customWidth="1"/>
    <col min="15" max="15" width="12.875" style="11" customWidth="1"/>
    <col min="16" max="16" width="11.875" style="10" customWidth="1"/>
    <col min="17" max="17" width="13.875" style="11" customWidth="1"/>
    <col min="18" max="18" width="13.875" style="10" customWidth="1"/>
    <col min="19" max="19" width="13.875" style="11" customWidth="1"/>
    <col min="20" max="20" width="13.875" style="10" customWidth="1"/>
    <col min="21" max="21" width="13.875" style="11" customWidth="1"/>
    <col min="22" max="22" width="13.875" style="10" customWidth="1"/>
    <col min="23" max="23" width="13.875" style="11" customWidth="1"/>
    <col min="24" max="24" width="10.625" style="10" customWidth="1"/>
    <col min="25" max="25" width="12.875" style="11" customWidth="1"/>
    <col min="26" max="26" width="12.875" style="10" customWidth="1"/>
    <col min="27" max="27" width="12.875" style="11" customWidth="1"/>
    <col min="28" max="28" width="12.875" style="10" customWidth="1"/>
    <col min="29" max="29" width="12.875" style="11" customWidth="1"/>
    <col min="30" max="30" width="12.875" style="10" customWidth="1"/>
    <col min="31" max="31" width="12.875" style="11" customWidth="1"/>
    <col min="32" max="32" width="10.625" style="10" customWidth="1"/>
    <col min="33" max="33" width="12.875" style="11" customWidth="1"/>
    <col min="34" max="34" width="10.625" style="10" customWidth="1"/>
    <col min="35" max="35" width="10.625" style="11" customWidth="1"/>
    <col min="36" max="36" width="10.625" style="10" customWidth="1"/>
    <col min="37" max="37" width="12.875" style="11" customWidth="1"/>
    <col min="38" max="38" width="10.625" style="10" customWidth="1"/>
    <col min="39" max="39" width="10.625" style="11" customWidth="1"/>
    <col min="40" max="40" width="10.625" style="10" customWidth="1"/>
    <col min="41" max="41" width="12.875" style="11" customWidth="1"/>
    <col min="42" max="42" width="9.625" style="10"/>
    <col min="43" max="43" width="10.875" style="11" customWidth="1"/>
    <col min="44" max="44" width="10.625" style="10" customWidth="1"/>
    <col min="45" max="45" width="12.875" style="11" customWidth="1"/>
    <col min="46" max="46" width="9.625" style="10"/>
    <col min="47" max="47" width="10.875" style="11" customWidth="1"/>
    <col min="48" max="48" width="10.625" style="10" customWidth="1"/>
    <col min="49" max="49" width="12.875" style="11" customWidth="1"/>
    <col min="50" max="50" width="9.625" style="10"/>
    <col min="51" max="51" width="9.625" style="11"/>
    <col min="52" max="52" width="9.625" style="10"/>
    <col min="53" max="53" width="10.875" style="11" customWidth="1"/>
    <col min="54" max="54" width="9.625" style="10"/>
    <col min="55" max="55" width="10.75" style="11" customWidth="1"/>
    <col min="56" max="56" width="11.375" style="10" customWidth="1"/>
    <col min="57" max="57" width="11.375" style="11" customWidth="1"/>
    <col min="58" max="58" width="11.375" style="10" customWidth="1"/>
    <col min="59" max="59" width="11.375" style="11" customWidth="1"/>
    <col min="60" max="61" width="9.625" style="11"/>
    <col min="62" max="62" width="11.375" style="10" customWidth="1"/>
    <col min="63" max="63" width="11.375" style="11" customWidth="1"/>
    <col min="64" max="64" width="11.375" style="10" customWidth="1"/>
    <col min="65" max="65" width="11.375" style="11" customWidth="1"/>
    <col min="66" max="16384" width="9.625" style="1"/>
  </cols>
  <sheetData>
    <row r="1" spans="1:69" s="30" customFormat="1" ht="47.25" customHeight="1">
      <c r="A1" s="27" t="s">
        <v>141</v>
      </c>
      <c r="B1" s="30" t="s">
        <v>266</v>
      </c>
      <c r="C1" s="30" t="s">
        <v>198</v>
      </c>
      <c r="D1" s="31" t="s">
        <v>196</v>
      </c>
      <c r="E1" s="31" t="s">
        <v>317</v>
      </c>
      <c r="F1" s="31" t="s">
        <v>264</v>
      </c>
      <c r="G1" s="32" t="s">
        <v>288</v>
      </c>
      <c r="H1" s="32" t="s">
        <v>289</v>
      </c>
      <c r="I1" s="32" t="s">
        <v>290</v>
      </c>
      <c r="J1" s="32" t="s">
        <v>271</v>
      </c>
      <c r="K1" s="32" t="s">
        <v>259</v>
      </c>
      <c r="L1" s="33" t="s">
        <v>158</v>
      </c>
      <c r="M1" s="30" t="s">
        <v>159</v>
      </c>
      <c r="N1" s="33" t="s">
        <v>160</v>
      </c>
      <c r="O1" s="30" t="s">
        <v>161</v>
      </c>
      <c r="P1" s="33" t="s">
        <v>142</v>
      </c>
      <c r="Q1" s="30" t="s">
        <v>143</v>
      </c>
      <c r="R1" s="33" t="s">
        <v>144</v>
      </c>
      <c r="S1" s="30" t="s">
        <v>145</v>
      </c>
      <c r="T1" s="33" t="s">
        <v>146</v>
      </c>
      <c r="U1" s="30" t="s">
        <v>147</v>
      </c>
      <c r="V1" s="33" t="s">
        <v>148</v>
      </c>
      <c r="W1" s="30" t="s">
        <v>149</v>
      </c>
      <c r="X1" s="33" t="s">
        <v>150</v>
      </c>
      <c r="Y1" s="30" t="s">
        <v>151</v>
      </c>
      <c r="Z1" s="33" t="s">
        <v>152</v>
      </c>
      <c r="AA1" s="30" t="s">
        <v>153</v>
      </c>
      <c r="AB1" s="33" t="s">
        <v>154</v>
      </c>
      <c r="AC1" s="30" t="s">
        <v>155</v>
      </c>
      <c r="AD1" s="33" t="s">
        <v>156</v>
      </c>
      <c r="AE1" s="30" t="s">
        <v>157</v>
      </c>
      <c r="AF1" s="33" t="s">
        <v>162</v>
      </c>
      <c r="AG1" s="30" t="s">
        <v>163</v>
      </c>
      <c r="AH1" s="33" t="s">
        <v>164</v>
      </c>
      <c r="AI1" s="30" t="s">
        <v>165</v>
      </c>
      <c r="AJ1" s="33" t="s">
        <v>166</v>
      </c>
      <c r="AK1" s="30" t="s">
        <v>167</v>
      </c>
      <c r="AL1" s="33" t="s">
        <v>168</v>
      </c>
      <c r="AM1" s="30" t="s">
        <v>169</v>
      </c>
      <c r="AN1" s="33" t="s">
        <v>170</v>
      </c>
      <c r="AO1" s="30" t="s">
        <v>171</v>
      </c>
      <c r="AP1" s="33" t="s">
        <v>172</v>
      </c>
      <c r="AQ1" s="30" t="s">
        <v>173</v>
      </c>
      <c r="AR1" s="33" t="s">
        <v>174</v>
      </c>
      <c r="AS1" s="30" t="s">
        <v>175</v>
      </c>
      <c r="AT1" s="33" t="s">
        <v>176</v>
      </c>
      <c r="AU1" s="30" t="s">
        <v>177</v>
      </c>
      <c r="AV1" s="33" t="s">
        <v>178</v>
      </c>
      <c r="AW1" s="30" t="s">
        <v>179</v>
      </c>
      <c r="AX1" s="33" t="s">
        <v>180</v>
      </c>
      <c r="AY1" s="30" t="s">
        <v>181</v>
      </c>
      <c r="AZ1" s="33" t="s">
        <v>182</v>
      </c>
      <c r="BA1" s="30" t="s">
        <v>183</v>
      </c>
      <c r="BB1" s="33" t="s">
        <v>184</v>
      </c>
      <c r="BC1" s="30" t="s">
        <v>185</v>
      </c>
      <c r="BD1" s="33" t="s">
        <v>186</v>
      </c>
      <c r="BE1" s="30" t="s">
        <v>187</v>
      </c>
      <c r="BF1" s="33" t="s">
        <v>188</v>
      </c>
      <c r="BG1" s="30" t="s">
        <v>189</v>
      </c>
      <c r="BH1" s="30" t="s">
        <v>190</v>
      </c>
      <c r="BI1" s="30" t="s">
        <v>191</v>
      </c>
      <c r="BJ1" s="33" t="s">
        <v>192</v>
      </c>
      <c r="BK1" s="30" t="s">
        <v>193</v>
      </c>
      <c r="BL1" s="33" t="s">
        <v>194</v>
      </c>
      <c r="BM1" s="30" t="s">
        <v>195</v>
      </c>
      <c r="BN1" s="30" t="s">
        <v>260</v>
      </c>
      <c r="BO1" s="30" t="s">
        <v>261</v>
      </c>
      <c r="BP1" s="30" t="s">
        <v>262</v>
      </c>
      <c r="BQ1" s="30" t="s">
        <v>263</v>
      </c>
    </row>
    <row r="2" spans="1:69">
      <c r="A2" s="28">
        <v>1955</v>
      </c>
      <c r="B2" s="27" t="s">
        <v>137</v>
      </c>
      <c r="C2" s="24">
        <f>ROW()</f>
        <v>2</v>
      </c>
      <c r="D2" s="7" t="e">
        <f t="shared" ref="D2:D65" ca="1" si="0">IF(AND((INDIRECT(DatCol&amp;TEXT(ROW(),"###"))&gt;0),((F2=RegionSelect)+(RegionSelect="A"))),INDIRECT(DatCol&amp;TEXT(ROW(),"###"))/E2,NA())</f>
        <v>#N/A</v>
      </c>
      <c r="E2" s="26">
        <f t="array" aca="1" ref="E2" ca="1">AVERAGE(IF(INDIRECT(DatCol&amp;"$"&amp;TEXT(C2,"###")):INDIRECT(DatCol&amp;"$"&amp;TEXT(C2+57,"###"))&gt;0,INDIRECT(DatCol&amp;"$"&amp;TEXT(C2,"###")):INDIRECT(DatCol&amp;"$"&amp;TEXT(C2+57,"###"))))</f>
        <v>370.13629629629628</v>
      </c>
      <c r="F2" s="26" t="str">
        <f t="shared" ref="F2:F68" si="1">VLOOKUP(B2,town_region,2,FALSE)</f>
        <v>C</v>
      </c>
      <c r="M2" s="11">
        <f>(L2*50)</f>
        <v>0</v>
      </c>
      <c r="O2" s="11">
        <f>(N2*50)</f>
        <v>0</v>
      </c>
      <c r="Q2" s="11">
        <f>((P2*330)/5.5)</f>
        <v>0</v>
      </c>
      <c r="Y2" s="11">
        <f>((X2*330)/5.5)</f>
        <v>0</v>
      </c>
      <c r="AF2" s="10">
        <v>0</v>
      </c>
      <c r="AG2" s="11">
        <f>(AF2*65)</f>
        <v>0</v>
      </c>
      <c r="AI2" s="11">
        <f>(AH2*65)</f>
        <v>0</v>
      </c>
      <c r="AJ2" s="12" t="s">
        <v>0</v>
      </c>
      <c r="AK2" s="13">
        <f>(AJ2*9)</f>
        <v>0</v>
      </c>
      <c r="AL2" s="12" t="s">
        <v>1</v>
      </c>
      <c r="AM2" s="13">
        <f>(AL2*9)</f>
        <v>0</v>
      </c>
      <c r="AN2" s="10">
        <v>0</v>
      </c>
      <c r="AO2" s="11">
        <f>(AN2*80)</f>
        <v>0</v>
      </c>
      <c r="AP2" s="10">
        <v>0</v>
      </c>
      <c r="AQ2" s="11">
        <f>(AP2*80)</f>
        <v>0</v>
      </c>
      <c r="AR2" s="10">
        <v>0</v>
      </c>
      <c r="AS2" s="11">
        <f>(AR2*50)</f>
        <v>0</v>
      </c>
      <c r="AT2" s="10">
        <v>0</v>
      </c>
      <c r="AU2" s="11">
        <f>(AT2*50)</f>
        <v>0</v>
      </c>
      <c r="AV2" s="10">
        <v>0</v>
      </c>
      <c r="AW2" s="11">
        <f>(AV2*60)</f>
        <v>0</v>
      </c>
      <c r="AY2" s="11">
        <f>(AX2*60)</f>
        <v>0</v>
      </c>
      <c r="AZ2" s="10">
        <v>0</v>
      </c>
      <c r="BA2" s="11">
        <f t="shared" ref="BA2:BC18" si="2">(AZ2*40)</f>
        <v>0</v>
      </c>
      <c r="BB2" s="10">
        <v>0</v>
      </c>
      <c r="BC2" s="11">
        <f t="shared" si="2"/>
        <v>0</v>
      </c>
      <c r="BD2" s="10">
        <v>0</v>
      </c>
      <c r="BE2" s="11">
        <f>(BD2*95)</f>
        <v>0</v>
      </c>
      <c r="BF2" s="10">
        <v>0</v>
      </c>
      <c r="BG2" s="11">
        <f>(BF2*95)</f>
        <v>0</v>
      </c>
      <c r="BI2" s="13" t="s">
        <v>2</v>
      </c>
      <c r="BN2" s="8">
        <f t="shared" ref="BN2:BN65" si="3">(L2+P2+R2+T2+V2+X2+Z2+AB2+AD2+AF2+AJ2+AN2+AR2+AV2+AZ2+BD2)</f>
        <v>0</v>
      </c>
      <c r="BO2" s="8">
        <f t="shared" ref="BO2:BO66" si="4">(M2+Q2+S2+U2+W2+Y2+AA2+AC2+AG2+AK2+AO2+AS2+AW2+BA2+BE2)</f>
        <v>0</v>
      </c>
      <c r="BP2" s="8">
        <f t="shared" ref="BP2:BP11" si="5">(N2+X2+Z2+AB2+AD2+AH2+AL2+AP2+AT2+AX2+BB2+BF2)</f>
        <v>0</v>
      </c>
      <c r="BQ2" s="12">
        <f t="shared" ref="BQ2:BQ11" si="6">(O2+Y2+AA2+AC2+AE2+AI2+AM2+AQ2+AU2+AY2+BC2+BG2)</f>
        <v>0</v>
      </c>
    </row>
    <row r="3" spans="1:69">
      <c r="A3" s="28">
        <v>1956</v>
      </c>
      <c r="B3" s="27" t="s">
        <v>137</v>
      </c>
      <c r="C3" s="24">
        <f>C2</f>
        <v>2</v>
      </c>
      <c r="D3" s="7" t="e">
        <f t="shared" ca="1" si="0"/>
        <v>#N/A</v>
      </c>
      <c r="E3" s="26">
        <f t="array" aca="1" ref="E3" ca="1">AVERAGE(IF(INDIRECT(DatCol&amp;"$"&amp;TEXT(C3,"###")):INDIRECT(DatCol&amp;"$"&amp;TEXT(C3+57,"###"))&gt;0,INDIRECT(DatCol&amp;"$"&amp;TEXT(C3,"###")):INDIRECT(DatCol&amp;"$"&amp;TEXT(C3+57,"###"))))</f>
        <v>370.13629629629628</v>
      </c>
      <c r="F3" s="26" t="str">
        <f t="shared" si="1"/>
        <v>C</v>
      </c>
      <c r="G3" s="8"/>
      <c r="M3" s="11">
        <f t="shared" ref="M3:M18" si="7">(L3*50)</f>
        <v>0</v>
      </c>
      <c r="O3" s="11">
        <f t="shared" ref="O3:O18" si="8">(N3*50)</f>
        <v>0</v>
      </c>
      <c r="Q3" s="11">
        <f t="shared" ref="Q3:Q18" si="9">((P3*330)/5.5)</f>
        <v>0</v>
      </c>
      <c r="Y3" s="11">
        <f t="shared" ref="Y3:Y18" si="10">((X3*330)/5.5)</f>
        <v>0</v>
      </c>
      <c r="AG3" s="11">
        <f t="shared" ref="AG3:AG18" si="11">(AF3*65)</f>
        <v>0</v>
      </c>
      <c r="AI3" s="11">
        <f t="shared" ref="AI3:AI18" si="12">(AH3*65)</f>
        <v>0</v>
      </c>
      <c r="AJ3" s="12" t="s">
        <v>3</v>
      </c>
      <c r="AK3" s="13">
        <f t="shared" ref="AK3:AK18" si="13">(AJ3*9)</f>
        <v>0</v>
      </c>
      <c r="AM3" s="13">
        <f t="shared" ref="AM3:AM18" si="14">(AL3*9)</f>
        <v>0</v>
      </c>
      <c r="AO3" s="11">
        <f t="shared" ref="AO3:AO18" si="15">(AN3*80)</f>
        <v>0</v>
      </c>
      <c r="AQ3" s="11">
        <f t="shared" ref="AQ3:AQ18" si="16">(AP3*80)</f>
        <v>0</v>
      </c>
      <c r="AS3" s="11">
        <f t="shared" ref="AS3:AS18" si="17">(AR3*50)</f>
        <v>0</v>
      </c>
      <c r="AU3" s="11">
        <f t="shared" ref="AU3:AU18" si="18">(AT3*50)</f>
        <v>0</v>
      </c>
      <c r="AW3" s="11">
        <f t="shared" ref="AW3:AW18" si="19">(AV3*60)</f>
        <v>0</v>
      </c>
      <c r="AY3" s="11">
        <f t="shared" ref="AY3:AY18" si="20">(AX3*60)</f>
        <v>0</v>
      </c>
      <c r="BA3" s="11">
        <f t="shared" si="2"/>
        <v>0</v>
      </c>
      <c r="BC3" s="11">
        <f t="shared" si="2"/>
        <v>0</v>
      </c>
      <c r="BE3" s="11">
        <f t="shared" ref="BE3:BE18" si="21">(BD3*95)</f>
        <v>0</v>
      </c>
      <c r="BG3" s="11">
        <f t="shared" ref="BG3:BG18" si="22">(BF3*95)</f>
        <v>0</v>
      </c>
      <c r="BN3" s="8">
        <f t="shared" si="3"/>
        <v>0</v>
      </c>
      <c r="BO3" s="8">
        <f t="shared" si="4"/>
        <v>0</v>
      </c>
      <c r="BP3" s="8">
        <f t="shared" si="5"/>
        <v>0</v>
      </c>
      <c r="BQ3" s="12">
        <f t="shared" si="6"/>
        <v>0</v>
      </c>
    </row>
    <row r="4" spans="1:69">
      <c r="A4" s="28">
        <v>1957</v>
      </c>
      <c r="B4" s="27" t="s">
        <v>137</v>
      </c>
      <c r="C4" s="24">
        <f t="shared" ref="C4:C59" si="23">C3</f>
        <v>2</v>
      </c>
      <c r="D4" s="7" t="e">
        <f t="shared" ca="1" si="0"/>
        <v>#N/A</v>
      </c>
      <c r="E4" s="26">
        <f t="array" aca="1" ref="E4" ca="1">AVERAGE(IF(INDIRECT(DatCol&amp;"$"&amp;TEXT(C4,"###")):INDIRECT(DatCol&amp;"$"&amp;TEXT(C4+57,"###"))&gt;0,INDIRECT(DatCol&amp;"$"&amp;TEXT(C4,"###")):INDIRECT(DatCol&amp;"$"&amp;TEXT(C4+57,"###"))))</f>
        <v>370.13629629629628</v>
      </c>
      <c r="F4" s="26" t="str">
        <f t="shared" si="1"/>
        <v>C</v>
      </c>
      <c r="G4" s="8"/>
      <c r="K4" s="9">
        <f t="shared" ref="K4:K67" si="24">G4+H4+J4</f>
        <v>0</v>
      </c>
      <c r="M4" s="11">
        <f t="shared" si="7"/>
        <v>0</v>
      </c>
      <c r="O4" s="11">
        <f t="shared" si="8"/>
        <v>0</v>
      </c>
      <c r="Q4" s="11">
        <f t="shared" si="9"/>
        <v>0</v>
      </c>
      <c r="Y4" s="11">
        <f t="shared" si="10"/>
        <v>0</v>
      </c>
      <c r="AF4" s="12" t="s">
        <v>4</v>
      </c>
      <c r="AG4" s="11">
        <f t="shared" si="11"/>
        <v>0</v>
      </c>
      <c r="AI4" s="11">
        <f t="shared" si="12"/>
        <v>0</v>
      </c>
      <c r="AJ4" s="12" t="s">
        <v>5</v>
      </c>
      <c r="AK4" s="13">
        <f t="shared" si="13"/>
        <v>0</v>
      </c>
      <c r="AM4" s="13">
        <f t="shared" si="14"/>
        <v>0</v>
      </c>
      <c r="AO4" s="11">
        <f t="shared" si="15"/>
        <v>0</v>
      </c>
      <c r="AQ4" s="11">
        <f t="shared" si="16"/>
        <v>0</v>
      </c>
      <c r="AS4" s="11">
        <f t="shared" si="17"/>
        <v>0</v>
      </c>
      <c r="AU4" s="11">
        <f t="shared" si="18"/>
        <v>0</v>
      </c>
      <c r="AW4" s="11">
        <f t="shared" si="19"/>
        <v>0</v>
      </c>
      <c r="AY4" s="11">
        <f t="shared" si="20"/>
        <v>0</v>
      </c>
      <c r="BA4" s="11">
        <f t="shared" si="2"/>
        <v>0</v>
      </c>
      <c r="BC4" s="11">
        <f t="shared" si="2"/>
        <v>0</v>
      </c>
      <c r="BE4" s="11">
        <f t="shared" si="21"/>
        <v>0</v>
      </c>
      <c r="BG4" s="11">
        <f t="shared" si="22"/>
        <v>0</v>
      </c>
      <c r="BN4" s="8">
        <f t="shared" si="3"/>
        <v>0</v>
      </c>
      <c r="BO4" s="8">
        <f t="shared" si="4"/>
        <v>0</v>
      </c>
      <c r="BP4" s="8">
        <f t="shared" si="5"/>
        <v>0</v>
      </c>
      <c r="BQ4" s="12">
        <f t="shared" si="6"/>
        <v>0</v>
      </c>
    </row>
    <row r="5" spans="1:69">
      <c r="A5" s="28">
        <v>1958</v>
      </c>
      <c r="B5" s="27" t="s">
        <v>137</v>
      </c>
      <c r="C5" s="24">
        <f t="shared" si="23"/>
        <v>2</v>
      </c>
      <c r="D5" s="7" t="e">
        <f t="shared" ca="1" si="0"/>
        <v>#N/A</v>
      </c>
      <c r="E5" s="26">
        <f t="array" aca="1" ref="E5" ca="1">AVERAGE(IF(INDIRECT(DatCol&amp;"$"&amp;TEXT(C5,"###")):INDIRECT(DatCol&amp;"$"&amp;TEXT(C5+57,"###"))&gt;0,INDIRECT(DatCol&amp;"$"&amp;TEXT(C5,"###")):INDIRECT(DatCol&amp;"$"&amp;TEXT(C5+57,"###"))))</f>
        <v>370.13629629629628</v>
      </c>
      <c r="F5" s="26" t="str">
        <f t="shared" si="1"/>
        <v>C</v>
      </c>
      <c r="G5" s="8"/>
      <c r="K5" s="9">
        <f t="shared" si="24"/>
        <v>0</v>
      </c>
      <c r="L5" s="12" t="s">
        <v>6</v>
      </c>
      <c r="M5" s="11">
        <f t="shared" si="7"/>
        <v>0</v>
      </c>
      <c r="O5" s="11">
        <f t="shared" si="8"/>
        <v>0</v>
      </c>
      <c r="Q5" s="11">
        <f t="shared" si="9"/>
        <v>0</v>
      </c>
      <c r="Y5" s="11">
        <f t="shared" si="10"/>
        <v>0</v>
      </c>
      <c r="AF5" s="12" t="s">
        <v>7</v>
      </c>
      <c r="AG5" s="11">
        <f t="shared" si="11"/>
        <v>0</v>
      </c>
      <c r="AH5" s="12">
        <v>1000</v>
      </c>
      <c r="AI5" s="11">
        <f t="shared" si="12"/>
        <v>65000</v>
      </c>
      <c r="AJ5" s="12" t="s">
        <v>8</v>
      </c>
      <c r="AK5" s="13">
        <f t="shared" si="13"/>
        <v>0</v>
      </c>
      <c r="AM5" s="13">
        <f t="shared" si="14"/>
        <v>0</v>
      </c>
      <c r="AO5" s="11">
        <f t="shared" si="15"/>
        <v>0</v>
      </c>
      <c r="AQ5" s="11">
        <f t="shared" si="16"/>
        <v>0</v>
      </c>
      <c r="AS5" s="11">
        <f t="shared" si="17"/>
        <v>0</v>
      </c>
      <c r="AU5" s="11">
        <f t="shared" si="18"/>
        <v>0</v>
      </c>
      <c r="AW5" s="11">
        <f t="shared" si="19"/>
        <v>0</v>
      </c>
      <c r="AY5" s="11">
        <f t="shared" si="20"/>
        <v>0</v>
      </c>
      <c r="BA5" s="11">
        <f t="shared" si="2"/>
        <v>0</v>
      </c>
      <c r="BC5" s="11">
        <f t="shared" si="2"/>
        <v>0</v>
      </c>
      <c r="BE5" s="11">
        <f t="shared" si="21"/>
        <v>0</v>
      </c>
      <c r="BG5" s="11">
        <f t="shared" si="22"/>
        <v>0</v>
      </c>
      <c r="BN5" s="8">
        <f t="shared" si="3"/>
        <v>0</v>
      </c>
      <c r="BO5" s="8">
        <f t="shared" si="4"/>
        <v>0</v>
      </c>
      <c r="BP5" s="8">
        <f t="shared" si="5"/>
        <v>1000</v>
      </c>
      <c r="BQ5" s="12">
        <f t="shared" si="6"/>
        <v>65000</v>
      </c>
    </row>
    <row r="6" spans="1:69">
      <c r="A6" s="28">
        <v>1959</v>
      </c>
      <c r="B6" s="27" t="s">
        <v>137</v>
      </c>
      <c r="C6" s="24">
        <f t="shared" si="23"/>
        <v>2</v>
      </c>
      <c r="D6" s="7" t="e">
        <f t="shared" ca="1" si="0"/>
        <v>#N/A</v>
      </c>
      <c r="E6" s="26">
        <f t="array" aca="1" ref="E6" ca="1">AVERAGE(IF(INDIRECT(DatCol&amp;"$"&amp;TEXT(C6,"###")):INDIRECT(DatCol&amp;"$"&amp;TEXT(C6+57,"###"))&gt;0,INDIRECT(DatCol&amp;"$"&amp;TEXT(C6,"###")):INDIRECT(DatCol&amp;"$"&amp;TEXT(C6+57,"###"))))</f>
        <v>370.13629629629628</v>
      </c>
      <c r="F6" s="26" t="str">
        <f t="shared" si="1"/>
        <v>C</v>
      </c>
      <c r="G6" s="8"/>
      <c r="K6" s="9">
        <f t="shared" si="24"/>
        <v>0</v>
      </c>
      <c r="M6" s="11">
        <f t="shared" si="7"/>
        <v>0</v>
      </c>
      <c r="O6" s="11">
        <f t="shared" si="8"/>
        <v>0</v>
      </c>
      <c r="Q6" s="11">
        <f t="shared" si="9"/>
        <v>0</v>
      </c>
      <c r="Y6" s="11">
        <f t="shared" si="10"/>
        <v>0</v>
      </c>
      <c r="AF6" s="12" t="s">
        <v>7</v>
      </c>
      <c r="AG6" s="11">
        <f t="shared" si="11"/>
        <v>0</v>
      </c>
      <c r="AH6" s="12">
        <v>1000</v>
      </c>
      <c r="AI6" s="11">
        <f t="shared" si="12"/>
        <v>65000</v>
      </c>
      <c r="AJ6" s="12" t="s">
        <v>1</v>
      </c>
      <c r="AK6" s="13">
        <f t="shared" si="13"/>
        <v>0</v>
      </c>
      <c r="AM6" s="13">
        <f t="shared" si="14"/>
        <v>0</v>
      </c>
      <c r="AO6" s="11">
        <f t="shared" si="15"/>
        <v>0</v>
      </c>
      <c r="AQ6" s="11">
        <f t="shared" si="16"/>
        <v>0</v>
      </c>
      <c r="AS6" s="11">
        <f t="shared" si="17"/>
        <v>0</v>
      </c>
      <c r="AU6" s="11">
        <f t="shared" si="18"/>
        <v>0</v>
      </c>
      <c r="AW6" s="11">
        <f t="shared" si="19"/>
        <v>0</v>
      </c>
      <c r="AY6" s="11">
        <f t="shared" si="20"/>
        <v>0</v>
      </c>
      <c r="AZ6" s="12" t="s">
        <v>9</v>
      </c>
      <c r="BA6" s="11">
        <f t="shared" si="2"/>
        <v>0</v>
      </c>
      <c r="BC6" s="11">
        <f t="shared" si="2"/>
        <v>0</v>
      </c>
      <c r="BE6" s="11">
        <f t="shared" si="21"/>
        <v>0</v>
      </c>
      <c r="BG6" s="11">
        <f t="shared" si="22"/>
        <v>0</v>
      </c>
      <c r="BN6" s="8">
        <f t="shared" si="3"/>
        <v>0</v>
      </c>
      <c r="BO6" s="8">
        <f t="shared" si="4"/>
        <v>0</v>
      </c>
      <c r="BP6" s="8">
        <f t="shared" si="5"/>
        <v>1000</v>
      </c>
      <c r="BQ6" s="12">
        <f t="shared" si="6"/>
        <v>65000</v>
      </c>
    </row>
    <row r="7" spans="1:69">
      <c r="A7" s="28">
        <v>1960</v>
      </c>
      <c r="B7" s="27" t="s">
        <v>137</v>
      </c>
      <c r="C7" s="24">
        <f t="shared" si="23"/>
        <v>2</v>
      </c>
      <c r="D7" s="7" t="e">
        <f t="shared" ca="1" si="0"/>
        <v>#N/A</v>
      </c>
      <c r="E7" s="26">
        <f t="array" aca="1" ref="E7" ca="1">AVERAGE(IF(INDIRECT(DatCol&amp;"$"&amp;TEXT(C7,"###")):INDIRECT(DatCol&amp;"$"&amp;TEXT(C7+57,"###"))&gt;0,INDIRECT(DatCol&amp;"$"&amp;TEXT(C7,"###")):INDIRECT(DatCol&amp;"$"&amp;TEXT(C7+57,"###"))))</f>
        <v>370.13629629629628</v>
      </c>
      <c r="F7" s="26" t="str">
        <f t="shared" si="1"/>
        <v>C</v>
      </c>
      <c r="G7" s="8"/>
      <c r="K7" s="9">
        <f t="shared" si="24"/>
        <v>0</v>
      </c>
      <c r="M7" s="11">
        <f t="shared" si="7"/>
        <v>0</v>
      </c>
      <c r="O7" s="11">
        <f t="shared" si="8"/>
        <v>0</v>
      </c>
      <c r="Q7" s="11">
        <f t="shared" si="9"/>
        <v>0</v>
      </c>
      <c r="Y7" s="11">
        <f t="shared" si="10"/>
        <v>0</v>
      </c>
      <c r="AF7" s="12" t="s">
        <v>3</v>
      </c>
      <c r="AG7" s="11">
        <f t="shared" si="11"/>
        <v>0</v>
      </c>
      <c r="AI7" s="11">
        <f t="shared" si="12"/>
        <v>0</v>
      </c>
      <c r="AJ7" s="12" t="s">
        <v>3</v>
      </c>
      <c r="AK7" s="13">
        <f t="shared" si="13"/>
        <v>0</v>
      </c>
      <c r="AM7" s="13">
        <f t="shared" si="14"/>
        <v>0</v>
      </c>
      <c r="AO7" s="11">
        <f t="shared" si="15"/>
        <v>0</v>
      </c>
      <c r="AQ7" s="11">
        <f t="shared" si="16"/>
        <v>0</v>
      </c>
      <c r="AS7" s="11">
        <f t="shared" si="17"/>
        <v>0</v>
      </c>
      <c r="AU7" s="11">
        <f t="shared" si="18"/>
        <v>0</v>
      </c>
      <c r="AW7" s="11">
        <f t="shared" si="19"/>
        <v>0</v>
      </c>
      <c r="AY7" s="11">
        <f t="shared" si="20"/>
        <v>0</v>
      </c>
      <c r="AZ7" s="12" t="s">
        <v>3</v>
      </c>
      <c r="BA7" s="11">
        <f t="shared" si="2"/>
        <v>0</v>
      </c>
      <c r="BC7" s="11">
        <f t="shared" si="2"/>
        <v>0</v>
      </c>
      <c r="BE7" s="11">
        <f t="shared" si="21"/>
        <v>0</v>
      </c>
      <c r="BG7" s="11">
        <f t="shared" si="22"/>
        <v>0</v>
      </c>
      <c r="BN7" s="8">
        <f t="shared" si="3"/>
        <v>0</v>
      </c>
      <c r="BO7" s="8">
        <f t="shared" si="4"/>
        <v>0</v>
      </c>
      <c r="BP7" s="8">
        <f t="shared" si="5"/>
        <v>0</v>
      </c>
      <c r="BQ7" s="12">
        <f t="shared" si="6"/>
        <v>0</v>
      </c>
    </row>
    <row r="8" spans="1:69">
      <c r="A8" s="28">
        <v>1961</v>
      </c>
      <c r="B8" s="27" t="s">
        <v>137</v>
      </c>
      <c r="C8" s="24">
        <f t="shared" si="23"/>
        <v>2</v>
      </c>
      <c r="D8" s="7" t="e">
        <f t="shared" ca="1" si="0"/>
        <v>#N/A</v>
      </c>
      <c r="E8" s="26">
        <f t="array" aca="1" ref="E8" ca="1">AVERAGE(IF(INDIRECT(DatCol&amp;"$"&amp;TEXT(C8,"###")):INDIRECT(DatCol&amp;"$"&amp;TEXT(C8+57,"###"))&gt;0,INDIRECT(DatCol&amp;"$"&amp;TEXT(C8,"###")):INDIRECT(DatCol&amp;"$"&amp;TEXT(C8+57,"###"))))</f>
        <v>370.13629629629628</v>
      </c>
      <c r="F8" s="26" t="str">
        <f t="shared" si="1"/>
        <v>C</v>
      </c>
      <c r="G8" s="8"/>
      <c r="K8" s="9">
        <f t="shared" si="24"/>
        <v>0</v>
      </c>
      <c r="L8" s="12">
        <v>0</v>
      </c>
      <c r="M8" s="11">
        <f t="shared" si="7"/>
        <v>0</v>
      </c>
      <c r="O8" s="11">
        <f t="shared" si="8"/>
        <v>0</v>
      </c>
      <c r="Q8" s="11">
        <f t="shared" si="9"/>
        <v>0</v>
      </c>
      <c r="Y8" s="11">
        <f t="shared" si="10"/>
        <v>0</v>
      </c>
      <c r="AF8" s="12" t="s">
        <v>8</v>
      </c>
      <c r="AG8" s="11">
        <f t="shared" si="11"/>
        <v>0</v>
      </c>
      <c r="AI8" s="11">
        <f t="shared" si="12"/>
        <v>0</v>
      </c>
      <c r="AJ8" s="12" t="s">
        <v>1</v>
      </c>
      <c r="AK8" s="13">
        <f t="shared" si="13"/>
        <v>0</v>
      </c>
      <c r="AM8" s="13">
        <f t="shared" si="14"/>
        <v>0</v>
      </c>
      <c r="AO8" s="11">
        <f t="shared" si="15"/>
        <v>0</v>
      </c>
      <c r="AQ8" s="11">
        <f t="shared" si="16"/>
        <v>0</v>
      </c>
      <c r="AS8" s="11">
        <f t="shared" si="17"/>
        <v>0</v>
      </c>
      <c r="AU8" s="11">
        <f t="shared" si="18"/>
        <v>0</v>
      </c>
      <c r="AW8" s="11">
        <f t="shared" si="19"/>
        <v>0</v>
      </c>
      <c r="AY8" s="11">
        <f t="shared" si="20"/>
        <v>0</v>
      </c>
      <c r="AZ8" s="12" t="s">
        <v>3</v>
      </c>
      <c r="BA8" s="11">
        <f t="shared" si="2"/>
        <v>0</v>
      </c>
      <c r="BC8" s="11">
        <f t="shared" si="2"/>
        <v>0</v>
      </c>
      <c r="BE8" s="11">
        <f t="shared" si="21"/>
        <v>0</v>
      </c>
      <c r="BG8" s="11">
        <f t="shared" si="22"/>
        <v>0</v>
      </c>
      <c r="BN8" s="8">
        <f t="shared" si="3"/>
        <v>0</v>
      </c>
      <c r="BO8" s="8">
        <f t="shared" si="4"/>
        <v>0</v>
      </c>
      <c r="BP8" s="8">
        <f t="shared" si="5"/>
        <v>0</v>
      </c>
      <c r="BQ8" s="12">
        <f t="shared" si="6"/>
        <v>0</v>
      </c>
    </row>
    <row r="9" spans="1:69">
      <c r="A9" s="28">
        <v>1962</v>
      </c>
      <c r="B9" s="27" t="s">
        <v>137</v>
      </c>
      <c r="C9" s="24">
        <f t="shared" si="23"/>
        <v>2</v>
      </c>
      <c r="D9" s="7" t="e">
        <f t="shared" ca="1" si="0"/>
        <v>#N/A</v>
      </c>
      <c r="E9" s="26">
        <f t="array" aca="1" ref="E9" ca="1">AVERAGE(IF(INDIRECT(DatCol&amp;"$"&amp;TEXT(C9,"###")):INDIRECT(DatCol&amp;"$"&amp;TEXT(C9+57,"###"))&gt;0,INDIRECT(DatCol&amp;"$"&amp;TEXT(C9,"###")):INDIRECT(DatCol&amp;"$"&amp;TEXT(C9+57,"###"))))</f>
        <v>370.13629629629628</v>
      </c>
      <c r="F9" s="26" t="str">
        <f t="shared" si="1"/>
        <v>C</v>
      </c>
      <c r="G9" s="8"/>
      <c r="K9" s="9">
        <f t="shared" si="24"/>
        <v>0</v>
      </c>
      <c r="M9" s="11">
        <f t="shared" si="7"/>
        <v>0</v>
      </c>
      <c r="O9" s="11">
        <f t="shared" si="8"/>
        <v>0</v>
      </c>
      <c r="Q9" s="11">
        <f t="shared" si="9"/>
        <v>0</v>
      </c>
      <c r="Y9" s="11">
        <f t="shared" si="10"/>
        <v>0</v>
      </c>
      <c r="AF9" s="12" t="s">
        <v>1</v>
      </c>
      <c r="AG9" s="11">
        <f t="shared" si="11"/>
        <v>0</v>
      </c>
      <c r="AI9" s="11">
        <f t="shared" si="12"/>
        <v>0</v>
      </c>
      <c r="AJ9" s="12" t="s">
        <v>10</v>
      </c>
      <c r="AK9" s="13">
        <f t="shared" si="13"/>
        <v>0</v>
      </c>
      <c r="AM9" s="13">
        <f t="shared" si="14"/>
        <v>0</v>
      </c>
      <c r="AO9" s="11">
        <f t="shared" si="15"/>
        <v>0</v>
      </c>
      <c r="AQ9" s="11">
        <f t="shared" si="16"/>
        <v>0</v>
      </c>
      <c r="AS9" s="11">
        <f t="shared" si="17"/>
        <v>0</v>
      </c>
      <c r="AU9" s="11">
        <f t="shared" si="18"/>
        <v>0</v>
      </c>
      <c r="AW9" s="11">
        <f t="shared" si="19"/>
        <v>0</v>
      </c>
      <c r="AY9" s="11">
        <f t="shared" si="20"/>
        <v>0</v>
      </c>
      <c r="BA9" s="11">
        <f t="shared" si="2"/>
        <v>0</v>
      </c>
      <c r="BC9" s="11">
        <f t="shared" si="2"/>
        <v>0</v>
      </c>
      <c r="BE9" s="11">
        <f t="shared" si="21"/>
        <v>0</v>
      </c>
      <c r="BG9" s="11">
        <f t="shared" si="22"/>
        <v>0</v>
      </c>
      <c r="BN9" s="8">
        <f t="shared" si="3"/>
        <v>0</v>
      </c>
      <c r="BO9" s="8">
        <f t="shared" si="4"/>
        <v>0</v>
      </c>
      <c r="BP9" s="8">
        <f t="shared" si="5"/>
        <v>0</v>
      </c>
      <c r="BQ9" s="12">
        <f t="shared" si="6"/>
        <v>0</v>
      </c>
    </row>
    <row r="10" spans="1:69">
      <c r="A10" s="28">
        <v>1963</v>
      </c>
      <c r="B10" s="27" t="s">
        <v>137</v>
      </c>
      <c r="C10" s="24">
        <f t="shared" si="23"/>
        <v>2</v>
      </c>
      <c r="D10" s="7" t="e">
        <f t="shared" ca="1" si="0"/>
        <v>#N/A</v>
      </c>
      <c r="E10" s="26">
        <f t="array" aca="1" ref="E10" ca="1">AVERAGE(IF(INDIRECT(DatCol&amp;"$"&amp;TEXT(C10,"###")):INDIRECT(DatCol&amp;"$"&amp;TEXT(C10+57,"###"))&gt;0,INDIRECT(DatCol&amp;"$"&amp;TEXT(C10,"###")):INDIRECT(DatCol&amp;"$"&amp;TEXT(C10+57,"###"))))</f>
        <v>370.13629629629628</v>
      </c>
      <c r="F10" s="26" t="str">
        <f t="shared" si="1"/>
        <v>C</v>
      </c>
      <c r="G10" s="8"/>
      <c r="K10" s="9">
        <f t="shared" si="24"/>
        <v>0</v>
      </c>
      <c r="M10" s="11">
        <f t="shared" si="7"/>
        <v>0</v>
      </c>
      <c r="O10" s="11">
        <f t="shared" si="8"/>
        <v>0</v>
      </c>
      <c r="Q10" s="11">
        <f t="shared" si="9"/>
        <v>0</v>
      </c>
      <c r="Y10" s="11">
        <f t="shared" si="10"/>
        <v>0</v>
      </c>
      <c r="AF10" s="12" t="s">
        <v>11</v>
      </c>
      <c r="AG10" s="11">
        <f t="shared" si="11"/>
        <v>0</v>
      </c>
      <c r="AI10" s="11">
        <f t="shared" si="12"/>
        <v>0</v>
      </c>
      <c r="AJ10" s="12" t="s">
        <v>8</v>
      </c>
      <c r="AK10" s="13">
        <f t="shared" si="13"/>
        <v>0</v>
      </c>
      <c r="AM10" s="13">
        <f t="shared" si="14"/>
        <v>0</v>
      </c>
      <c r="AO10" s="11">
        <f t="shared" si="15"/>
        <v>0</v>
      </c>
      <c r="AQ10" s="11">
        <f t="shared" si="16"/>
        <v>0</v>
      </c>
      <c r="AS10" s="11">
        <f t="shared" si="17"/>
        <v>0</v>
      </c>
      <c r="AU10" s="11">
        <f t="shared" si="18"/>
        <v>0</v>
      </c>
      <c r="AW10" s="11">
        <f t="shared" si="19"/>
        <v>0</v>
      </c>
      <c r="AY10" s="11">
        <f t="shared" si="20"/>
        <v>0</v>
      </c>
      <c r="BA10" s="11">
        <f t="shared" si="2"/>
        <v>0</v>
      </c>
      <c r="BC10" s="11">
        <f t="shared" si="2"/>
        <v>0</v>
      </c>
      <c r="BE10" s="11">
        <f t="shared" si="21"/>
        <v>0</v>
      </c>
      <c r="BG10" s="11">
        <f t="shared" si="22"/>
        <v>0</v>
      </c>
      <c r="BN10" s="8">
        <f t="shared" si="3"/>
        <v>0</v>
      </c>
      <c r="BO10" s="8">
        <f t="shared" si="4"/>
        <v>0</v>
      </c>
      <c r="BP10" s="8">
        <f t="shared" si="5"/>
        <v>0</v>
      </c>
      <c r="BQ10" s="12">
        <f t="shared" si="6"/>
        <v>0</v>
      </c>
    </row>
    <row r="11" spans="1:69">
      <c r="A11" s="28">
        <v>1964</v>
      </c>
      <c r="B11" s="27" t="s">
        <v>137</v>
      </c>
      <c r="C11" s="24">
        <f t="shared" si="23"/>
        <v>2</v>
      </c>
      <c r="D11" s="7" t="e">
        <f t="shared" ca="1" si="0"/>
        <v>#N/A</v>
      </c>
      <c r="E11" s="26">
        <f t="array" aca="1" ref="E11" ca="1">AVERAGE(IF(INDIRECT(DatCol&amp;"$"&amp;TEXT(C11,"###")):INDIRECT(DatCol&amp;"$"&amp;TEXT(C11+57,"###"))&gt;0,INDIRECT(DatCol&amp;"$"&amp;TEXT(C11,"###")):INDIRECT(DatCol&amp;"$"&amp;TEXT(C11+57,"###"))))</f>
        <v>370.13629629629628</v>
      </c>
      <c r="F11" s="26" t="str">
        <f t="shared" si="1"/>
        <v>C</v>
      </c>
      <c r="G11" s="8"/>
      <c r="I11" s="8">
        <v>248</v>
      </c>
      <c r="J11" s="8">
        <v>2285</v>
      </c>
      <c r="K11" s="9">
        <f t="shared" si="24"/>
        <v>2285</v>
      </c>
      <c r="M11" s="11">
        <f t="shared" si="7"/>
        <v>0</v>
      </c>
      <c r="O11" s="11">
        <f t="shared" si="8"/>
        <v>0</v>
      </c>
      <c r="Q11" s="11">
        <f t="shared" si="9"/>
        <v>0</v>
      </c>
      <c r="Y11" s="11">
        <f t="shared" si="10"/>
        <v>0</v>
      </c>
      <c r="AG11" s="11">
        <f t="shared" si="11"/>
        <v>0</v>
      </c>
      <c r="AI11" s="11">
        <f t="shared" si="12"/>
        <v>0</v>
      </c>
      <c r="AJ11" s="12" t="s">
        <v>12</v>
      </c>
      <c r="AK11" s="13">
        <f t="shared" si="13"/>
        <v>0</v>
      </c>
      <c r="AM11" s="13">
        <f t="shared" si="14"/>
        <v>0</v>
      </c>
      <c r="AO11" s="11">
        <f t="shared" si="15"/>
        <v>0</v>
      </c>
      <c r="AQ11" s="11">
        <f t="shared" si="16"/>
        <v>0</v>
      </c>
      <c r="AS11" s="11">
        <f t="shared" si="17"/>
        <v>0</v>
      </c>
      <c r="AU11" s="11">
        <f t="shared" si="18"/>
        <v>0</v>
      </c>
      <c r="AW11" s="11">
        <f t="shared" si="19"/>
        <v>0</v>
      </c>
      <c r="AY11" s="11">
        <f t="shared" si="20"/>
        <v>0</v>
      </c>
      <c r="BA11" s="11">
        <f t="shared" si="2"/>
        <v>0</v>
      </c>
      <c r="BC11" s="11">
        <f t="shared" si="2"/>
        <v>0</v>
      </c>
      <c r="BE11" s="11">
        <f t="shared" si="21"/>
        <v>0</v>
      </c>
      <c r="BG11" s="11">
        <f t="shared" si="22"/>
        <v>0</v>
      </c>
      <c r="BN11" s="8">
        <f t="shared" si="3"/>
        <v>0</v>
      </c>
      <c r="BO11" s="8">
        <f t="shared" si="4"/>
        <v>0</v>
      </c>
      <c r="BP11" s="8">
        <f t="shared" si="5"/>
        <v>0</v>
      </c>
      <c r="BQ11" s="12">
        <f t="shared" si="6"/>
        <v>0</v>
      </c>
    </row>
    <row r="12" spans="1:69">
      <c r="A12" s="28">
        <v>1965</v>
      </c>
      <c r="B12" s="27" t="s">
        <v>137</v>
      </c>
      <c r="C12" s="24">
        <f t="shared" si="23"/>
        <v>2</v>
      </c>
      <c r="D12" s="7" t="e">
        <f t="shared" ca="1" si="0"/>
        <v>#N/A</v>
      </c>
      <c r="E12" s="26">
        <f t="array" aca="1" ref="E12" ca="1">AVERAGE(IF(INDIRECT(DatCol&amp;"$"&amp;TEXT(C12,"###")):INDIRECT(DatCol&amp;"$"&amp;TEXT(C12+57,"###"))&gt;0,INDIRECT(DatCol&amp;"$"&amp;TEXT(C12,"###")):INDIRECT(DatCol&amp;"$"&amp;TEXT(C12+57,"###"))))</f>
        <v>370.13629629629628</v>
      </c>
      <c r="F12" s="26" t="str">
        <f t="shared" si="1"/>
        <v>C</v>
      </c>
      <c r="G12" s="8"/>
      <c r="K12" s="9">
        <f t="shared" si="24"/>
        <v>0</v>
      </c>
      <c r="L12" s="12" t="s">
        <v>13</v>
      </c>
      <c r="M12" s="11">
        <f t="shared" si="7"/>
        <v>0</v>
      </c>
      <c r="O12" s="11">
        <f t="shared" si="8"/>
        <v>0</v>
      </c>
      <c r="Q12" s="11">
        <f t="shared" si="9"/>
        <v>0</v>
      </c>
      <c r="Y12" s="11">
        <f t="shared" si="10"/>
        <v>0</v>
      </c>
      <c r="AG12" s="11">
        <f t="shared" si="11"/>
        <v>0</v>
      </c>
      <c r="AI12" s="11">
        <f t="shared" si="12"/>
        <v>0</v>
      </c>
      <c r="AJ12" s="12" t="s">
        <v>3</v>
      </c>
      <c r="AK12" s="13">
        <f t="shared" si="13"/>
        <v>0</v>
      </c>
      <c r="AM12" s="13">
        <f t="shared" si="14"/>
        <v>0</v>
      </c>
      <c r="AO12" s="11">
        <f t="shared" si="15"/>
        <v>0</v>
      </c>
      <c r="AQ12" s="11">
        <f t="shared" si="16"/>
        <v>0</v>
      </c>
      <c r="AS12" s="11">
        <f t="shared" si="17"/>
        <v>0</v>
      </c>
      <c r="AU12" s="11">
        <f t="shared" si="18"/>
        <v>0</v>
      </c>
      <c r="AW12" s="11">
        <f t="shared" si="19"/>
        <v>0</v>
      </c>
      <c r="AY12" s="11">
        <f t="shared" si="20"/>
        <v>0</v>
      </c>
      <c r="BA12" s="11">
        <f t="shared" si="2"/>
        <v>0</v>
      </c>
      <c r="BC12" s="11">
        <f t="shared" si="2"/>
        <v>0</v>
      </c>
      <c r="BE12" s="11">
        <f t="shared" si="21"/>
        <v>0</v>
      </c>
      <c r="BG12" s="11">
        <f t="shared" si="22"/>
        <v>0</v>
      </c>
      <c r="BN12" s="8">
        <f t="shared" si="3"/>
        <v>0</v>
      </c>
      <c r="BO12" s="8">
        <f t="shared" si="4"/>
        <v>0</v>
      </c>
      <c r="BP12" s="8">
        <f t="shared" ref="BP12:BP76" si="25">(N12+X12+Z12+AB12+AD12+AH12+AL12+AP12+AT12+AX12+BB12+BF12)</f>
        <v>0</v>
      </c>
      <c r="BQ12" s="12">
        <f t="shared" ref="BQ12:BQ76" si="26">(O12+Y12+AA12+AC12+AE12+AI12+AM12+AQ12+AU12+AY12+BC12+BG12)</f>
        <v>0</v>
      </c>
    </row>
    <row r="13" spans="1:69">
      <c r="A13" s="28">
        <v>1966</v>
      </c>
      <c r="B13" s="27" t="s">
        <v>137</v>
      </c>
      <c r="C13" s="24">
        <f t="shared" si="23"/>
        <v>2</v>
      </c>
      <c r="D13" s="7" t="e">
        <f t="shared" ca="1" si="0"/>
        <v>#N/A</v>
      </c>
      <c r="E13" s="26">
        <f t="array" aca="1" ref="E13" ca="1">AVERAGE(IF(INDIRECT(DatCol&amp;"$"&amp;TEXT(C13,"###")):INDIRECT(DatCol&amp;"$"&amp;TEXT(C13+57,"###"))&gt;0,INDIRECT(DatCol&amp;"$"&amp;TEXT(C13,"###")):INDIRECT(DatCol&amp;"$"&amp;TEXT(C13+57,"###"))))</f>
        <v>370.13629629629628</v>
      </c>
      <c r="F13" s="26" t="str">
        <f t="shared" si="1"/>
        <v>C</v>
      </c>
      <c r="G13" s="8"/>
      <c r="I13" s="8">
        <v>230</v>
      </c>
      <c r="J13" s="8">
        <v>2770</v>
      </c>
      <c r="K13" s="9">
        <f t="shared" si="24"/>
        <v>2770</v>
      </c>
      <c r="L13" s="12">
        <v>1100</v>
      </c>
      <c r="M13" s="11">
        <f t="shared" si="7"/>
        <v>55000</v>
      </c>
      <c r="O13" s="11">
        <f t="shared" si="8"/>
        <v>0</v>
      </c>
      <c r="P13" s="12">
        <v>5500</v>
      </c>
      <c r="Q13" s="11">
        <f t="shared" si="9"/>
        <v>330000</v>
      </c>
      <c r="Y13" s="11">
        <f t="shared" si="10"/>
        <v>0</v>
      </c>
      <c r="AG13" s="11">
        <f t="shared" si="11"/>
        <v>0</v>
      </c>
      <c r="AI13" s="11">
        <f t="shared" si="12"/>
        <v>0</v>
      </c>
      <c r="AJ13" s="12">
        <v>6000</v>
      </c>
      <c r="AK13" s="13">
        <f t="shared" si="13"/>
        <v>54000</v>
      </c>
      <c r="AM13" s="13">
        <f t="shared" si="14"/>
        <v>0</v>
      </c>
      <c r="AO13" s="11">
        <f t="shared" si="15"/>
        <v>0</v>
      </c>
      <c r="AQ13" s="11">
        <f t="shared" si="16"/>
        <v>0</v>
      </c>
      <c r="AS13" s="11">
        <f t="shared" si="17"/>
        <v>0</v>
      </c>
      <c r="AU13" s="11">
        <f t="shared" si="18"/>
        <v>0</v>
      </c>
      <c r="AW13" s="11">
        <f t="shared" si="19"/>
        <v>0</v>
      </c>
      <c r="AY13" s="11">
        <f t="shared" si="20"/>
        <v>0</v>
      </c>
      <c r="AZ13" s="12">
        <v>500</v>
      </c>
      <c r="BA13" s="11">
        <f t="shared" si="2"/>
        <v>20000</v>
      </c>
      <c r="BC13" s="11">
        <f t="shared" si="2"/>
        <v>0</v>
      </c>
      <c r="BE13" s="11">
        <f t="shared" si="21"/>
        <v>0</v>
      </c>
      <c r="BG13" s="11">
        <f t="shared" si="22"/>
        <v>0</v>
      </c>
      <c r="BN13" s="8">
        <f t="shared" si="3"/>
        <v>13100</v>
      </c>
      <c r="BO13" s="8">
        <f t="shared" si="4"/>
        <v>459000</v>
      </c>
      <c r="BP13" s="8">
        <f t="shared" si="25"/>
        <v>0</v>
      </c>
      <c r="BQ13" s="12">
        <f t="shared" si="26"/>
        <v>0</v>
      </c>
    </row>
    <row r="14" spans="1:69">
      <c r="A14" s="28">
        <v>1967</v>
      </c>
      <c r="B14" s="27" t="s">
        <v>137</v>
      </c>
      <c r="C14" s="24">
        <f t="shared" si="23"/>
        <v>2</v>
      </c>
      <c r="D14" s="7" t="e">
        <f t="shared" ca="1" si="0"/>
        <v>#N/A</v>
      </c>
      <c r="E14" s="26">
        <f t="array" aca="1" ref="E14" ca="1">AVERAGE(IF(INDIRECT(DatCol&amp;"$"&amp;TEXT(C14,"###")):INDIRECT(DatCol&amp;"$"&amp;TEXT(C14+57,"###"))&gt;0,INDIRECT(DatCol&amp;"$"&amp;TEXT(C14,"###")):INDIRECT(DatCol&amp;"$"&amp;TEXT(C14+57,"###"))))</f>
        <v>370.13629629629628</v>
      </c>
      <c r="F14" s="26" t="str">
        <f t="shared" si="1"/>
        <v>C</v>
      </c>
      <c r="G14" s="8"/>
      <c r="K14" s="9">
        <f t="shared" si="24"/>
        <v>0</v>
      </c>
      <c r="L14" s="12" t="s">
        <v>14</v>
      </c>
      <c r="M14" s="11">
        <f t="shared" si="7"/>
        <v>0</v>
      </c>
      <c r="O14" s="11">
        <f t="shared" si="8"/>
        <v>0</v>
      </c>
      <c r="Q14" s="11">
        <f t="shared" si="9"/>
        <v>0</v>
      </c>
      <c r="Y14" s="11">
        <f t="shared" si="10"/>
        <v>0</v>
      </c>
      <c r="AG14" s="11">
        <f t="shared" si="11"/>
        <v>0</v>
      </c>
      <c r="AI14" s="11">
        <f t="shared" si="12"/>
        <v>0</v>
      </c>
      <c r="AJ14" s="12" t="s">
        <v>3</v>
      </c>
      <c r="AK14" s="13">
        <f t="shared" si="13"/>
        <v>0</v>
      </c>
      <c r="AM14" s="13">
        <f t="shared" si="14"/>
        <v>0</v>
      </c>
      <c r="AO14" s="11">
        <f t="shared" si="15"/>
        <v>0</v>
      </c>
      <c r="AQ14" s="11">
        <f t="shared" si="16"/>
        <v>0</v>
      </c>
      <c r="AS14" s="11">
        <f t="shared" si="17"/>
        <v>0</v>
      </c>
      <c r="AU14" s="11">
        <f t="shared" si="18"/>
        <v>0</v>
      </c>
      <c r="AW14" s="11">
        <f t="shared" si="19"/>
        <v>0</v>
      </c>
      <c r="AY14" s="11">
        <f t="shared" si="20"/>
        <v>0</v>
      </c>
      <c r="BA14" s="11">
        <f t="shared" si="2"/>
        <v>0</v>
      </c>
      <c r="BC14" s="11">
        <f t="shared" si="2"/>
        <v>0</v>
      </c>
      <c r="BE14" s="11">
        <f t="shared" si="21"/>
        <v>0</v>
      </c>
      <c r="BG14" s="11">
        <f t="shared" si="22"/>
        <v>0</v>
      </c>
      <c r="BN14" s="8">
        <f t="shared" si="3"/>
        <v>0</v>
      </c>
      <c r="BO14" s="8">
        <f t="shared" si="4"/>
        <v>0</v>
      </c>
      <c r="BP14" s="8">
        <f t="shared" si="25"/>
        <v>0</v>
      </c>
      <c r="BQ14" s="12">
        <f t="shared" si="26"/>
        <v>0</v>
      </c>
    </row>
    <row r="15" spans="1:69">
      <c r="A15" s="28">
        <v>1968</v>
      </c>
      <c r="B15" s="27" t="s">
        <v>137</v>
      </c>
      <c r="C15" s="24">
        <f t="shared" si="23"/>
        <v>2</v>
      </c>
      <c r="D15" s="7" t="e">
        <f t="shared" ca="1" si="0"/>
        <v>#N/A</v>
      </c>
      <c r="E15" s="26">
        <f t="array" aca="1" ref="E15" ca="1">AVERAGE(IF(INDIRECT(DatCol&amp;"$"&amp;TEXT(C15,"###")):INDIRECT(DatCol&amp;"$"&amp;TEXT(C15+57,"###"))&gt;0,INDIRECT(DatCol&amp;"$"&amp;TEXT(C15,"###")):INDIRECT(DatCol&amp;"$"&amp;TEXT(C15+57,"###"))))</f>
        <v>370.13629629629628</v>
      </c>
      <c r="F15" s="26" t="str">
        <f t="shared" si="1"/>
        <v>C</v>
      </c>
      <c r="G15" s="8"/>
      <c r="H15" s="8">
        <v>346</v>
      </c>
      <c r="I15" s="8">
        <v>263</v>
      </c>
      <c r="J15" s="8">
        <v>2582</v>
      </c>
      <c r="K15" s="9">
        <f t="shared" si="24"/>
        <v>2928</v>
      </c>
      <c r="L15" s="12">
        <v>2550</v>
      </c>
      <c r="M15" s="11">
        <f t="shared" si="7"/>
        <v>127500</v>
      </c>
      <c r="N15" s="12">
        <v>2600</v>
      </c>
      <c r="O15" s="11">
        <f t="shared" si="8"/>
        <v>130000</v>
      </c>
      <c r="P15" s="12">
        <v>1560</v>
      </c>
      <c r="Q15" s="11">
        <f t="shared" si="9"/>
        <v>93600</v>
      </c>
      <c r="X15" s="12">
        <v>1500</v>
      </c>
      <c r="Y15" s="11">
        <f t="shared" si="10"/>
        <v>90000</v>
      </c>
      <c r="AG15" s="11">
        <f t="shared" si="11"/>
        <v>0</v>
      </c>
      <c r="AI15" s="11">
        <f t="shared" si="12"/>
        <v>0</v>
      </c>
      <c r="AJ15" s="12">
        <v>1250</v>
      </c>
      <c r="AK15" s="13">
        <f t="shared" si="13"/>
        <v>11250</v>
      </c>
      <c r="AL15" s="12">
        <v>100</v>
      </c>
      <c r="AM15" s="13">
        <f t="shared" si="14"/>
        <v>900</v>
      </c>
      <c r="AO15" s="11">
        <f t="shared" si="15"/>
        <v>0</v>
      </c>
      <c r="AQ15" s="11">
        <f t="shared" si="16"/>
        <v>0</v>
      </c>
      <c r="AS15" s="11">
        <f t="shared" si="17"/>
        <v>0</v>
      </c>
      <c r="AU15" s="11">
        <f t="shared" si="18"/>
        <v>0</v>
      </c>
      <c r="AW15" s="11">
        <f t="shared" si="19"/>
        <v>0</v>
      </c>
      <c r="AY15" s="11">
        <f t="shared" si="20"/>
        <v>0</v>
      </c>
      <c r="AZ15" s="12">
        <v>100</v>
      </c>
      <c r="BA15" s="11">
        <f t="shared" si="2"/>
        <v>4000</v>
      </c>
      <c r="BC15" s="11">
        <f t="shared" si="2"/>
        <v>0</v>
      </c>
      <c r="BE15" s="11">
        <f t="shared" si="21"/>
        <v>0</v>
      </c>
      <c r="BG15" s="11">
        <f t="shared" si="22"/>
        <v>0</v>
      </c>
      <c r="BN15" s="8">
        <f t="shared" si="3"/>
        <v>6960</v>
      </c>
      <c r="BO15" s="8">
        <f t="shared" si="4"/>
        <v>326350</v>
      </c>
      <c r="BP15" s="8">
        <f t="shared" si="25"/>
        <v>4200</v>
      </c>
      <c r="BQ15" s="12">
        <f t="shared" si="26"/>
        <v>220900</v>
      </c>
    </row>
    <row r="16" spans="1:69">
      <c r="A16" s="28">
        <v>1969</v>
      </c>
      <c r="B16" s="27" t="s">
        <v>137</v>
      </c>
      <c r="C16" s="24">
        <f t="shared" si="23"/>
        <v>2</v>
      </c>
      <c r="D16" s="7" t="e">
        <f t="shared" ca="1" si="0"/>
        <v>#N/A</v>
      </c>
      <c r="E16" s="26">
        <f t="array" aca="1" ref="E16" ca="1">AVERAGE(IF(INDIRECT(DatCol&amp;"$"&amp;TEXT(C16,"###")):INDIRECT(DatCol&amp;"$"&amp;TEXT(C16+57,"###"))&gt;0,INDIRECT(DatCol&amp;"$"&amp;TEXT(C16,"###")):INDIRECT(DatCol&amp;"$"&amp;TEXT(C16+57,"###"))))</f>
        <v>370.13629629629628</v>
      </c>
      <c r="F16" s="26" t="str">
        <f t="shared" si="1"/>
        <v>C</v>
      </c>
      <c r="G16" s="8"/>
      <c r="H16" s="8">
        <v>350</v>
      </c>
      <c r="I16" s="8">
        <v>559</v>
      </c>
      <c r="J16" s="8">
        <v>2975</v>
      </c>
      <c r="K16" s="9">
        <f t="shared" si="24"/>
        <v>3325</v>
      </c>
      <c r="L16" s="12">
        <v>4200</v>
      </c>
      <c r="M16" s="11">
        <f t="shared" si="7"/>
        <v>210000</v>
      </c>
      <c r="O16" s="11">
        <f t="shared" si="8"/>
        <v>0</v>
      </c>
      <c r="P16" s="12">
        <v>1500</v>
      </c>
      <c r="Q16" s="11">
        <f t="shared" si="9"/>
        <v>90000</v>
      </c>
      <c r="Y16" s="11">
        <f t="shared" si="10"/>
        <v>0</v>
      </c>
      <c r="AG16" s="11">
        <f t="shared" si="11"/>
        <v>0</v>
      </c>
      <c r="AI16" s="11">
        <f t="shared" si="12"/>
        <v>0</v>
      </c>
      <c r="AJ16" s="12">
        <v>17040</v>
      </c>
      <c r="AK16" s="13">
        <f t="shared" si="13"/>
        <v>153360</v>
      </c>
      <c r="AM16" s="13">
        <f t="shared" si="14"/>
        <v>0</v>
      </c>
      <c r="AO16" s="11">
        <f t="shared" si="15"/>
        <v>0</v>
      </c>
      <c r="AQ16" s="11">
        <f t="shared" si="16"/>
        <v>0</v>
      </c>
      <c r="AS16" s="11">
        <f t="shared" si="17"/>
        <v>0</v>
      </c>
      <c r="AU16" s="11">
        <f t="shared" si="18"/>
        <v>0</v>
      </c>
      <c r="AW16" s="11">
        <f t="shared" si="19"/>
        <v>0</v>
      </c>
      <c r="AY16" s="11">
        <f t="shared" si="20"/>
        <v>0</v>
      </c>
      <c r="AZ16" s="12">
        <v>100</v>
      </c>
      <c r="BA16" s="11">
        <f t="shared" si="2"/>
        <v>4000</v>
      </c>
      <c r="BC16" s="11">
        <f t="shared" si="2"/>
        <v>0</v>
      </c>
      <c r="BE16" s="11">
        <f t="shared" si="21"/>
        <v>0</v>
      </c>
      <c r="BG16" s="11">
        <f t="shared" si="22"/>
        <v>0</v>
      </c>
      <c r="BN16" s="8">
        <f t="shared" si="3"/>
        <v>22840</v>
      </c>
      <c r="BO16" s="8">
        <f t="shared" si="4"/>
        <v>457360</v>
      </c>
      <c r="BP16" s="8">
        <f t="shared" si="25"/>
        <v>0</v>
      </c>
      <c r="BQ16" s="12">
        <f t="shared" si="26"/>
        <v>0</v>
      </c>
    </row>
    <row r="17" spans="1:69">
      <c r="A17" s="28">
        <v>1970</v>
      </c>
      <c r="B17" s="27" t="s">
        <v>137</v>
      </c>
      <c r="C17" s="24">
        <f t="shared" si="23"/>
        <v>2</v>
      </c>
      <c r="D17" s="7" t="e">
        <f t="shared" ca="1" si="0"/>
        <v>#N/A</v>
      </c>
      <c r="E17" s="26">
        <f t="array" aca="1" ref="E17" ca="1">AVERAGE(IF(INDIRECT(DatCol&amp;"$"&amp;TEXT(C17,"###")):INDIRECT(DatCol&amp;"$"&amp;TEXT(C17+57,"###"))&gt;0,INDIRECT(DatCol&amp;"$"&amp;TEXT(C17,"###")):INDIRECT(DatCol&amp;"$"&amp;TEXT(C17+57,"###"))))</f>
        <v>370.13629629629628</v>
      </c>
      <c r="F17" s="26" t="str">
        <f t="shared" si="1"/>
        <v>C</v>
      </c>
      <c r="G17" s="8"/>
      <c r="H17" s="8">
        <v>386</v>
      </c>
      <c r="I17" s="8">
        <v>589</v>
      </c>
      <c r="J17" s="8">
        <v>3232</v>
      </c>
      <c r="K17" s="9">
        <f t="shared" si="24"/>
        <v>3618</v>
      </c>
      <c r="L17" s="12">
        <v>3840</v>
      </c>
      <c r="M17" s="11">
        <f t="shared" si="7"/>
        <v>192000</v>
      </c>
      <c r="O17" s="11">
        <f t="shared" si="8"/>
        <v>0</v>
      </c>
      <c r="P17" s="12">
        <v>1980</v>
      </c>
      <c r="Q17" s="11">
        <f t="shared" si="9"/>
        <v>118800</v>
      </c>
      <c r="Y17" s="11">
        <f t="shared" si="10"/>
        <v>0</v>
      </c>
      <c r="AG17" s="11">
        <f t="shared" si="11"/>
        <v>0</v>
      </c>
      <c r="AI17" s="11">
        <f t="shared" si="12"/>
        <v>0</v>
      </c>
      <c r="AJ17" s="12">
        <v>7200</v>
      </c>
      <c r="AK17" s="13">
        <f t="shared" si="13"/>
        <v>64800</v>
      </c>
      <c r="AM17" s="13">
        <f t="shared" si="14"/>
        <v>0</v>
      </c>
      <c r="AO17" s="11">
        <f t="shared" si="15"/>
        <v>0</v>
      </c>
      <c r="AQ17" s="11">
        <f t="shared" si="16"/>
        <v>0</v>
      </c>
      <c r="AS17" s="11">
        <f t="shared" si="17"/>
        <v>0</v>
      </c>
      <c r="AU17" s="11">
        <f t="shared" si="18"/>
        <v>0</v>
      </c>
      <c r="AW17" s="11">
        <f t="shared" si="19"/>
        <v>0</v>
      </c>
      <c r="AY17" s="11">
        <f t="shared" si="20"/>
        <v>0</v>
      </c>
      <c r="AZ17" s="12">
        <v>100</v>
      </c>
      <c r="BA17" s="11">
        <f t="shared" si="2"/>
        <v>4000</v>
      </c>
      <c r="BC17" s="11">
        <f t="shared" si="2"/>
        <v>0</v>
      </c>
      <c r="BE17" s="11">
        <f t="shared" si="21"/>
        <v>0</v>
      </c>
      <c r="BG17" s="11">
        <f t="shared" si="22"/>
        <v>0</v>
      </c>
      <c r="BN17" s="8">
        <f t="shared" si="3"/>
        <v>13120</v>
      </c>
      <c r="BO17" s="8">
        <f t="shared" si="4"/>
        <v>379600</v>
      </c>
      <c r="BP17" s="8">
        <f t="shared" si="25"/>
        <v>0</v>
      </c>
      <c r="BQ17" s="12">
        <f t="shared" si="26"/>
        <v>0</v>
      </c>
    </row>
    <row r="18" spans="1:69">
      <c r="A18" s="28">
        <v>1971</v>
      </c>
      <c r="B18" s="27" t="s">
        <v>137</v>
      </c>
      <c r="C18" s="24">
        <f t="shared" si="23"/>
        <v>2</v>
      </c>
      <c r="D18" s="7" t="e">
        <f t="shared" ca="1" si="0"/>
        <v>#N/A</v>
      </c>
      <c r="E18" s="26">
        <f t="array" aca="1" ref="E18" ca="1">AVERAGE(IF(INDIRECT(DatCol&amp;"$"&amp;TEXT(C18,"###")):INDIRECT(DatCol&amp;"$"&amp;TEXT(C18+57,"###"))&gt;0,INDIRECT(DatCol&amp;"$"&amp;TEXT(C18,"###")):INDIRECT(DatCol&amp;"$"&amp;TEXT(C18+57,"###"))))</f>
        <v>370.13629629629628</v>
      </c>
      <c r="F18" s="26" t="str">
        <f t="shared" si="1"/>
        <v>C</v>
      </c>
      <c r="G18" s="8"/>
      <c r="H18" s="8">
        <v>459</v>
      </c>
      <c r="I18" s="8">
        <v>222</v>
      </c>
      <c r="J18" s="8">
        <v>3496</v>
      </c>
      <c r="K18" s="9">
        <f t="shared" si="24"/>
        <v>3955</v>
      </c>
      <c r="M18" s="11">
        <f t="shared" si="7"/>
        <v>0</v>
      </c>
      <c r="O18" s="11">
        <f t="shared" si="8"/>
        <v>0</v>
      </c>
      <c r="P18" s="12">
        <v>1900</v>
      </c>
      <c r="Q18" s="11">
        <f t="shared" si="9"/>
        <v>114000</v>
      </c>
      <c r="Y18" s="11">
        <f t="shared" si="10"/>
        <v>0</v>
      </c>
      <c r="AG18" s="11">
        <f t="shared" si="11"/>
        <v>0</v>
      </c>
      <c r="AI18" s="11">
        <f t="shared" si="12"/>
        <v>0</v>
      </c>
      <c r="AJ18" s="12">
        <v>5000</v>
      </c>
      <c r="AK18" s="13">
        <f t="shared" si="13"/>
        <v>45000</v>
      </c>
      <c r="AM18" s="13">
        <f t="shared" si="14"/>
        <v>0</v>
      </c>
      <c r="AO18" s="11">
        <f t="shared" si="15"/>
        <v>0</v>
      </c>
      <c r="AQ18" s="11">
        <f t="shared" si="16"/>
        <v>0</v>
      </c>
      <c r="AS18" s="11">
        <f t="shared" si="17"/>
        <v>0</v>
      </c>
      <c r="AU18" s="11">
        <f t="shared" si="18"/>
        <v>0</v>
      </c>
      <c r="AW18" s="11">
        <f t="shared" si="19"/>
        <v>0</v>
      </c>
      <c r="AY18" s="11">
        <f t="shared" si="20"/>
        <v>0</v>
      </c>
      <c r="AZ18" s="12">
        <v>100</v>
      </c>
      <c r="BA18" s="11">
        <f t="shared" si="2"/>
        <v>4000</v>
      </c>
      <c r="BC18" s="11">
        <f t="shared" si="2"/>
        <v>0</v>
      </c>
      <c r="BE18" s="11">
        <f t="shared" si="21"/>
        <v>0</v>
      </c>
      <c r="BG18" s="11">
        <f t="shared" si="22"/>
        <v>0</v>
      </c>
      <c r="BN18" s="8">
        <f t="shared" si="3"/>
        <v>7000</v>
      </c>
      <c r="BO18" s="8">
        <f t="shared" si="4"/>
        <v>163000</v>
      </c>
      <c r="BP18" s="8">
        <f t="shared" si="25"/>
        <v>0</v>
      </c>
      <c r="BQ18" s="12">
        <f t="shared" si="26"/>
        <v>0</v>
      </c>
    </row>
    <row r="19" spans="1:69">
      <c r="A19" s="28">
        <v>1972</v>
      </c>
      <c r="B19" s="27" t="s">
        <v>137</v>
      </c>
      <c r="C19" s="24">
        <f t="shared" si="23"/>
        <v>2</v>
      </c>
      <c r="D19" s="7" t="e">
        <f t="shared" ca="1" si="0"/>
        <v>#N/A</v>
      </c>
      <c r="E19" s="26">
        <f t="array" aca="1" ref="E19" ca="1">AVERAGE(IF(INDIRECT(DatCol&amp;"$"&amp;TEXT(C19,"###")):INDIRECT(DatCol&amp;"$"&amp;TEXT(C19+57,"###"))&gt;0,INDIRECT(DatCol&amp;"$"&amp;TEXT(C19,"###")):INDIRECT(DatCol&amp;"$"&amp;TEXT(C19+57,"###"))))</f>
        <v>370.13629629629628</v>
      </c>
      <c r="F19" s="26" t="str">
        <f t="shared" si="1"/>
        <v>C</v>
      </c>
      <c r="G19" s="8"/>
      <c r="H19" s="8">
        <v>378</v>
      </c>
      <c r="I19" s="8">
        <v>138</v>
      </c>
      <c r="J19" s="8">
        <v>3218</v>
      </c>
      <c r="K19" s="9">
        <f t="shared" si="24"/>
        <v>3596</v>
      </c>
      <c r="M19" s="11">
        <f t="shared" ref="M19:M34" si="27">(L19*50)</f>
        <v>0</v>
      </c>
      <c r="O19" s="11">
        <f t="shared" ref="O19:O34" si="28">(N19*50)</f>
        <v>0</v>
      </c>
      <c r="P19" s="12">
        <v>4000</v>
      </c>
      <c r="Q19" s="11">
        <f t="shared" ref="Q19:Q34" si="29">((P19*330)/5.5)</f>
        <v>240000</v>
      </c>
      <c r="Y19" s="11">
        <f t="shared" ref="Y19:Y34" si="30">((X19*330)/5.5)</f>
        <v>0</v>
      </c>
      <c r="AG19" s="11">
        <f t="shared" ref="AG19:AG34" si="31">(AF19*65)</f>
        <v>0</v>
      </c>
      <c r="AI19" s="11">
        <f t="shared" ref="AI19:AI34" si="32">(AH19*65)</f>
        <v>0</v>
      </c>
      <c r="AJ19" s="12">
        <v>200</v>
      </c>
      <c r="AK19" s="13">
        <f t="shared" ref="AK19:AK34" si="33">(AJ19*9)</f>
        <v>1800</v>
      </c>
      <c r="AL19" s="12" t="s">
        <v>1</v>
      </c>
      <c r="AM19" s="13">
        <f t="shared" ref="AM19:AM34" si="34">(AL19*9)</f>
        <v>0</v>
      </c>
      <c r="AO19" s="11">
        <f t="shared" ref="AO19:AO34" si="35">(AN19*80)</f>
        <v>0</v>
      </c>
      <c r="AQ19" s="11">
        <f t="shared" ref="AQ19:AQ34" si="36">(AP19*80)</f>
        <v>0</v>
      </c>
      <c r="AS19" s="11">
        <f t="shared" ref="AS19:AS34" si="37">(AR19*50)</f>
        <v>0</v>
      </c>
      <c r="AU19" s="11">
        <f t="shared" ref="AU19:AU34" si="38">(AT19*50)</f>
        <v>0</v>
      </c>
      <c r="AW19" s="11">
        <f t="shared" ref="AW19:AW34" si="39">(AV19*60)</f>
        <v>0</v>
      </c>
      <c r="AY19" s="11">
        <f t="shared" ref="AY19:AY34" si="40">(AX19*60)</f>
        <v>0</v>
      </c>
      <c r="AZ19" s="12">
        <v>100</v>
      </c>
      <c r="BA19" s="11">
        <f t="shared" ref="BA19:BA34" si="41">(AZ19*40)</f>
        <v>4000</v>
      </c>
      <c r="BC19" s="11">
        <f t="shared" ref="BC19:BC34" si="42">(BB19*40)</f>
        <v>0</v>
      </c>
      <c r="BE19" s="11">
        <f t="shared" ref="BE19:BE34" si="43">(BD19*95)</f>
        <v>0</v>
      </c>
      <c r="BG19" s="11">
        <f t="shared" ref="BG19:BG34" si="44">(BF19*95)</f>
        <v>0</v>
      </c>
      <c r="BN19" s="8">
        <f t="shared" si="3"/>
        <v>4300</v>
      </c>
      <c r="BO19" s="8">
        <f t="shared" si="4"/>
        <v>245800</v>
      </c>
      <c r="BP19" s="8">
        <f t="shared" si="25"/>
        <v>0</v>
      </c>
      <c r="BQ19" s="12">
        <f t="shared" si="26"/>
        <v>0</v>
      </c>
    </row>
    <row r="20" spans="1:69">
      <c r="A20" s="28">
        <v>1973</v>
      </c>
      <c r="B20" s="27" t="s">
        <v>137</v>
      </c>
      <c r="C20" s="24">
        <f t="shared" si="23"/>
        <v>2</v>
      </c>
      <c r="D20" s="7" t="e">
        <f t="shared" ca="1" si="0"/>
        <v>#N/A</v>
      </c>
      <c r="E20" s="26">
        <f t="array" aca="1" ref="E20" ca="1">AVERAGE(IF(INDIRECT(DatCol&amp;"$"&amp;TEXT(C20,"###")):INDIRECT(DatCol&amp;"$"&amp;TEXT(C20+57,"###"))&gt;0,INDIRECT(DatCol&amp;"$"&amp;TEXT(C20,"###")):INDIRECT(DatCol&amp;"$"&amp;TEXT(C20+57,"###"))))</f>
        <v>370.13629629629628</v>
      </c>
      <c r="F20" s="26" t="str">
        <f t="shared" si="1"/>
        <v>C</v>
      </c>
      <c r="G20" s="8"/>
      <c r="H20" s="8">
        <v>139</v>
      </c>
      <c r="I20" s="8">
        <v>86</v>
      </c>
      <c r="J20" s="8">
        <v>3659</v>
      </c>
      <c r="K20" s="9">
        <f t="shared" si="24"/>
        <v>3798</v>
      </c>
      <c r="M20" s="11">
        <f t="shared" si="27"/>
        <v>0</v>
      </c>
      <c r="N20" s="12">
        <v>123</v>
      </c>
      <c r="O20" s="11">
        <f t="shared" si="28"/>
        <v>6150</v>
      </c>
      <c r="P20" s="12">
        <v>4350</v>
      </c>
      <c r="Q20" s="11">
        <f t="shared" si="29"/>
        <v>261000</v>
      </c>
      <c r="X20" s="12">
        <v>514</v>
      </c>
      <c r="Y20" s="11">
        <f t="shared" si="30"/>
        <v>30840</v>
      </c>
      <c r="AG20" s="11">
        <f t="shared" si="31"/>
        <v>0</v>
      </c>
      <c r="AH20" s="12">
        <v>124</v>
      </c>
      <c r="AI20" s="11">
        <f t="shared" si="32"/>
        <v>8060</v>
      </c>
      <c r="AJ20" s="12">
        <v>1200</v>
      </c>
      <c r="AK20" s="13">
        <f t="shared" si="33"/>
        <v>10800</v>
      </c>
      <c r="AL20" s="12">
        <v>198</v>
      </c>
      <c r="AM20" s="13">
        <f t="shared" si="34"/>
        <v>1782</v>
      </c>
      <c r="AO20" s="11">
        <f t="shared" si="35"/>
        <v>0</v>
      </c>
      <c r="AP20" s="12">
        <v>250</v>
      </c>
      <c r="AQ20" s="11">
        <f t="shared" si="36"/>
        <v>20000</v>
      </c>
      <c r="AS20" s="11">
        <f t="shared" si="37"/>
        <v>0</v>
      </c>
      <c r="AU20" s="11">
        <f t="shared" si="38"/>
        <v>0</v>
      </c>
      <c r="AW20" s="11">
        <f t="shared" si="39"/>
        <v>0</v>
      </c>
      <c r="AY20" s="11">
        <f t="shared" si="40"/>
        <v>0</v>
      </c>
      <c r="AZ20" s="12">
        <v>50</v>
      </c>
      <c r="BA20" s="11">
        <f t="shared" si="41"/>
        <v>2000</v>
      </c>
      <c r="BC20" s="11">
        <f t="shared" si="42"/>
        <v>0</v>
      </c>
      <c r="BE20" s="11">
        <f t="shared" si="43"/>
        <v>0</v>
      </c>
      <c r="BG20" s="11">
        <f t="shared" si="44"/>
        <v>0</v>
      </c>
      <c r="BN20" s="8">
        <f t="shared" si="3"/>
        <v>6114</v>
      </c>
      <c r="BO20" s="8">
        <f t="shared" si="4"/>
        <v>304640</v>
      </c>
      <c r="BP20" s="8">
        <f t="shared" si="25"/>
        <v>1209</v>
      </c>
      <c r="BQ20" s="12">
        <f t="shared" si="26"/>
        <v>66832</v>
      </c>
    </row>
    <row r="21" spans="1:69">
      <c r="A21" s="28">
        <v>1974</v>
      </c>
      <c r="B21" s="27" t="s">
        <v>137</v>
      </c>
      <c r="C21" s="24">
        <f t="shared" si="23"/>
        <v>2</v>
      </c>
      <c r="D21" s="7" t="e">
        <f t="shared" ca="1" si="0"/>
        <v>#N/A</v>
      </c>
      <c r="E21" s="26">
        <f t="array" aca="1" ref="E21" ca="1">AVERAGE(IF(INDIRECT(DatCol&amp;"$"&amp;TEXT(C21,"###")):INDIRECT(DatCol&amp;"$"&amp;TEXT(C21+57,"###"))&gt;0,INDIRECT(DatCol&amp;"$"&amp;TEXT(C21,"###")):INDIRECT(DatCol&amp;"$"&amp;TEXT(C21+57,"###"))))</f>
        <v>370.13629629629628</v>
      </c>
      <c r="F21" s="26" t="str">
        <f t="shared" si="1"/>
        <v>C</v>
      </c>
      <c r="G21" s="8"/>
      <c r="H21" s="8">
        <v>62</v>
      </c>
      <c r="I21" s="8">
        <v>108</v>
      </c>
      <c r="J21" s="8">
        <v>3602</v>
      </c>
      <c r="K21" s="9">
        <f t="shared" si="24"/>
        <v>3664</v>
      </c>
      <c r="M21" s="11">
        <f t="shared" si="27"/>
        <v>0</v>
      </c>
      <c r="N21" s="12">
        <v>270</v>
      </c>
      <c r="O21" s="11">
        <f t="shared" si="28"/>
        <v>13500</v>
      </c>
      <c r="P21" s="12">
        <v>2800</v>
      </c>
      <c r="Q21" s="11">
        <f t="shared" si="29"/>
        <v>168000</v>
      </c>
      <c r="X21" s="12">
        <v>900</v>
      </c>
      <c r="Y21" s="11">
        <f t="shared" si="30"/>
        <v>54000</v>
      </c>
      <c r="AG21" s="11">
        <f t="shared" si="31"/>
        <v>0</v>
      </c>
      <c r="AH21" s="12">
        <v>220</v>
      </c>
      <c r="AI21" s="11">
        <f t="shared" si="32"/>
        <v>14300</v>
      </c>
      <c r="AJ21" s="12">
        <v>130</v>
      </c>
      <c r="AK21" s="13">
        <f t="shared" si="33"/>
        <v>1170</v>
      </c>
      <c r="AL21" s="12">
        <v>35</v>
      </c>
      <c r="AM21" s="13">
        <f t="shared" si="34"/>
        <v>315</v>
      </c>
      <c r="AO21" s="11">
        <f t="shared" si="35"/>
        <v>0</v>
      </c>
      <c r="AQ21" s="11">
        <f t="shared" si="36"/>
        <v>0</v>
      </c>
      <c r="AS21" s="11">
        <f t="shared" si="37"/>
        <v>0</v>
      </c>
      <c r="AU21" s="11">
        <f t="shared" si="38"/>
        <v>0</v>
      </c>
      <c r="AW21" s="11">
        <f t="shared" si="39"/>
        <v>0</v>
      </c>
      <c r="AY21" s="11">
        <f t="shared" si="40"/>
        <v>0</v>
      </c>
      <c r="AZ21" s="12">
        <v>60</v>
      </c>
      <c r="BA21" s="11">
        <f t="shared" si="41"/>
        <v>2400</v>
      </c>
      <c r="BB21" s="12">
        <v>10</v>
      </c>
      <c r="BC21" s="11">
        <f t="shared" si="42"/>
        <v>400</v>
      </c>
      <c r="BE21" s="11">
        <f t="shared" si="43"/>
        <v>0</v>
      </c>
      <c r="BG21" s="11">
        <f t="shared" si="44"/>
        <v>0</v>
      </c>
      <c r="BN21" s="8">
        <f t="shared" si="3"/>
        <v>3890</v>
      </c>
      <c r="BO21" s="8">
        <f t="shared" si="4"/>
        <v>225570</v>
      </c>
      <c r="BP21" s="8">
        <f t="shared" si="25"/>
        <v>1435</v>
      </c>
      <c r="BQ21" s="12">
        <f t="shared" si="26"/>
        <v>82515</v>
      </c>
    </row>
    <row r="22" spans="1:69">
      <c r="A22" s="28">
        <v>1975</v>
      </c>
      <c r="B22" s="27" t="s">
        <v>137</v>
      </c>
      <c r="C22" s="24">
        <f t="shared" si="23"/>
        <v>2</v>
      </c>
      <c r="D22" s="7" t="e">
        <f t="shared" ca="1" si="0"/>
        <v>#N/A</v>
      </c>
      <c r="E22" s="26">
        <f t="array" aca="1" ref="E22" ca="1">AVERAGE(IF(INDIRECT(DatCol&amp;"$"&amp;TEXT(C22,"###")):INDIRECT(DatCol&amp;"$"&amp;TEXT(C22+57,"###"))&gt;0,INDIRECT(DatCol&amp;"$"&amp;TEXT(C22,"###")):INDIRECT(DatCol&amp;"$"&amp;TEXT(C22+57,"###"))))</f>
        <v>370.13629629629628</v>
      </c>
      <c r="F22" s="26" t="str">
        <f t="shared" si="1"/>
        <v>C</v>
      </c>
      <c r="G22" s="8"/>
      <c r="H22" s="8">
        <v>54</v>
      </c>
      <c r="I22" s="8">
        <v>73</v>
      </c>
      <c r="J22" s="8">
        <v>3856</v>
      </c>
      <c r="K22" s="9">
        <f t="shared" si="24"/>
        <v>3910</v>
      </c>
      <c r="M22" s="11">
        <f t="shared" si="27"/>
        <v>0</v>
      </c>
      <c r="N22" s="12">
        <v>456</v>
      </c>
      <c r="O22" s="11">
        <f t="shared" si="28"/>
        <v>22800</v>
      </c>
      <c r="P22" s="12">
        <v>2930</v>
      </c>
      <c r="Q22" s="11">
        <f t="shared" si="29"/>
        <v>175800</v>
      </c>
      <c r="X22" s="12">
        <v>1082</v>
      </c>
      <c r="Y22" s="11">
        <f t="shared" si="30"/>
        <v>64920</v>
      </c>
      <c r="AG22" s="11">
        <f t="shared" si="31"/>
        <v>0</v>
      </c>
      <c r="AH22" s="12">
        <v>259</v>
      </c>
      <c r="AI22" s="11">
        <f t="shared" si="32"/>
        <v>16835</v>
      </c>
      <c r="AJ22" s="12">
        <v>30</v>
      </c>
      <c r="AK22" s="13">
        <f t="shared" si="33"/>
        <v>270</v>
      </c>
      <c r="AL22" s="12">
        <v>17</v>
      </c>
      <c r="AM22" s="13">
        <f t="shared" si="34"/>
        <v>153</v>
      </c>
      <c r="AO22" s="11">
        <f t="shared" si="35"/>
        <v>0</v>
      </c>
      <c r="AP22" s="12">
        <v>170</v>
      </c>
      <c r="AQ22" s="11">
        <f t="shared" si="36"/>
        <v>13600</v>
      </c>
      <c r="AS22" s="11">
        <f t="shared" si="37"/>
        <v>0</v>
      </c>
      <c r="AU22" s="11">
        <f t="shared" si="38"/>
        <v>0</v>
      </c>
      <c r="AW22" s="11">
        <f t="shared" si="39"/>
        <v>0</v>
      </c>
      <c r="AY22" s="11">
        <f t="shared" si="40"/>
        <v>0</v>
      </c>
      <c r="AZ22" s="12">
        <v>80</v>
      </c>
      <c r="BA22" s="11">
        <f t="shared" si="41"/>
        <v>3200</v>
      </c>
      <c r="BB22" s="12">
        <v>10</v>
      </c>
      <c r="BC22" s="11">
        <f t="shared" si="42"/>
        <v>400</v>
      </c>
      <c r="BE22" s="11">
        <f t="shared" si="43"/>
        <v>0</v>
      </c>
      <c r="BG22" s="11">
        <f t="shared" si="44"/>
        <v>0</v>
      </c>
      <c r="BN22" s="8">
        <f t="shared" si="3"/>
        <v>4122</v>
      </c>
      <c r="BO22" s="8">
        <f t="shared" si="4"/>
        <v>244190</v>
      </c>
      <c r="BP22" s="8">
        <f t="shared" si="25"/>
        <v>1994</v>
      </c>
      <c r="BQ22" s="12">
        <f t="shared" si="26"/>
        <v>118708</v>
      </c>
    </row>
    <row r="23" spans="1:69">
      <c r="A23" s="28">
        <v>1976</v>
      </c>
      <c r="B23" s="27" t="s">
        <v>137</v>
      </c>
      <c r="C23" s="24">
        <f t="shared" si="23"/>
        <v>2</v>
      </c>
      <c r="D23" s="7" t="e">
        <f t="shared" ca="1" si="0"/>
        <v>#N/A</v>
      </c>
      <c r="E23" s="26">
        <f t="array" aca="1" ref="E23" ca="1">AVERAGE(IF(INDIRECT(DatCol&amp;"$"&amp;TEXT(C23,"###")):INDIRECT(DatCol&amp;"$"&amp;TEXT(C23+57,"###"))&gt;0,INDIRECT(DatCol&amp;"$"&amp;TEXT(C23,"###")):INDIRECT(DatCol&amp;"$"&amp;TEXT(C23+57,"###"))))</f>
        <v>370.13629629629628</v>
      </c>
      <c r="F23" s="26" t="str">
        <f t="shared" si="1"/>
        <v>C</v>
      </c>
      <c r="G23" s="8"/>
      <c r="H23" s="8">
        <v>50</v>
      </c>
      <c r="I23" s="8">
        <v>63</v>
      </c>
      <c r="J23" s="8">
        <v>3739</v>
      </c>
      <c r="K23" s="9">
        <f t="shared" si="24"/>
        <v>3789</v>
      </c>
      <c r="M23" s="11">
        <f t="shared" si="27"/>
        <v>0</v>
      </c>
      <c r="N23" s="12">
        <v>218</v>
      </c>
      <c r="O23" s="11">
        <f t="shared" si="28"/>
        <v>10900</v>
      </c>
      <c r="P23" s="12">
        <v>2500</v>
      </c>
      <c r="Q23" s="11">
        <f t="shared" si="29"/>
        <v>150000</v>
      </c>
      <c r="X23" s="12">
        <v>812</v>
      </c>
      <c r="Y23" s="11">
        <f t="shared" si="30"/>
        <v>48720</v>
      </c>
      <c r="AG23" s="11">
        <f t="shared" si="31"/>
        <v>0</v>
      </c>
      <c r="AH23" s="12">
        <v>254</v>
      </c>
      <c r="AI23" s="11">
        <f t="shared" si="32"/>
        <v>16510</v>
      </c>
      <c r="AJ23" s="12">
        <v>10</v>
      </c>
      <c r="AK23" s="13">
        <f t="shared" si="33"/>
        <v>90</v>
      </c>
      <c r="AL23" s="12">
        <v>15</v>
      </c>
      <c r="AM23" s="13">
        <f t="shared" si="34"/>
        <v>135</v>
      </c>
      <c r="AO23" s="11">
        <f t="shared" si="35"/>
        <v>0</v>
      </c>
      <c r="AP23" s="12">
        <v>500</v>
      </c>
      <c r="AQ23" s="11">
        <f t="shared" si="36"/>
        <v>40000</v>
      </c>
      <c r="AS23" s="11">
        <f t="shared" si="37"/>
        <v>0</v>
      </c>
      <c r="AT23" s="12">
        <v>10</v>
      </c>
      <c r="AU23" s="11">
        <f t="shared" si="38"/>
        <v>500</v>
      </c>
      <c r="AW23" s="11">
        <f t="shared" si="39"/>
        <v>0</v>
      </c>
      <c r="AY23" s="11">
        <f t="shared" si="40"/>
        <v>0</v>
      </c>
      <c r="AZ23" s="12">
        <v>85</v>
      </c>
      <c r="BA23" s="11">
        <f t="shared" si="41"/>
        <v>3400</v>
      </c>
      <c r="BB23" s="12">
        <v>82</v>
      </c>
      <c r="BC23" s="11">
        <f t="shared" si="42"/>
        <v>3280</v>
      </c>
      <c r="BE23" s="11">
        <f t="shared" si="43"/>
        <v>0</v>
      </c>
      <c r="BG23" s="11">
        <f t="shared" si="44"/>
        <v>0</v>
      </c>
      <c r="BN23" s="8">
        <f t="shared" si="3"/>
        <v>3407</v>
      </c>
      <c r="BO23" s="8">
        <f t="shared" si="4"/>
        <v>202210</v>
      </c>
      <c r="BP23" s="8">
        <f t="shared" si="25"/>
        <v>1891</v>
      </c>
      <c r="BQ23" s="12">
        <f t="shared" si="26"/>
        <v>120045</v>
      </c>
    </row>
    <row r="24" spans="1:69">
      <c r="A24" s="28">
        <v>1977</v>
      </c>
      <c r="B24" s="27" t="s">
        <v>137</v>
      </c>
      <c r="C24" s="24">
        <f t="shared" si="23"/>
        <v>2</v>
      </c>
      <c r="D24" s="7" t="e">
        <f t="shared" ca="1" si="0"/>
        <v>#N/A</v>
      </c>
      <c r="E24" s="26">
        <f t="array" aca="1" ref="E24" ca="1">AVERAGE(IF(INDIRECT(DatCol&amp;"$"&amp;TEXT(C24,"###")):INDIRECT(DatCol&amp;"$"&amp;TEXT(C24+57,"###"))&gt;0,INDIRECT(DatCol&amp;"$"&amp;TEXT(C24,"###")):INDIRECT(DatCol&amp;"$"&amp;TEXT(C24+57,"###"))))</f>
        <v>370.13629629629628</v>
      </c>
      <c r="F24" s="26" t="str">
        <f t="shared" si="1"/>
        <v>C</v>
      </c>
      <c r="G24" s="8"/>
      <c r="H24" s="8">
        <v>59</v>
      </c>
      <c r="I24" s="8">
        <v>75</v>
      </c>
      <c r="J24" s="8">
        <v>4031</v>
      </c>
      <c r="K24" s="9">
        <f t="shared" si="24"/>
        <v>4090</v>
      </c>
      <c r="M24" s="11">
        <f t="shared" si="27"/>
        <v>0</v>
      </c>
      <c r="N24" s="12">
        <v>430</v>
      </c>
      <c r="O24" s="11">
        <f t="shared" si="28"/>
        <v>21500</v>
      </c>
      <c r="P24" s="12">
        <v>2680</v>
      </c>
      <c r="Q24" s="11">
        <f t="shared" si="29"/>
        <v>160800</v>
      </c>
      <c r="X24" s="12">
        <v>976</v>
      </c>
      <c r="Y24" s="11">
        <f t="shared" si="30"/>
        <v>58560</v>
      </c>
      <c r="AG24" s="11">
        <f t="shared" si="31"/>
        <v>0</v>
      </c>
      <c r="AH24" s="12">
        <v>422</v>
      </c>
      <c r="AI24" s="11">
        <f t="shared" si="32"/>
        <v>27430</v>
      </c>
      <c r="AJ24" s="12">
        <v>400</v>
      </c>
      <c r="AK24" s="13">
        <f t="shared" si="33"/>
        <v>3600</v>
      </c>
      <c r="AL24" s="12">
        <v>860</v>
      </c>
      <c r="AM24" s="13">
        <f t="shared" si="34"/>
        <v>7740</v>
      </c>
      <c r="AO24" s="11">
        <f t="shared" si="35"/>
        <v>0</v>
      </c>
      <c r="AP24" s="12">
        <v>210</v>
      </c>
      <c r="AQ24" s="11">
        <f t="shared" si="36"/>
        <v>16800</v>
      </c>
      <c r="AS24" s="11">
        <f t="shared" si="37"/>
        <v>0</v>
      </c>
      <c r="AU24" s="11">
        <f t="shared" si="38"/>
        <v>0</v>
      </c>
      <c r="AW24" s="11">
        <f t="shared" si="39"/>
        <v>0</v>
      </c>
      <c r="AY24" s="11">
        <f t="shared" si="40"/>
        <v>0</v>
      </c>
      <c r="AZ24" s="12">
        <v>95</v>
      </c>
      <c r="BA24" s="11">
        <f t="shared" si="41"/>
        <v>3800</v>
      </c>
      <c r="BB24" s="12">
        <v>12</v>
      </c>
      <c r="BC24" s="11">
        <f t="shared" si="42"/>
        <v>480</v>
      </c>
      <c r="BE24" s="11">
        <f t="shared" si="43"/>
        <v>0</v>
      </c>
      <c r="BG24" s="11">
        <f t="shared" si="44"/>
        <v>0</v>
      </c>
      <c r="BN24" s="8">
        <f t="shared" si="3"/>
        <v>4151</v>
      </c>
      <c r="BO24" s="8">
        <f t="shared" si="4"/>
        <v>226760</v>
      </c>
      <c r="BP24" s="8">
        <f t="shared" si="25"/>
        <v>2910</v>
      </c>
      <c r="BQ24" s="12">
        <f t="shared" si="26"/>
        <v>132510</v>
      </c>
    </row>
    <row r="25" spans="1:69">
      <c r="A25" s="28">
        <v>1978</v>
      </c>
      <c r="B25" s="27" t="s">
        <v>137</v>
      </c>
      <c r="C25" s="24">
        <f t="shared" si="23"/>
        <v>2</v>
      </c>
      <c r="D25" s="7" t="e">
        <f t="shared" ca="1" si="0"/>
        <v>#N/A</v>
      </c>
      <c r="E25" s="26">
        <f t="array" aca="1" ref="E25" ca="1">AVERAGE(IF(INDIRECT(DatCol&amp;"$"&amp;TEXT(C25,"###")):INDIRECT(DatCol&amp;"$"&amp;TEXT(C25+57,"###"))&gt;0,INDIRECT(DatCol&amp;"$"&amp;TEXT(C25,"###")):INDIRECT(DatCol&amp;"$"&amp;TEXT(C25+57,"###"))))</f>
        <v>370.13629629629628</v>
      </c>
      <c r="F25" s="26" t="str">
        <f t="shared" si="1"/>
        <v>C</v>
      </c>
      <c r="G25" s="8"/>
      <c r="H25" s="8">
        <v>70</v>
      </c>
      <c r="I25" s="8">
        <v>95</v>
      </c>
      <c r="J25" s="8">
        <v>3944</v>
      </c>
      <c r="K25" s="9">
        <f t="shared" si="24"/>
        <v>4014</v>
      </c>
      <c r="M25" s="11">
        <f t="shared" si="27"/>
        <v>0</v>
      </c>
      <c r="N25" s="12">
        <v>211</v>
      </c>
      <c r="O25" s="11">
        <f t="shared" si="28"/>
        <v>10550</v>
      </c>
      <c r="P25" s="12">
        <v>2710</v>
      </c>
      <c r="Q25" s="11">
        <f t="shared" si="29"/>
        <v>162600</v>
      </c>
      <c r="X25" s="12">
        <v>1172</v>
      </c>
      <c r="Y25" s="11">
        <f t="shared" si="30"/>
        <v>70320</v>
      </c>
      <c r="AG25" s="11">
        <f t="shared" si="31"/>
        <v>0</v>
      </c>
      <c r="AH25" s="12">
        <v>324</v>
      </c>
      <c r="AI25" s="11">
        <f t="shared" si="32"/>
        <v>21060</v>
      </c>
      <c r="AJ25" s="12">
        <v>560</v>
      </c>
      <c r="AK25" s="13">
        <f t="shared" si="33"/>
        <v>5040</v>
      </c>
      <c r="AL25" s="12">
        <v>210</v>
      </c>
      <c r="AM25" s="13">
        <f t="shared" si="34"/>
        <v>1890</v>
      </c>
      <c r="AO25" s="11">
        <f t="shared" si="35"/>
        <v>0</v>
      </c>
      <c r="AP25" s="12">
        <v>340</v>
      </c>
      <c r="AQ25" s="11">
        <f t="shared" si="36"/>
        <v>27200</v>
      </c>
      <c r="AS25" s="11">
        <f t="shared" si="37"/>
        <v>0</v>
      </c>
      <c r="AU25" s="11">
        <f t="shared" si="38"/>
        <v>0</v>
      </c>
      <c r="AW25" s="11">
        <f t="shared" si="39"/>
        <v>0</v>
      </c>
      <c r="AY25" s="11">
        <f t="shared" si="40"/>
        <v>0</v>
      </c>
      <c r="AZ25" s="12">
        <v>100</v>
      </c>
      <c r="BA25" s="11">
        <f t="shared" si="41"/>
        <v>4000</v>
      </c>
      <c r="BB25" s="12">
        <v>77</v>
      </c>
      <c r="BC25" s="11">
        <f t="shared" si="42"/>
        <v>3080</v>
      </c>
      <c r="BE25" s="11">
        <f t="shared" si="43"/>
        <v>0</v>
      </c>
      <c r="BG25" s="11">
        <f t="shared" si="44"/>
        <v>0</v>
      </c>
      <c r="BN25" s="8">
        <f t="shared" si="3"/>
        <v>4542</v>
      </c>
      <c r="BO25" s="8">
        <f t="shared" si="4"/>
        <v>241960</v>
      </c>
      <c r="BP25" s="8">
        <f t="shared" si="25"/>
        <v>2334</v>
      </c>
      <c r="BQ25" s="12">
        <f t="shared" si="26"/>
        <v>134100</v>
      </c>
    </row>
    <row r="26" spans="1:69">
      <c r="A26" s="28">
        <v>1979</v>
      </c>
      <c r="B26" s="27" t="s">
        <v>137</v>
      </c>
      <c r="C26" s="24">
        <f t="shared" si="23"/>
        <v>2</v>
      </c>
      <c r="D26" s="7" t="e">
        <f t="shared" ca="1" si="0"/>
        <v>#N/A</v>
      </c>
      <c r="E26" s="26">
        <f t="array" aca="1" ref="E26" ca="1">AVERAGE(IF(INDIRECT(DatCol&amp;"$"&amp;TEXT(C26,"###")):INDIRECT(DatCol&amp;"$"&amp;TEXT(C26+57,"###"))&gt;0,INDIRECT(DatCol&amp;"$"&amp;TEXT(C26,"###")):INDIRECT(DatCol&amp;"$"&amp;TEXT(C26+57,"###"))))</f>
        <v>370.13629629629628</v>
      </c>
      <c r="F26" s="26" t="str">
        <f t="shared" si="1"/>
        <v>C</v>
      </c>
      <c r="G26" s="8"/>
      <c r="H26" s="8">
        <v>87</v>
      </c>
      <c r="I26" s="8">
        <v>183</v>
      </c>
      <c r="J26" s="8">
        <v>4839</v>
      </c>
      <c r="K26" s="9">
        <f t="shared" si="24"/>
        <v>4926</v>
      </c>
      <c r="L26" s="12">
        <v>150</v>
      </c>
      <c r="M26" s="11">
        <f t="shared" si="27"/>
        <v>7500</v>
      </c>
      <c r="N26" s="12">
        <v>241</v>
      </c>
      <c r="O26" s="11">
        <f t="shared" si="28"/>
        <v>12050</v>
      </c>
      <c r="P26" s="12">
        <v>2890</v>
      </c>
      <c r="Q26" s="11">
        <f t="shared" si="29"/>
        <v>173400</v>
      </c>
      <c r="X26" s="12">
        <v>1228</v>
      </c>
      <c r="Y26" s="11">
        <f t="shared" si="30"/>
        <v>73680</v>
      </c>
      <c r="AG26" s="11">
        <f t="shared" si="31"/>
        <v>0</v>
      </c>
      <c r="AH26" s="12">
        <v>338</v>
      </c>
      <c r="AI26" s="11">
        <f t="shared" si="32"/>
        <v>21970</v>
      </c>
      <c r="AJ26" s="12">
        <v>3000</v>
      </c>
      <c r="AK26" s="13">
        <f t="shared" si="33"/>
        <v>27000</v>
      </c>
      <c r="AL26" s="12">
        <v>138</v>
      </c>
      <c r="AM26" s="13">
        <f t="shared" si="34"/>
        <v>1242</v>
      </c>
      <c r="AO26" s="11">
        <f t="shared" si="35"/>
        <v>0</v>
      </c>
      <c r="AP26" s="12">
        <v>400</v>
      </c>
      <c r="AQ26" s="11">
        <f t="shared" si="36"/>
        <v>32000</v>
      </c>
      <c r="AS26" s="11">
        <f t="shared" si="37"/>
        <v>0</v>
      </c>
      <c r="AT26" s="12">
        <v>15</v>
      </c>
      <c r="AU26" s="11">
        <f t="shared" si="38"/>
        <v>750</v>
      </c>
      <c r="AW26" s="11">
        <f t="shared" si="39"/>
        <v>0</v>
      </c>
      <c r="AX26" s="12">
        <v>100</v>
      </c>
      <c r="AY26" s="11">
        <f t="shared" si="40"/>
        <v>6000</v>
      </c>
      <c r="AZ26" s="12">
        <v>20</v>
      </c>
      <c r="BA26" s="11">
        <f t="shared" si="41"/>
        <v>800</v>
      </c>
      <c r="BB26" s="12">
        <v>300</v>
      </c>
      <c r="BC26" s="11">
        <f t="shared" si="42"/>
        <v>12000</v>
      </c>
      <c r="BE26" s="11">
        <f t="shared" si="43"/>
        <v>0</v>
      </c>
      <c r="BG26" s="11">
        <f t="shared" si="44"/>
        <v>0</v>
      </c>
      <c r="BN26" s="8">
        <f t="shared" si="3"/>
        <v>7288</v>
      </c>
      <c r="BO26" s="8">
        <f t="shared" si="4"/>
        <v>282380</v>
      </c>
      <c r="BP26" s="8">
        <f t="shared" si="25"/>
        <v>2760</v>
      </c>
      <c r="BQ26" s="12">
        <f t="shared" si="26"/>
        <v>159692</v>
      </c>
    </row>
    <row r="27" spans="1:69">
      <c r="A27" s="28">
        <v>1980</v>
      </c>
      <c r="B27" s="27" t="s">
        <v>137</v>
      </c>
      <c r="C27" s="24">
        <f t="shared" si="23"/>
        <v>2</v>
      </c>
      <c r="D27" s="7" t="e">
        <f t="shared" ca="1" si="0"/>
        <v>#N/A</v>
      </c>
      <c r="E27" s="26">
        <f t="array" aca="1" ref="E27" ca="1">AVERAGE(IF(INDIRECT(DatCol&amp;"$"&amp;TEXT(C27,"###")):INDIRECT(DatCol&amp;"$"&amp;TEXT(C27+57,"###"))&gt;0,INDIRECT(DatCol&amp;"$"&amp;TEXT(C27,"###")):INDIRECT(DatCol&amp;"$"&amp;TEXT(C27+57,"###"))))</f>
        <v>370.13629629629628</v>
      </c>
      <c r="F27" s="26" t="str">
        <f t="shared" si="1"/>
        <v>C</v>
      </c>
      <c r="G27" s="8"/>
      <c r="H27" s="8">
        <v>126</v>
      </c>
      <c r="I27" s="8">
        <v>257</v>
      </c>
      <c r="J27" s="8">
        <v>4472</v>
      </c>
      <c r="K27" s="9">
        <f t="shared" si="24"/>
        <v>4598</v>
      </c>
      <c r="M27" s="11">
        <f t="shared" si="27"/>
        <v>0</v>
      </c>
      <c r="N27" s="12">
        <v>2585</v>
      </c>
      <c r="O27" s="11">
        <f t="shared" si="28"/>
        <v>129250</v>
      </c>
      <c r="P27" s="12">
        <v>2400</v>
      </c>
      <c r="Q27" s="11">
        <f t="shared" si="29"/>
        <v>144000</v>
      </c>
      <c r="X27" s="12">
        <v>4202</v>
      </c>
      <c r="Y27" s="11">
        <f t="shared" si="30"/>
        <v>252120</v>
      </c>
      <c r="AG27" s="11">
        <f t="shared" si="31"/>
        <v>0</v>
      </c>
      <c r="AH27" s="12">
        <v>1531</v>
      </c>
      <c r="AI27" s="11">
        <f t="shared" si="32"/>
        <v>99515</v>
      </c>
      <c r="AJ27" s="12">
        <v>3456</v>
      </c>
      <c r="AK27" s="13">
        <f t="shared" si="33"/>
        <v>31104</v>
      </c>
      <c r="AL27" s="12">
        <v>1500</v>
      </c>
      <c r="AM27" s="13">
        <f t="shared" si="34"/>
        <v>13500</v>
      </c>
      <c r="AO27" s="11">
        <f t="shared" si="35"/>
        <v>0</v>
      </c>
      <c r="AQ27" s="11">
        <f t="shared" si="36"/>
        <v>0</v>
      </c>
      <c r="AR27" s="12">
        <v>21250</v>
      </c>
      <c r="AS27" s="11">
        <f t="shared" si="37"/>
        <v>1062500</v>
      </c>
      <c r="AU27" s="11">
        <f t="shared" si="38"/>
        <v>0</v>
      </c>
      <c r="AW27" s="11">
        <f t="shared" si="39"/>
        <v>0</v>
      </c>
      <c r="AY27" s="11">
        <f t="shared" si="40"/>
        <v>0</v>
      </c>
      <c r="BA27" s="11">
        <f t="shared" si="41"/>
        <v>0</v>
      </c>
      <c r="BC27" s="11">
        <f t="shared" si="42"/>
        <v>0</v>
      </c>
      <c r="BE27" s="11">
        <f t="shared" si="43"/>
        <v>0</v>
      </c>
      <c r="BG27" s="11">
        <f t="shared" si="44"/>
        <v>0</v>
      </c>
      <c r="BN27" s="8">
        <f t="shared" si="3"/>
        <v>31308</v>
      </c>
      <c r="BO27" s="8">
        <f t="shared" si="4"/>
        <v>1489724</v>
      </c>
      <c r="BP27" s="8">
        <f t="shared" si="25"/>
        <v>9818</v>
      </c>
      <c r="BQ27" s="12">
        <f t="shared" si="26"/>
        <v>494385</v>
      </c>
    </row>
    <row r="28" spans="1:69">
      <c r="A28" s="28">
        <v>1981</v>
      </c>
      <c r="B28" s="27" t="s">
        <v>137</v>
      </c>
      <c r="C28" s="24">
        <f t="shared" si="23"/>
        <v>2</v>
      </c>
      <c r="D28" s="7" t="e">
        <f t="shared" ca="1" si="0"/>
        <v>#N/A</v>
      </c>
      <c r="E28" s="26">
        <f t="array" aca="1" ref="E28" ca="1">AVERAGE(IF(INDIRECT(DatCol&amp;"$"&amp;TEXT(C28,"###")):INDIRECT(DatCol&amp;"$"&amp;TEXT(C28+57,"###"))&gt;0,INDIRECT(DatCol&amp;"$"&amp;TEXT(C28,"###")):INDIRECT(DatCol&amp;"$"&amp;TEXT(C28+57,"###"))))</f>
        <v>370.13629629629628</v>
      </c>
      <c r="F28" s="26" t="str">
        <f t="shared" si="1"/>
        <v>C</v>
      </c>
      <c r="G28" s="8"/>
      <c r="H28" s="8">
        <v>150</v>
      </c>
      <c r="I28" s="8">
        <v>193</v>
      </c>
      <c r="J28" s="8">
        <v>4706</v>
      </c>
      <c r="K28" s="9">
        <f t="shared" si="24"/>
        <v>4856</v>
      </c>
      <c r="L28" s="12">
        <v>518</v>
      </c>
      <c r="M28" s="11">
        <f t="shared" si="27"/>
        <v>25900</v>
      </c>
      <c r="N28" s="12">
        <v>800</v>
      </c>
      <c r="O28" s="11">
        <f t="shared" si="28"/>
        <v>40000</v>
      </c>
      <c r="P28" s="12">
        <v>2467</v>
      </c>
      <c r="Q28" s="11">
        <f t="shared" si="29"/>
        <v>148020</v>
      </c>
      <c r="X28" s="12">
        <v>1050</v>
      </c>
      <c r="Y28" s="11">
        <f t="shared" si="30"/>
        <v>63000</v>
      </c>
      <c r="AG28" s="11">
        <f t="shared" si="31"/>
        <v>0</v>
      </c>
      <c r="AH28" s="12">
        <v>67</v>
      </c>
      <c r="AI28" s="11">
        <f t="shared" si="32"/>
        <v>4355</v>
      </c>
      <c r="AK28" s="13">
        <f t="shared" si="33"/>
        <v>0</v>
      </c>
      <c r="AL28" s="12">
        <v>300</v>
      </c>
      <c r="AM28" s="13">
        <f t="shared" si="34"/>
        <v>2700</v>
      </c>
      <c r="AO28" s="11">
        <f t="shared" si="35"/>
        <v>0</v>
      </c>
      <c r="AP28" s="12">
        <v>175</v>
      </c>
      <c r="AQ28" s="11">
        <f t="shared" si="36"/>
        <v>14000</v>
      </c>
      <c r="AR28" s="12">
        <v>15000</v>
      </c>
      <c r="AS28" s="11">
        <f t="shared" si="37"/>
        <v>750000</v>
      </c>
      <c r="AT28" s="12">
        <v>65</v>
      </c>
      <c r="AU28" s="11">
        <f t="shared" si="38"/>
        <v>3250</v>
      </c>
      <c r="AV28" s="12">
        <v>1000</v>
      </c>
      <c r="AW28" s="11">
        <f t="shared" si="39"/>
        <v>60000</v>
      </c>
      <c r="AX28" s="12">
        <v>10</v>
      </c>
      <c r="AY28" s="11">
        <f t="shared" si="40"/>
        <v>600</v>
      </c>
      <c r="BA28" s="11">
        <f t="shared" si="41"/>
        <v>0</v>
      </c>
      <c r="BB28" s="12">
        <v>30</v>
      </c>
      <c r="BC28" s="11">
        <f t="shared" si="42"/>
        <v>1200</v>
      </c>
      <c r="BE28" s="11">
        <f t="shared" si="43"/>
        <v>0</v>
      </c>
      <c r="BG28" s="11">
        <f t="shared" si="44"/>
        <v>0</v>
      </c>
      <c r="BN28" s="8">
        <f t="shared" si="3"/>
        <v>20035</v>
      </c>
      <c r="BO28" s="8">
        <f t="shared" si="4"/>
        <v>1046920</v>
      </c>
      <c r="BP28" s="8">
        <f t="shared" si="25"/>
        <v>2497</v>
      </c>
      <c r="BQ28" s="12">
        <f t="shared" si="26"/>
        <v>129105</v>
      </c>
    </row>
    <row r="29" spans="1:69">
      <c r="A29" s="28">
        <v>1982</v>
      </c>
      <c r="B29" s="27" t="s">
        <v>137</v>
      </c>
      <c r="C29" s="24">
        <f t="shared" si="23"/>
        <v>2</v>
      </c>
      <c r="D29" s="7" t="e">
        <f t="shared" ca="1" si="0"/>
        <v>#N/A</v>
      </c>
      <c r="E29" s="26">
        <f t="array" aca="1" ref="E29" ca="1">AVERAGE(IF(INDIRECT(DatCol&amp;"$"&amp;TEXT(C29,"###")):INDIRECT(DatCol&amp;"$"&amp;TEXT(C29+57,"###"))&gt;0,INDIRECT(DatCol&amp;"$"&amp;TEXT(C29,"###")):INDIRECT(DatCol&amp;"$"&amp;TEXT(C29+57,"###"))))</f>
        <v>370.13629629629628</v>
      </c>
      <c r="F29" s="26" t="str">
        <f t="shared" si="1"/>
        <v>C</v>
      </c>
      <c r="G29" s="8"/>
      <c r="H29" s="8">
        <v>129</v>
      </c>
      <c r="I29" s="8">
        <v>138</v>
      </c>
      <c r="J29" s="8">
        <v>3868</v>
      </c>
      <c r="K29" s="9">
        <f t="shared" si="24"/>
        <v>3997</v>
      </c>
      <c r="L29" s="12">
        <v>600</v>
      </c>
      <c r="M29" s="11">
        <f t="shared" si="27"/>
        <v>30000</v>
      </c>
      <c r="N29" s="12">
        <v>342</v>
      </c>
      <c r="O29" s="11">
        <f t="shared" si="28"/>
        <v>17100</v>
      </c>
      <c r="P29" s="12">
        <v>4000</v>
      </c>
      <c r="Q29" s="11">
        <f t="shared" si="29"/>
        <v>240000</v>
      </c>
      <c r="X29" s="12">
        <v>699</v>
      </c>
      <c r="Y29" s="11">
        <f t="shared" si="30"/>
        <v>41940</v>
      </c>
      <c r="AG29" s="11">
        <f t="shared" si="31"/>
        <v>0</v>
      </c>
      <c r="AH29" s="12">
        <v>304</v>
      </c>
      <c r="AI29" s="11">
        <f t="shared" si="32"/>
        <v>19760</v>
      </c>
      <c r="AJ29" s="12">
        <v>900</v>
      </c>
      <c r="AK29" s="13">
        <f t="shared" si="33"/>
        <v>8100</v>
      </c>
      <c r="AL29" s="12">
        <v>122</v>
      </c>
      <c r="AM29" s="13">
        <f t="shared" si="34"/>
        <v>1098</v>
      </c>
      <c r="AO29" s="11">
        <f t="shared" si="35"/>
        <v>0</v>
      </c>
      <c r="AP29" s="12">
        <v>60</v>
      </c>
      <c r="AQ29" s="11">
        <f t="shared" si="36"/>
        <v>4800</v>
      </c>
      <c r="AR29" s="12">
        <v>10000</v>
      </c>
      <c r="AS29" s="11">
        <f t="shared" si="37"/>
        <v>500000</v>
      </c>
      <c r="AT29" s="12">
        <v>4</v>
      </c>
      <c r="AU29" s="11">
        <f t="shared" si="38"/>
        <v>200</v>
      </c>
      <c r="AV29" s="12">
        <v>0</v>
      </c>
      <c r="AW29" s="11">
        <f t="shared" si="39"/>
        <v>0</v>
      </c>
      <c r="AX29" s="12">
        <v>0</v>
      </c>
      <c r="AY29" s="11">
        <f t="shared" si="40"/>
        <v>0</v>
      </c>
      <c r="BA29" s="11">
        <f t="shared" si="41"/>
        <v>0</v>
      </c>
      <c r="BB29" s="12">
        <v>2</v>
      </c>
      <c r="BC29" s="11">
        <f t="shared" si="42"/>
        <v>80</v>
      </c>
      <c r="BE29" s="11">
        <f t="shared" si="43"/>
        <v>0</v>
      </c>
      <c r="BG29" s="11">
        <f t="shared" si="44"/>
        <v>0</v>
      </c>
      <c r="BN29" s="8">
        <f t="shared" si="3"/>
        <v>16199</v>
      </c>
      <c r="BO29" s="8">
        <f t="shared" si="4"/>
        <v>820040</v>
      </c>
      <c r="BP29" s="8">
        <f t="shared" si="25"/>
        <v>1533</v>
      </c>
      <c r="BQ29" s="12">
        <f t="shared" si="26"/>
        <v>84978</v>
      </c>
    </row>
    <row r="30" spans="1:69">
      <c r="A30" s="28">
        <v>1983</v>
      </c>
      <c r="B30" s="27" t="s">
        <v>137</v>
      </c>
      <c r="C30" s="24">
        <f t="shared" si="23"/>
        <v>2</v>
      </c>
      <c r="D30" s="7" t="e">
        <f t="shared" ca="1" si="0"/>
        <v>#N/A</v>
      </c>
      <c r="E30" s="26">
        <f t="array" aca="1" ref="E30" ca="1">AVERAGE(IF(INDIRECT(DatCol&amp;"$"&amp;TEXT(C30,"###")):INDIRECT(DatCol&amp;"$"&amp;TEXT(C30+57,"###"))&gt;0,INDIRECT(DatCol&amp;"$"&amp;TEXT(C30,"###")):INDIRECT(DatCol&amp;"$"&amp;TEXT(C30+57,"###"))))</f>
        <v>370.13629629629628</v>
      </c>
      <c r="F30" s="26" t="str">
        <f t="shared" si="1"/>
        <v>C</v>
      </c>
      <c r="G30" s="8"/>
      <c r="H30" s="8">
        <v>148</v>
      </c>
      <c r="I30" s="8">
        <v>66</v>
      </c>
      <c r="J30" s="8">
        <v>3424</v>
      </c>
      <c r="K30" s="9">
        <f t="shared" si="24"/>
        <v>3572</v>
      </c>
      <c r="L30" s="12">
        <v>1514</v>
      </c>
      <c r="M30" s="11">
        <f t="shared" si="27"/>
        <v>75700</v>
      </c>
      <c r="N30" s="12">
        <v>560</v>
      </c>
      <c r="O30" s="11">
        <f t="shared" si="28"/>
        <v>28000</v>
      </c>
      <c r="P30" s="12">
        <v>1702</v>
      </c>
      <c r="Q30" s="11">
        <f t="shared" si="29"/>
        <v>102120</v>
      </c>
      <c r="X30" s="12">
        <v>613</v>
      </c>
      <c r="Y30" s="11">
        <f t="shared" si="30"/>
        <v>36780</v>
      </c>
      <c r="AG30" s="11">
        <f t="shared" si="31"/>
        <v>0</v>
      </c>
      <c r="AH30" s="12">
        <v>185</v>
      </c>
      <c r="AI30" s="11">
        <f t="shared" si="32"/>
        <v>12025</v>
      </c>
      <c r="AJ30" s="12">
        <v>330</v>
      </c>
      <c r="AK30" s="13">
        <f t="shared" si="33"/>
        <v>2970</v>
      </c>
      <c r="AL30" s="12">
        <v>58</v>
      </c>
      <c r="AM30" s="13">
        <f t="shared" si="34"/>
        <v>522</v>
      </c>
      <c r="AO30" s="11">
        <f t="shared" si="35"/>
        <v>0</v>
      </c>
      <c r="AP30" s="12">
        <v>20</v>
      </c>
      <c r="AQ30" s="11">
        <f t="shared" si="36"/>
        <v>1600</v>
      </c>
      <c r="AR30" s="12">
        <v>185</v>
      </c>
      <c r="AS30" s="11">
        <f t="shared" si="37"/>
        <v>9250</v>
      </c>
      <c r="AT30" s="12">
        <v>6</v>
      </c>
      <c r="AU30" s="11">
        <f t="shared" si="38"/>
        <v>300</v>
      </c>
      <c r="AV30" s="12">
        <v>120</v>
      </c>
      <c r="AW30" s="11">
        <f t="shared" si="39"/>
        <v>7200</v>
      </c>
      <c r="AY30" s="11">
        <f t="shared" si="40"/>
        <v>0</v>
      </c>
      <c r="AZ30" s="12">
        <v>1</v>
      </c>
      <c r="BA30" s="11">
        <f t="shared" si="41"/>
        <v>40</v>
      </c>
      <c r="BB30" s="12">
        <v>2</v>
      </c>
      <c r="BC30" s="11">
        <f t="shared" si="42"/>
        <v>80</v>
      </c>
      <c r="BE30" s="11">
        <f t="shared" si="43"/>
        <v>0</v>
      </c>
      <c r="BG30" s="11">
        <f t="shared" si="44"/>
        <v>0</v>
      </c>
      <c r="BN30" s="8">
        <f t="shared" si="3"/>
        <v>4465</v>
      </c>
      <c r="BO30" s="8">
        <f t="shared" si="4"/>
        <v>234060</v>
      </c>
      <c r="BP30" s="8">
        <f t="shared" si="25"/>
        <v>1444</v>
      </c>
      <c r="BQ30" s="12">
        <f t="shared" si="26"/>
        <v>79307</v>
      </c>
    </row>
    <row r="31" spans="1:69">
      <c r="A31" s="28">
        <v>1984</v>
      </c>
      <c r="B31" s="27" t="s">
        <v>137</v>
      </c>
      <c r="C31" s="24">
        <f t="shared" si="23"/>
        <v>2</v>
      </c>
      <c r="D31" s="7" t="e">
        <f t="shared" ca="1" si="0"/>
        <v>#N/A</v>
      </c>
      <c r="E31" s="26">
        <f t="array" aca="1" ref="E31" ca="1">AVERAGE(IF(INDIRECT(DatCol&amp;"$"&amp;TEXT(C31,"###")):INDIRECT(DatCol&amp;"$"&amp;TEXT(C31+57,"###"))&gt;0,INDIRECT(DatCol&amp;"$"&amp;TEXT(C31,"###")):INDIRECT(DatCol&amp;"$"&amp;TEXT(C31+57,"###"))))</f>
        <v>370.13629629629628</v>
      </c>
      <c r="F31" s="26" t="str">
        <f t="shared" si="1"/>
        <v>C</v>
      </c>
      <c r="G31" s="8"/>
      <c r="H31" s="8">
        <v>160</v>
      </c>
      <c r="I31" s="8">
        <v>69</v>
      </c>
      <c r="J31" s="8">
        <v>3196</v>
      </c>
      <c r="K31" s="9">
        <f t="shared" si="24"/>
        <v>3356</v>
      </c>
      <c r="L31" s="12">
        <v>2000</v>
      </c>
      <c r="M31" s="11">
        <f t="shared" si="27"/>
        <v>100000</v>
      </c>
      <c r="N31" s="12">
        <v>550</v>
      </c>
      <c r="O31" s="11">
        <f t="shared" si="28"/>
        <v>27500</v>
      </c>
      <c r="P31" s="12">
        <v>1400</v>
      </c>
      <c r="Q31" s="11">
        <f t="shared" si="29"/>
        <v>84000</v>
      </c>
      <c r="X31" s="12">
        <v>600</v>
      </c>
      <c r="Y31" s="11">
        <f t="shared" si="30"/>
        <v>36000</v>
      </c>
      <c r="AG31" s="11">
        <f t="shared" si="31"/>
        <v>0</v>
      </c>
      <c r="AH31" s="12">
        <v>400</v>
      </c>
      <c r="AI31" s="11">
        <f t="shared" si="32"/>
        <v>26000</v>
      </c>
      <c r="AJ31" s="12">
        <v>600</v>
      </c>
      <c r="AK31" s="13">
        <f t="shared" si="33"/>
        <v>5400</v>
      </c>
      <c r="AL31" s="12">
        <v>200</v>
      </c>
      <c r="AM31" s="13">
        <f t="shared" si="34"/>
        <v>1800</v>
      </c>
      <c r="AO31" s="11">
        <f t="shared" si="35"/>
        <v>0</v>
      </c>
      <c r="AP31" s="12">
        <v>75</v>
      </c>
      <c r="AQ31" s="11">
        <f t="shared" si="36"/>
        <v>6000</v>
      </c>
      <c r="AR31" s="12">
        <v>400</v>
      </c>
      <c r="AS31" s="11">
        <f t="shared" si="37"/>
        <v>20000</v>
      </c>
      <c r="AT31" s="12">
        <v>20</v>
      </c>
      <c r="AU31" s="11">
        <f t="shared" si="38"/>
        <v>1000</v>
      </c>
      <c r="AV31" s="12">
        <v>2367</v>
      </c>
      <c r="AW31" s="11">
        <f t="shared" si="39"/>
        <v>142020</v>
      </c>
      <c r="AY31" s="11">
        <f t="shared" si="40"/>
        <v>0</v>
      </c>
      <c r="BA31" s="11">
        <f t="shared" si="41"/>
        <v>0</v>
      </c>
      <c r="BB31" s="12">
        <v>3</v>
      </c>
      <c r="BC31" s="11">
        <f t="shared" si="42"/>
        <v>120</v>
      </c>
      <c r="BE31" s="11">
        <f t="shared" si="43"/>
        <v>0</v>
      </c>
      <c r="BG31" s="11">
        <f t="shared" si="44"/>
        <v>0</v>
      </c>
      <c r="BN31" s="8">
        <f t="shared" si="3"/>
        <v>7367</v>
      </c>
      <c r="BO31" s="8">
        <f t="shared" si="4"/>
        <v>387420</v>
      </c>
      <c r="BP31" s="8">
        <f t="shared" si="25"/>
        <v>1848</v>
      </c>
      <c r="BQ31" s="12">
        <f t="shared" si="26"/>
        <v>98420</v>
      </c>
    </row>
    <row r="32" spans="1:69">
      <c r="A32" s="28">
        <v>1985</v>
      </c>
      <c r="B32" s="27" t="s">
        <v>137</v>
      </c>
      <c r="C32" s="24">
        <f t="shared" si="23"/>
        <v>2</v>
      </c>
      <c r="D32" s="7" t="e">
        <f t="shared" ca="1" si="0"/>
        <v>#N/A</v>
      </c>
      <c r="E32" s="26">
        <f t="array" aca="1" ref="E32" ca="1">AVERAGE(IF(INDIRECT(DatCol&amp;"$"&amp;TEXT(C32,"###")):INDIRECT(DatCol&amp;"$"&amp;TEXT(C32+57,"###"))&gt;0,INDIRECT(DatCol&amp;"$"&amp;TEXT(C32,"###")):INDIRECT(DatCol&amp;"$"&amp;TEXT(C32+57,"###"))))</f>
        <v>370.13629629629628</v>
      </c>
      <c r="F32" s="26" t="str">
        <f t="shared" si="1"/>
        <v>C</v>
      </c>
      <c r="G32" s="8">
        <v>841</v>
      </c>
      <c r="H32" s="8">
        <v>181</v>
      </c>
      <c r="I32" s="8">
        <v>55</v>
      </c>
      <c r="J32" s="8">
        <v>3535</v>
      </c>
      <c r="K32" s="9">
        <f t="shared" si="24"/>
        <v>4557</v>
      </c>
      <c r="L32" s="12">
        <v>1200</v>
      </c>
      <c r="M32" s="11">
        <f t="shared" si="27"/>
        <v>60000</v>
      </c>
      <c r="N32" s="12">
        <v>650</v>
      </c>
      <c r="O32" s="11">
        <f t="shared" si="28"/>
        <v>32500</v>
      </c>
      <c r="P32" s="12">
        <v>1700</v>
      </c>
      <c r="Q32" s="11">
        <f t="shared" si="29"/>
        <v>102000</v>
      </c>
      <c r="X32" s="12">
        <v>700</v>
      </c>
      <c r="Y32" s="11">
        <f t="shared" si="30"/>
        <v>42000</v>
      </c>
      <c r="AG32" s="11">
        <f t="shared" si="31"/>
        <v>0</v>
      </c>
      <c r="AH32" s="12">
        <v>300</v>
      </c>
      <c r="AI32" s="11">
        <f t="shared" si="32"/>
        <v>19500</v>
      </c>
      <c r="AJ32" s="12">
        <v>800</v>
      </c>
      <c r="AK32" s="13">
        <f t="shared" si="33"/>
        <v>7200</v>
      </c>
      <c r="AL32" s="12">
        <v>600</v>
      </c>
      <c r="AM32" s="13">
        <f t="shared" si="34"/>
        <v>5400</v>
      </c>
      <c r="AO32" s="11">
        <f t="shared" si="35"/>
        <v>0</v>
      </c>
      <c r="AQ32" s="11">
        <f t="shared" si="36"/>
        <v>0</v>
      </c>
      <c r="AR32" s="12">
        <v>40</v>
      </c>
      <c r="AS32" s="11">
        <f t="shared" si="37"/>
        <v>2000</v>
      </c>
      <c r="AT32" s="12">
        <v>10</v>
      </c>
      <c r="AU32" s="11">
        <f t="shared" si="38"/>
        <v>500</v>
      </c>
      <c r="AV32" s="12">
        <v>200</v>
      </c>
      <c r="AW32" s="11">
        <f t="shared" si="39"/>
        <v>12000</v>
      </c>
      <c r="AY32" s="11">
        <f t="shared" si="40"/>
        <v>0</v>
      </c>
      <c r="AZ32" s="12">
        <v>60</v>
      </c>
      <c r="BA32" s="11">
        <f t="shared" si="41"/>
        <v>2400</v>
      </c>
      <c r="BB32" s="12">
        <v>5</v>
      </c>
      <c r="BC32" s="11">
        <f t="shared" si="42"/>
        <v>200</v>
      </c>
      <c r="BE32" s="11">
        <f t="shared" si="43"/>
        <v>0</v>
      </c>
      <c r="BG32" s="11">
        <f t="shared" si="44"/>
        <v>0</v>
      </c>
      <c r="BN32" s="8">
        <f t="shared" si="3"/>
        <v>4700</v>
      </c>
      <c r="BO32" s="8">
        <f t="shared" si="4"/>
        <v>227600</v>
      </c>
      <c r="BP32" s="8">
        <f t="shared" si="25"/>
        <v>2265</v>
      </c>
      <c r="BQ32" s="12">
        <f t="shared" si="26"/>
        <v>100100</v>
      </c>
    </row>
    <row r="33" spans="1:69">
      <c r="A33" s="28">
        <v>1986</v>
      </c>
      <c r="B33" s="27" t="s">
        <v>137</v>
      </c>
      <c r="C33" s="24">
        <f t="shared" si="23"/>
        <v>2</v>
      </c>
      <c r="D33" s="7" t="e">
        <f t="shared" ca="1" si="0"/>
        <v>#N/A</v>
      </c>
      <c r="E33" s="26">
        <f t="array" aca="1" ref="E33" ca="1">AVERAGE(IF(INDIRECT(DatCol&amp;"$"&amp;TEXT(C33,"###")):INDIRECT(DatCol&amp;"$"&amp;TEXT(C33+57,"###"))&gt;0,INDIRECT(DatCol&amp;"$"&amp;TEXT(C33,"###")):INDIRECT(DatCol&amp;"$"&amp;TEXT(C33+57,"###"))))</f>
        <v>370.13629629629628</v>
      </c>
      <c r="F33" s="26" t="str">
        <f t="shared" si="1"/>
        <v>C</v>
      </c>
      <c r="G33" s="8">
        <v>800</v>
      </c>
      <c r="H33" s="8">
        <v>193</v>
      </c>
      <c r="I33" s="8">
        <v>51</v>
      </c>
      <c r="J33" s="8">
        <v>3008</v>
      </c>
      <c r="K33" s="9">
        <f t="shared" si="24"/>
        <v>4001</v>
      </c>
      <c r="L33" s="12">
        <v>1300</v>
      </c>
      <c r="M33" s="11">
        <f t="shared" si="27"/>
        <v>65000</v>
      </c>
      <c r="N33" s="12">
        <v>300</v>
      </c>
      <c r="O33" s="11">
        <f t="shared" si="28"/>
        <v>15000</v>
      </c>
      <c r="P33" s="12">
        <v>2100</v>
      </c>
      <c r="Q33" s="11">
        <f t="shared" si="29"/>
        <v>126000</v>
      </c>
      <c r="X33" s="12">
        <v>750</v>
      </c>
      <c r="Y33" s="11">
        <f t="shared" si="30"/>
        <v>45000</v>
      </c>
      <c r="AG33" s="11">
        <f t="shared" si="31"/>
        <v>0</v>
      </c>
      <c r="AH33" s="12">
        <v>250</v>
      </c>
      <c r="AI33" s="11">
        <f t="shared" si="32"/>
        <v>16250</v>
      </c>
      <c r="AJ33" s="12">
        <v>2000</v>
      </c>
      <c r="AK33" s="13">
        <f t="shared" si="33"/>
        <v>18000</v>
      </c>
      <c r="AL33" s="12">
        <v>200</v>
      </c>
      <c r="AM33" s="13">
        <f t="shared" si="34"/>
        <v>1800</v>
      </c>
      <c r="AO33" s="11">
        <f t="shared" si="35"/>
        <v>0</v>
      </c>
      <c r="AP33" s="12">
        <v>10</v>
      </c>
      <c r="AQ33" s="11">
        <f t="shared" si="36"/>
        <v>800</v>
      </c>
      <c r="AR33" s="12">
        <v>20</v>
      </c>
      <c r="AS33" s="11">
        <f t="shared" si="37"/>
        <v>1000</v>
      </c>
      <c r="AT33" s="12">
        <v>10</v>
      </c>
      <c r="AU33" s="11">
        <f t="shared" si="38"/>
        <v>500</v>
      </c>
      <c r="AV33" s="12">
        <v>883</v>
      </c>
      <c r="AW33" s="11">
        <f t="shared" si="39"/>
        <v>52980</v>
      </c>
      <c r="AY33" s="11">
        <f t="shared" si="40"/>
        <v>0</v>
      </c>
      <c r="AZ33" s="12">
        <v>10</v>
      </c>
      <c r="BA33" s="11">
        <f t="shared" si="41"/>
        <v>400</v>
      </c>
      <c r="BB33" s="12">
        <v>5</v>
      </c>
      <c r="BC33" s="11">
        <f t="shared" si="42"/>
        <v>200</v>
      </c>
      <c r="BE33" s="11">
        <f t="shared" si="43"/>
        <v>0</v>
      </c>
      <c r="BG33" s="11">
        <f t="shared" si="44"/>
        <v>0</v>
      </c>
      <c r="BH33" s="13">
        <v>2595</v>
      </c>
      <c r="BN33" s="8">
        <f t="shared" si="3"/>
        <v>7063</v>
      </c>
      <c r="BO33" s="8">
        <f t="shared" si="4"/>
        <v>308380</v>
      </c>
      <c r="BP33" s="8">
        <f t="shared" si="25"/>
        <v>1525</v>
      </c>
      <c r="BQ33" s="12">
        <f t="shared" si="26"/>
        <v>79550</v>
      </c>
    </row>
    <row r="34" spans="1:69">
      <c r="A34" s="28">
        <v>1987</v>
      </c>
      <c r="B34" s="27" t="s">
        <v>137</v>
      </c>
      <c r="C34" s="24">
        <f t="shared" si="23"/>
        <v>2</v>
      </c>
      <c r="D34" s="7" t="e">
        <f t="shared" ca="1" si="0"/>
        <v>#N/A</v>
      </c>
      <c r="E34" s="26">
        <f t="array" aca="1" ref="E34" ca="1">AVERAGE(IF(INDIRECT(DatCol&amp;"$"&amp;TEXT(C34,"###")):INDIRECT(DatCol&amp;"$"&amp;TEXT(C34+57,"###"))&gt;0,INDIRECT(DatCol&amp;"$"&amp;TEXT(C34,"###")):INDIRECT(DatCol&amp;"$"&amp;TEXT(C34+57,"###"))))</f>
        <v>370.13629629629628</v>
      </c>
      <c r="F34" s="26" t="str">
        <f t="shared" si="1"/>
        <v>C</v>
      </c>
      <c r="G34" s="8">
        <v>647</v>
      </c>
      <c r="H34" s="8">
        <v>207</v>
      </c>
      <c r="I34" s="8">
        <v>42</v>
      </c>
      <c r="J34" s="8">
        <v>2469</v>
      </c>
      <c r="K34" s="9">
        <f t="shared" si="24"/>
        <v>3323</v>
      </c>
      <c r="L34" s="12">
        <v>2000</v>
      </c>
      <c r="M34" s="11">
        <f t="shared" si="27"/>
        <v>100000</v>
      </c>
      <c r="N34" s="12">
        <v>300</v>
      </c>
      <c r="O34" s="11">
        <f t="shared" si="28"/>
        <v>15000</v>
      </c>
      <c r="P34" s="12">
        <v>1800</v>
      </c>
      <c r="Q34" s="11">
        <f t="shared" si="29"/>
        <v>108000</v>
      </c>
      <c r="X34" s="12">
        <v>500</v>
      </c>
      <c r="Y34" s="11">
        <f t="shared" si="30"/>
        <v>30000</v>
      </c>
      <c r="AG34" s="11">
        <f t="shared" si="31"/>
        <v>0</v>
      </c>
      <c r="AH34" s="12">
        <v>50</v>
      </c>
      <c r="AI34" s="11">
        <f t="shared" si="32"/>
        <v>3250</v>
      </c>
      <c r="AJ34" s="12">
        <v>200</v>
      </c>
      <c r="AK34" s="13">
        <f t="shared" si="33"/>
        <v>1800</v>
      </c>
      <c r="AL34" s="12">
        <v>50</v>
      </c>
      <c r="AM34" s="13">
        <f t="shared" si="34"/>
        <v>450</v>
      </c>
      <c r="AO34" s="11">
        <f t="shared" si="35"/>
        <v>0</v>
      </c>
      <c r="AQ34" s="11">
        <f t="shared" si="36"/>
        <v>0</v>
      </c>
      <c r="AR34" s="12">
        <v>10</v>
      </c>
      <c r="AS34" s="11">
        <f t="shared" si="37"/>
        <v>500</v>
      </c>
      <c r="AT34" s="12">
        <v>8</v>
      </c>
      <c r="AU34" s="11">
        <f t="shared" si="38"/>
        <v>400</v>
      </c>
      <c r="AV34" s="12">
        <v>10</v>
      </c>
      <c r="AW34" s="11">
        <f t="shared" si="39"/>
        <v>600</v>
      </c>
      <c r="AY34" s="11">
        <f t="shared" si="40"/>
        <v>0</v>
      </c>
      <c r="AZ34" s="12">
        <v>7</v>
      </c>
      <c r="BA34" s="11">
        <f t="shared" si="41"/>
        <v>280</v>
      </c>
      <c r="BC34" s="11">
        <f t="shared" si="42"/>
        <v>0</v>
      </c>
      <c r="BE34" s="11">
        <f t="shared" si="43"/>
        <v>0</v>
      </c>
      <c r="BG34" s="11">
        <f t="shared" si="44"/>
        <v>0</v>
      </c>
      <c r="BH34" s="13">
        <v>6000</v>
      </c>
      <c r="BN34" s="8">
        <f t="shared" si="3"/>
        <v>4527</v>
      </c>
      <c r="BO34" s="8">
        <f t="shared" si="4"/>
        <v>241180</v>
      </c>
      <c r="BP34" s="8">
        <f t="shared" si="25"/>
        <v>908</v>
      </c>
      <c r="BQ34" s="12">
        <f t="shared" si="26"/>
        <v>49100</v>
      </c>
    </row>
    <row r="35" spans="1:69">
      <c r="A35" s="28">
        <v>1988</v>
      </c>
      <c r="B35" s="27" t="s">
        <v>137</v>
      </c>
      <c r="C35" s="24">
        <f t="shared" si="23"/>
        <v>2</v>
      </c>
      <c r="D35" s="7" t="e">
        <f t="shared" ca="1" si="0"/>
        <v>#N/A</v>
      </c>
      <c r="E35" s="26">
        <f t="array" aca="1" ref="E35" ca="1">AVERAGE(IF(INDIRECT(DatCol&amp;"$"&amp;TEXT(C35,"###")):INDIRECT(DatCol&amp;"$"&amp;TEXT(C35+57,"###"))&gt;0,INDIRECT(DatCol&amp;"$"&amp;TEXT(C35,"###")):INDIRECT(DatCol&amp;"$"&amp;TEXT(C35+57,"###"))))</f>
        <v>370.13629629629628</v>
      </c>
      <c r="F35" s="26" t="str">
        <f t="shared" si="1"/>
        <v>C</v>
      </c>
      <c r="G35" s="8">
        <v>657</v>
      </c>
      <c r="H35" s="8">
        <v>197</v>
      </c>
      <c r="I35" s="8">
        <v>40</v>
      </c>
      <c r="J35" s="8">
        <v>1931</v>
      </c>
      <c r="K35" s="9">
        <f t="shared" si="24"/>
        <v>2785</v>
      </c>
      <c r="L35" s="12">
        <v>2026</v>
      </c>
      <c r="M35" s="11">
        <f t="shared" ref="M35:M65" si="45">(L35*50)</f>
        <v>101300</v>
      </c>
      <c r="N35" s="12">
        <v>300</v>
      </c>
      <c r="O35" s="11">
        <f t="shared" ref="O35:O65" si="46">(N35*50)</f>
        <v>15000</v>
      </c>
      <c r="P35" s="12">
        <v>3436</v>
      </c>
      <c r="Q35" s="11">
        <f t="shared" ref="Q35:Q65" si="47">((P35*330)/5.5)</f>
        <v>206160</v>
      </c>
      <c r="X35" s="12">
        <v>500</v>
      </c>
      <c r="Y35" s="11">
        <f t="shared" ref="Y35:Y65" si="48">((X35*330)/5.5)</f>
        <v>30000</v>
      </c>
      <c r="AG35" s="11">
        <f t="shared" ref="AG35:AG65" si="49">(AF35*65)</f>
        <v>0</v>
      </c>
      <c r="AH35" s="12">
        <v>40</v>
      </c>
      <c r="AI35" s="11">
        <f t="shared" ref="AI35:AI65" si="50">(AH35*65)</f>
        <v>2600</v>
      </c>
      <c r="AJ35" s="12">
        <v>18</v>
      </c>
      <c r="AK35" s="13">
        <f t="shared" ref="AK35:AK65" si="51">(AJ35*9)</f>
        <v>162</v>
      </c>
      <c r="AL35" s="12">
        <v>8</v>
      </c>
      <c r="AM35" s="13">
        <f t="shared" ref="AM35:AM65" si="52">(AL35*9)</f>
        <v>72</v>
      </c>
      <c r="AO35" s="11">
        <f t="shared" ref="AO35:AO65" si="53">(AN35*80)</f>
        <v>0</v>
      </c>
      <c r="AQ35" s="11">
        <f t="shared" ref="AQ35:AQ65" si="54">(AP35*80)</f>
        <v>0</v>
      </c>
      <c r="AR35" s="12">
        <v>30</v>
      </c>
      <c r="AS35" s="11">
        <f t="shared" ref="AS35:AS65" si="55">(AR35*50)</f>
        <v>1500</v>
      </c>
      <c r="AT35" s="12">
        <v>2</v>
      </c>
      <c r="AU35" s="11">
        <f t="shared" ref="AU35:AU65" si="56">(AT35*50)</f>
        <v>100</v>
      </c>
      <c r="AV35" s="12">
        <v>10</v>
      </c>
      <c r="AW35" s="11">
        <f t="shared" ref="AW35:AW65" si="57">(AV35*60)</f>
        <v>600</v>
      </c>
      <c r="AY35" s="11">
        <f t="shared" ref="AY35:AY65" si="58">(AX35*60)</f>
        <v>0</v>
      </c>
      <c r="BA35" s="11">
        <f t="shared" ref="BA35:BA65" si="59">(AZ35*40)</f>
        <v>0</v>
      </c>
      <c r="BC35" s="11">
        <f t="shared" ref="BC35:BC65" si="60">(BB35*40)</f>
        <v>0</v>
      </c>
      <c r="BE35" s="11">
        <f t="shared" ref="BE35:BE65" si="61">(BD35*95)</f>
        <v>0</v>
      </c>
      <c r="BG35" s="11">
        <f t="shared" ref="BG35:BG65" si="62">(BF35*95)</f>
        <v>0</v>
      </c>
      <c r="BH35" s="13" t="s">
        <v>15</v>
      </c>
      <c r="BN35" s="8">
        <f t="shared" si="3"/>
        <v>6020</v>
      </c>
      <c r="BO35" s="8">
        <f t="shared" si="4"/>
        <v>339722</v>
      </c>
      <c r="BP35" s="8">
        <f t="shared" si="25"/>
        <v>850</v>
      </c>
      <c r="BQ35" s="12">
        <f t="shared" si="26"/>
        <v>47772</v>
      </c>
    </row>
    <row r="36" spans="1:69">
      <c r="A36" s="28">
        <v>1989</v>
      </c>
      <c r="B36" s="27" t="s">
        <v>137</v>
      </c>
      <c r="C36" s="24">
        <f t="shared" si="23"/>
        <v>2</v>
      </c>
      <c r="D36" s="7" t="e">
        <f t="shared" ca="1" si="0"/>
        <v>#N/A</v>
      </c>
      <c r="E36" s="26">
        <f t="array" aca="1" ref="E36" ca="1">AVERAGE(IF(INDIRECT(DatCol&amp;"$"&amp;TEXT(C36,"###")):INDIRECT(DatCol&amp;"$"&amp;TEXT(C36+57,"###"))&gt;0,INDIRECT(DatCol&amp;"$"&amp;TEXT(C36,"###")):INDIRECT(DatCol&amp;"$"&amp;TEXT(C36+57,"###"))))</f>
        <v>370.13629629629628</v>
      </c>
      <c r="F36" s="26" t="str">
        <f t="shared" si="1"/>
        <v>C</v>
      </c>
      <c r="G36" s="8">
        <v>647</v>
      </c>
      <c r="H36" s="8">
        <v>158</v>
      </c>
      <c r="I36" s="8">
        <v>43</v>
      </c>
      <c r="J36" s="8">
        <v>1660</v>
      </c>
      <c r="K36" s="9">
        <f t="shared" si="24"/>
        <v>2465</v>
      </c>
      <c r="L36" s="12">
        <v>2299</v>
      </c>
      <c r="M36" s="11">
        <f t="shared" si="45"/>
        <v>114950</v>
      </c>
      <c r="N36" s="12">
        <v>131</v>
      </c>
      <c r="O36" s="11">
        <f t="shared" si="46"/>
        <v>6550</v>
      </c>
      <c r="P36" s="12">
        <v>1856</v>
      </c>
      <c r="Q36" s="11">
        <f t="shared" si="47"/>
        <v>111360</v>
      </c>
      <c r="X36" s="12">
        <v>263</v>
      </c>
      <c r="Y36" s="11">
        <f t="shared" si="48"/>
        <v>15780</v>
      </c>
      <c r="AF36" s="12">
        <v>0</v>
      </c>
      <c r="AG36" s="11">
        <f t="shared" si="49"/>
        <v>0</v>
      </c>
      <c r="AH36" s="12">
        <v>20</v>
      </c>
      <c r="AI36" s="11">
        <f t="shared" si="50"/>
        <v>1300</v>
      </c>
      <c r="AJ36" s="12">
        <v>30</v>
      </c>
      <c r="AK36" s="13">
        <f t="shared" si="51"/>
        <v>270</v>
      </c>
      <c r="AL36" s="12">
        <v>8</v>
      </c>
      <c r="AM36" s="13">
        <f t="shared" si="52"/>
        <v>72</v>
      </c>
      <c r="AN36" s="12">
        <v>0</v>
      </c>
      <c r="AO36" s="11">
        <f t="shared" si="53"/>
        <v>0</v>
      </c>
      <c r="AP36" s="12">
        <v>0</v>
      </c>
      <c r="AQ36" s="11">
        <f t="shared" si="54"/>
        <v>0</v>
      </c>
      <c r="AR36" s="12">
        <v>0</v>
      </c>
      <c r="AS36" s="11">
        <f t="shared" si="55"/>
        <v>0</v>
      </c>
      <c r="AT36" s="12">
        <v>1</v>
      </c>
      <c r="AU36" s="11">
        <f t="shared" si="56"/>
        <v>50</v>
      </c>
      <c r="AV36" s="12">
        <v>2.2599999999999998</v>
      </c>
      <c r="AW36" s="11">
        <f t="shared" si="57"/>
        <v>135.6</v>
      </c>
      <c r="AX36" s="12">
        <v>0</v>
      </c>
      <c r="AY36" s="11">
        <f t="shared" si="58"/>
        <v>0</v>
      </c>
      <c r="BA36" s="11">
        <f t="shared" si="59"/>
        <v>0</v>
      </c>
      <c r="BC36" s="11">
        <f t="shared" si="60"/>
        <v>0</v>
      </c>
      <c r="BE36" s="11">
        <f t="shared" si="61"/>
        <v>0</v>
      </c>
      <c r="BG36" s="11">
        <f t="shared" si="62"/>
        <v>0</v>
      </c>
      <c r="BN36" s="8">
        <f t="shared" si="3"/>
        <v>4450.26</v>
      </c>
      <c r="BO36" s="8">
        <f t="shared" si="4"/>
        <v>242495.6</v>
      </c>
      <c r="BP36" s="8">
        <f t="shared" si="25"/>
        <v>423</v>
      </c>
      <c r="BQ36" s="12">
        <f t="shared" si="26"/>
        <v>23752</v>
      </c>
    </row>
    <row r="37" spans="1:69">
      <c r="A37" s="28">
        <v>1990</v>
      </c>
      <c r="B37" s="27" t="s">
        <v>137</v>
      </c>
      <c r="C37" s="24">
        <f t="shared" si="23"/>
        <v>2</v>
      </c>
      <c r="D37" s="7" t="e">
        <f t="shared" ca="1" si="0"/>
        <v>#N/A</v>
      </c>
      <c r="E37" s="26">
        <f t="array" aca="1" ref="E37" ca="1">AVERAGE(IF(INDIRECT(DatCol&amp;"$"&amp;TEXT(C37,"###")):INDIRECT(DatCol&amp;"$"&amp;TEXT(C37+57,"###"))&gt;0,INDIRECT(DatCol&amp;"$"&amp;TEXT(C37,"###")):INDIRECT(DatCol&amp;"$"&amp;TEXT(C37+57,"###"))))</f>
        <v>370.13629629629628</v>
      </c>
      <c r="F37" s="26" t="str">
        <f t="shared" si="1"/>
        <v>C</v>
      </c>
      <c r="G37" s="8">
        <v>621</v>
      </c>
      <c r="H37" s="8">
        <v>78</v>
      </c>
      <c r="I37" s="8">
        <v>41</v>
      </c>
      <c r="J37" s="8">
        <v>1574</v>
      </c>
      <c r="K37" s="9">
        <f t="shared" si="24"/>
        <v>2273</v>
      </c>
      <c r="L37" s="12">
        <v>1370</v>
      </c>
      <c r="M37" s="11">
        <f t="shared" si="45"/>
        <v>68500</v>
      </c>
      <c r="N37" s="12">
        <v>350</v>
      </c>
      <c r="O37" s="11">
        <f t="shared" si="46"/>
        <v>17500</v>
      </c>
      <c r="P37" s="12">
        <v>2748</v>
      </c>
      <c r="Q37" s="11">
        <f t="shared" si="47"/>
        <v>164880</v>
      </c>
      <c r="X37" s="12">
        <v>600</v>
      </c>
      <c r="Y37" s="11">
        <f t="shared" si="48"/>
        <v>36000</v>
      </c>
      <c r="AF37" s="12">
        <v>0</v>
      </c>
      <c r="AG37" s="11">
        <f t="shared" si="49"/>
        <v>0</v>
      </c>
      <c r="AH37" s="12">
        <v>45</v>
      </c>
      <c r="AI37" s="11">
        <f t="shared" si="50"/>
        <v>2925</v>
      </c>
      <c r="AJ37" s="12">
        <v>709</v>
      </c>
      <c r="AK37" s="13">
        <f t="shared" si="51"/>
        <v>6381</v>
      </c>
      <c r="AL37" s="12">
        <v>40</v>
      </c>
      <c r="AM37" s="13">
        <f t="shared" si="52"/>
        <v>360</v>
      </c>
      <c r="AN37" s="12">
        <v>0</v>
      </c>
      <c r="AO37" s="11">
        <f t="shared" si="53"/>
        <v>0</v>
      </c>
      <c r="AP37" s="12">
        <v>0</v>
      </c>
      <c r="AQ37" s="11">
        <f t="shared" si="54"/>
        <v>0</v>
      </c>
      <c r="AR37" s="12">
        <v>0</v>
      </c>
      <c r="AS37" s="11">
        <f t="shared" si="55"/>
        <v>0</v>
      </c>
      <c r="AT37" s="12">
        <v>2</v>
      </c>
      <c r="AU37" s="11">
        <f t="shared" si="56"/>
        <v>100</v>
      </c>
      <c r="AV37" s="12">
        <v>64</v>
      </c>
      <c r="AW37" s="11">
        <f t="shared" si="57"/>
        <v>3840</v>
      </c>
      <c r="AX37" s="12">
        <v>0</v>
      </c>
      <c r="AY37" s="11">
        <f t="shared" si="58"/>
        <v>0</v>
      </c>
      <c r="BA37" s="11">
        <f t="shared" si="59"/>
        <v>0</v>
      </c>
      <c r="BC37" s="11">
        <f t="shared" si="60"/>
        <v>0</v>
      </c>
      <c r="BE37" s="11">
        <f t="shared" si="61"/>
        <v>0</v>
      </c>
      <c r="BG37" s="11">
        <f t="shared" si="62"/>
        <v>0</v>
      </c>
      <c r="BN37" s="8">
        <f t="shared" si="3"/>
        <v>5491</v>
      </c>
      <c r="BO37" s="8">
        <f t="shared" si="4"/>
        <v>279601</v>
      </c>
      <c r="BP37" s="8">
        <f t="shared" si="25"/>
        <v>1037</v>
      </c>
      <c r="BQ37" s="12">
        <f t="shared" si="26"/>
        <v>56885</v>
      </c>
    </row>
    <row r="38" spans="1:69">
      <c r="A38" s="28">
        <v>1991</v>
      </c>
      <c r="B38" s="27" t="s">
        <v>137</v>
      </c>
      <c r="C38" s="24">
        <f t="shared" si="23"/>
        <v>2</v>
      </c>
      <c r="D38" s="7" t="e">
        <f t="shared" ca="1" si="0"/>
        <v>#N/A</v>
      </c>
      <c r="E38" s="26">
        <f t="array" aca="1" ref="E38" ca="1">AVERAGE(IF(INDIRECT(DatCol&amp;"$"&amp;TEXT(C38,"###")):INDIRECT(DatCol&amp;"$"&amp;TEXT(C38+57,"###"))&gt;0,INDIRECT(DatCol&amp;"$"&amp;TEXT(C38,"###")):INDIRECT(DatCol&amp;"$"&amp;TEXT(C38+57,"###"))))</f>
        <v>370.13629629629628</v>
      </c>
      <c r="F38" s="26" t="str">
        <f t="shared" si="1"/>
        <v>C</v>
      </c>
      <c r="G38" s="8">
        <v>605</v>
      </c>
      <c r="H38" s="8">
        <v>97</v>
      </c>
      <c r="I38" s="8">
        <v>47</v>
      </c>
      <c r="J38" s="8">
        <v>1662</v>
      </c>
      <c r="K38" s="9">
        <f t="shared" si="24"/>
        <v>2364</v>
      </c>
      <c r="L38" s="12">
        <v>4569</v>
      </c>
      <c r="M38" s="11">
        <f t="shared" si="45"/>
        <v>228450</v>
      </c>
      <c r="N38" s="12">
        <v>195</v>
      </c>
      <c r="O38" s="11">
        <f t="shared" si="46"/>
        <v>9750</v>
      </c>
      <c r="P38" s="12">
        <v>1011</v>
      </c>
      <c r="Q38" s="11">
        <f t="shared" si="47"/>
        <v>60660</v>
      </c>
      <c r="X38" s="12">
        <v>367</v>
      </c>
      <c r="Y38" s="11">
        <f t="shared" si="48"/>
        <v>22020</v>
      </c>
      <c r="AF38" s="12">
        <v>0</v>
      </c>
      <c r="AG38" s="11">
        <f t="shared" si="49"/>
        <v>0</v>
      </c>
      <c r="AH38" s="12">
        <v>22.5</v>
      </c>
      <c r="AI38" s="11">
        <f t="shared" si="50"/>
        <v>1462.5</v>
      </c>
      <c r="AJ38" s="12">
        <v>121</v>
      </c>
      <c r="AK38" s="13">
        <f t="shared" si="51"/>
        <v>1089</v>
      </c>
      <c r="AL38" s="12">
        <v>1.5</v>
      </c>
      <c r="AM38" s="13">
        <f t="shared" si="52"/>
        <v>13.5</v>
      </c>
      <c r="AN38" s="12">
        <v>10</v>
      </c>
      <c r="AO38" s="11">
        <f t="shared" si="53"/>
        <v>800</v>
      </c>
      <c r="AP38" s="12">
        <v>0</v>
      </c>
      <c r="AQ38" s="11">
        <f t="shared" si="54"/>
        <v>0</v>
      </c>
      <c r="AR38" s="12">
        <v>197</v>
      </c>
      <c r="AS38" s="11">
        <f t="shared" si="55"/>
        <v>9850</v>
      </c>
      <c r="AT38" s="12">
        <v>1.5</v>
      </c>
      <c r="AU38" s="11">
        <f t="shared" si="56"/>
        <v>75</v>
      </c>
      <c r="AV38" s="12">
        <v>0</v>
      </c>
      <c r="AW38" s="11">
        <f t="shared" si="57"/>
        <v>0</v>
      </c>
      <c r="AX38" s="12">
        <v>0</v>
      </c>
      <c r="AY38" s="11">
        <f t="shared" si="58"/>
        <v>0</v>
      </c>
      <c r="AZ38" s="12">
        <v>0</v>
      </c>
      <c r="BA38" s="11">
        <f t="shared" si="59"/>
        <v>0</v>
      </c>
      <c r="BB38" s="12">
        <v>0</v>
      </c>
      <c r="BC38" s="11">
        <f t="shared" si="60"/>
        <v>0</v>
      </c>
      <c r="BD38" s="12">
        <v>0</v>
      </c>
      <c r="BE38" s="11">
        <f t="shared" si="61"/>
        <v>0</v>
      </c>
      <c r="BF38" s="12">
        <v>0</v>
      </c>
      <c r="BG38" s="11">
        <f t="shared" si="62"/>
        <v>0</v>
      </c>
      <c r="BH38" s="13">
        <v>7064</v>
      </c>
      <c r="BN38" s="8">
        <f t="shared" si="3"/>
        <v>6275</v>
      </c>
      <c r="BO38" s="8">
        <f t="shared" si="4"/>
        <v>322869</v>
      </c>
      <c r="BP38" s="8">
        <f t="shared" si="25"/>
        <v>587.5</v>
      </c>
      <c r="BQ38" s="12">
        <f t="shared" si="26"/>
        <v>33321</v>
      </c>
    </row>
    <row r="39" spans="1:69">
      <c r="A39" s="28">
        <v>1992</v>
      </c>
      <c r="B39" s="27" t="s">
        <v>137</v>
      </c>
      <c r="C39" s="24">
        <f t="shared" si="23"/>
        <v>2</v>
      </c>
      <c r="D39" s="7" t="e">
        <f t="shared" ca="1" si="0"/>
        <v>#N/A</v>
      </c>
      <c r="E39" s="26">
        <f t="array" aca="1" ref="E39" ca="1">AVERAGE(IF(INDIRECT(DatCol&amp;"$"&amp;TEXT(C39,"###")):INDIRECT(DatCol&amp;"$"&amp;TEXT(C39+57,"###"))&gt;0,INDIRECT(DatCol&amp;"$"&amp;TEXT(C39,"###")):INDIRECT(DatCol&amp;"$"&amp;TEXT(C39+57,"###"))))</f>
        <v>370.13629629629628</v>
      </c>
      <c r="F39" s="26" t="str">
        <f t="shared" si="1"/>
        <v>C</v>
      </c>
      <c r="G39" s="8">
        <v>602</v>
      </c>
      <c r="H39" s="8">
        <v>116</v>
      </c>
      <c r="I39" s="8">
        <v>122</v>
      </c>
      <c r="J39" s="8">
        <v>1641</v>
      </c>
      <c r="K39" s="9">
        <f t="shared" si="24"/>
        <v>2359</v>
      </c>
      <c r="L39" s="12">
        <v>12306</v>
      </c>
      <c r="M39" s="11">
        <f t="shared" si="45"/>
        <v>615300</v>
      </c>
      <c r="N39" s="12">
        <v>165</v>
      </c>
      <c r="O39" s="11">
        <f t="shared" si="46"/>
        <v>8250</v>
      </c>
      <c r="P39" s="12">
        <v>2022</v>
      </c>
      <c r="Q39" s="11">
        <f t="shared" si="47"/>
        <v>121320</v>
      </c>
      <c r="X39" s="12">
        <v>215.5</v>
      </c>
      <c r="Y39" s="11">
        <f t="shared" si="48"/>
        <v>12930</v>
      </c>
      <c r="AF39" s="12">
        <v>0</v>
      </c>
      <c r="AG39" s="11">
        <f t="shared" si="49"/>
        <v>0</v>
      </c>
      <c r="AH39" s="12">
        <v>11</v>
      </c>
      <c r="AI39" s="11">
        <f t="shared" si="50"/>
        <v>715</v>
      </c>
      <c r="AJ39" s="12">
        <v>75</v>
      </c>
      <c r="AK39" s="13">
        <f t="shared" si="51"/>
        <v>675</v>
      </c>
      <c r="AL39" s="12">
        <v>2</v>
      </c>
      <c r="AM39" s="13">
        <f t="shared" si="52"/>
        <v>18</v>
      </c>
      <c r="AN39" s="12">
        <v>0</v>
      </c>
      <c r="AO39" s="11">
        <f t="shared" si="53"/>
        <v>0</v>
      </c>
      <c r="AP39" s="12">
        <v>0</v>
      </c>
      <c r="AQ39" s="11">
        <f t="shared" si="54"/>
        <v>0</v>
      </c>
      <c r="AR39" s="12">
        <v>1772</v>
      </c>
      <c r="AS39" s="11">
        <f t="shared" si="55"/>
        <v>88600</v>
      </c>
      <c r="AT39" s="12">
        <v>1.5</v>
      </c>
      <c r="AU39" s="11">
        <f t="shared" si="56"/>
        <v>75</v>
      </c>
      <c r="AV39" s="12">
        <v>0</v>
      </c>
      <c r="AW39" s="11">
        <f t="shared" si="57"/>
        <v>0</v>
      </c>
      <c r="AX39" s="12">
        <v>0</v>
      </c>
      <c r="AY39" s="11">
        <f t="shared" si="58"/>
        <v>0</v>
      </c>
      <c r="AZ39" s="12">
        <v>5</v>
      </c>
      <c r="BA39" s="11">
        <f t="shared" si="59"/>
        <v>200</v>
      </c>
      <c r="BB39" s="12">
        <v>0</v>
      </c>
      <c r="BC39" s="11">
        <f t="shared" si="60"/>
        <v>0</v>
      </c>
      <c r="BE39" s="11">
        <f t="shared" si="61"/>
        <v>0</v>
      </c>
      <c r="BG39" s="11">
        <f t="shared" si="62"/>
        <v>0</v>
      </c>
      <c r="BN39" s="8">
        <f t="shared" si="3"/>
        <v>16395.5</v>
      </c>
      <c r="BO39" s="8">
        <f t="shared" si="4"/>
        <v>839025</v>
      </c>
      <c r="BP39" s="8">
        <f t="shared" si="25"/>
        <v>395</v>
      </c>
      <c r="BQ39" s="12">
        <f t="shared" si="26"/>
        <v>21988</v>
      </c>
    </row>
    <row r="40" spans="1:69">
      <c r="A40" s="28">
        <v>1993</v>
      </c>
      <c r="B40" s="27" t="s">
        <v>137</v>
      </c>
      <c r="C40" s="24">
        <f t="shared" si="23"/>
        <v>2</v>
      </c>
      <c r="D40" s="7" t="e">
        <f t="shared" ca="1" si="0"/>
        <v>#N/A</v>
      </c>
      <c r="E40" s="26">
        <f t="array" aca="1" ref="E40" ca="1">AVERAGE(IF(INDIRECT(DatCol&amp;"$"&amp;TEXT(C40,"###")):INDIRECT(DatCol&amp;"$"&amp;TEXT(C40+57,"###"))&gt;0,INDIRECT(DatCol&amp;"$"&amp;TEXT(C40,"###")):INDIRECT(DatCol&amp;"$"&amp;TEXT(C40+57,"###"))))</f>
        <v>370.13629629629628</v>
      </c>
      <c r="F40" s="26" t="str">
        <f t="shared" si="1"/>
        <v>C</v>
      </c>
      <c r="G40" s="8">
        <v>501</v>
      </c>
      <c r="H40" s="8">
        <v>128</v>
      </c>
      <c r="I40" s="8">
        <v>123</v>
      </c>
      <c r="J40" s="8">
        <v>1628</v>
      </c>
      <c r="K40" s="9">
        <f t="shared" si="24"/>
        <v>2257</v>
      </c>
      <c r="L40" s="12">
        <v>6597</v>
      </c>
      <c r="M40" s="11">
        <f t="shared" si="45"/>
        <v>329850</v>
      </c>
      <c r="N40" s="12">
        <v>134</v>
      </c>
      <c r="O40" s="11">
        <f t="shared" si="46"/>
        <v>6700</v>
      </c>
      <c r="P40" s="12">
        <v>3379</v>
      </c>
      <c r="Q40" s="11">
        <f t="shared" si="47"/>
        <v>202740</v>
      </c>
      <c r="X40" s="12">
        <v>193</v>
      </c>
      <c r="Y40" s="11">
        <f t="shared" si="48"/>
        <v>11580</v>
      </c>
      <c r="AF40" s="12">
        <v>0</v>
      </c>
      <c r="AG40" s="11">
        <f t="shared" si="49"/>
        <v>0</v>
      </c>
      <c r="AH40" s="12">
        <v>4</v>
      </c>
      <c r="AI40" s="11">
        <f t="shared" si="50"/>
        <v>260</v>
      </c>
      <c r="AJ40" s="12">
        <v>0</v>
      </c>
      <c r="AK40" s="13">
        <f t="shared" si="51"/>
        <v>0</v>
      </c>
      <c r="AL40" s="12">
        <v>10</v>
      </c>
      <c r="AM40" s="13">
        <f t="shared" si="52"/>
        <v>90</v>
      </c>
      <c r="AN40" s="12">
        <v>0</v>
      </c>
      <c r="AO40" s="11">
        <f t="shared" si="53"/>
        <v>0</v>
      </c>
      <c r="AP40" s="12">
        <v>0</v>
      </c>
      <c r="AQ40" s="11">
        <f t="shared" si="54"/>
        <v>0</v>
      </c>
      <c r="AR40" s="12">
        <v>520</v>
      </c>
      <c r="AS40" s="11">
        <f t="shared" si="55"/>
        <v>26000</v>
      </c>
      <c r="AT40" s="12">
        <v>2</v>
      </c>
      <c r="AU40" s="11">
        <f t="shared" si="56"/>
        <v>100</v>
      </c>
      <c r="AV40" s="12">
        <v>0</v>
      </c>
      <c r="AW40" s="11">
        <f t="shared" si="57"/>
        <v>0</v>
      </c>
      <c r="AX40" s="12">
        <v>0</v>
      </c>
      <c r="AY40" s="11">
        <f t="shared" si="58"/>
        <v>0</v>
      </c>
      <c r="AZ40" s="12">
        <v>0</v>
      </c>
      <c r="BA40" s="11">
        <f t="shared" si="59"/>
        <v>0</v>
      </c>
      <c r="BB40" s="12">
        <v>0</v>
      </c>
      <c r="BC40" s="11">
        <f t="shared" si="60"/>
        <v>0</v>
      </c>
      <c r="BD40" s="12">
        <v>0</v>
      </c>
      <c r="BE40" s="11">
        <f t="shared" si="61"/>
        <v>0</v>
      </c>
      <c r="BF40" s="12">
        <v>0</v>
      </c>
      <c r="BG40" s="11">
        <f t="shared" si="62"/>
        <v>0</v>
      </c>
      <c r="BH40" s="13">
        <v>1538</v>
      </c>
      <c r="BN40" s="8">
        <f t="shared" si="3"/>
        <v>10689</v>
      </c>
      <c r="BO40" s="8">
        <f t="shared" si="4"/>
        <v>570170</v>
      </c>
      <c r="BP40" s="8">
        <f t="shared" si="25"/>
        <v>343</v>
      </c>
      <c r="BQ40" s="12">
        <f t="shared" si="26"/>
        <v>18730</v>
      </c>
    </row>
    <row r="41" spans="1:69">
      <c r="A41" s="28">
        <v>1994</v>
      </c>
      <c r="B41" s="27" t="s">
        <v>137</v>
      </c>
      <c r="C41" s="24">
        <f t="shared" si="23"/>
        <v>2</v>
      </c>
      <c r="D41" s="7" t="e">
        <f t="shared" ca="1" si="0"/>
        <v>#N/A</v>
      </c>
      <c r="E41" s="26">
        <f t="array" aca="1" ref="E41" ca="1">AVERAGE(IF(INDIRECT(DatCol&amp;"$"&amp;TEXT(C41,"###")):INDIRECT(DatCol&amp;"$"&amp;TEXT(C41+57,"###"))&gt;0,INDIRECT(DatCol&amp;"$"&amp;TEXT(C41,"###")):INDIRECT(DatCol&amp;"$"&amp;TEXT(C41+57,"###"))))</f>
        <v>370.13629629629628</v>
      </c>
      <c r="F41" s="26" t="str">
        <f t="shared" si="1"/>
        <v>C</v>
      </c>
      <c r="G41" s="8">
        <v>626</v>
      </c>
      <c r="H41" s="8">
        <v>94</v>
      </c>
      <c r="I41" s="8">
        <v>154</v>
      </c>
      <c r="J41" s="8">
        <v>2275</v>
      </c>
      <c r="K41" s="9">
        <f t="shared" si="24"/>
        <v>2995</v>
      </c>
      <c r="L41" s="12">
        <f>6192+2000</f>
        <v>8192</v>
      </c>
      <c r="M41" s="11">
        <f t="shared" si="45"/>
        <v>409600</v>
      </c>
      <c r="N41" s="12">
        <v>143</v>
      </c>
      <c r="O41" s="11">
        <f t="shared" si="46"/>
        <v>7150</v>
      </c>
      <c r="P41" s="12">
        <v>4172</v>
      </c>
      <c r="Q41" s="11">
        <f t="shared" si="47"/>
        <v>250320</v>
      </c>
      <c r="X41" s="12">
        <v>171</v>
      </c>
      <c r="Y41" s="11">
        <f t="shared" si="48"/>
        <v>10260</v>
      </c>
      <c r="AF41" s="12">
        <v>0</v>
      </c>
      <c r="AG41" s="11">
        <f t="shared" si="49"/>
        <v>0</v>
      </c>
      <c r="AH41" s="12">
        <v>2</v>
      </c>
      <c r="AI41" s="11">
        <f t="shared" si="50"/>
        <v>130</v>
      </c>
      <c r="AJ41" s="12">
        <v>151</v>
      </c>
      <c r="AK41" s="13">
        <f t="shared" si="51"/>
        <v>1359</v>
      </c>
      <c r="AL41" s="12">
        <v>43</v>
      </c>
      <c r="AM41" s="13">
        <f t="shared" si="52"/>
        <v>387</v>
      </c>
      <c r="AN41" s="12">
        <v>0</v>
      </c>
      <c r="AO41" s="11">
        <f t="shared" si="53"/>
        <v>0</v>
      </c>
      <c r="AP41" s="12">
        <v>0</v>
      </c>
      <c r="AQ41" s="11">
        <f t="shared" si="54"/>
        <v>0</v>
      </c>
      <c r="AR41" s="12">
        <v>260</v>
      </c>
      <c r="AS41" s="11">
        <f t="shared" si="55"/>
        <v>13000</v>
      </c>
      <c r="AT41" s="12">
        <v>7</v>
      </c>
      <c r="AU41" s="11">
        <f t="shared" si="56"/>
        <v>350</v>
      </c>
      <c r="AV41" s="12">
        <v>0</v>
      </c>
      <c r="AW41" s="11">
        <f t="shared" si="57"/>
        <v>0</v>
      </c>
      <c r="AX41" s="12">
        <v>0</v>
      </c>
      <c r="AY41" s="11">
        <f t="shared" si="58"/>
        <v>0</v>
      </c>
      <c r="AZ41" s="12">
        <v>0</v>
      </c>
      <c r="BA41" s="11">
        <f t="shared" si="59"/>
        <v>0</v>
      </c>
      <c r="BB41" s="12">
        <v>0</v>
      </c>
      <c r="BC41" s="11">
        <f t="shared" si="60"/>
        <v>0</v>
      </c>
      <c r="BD41" s="12">
        <v>0</v>
      </c>
      <c r="BE41" s="11">
        <f t="shared" si="61"/>
        <v>0</v>
      </c>
      <c r="BF41" s="12">
        <v>0</v>
      </c>
      <c r="BG41" s="11">
        <f t="shared" si="62"/>
        <v>0</v>
      </c>
      <c r="BH41" s="13">
        <v>1410</v>
      </c>
      <c r="BI41" s="13">
        <v>0</v>
      </c>
      <c r="BN41" s="8">
        <f t="shared" si="3"/>
        <v>12946</v>
      </c>
      <c r="BO41" s="8">
        <f t="shared" si="4"/>
        <v>684539</v>
      </c>
      <c r="BP41" s="8">
        <f t="shared" si="25"/>
        <v>366</v>
      </c>
      <c r="BQ41" s="12">
        <f t="shared" si="26"/>
        <v>18277</v>
      </c>
    </row>
    <row r="42" spans="1:69">
      <c r="A42" s="28">
        <v>1995</v>
      </c>
      <c r="B42" s="27" t="s">
        <v>137</v>
      </c>
      <c r="C42" s="24">
        <f t="shared" si="23"/>
        <v>2</v>
      </c>
      <c r="D42" s="7" t="e">
        <f t="shared" ca="1" si="0"/>
        <v>#N/A</v>
      </c>
      <c r="E42" s="26">
        <f t="array" aca="1" ref="E42" ca="1">AVERAGE(IF(INDIRECT(DatCol&amp;"$"&amp;TEXT(C42,"###")):INDIRECT(DatCol&amp;"$"&amp;TEXT(C42+57,"###"))&gt;0,INDIRECT(DatCol&amp;"$"&amp;TEXT(C42,"###")):INDIRECT(DatCol&amp;"$"&amp;TEXT(C42+57,"###"))))</f>
        <v>370.13629629629628</v>
      </c>
      <c r="F42" s="26" t="str">
        <f t="shared" si="1"/>
        <v>C</v>
      </c>
      <c r="G42" s="8">
        <v>518</v>
      </c>
      <c r="H42" s="9">
        <v>119</v>
      </c>
      <c r="I42" s="9">
        <v>188</v>
      </c>
      <c r="J42" s="9">
        <v>2312</v>
      </c>
      <c r="K42" s="9">
        <f t="shared" si="24"/>
        <v>2949</v>
      </c>
      <c r="L42" s="10">
        <v>11176</v>
      </c>
      <c r="M42" s="11">
        <f t="shared" si="45"/>
        <v>558800</v>
      </c>
      <c r="N42" s="10">
        <v>271</v>
      </c>
      <c r="O42" s="11">
        <f t="shared" si="46"/>
        <v>13550</v>
      </c>
      <c r="P42" s="10">
        <v>2309</v>
      </c>
      <c r="Q42" s="11">
        <f t="shared" si="47"/>
        <v>138540</v>
      </c>
      <c r="X42" s="10">
        <v>148</v>
      </c>
      <c r="Y42" s="11">
        <f t="shared" si="48"/>
        <v>8880</v>
      </c>
      <c r="AF42" s="10">
        <v>0</v>
      </c>
      <c r="AG42" s="11">
        <f t="shared" si="49"/>
        <v>0</v>
      </c>
      <c r="AH42" s="10">
        <v>1</v>
      </c>
      <c r="AI42" s="11">
        <f t="shared" si="50"/>
        <v>65</v>
      </c>
      <c r="AJ42" s="10">
        <v>24</v>
      </c>
      <c r="AK42" s="13">
        <f t="shared" si="51"/>
        <v>216</v>
      </c>
      <c r="AL42" s="10">
        <v>1</v>
      </c>
      <c r="AM42" s="13">
        <f t="shared" si="52"/>
        <v>9</v>
      </c>
      <c r="AN42" s="10">
        <v>0</v>
      </c>
      <c r="AO42" s="11">
        <f t="shared" si="53"/>
        <v>0</v>
      </c>
      <c r="AP42" s="10">
        <v>0</v>
      </c>
      <c r="AQ42" s="11">
        <f t="shared" si="54"/>
        <v>0</v>
      </c>
      <c r="AR42" s="10">
        <v>36</v>
      </c>
      <c r="AS42" s="11">
        <f t="shared" si="55"/>
        <v>1800</v>
      </c>
      <c r="AT42" s="10">
        <v>2</v>
      </c>
      <c r="AU42" s="11">
        <f t="shared" si="56"/>
        <v>100</v>
      </c>
      <c r="AW42" s="11">
        <f t="shared" si="57"/>
        <v>0</v>
      </c>
      <c r="AY42" s="11">
        <f t="shared" si="58"/>
        <v>0</v>
      </c>
      <c r="BA42" s="11">
        <f t="shared" si="59"/>
        <v>0</v>
      </c>
      <c r="BC42" s="11">
        <f t="shared" si="60"/>
        <v>0</v>
      </c>
      <c r="BE42" s="11">
        <f t="shared" si="61"/>
        <v>0</v>
      </c>
      <c r="BG42" s="11">
        <f t="shared" si="62"/>
        <v>0</v>
      </c>
      <c r="BH42" s="11">
        <v>1539</v>
      </c>
      <c r="BN42" s="8">
        <f t="shared" si="3"/>
        <v>13693</v>
      </c>
      <c r="BO42" s="8">
        <f t="shared" si="4"/>
        <v>708236</v>
      </c>
      <c r="BP42" s="8">
        <f t="shared" si="25"/>
        <v>423</v>
      </c>
      <c r="BQ42" s="12">
        <f t="shared" si="26"/>
        <v>22604</v>
      </c>
    </row>
    <row r="43" spans="1:69">
      <c r="A43" s="28">
        <v>1996</v>
      </c>
      <c r="B43" s="27" t="s">
        <v>137</v>
      </c>
      <c r="C43" s="24">
        <f t="shared" si="23"/>
        <v>2</v>
      </c>
      <c r="D43" s="7" t="e">
        <f t="shared" ca="1" si="0"/>
        <v>#N/A</v>
      </c>
      <c r="E43" s="26">
        <f t="array" aca="1" ref="E43" ca="1">AVERAGE(IF(INDIRECT(DatCol&amp;"$"&amp;TEXT(C43,"###")):INDIRECT(DatCol&amp;"$"&amp;TEXT(C43+57,"###"))&gt;0,INDIRECT(DatCol&amp;"$"&amp;TEXT(C43,"###")):INDIRECT(DatCol&amp;"$"&amp;TEXT(C43+57,"###"))))</f>
        <v>370.13629629629628</v>
      </c>
      <c r="F43" s="26" t="str">
        <f t="shared" si="1"/>
        <v>C</v>
      </c>
      <c r="G43" s="8">
        <v>568</v>
      </c>
      <c r="H43" s="9">
        <v>59</v>
      </c>
      <c r="I43" s="9">
        <v>188</v>
      </c>
      <c r="J43" s="9">
        <v>1386</v>
      </c>
      <c r="K43" s="9">
        <f t="shared" si="24"/>
        <v>2013</v>
      </c>
      <c r="L43" s="10">
        <v>5068</v>
      </c>
      <c r="M43" s="11">
        <f t="shared" si="45"/>
        <v>253400</v>
      </c>
      <c r="N43" s="10">
        <v>147</v>
      </c>
      <c r="O43" s="11">
        <f t="shared" si="46"/>
        <v>7350</v>
      </c>
      <c r="P43" s="10">
        <f>1336+965+2073</f>
        <v>4374</v>
      </c>
      <c r="Q43" s="11">
        <f t="shared" si="47"/>
        <v>262440</v>
      </c>
      <c r="X43" s="10">
        <v>132</v>
      </c>
      <c r="Y43" s="11">
        <f t="shared" si="48"/>
        <v>7920</v>
      </c>
      <c r="AF43" s="10">
        <v>0</v>
      </c>
      <c r="AG43" s="11">
        <f t="shared" si="49"/>
        <v>0</v>
      </c>
      <c r="AH43" s="10">
        <v>0</v>
      </c>
      <c r="AI43" s="11">
        <f t="shared" si="50"/>
        <v>0</v>
      </c>
      <c r="AJ43" s="10">
        <v>96</v>
      </c>
      <c r="AK43" s="13">
        <f t="shared" si="51"/>
        <v>864</v>
      </c>
      <c r="AL43" s="10">
        <v>0</v>
      </c>
      <c r="AM43" s="13">
        <f t="shared" si="52"/>
        <v>0</v>
      </c>
      <c r="AN43" s="10">
        <v>0</v>
      </c>
      <c r="AO43" s="11">
        <f t="shared" si="53"/>
        <v>0</v>
      </c>
      <c r="AP43" s="10">
        <v>0</v>
      </c>
      <c r="AQ43" s="11">
        <f t="shared" si="54"/>
        <v>0</v>
      </c>
      <c r="AR43" s="10">
        <v>0</v>
      </c>
      <c r="AS43" s="11">
        <f t="shared" si="55"/>
        <v>0</v>
      </c>
      <c r="AT43" s="10">
        <v>2</v>
      </c>
      <c r="AU43" s="11">
        <f t="shared" si="56"/>
        <v>100</v>
      </c>
      <c r="AW43" s="11">
        <f t="shared" si="57"/>
        <v>0</v>
      </c>
      <c r="AY43" s="11">
        <f t="shared" si="58"/>
        <v>0</v>
      </c>
      <c r="BA43" s="11">
        <f t="shared" si="59"/>
        <v>0</v>
      </c>
      <c r="BC43" s="11">
        <f t="shared" si="60"/>
        <v>0</v>
      </c>
      <c r="BE43" s="11">
        <f t="shared" si="61"/>
        <v>0</v>
      </c>
      <c r="BG43" s="11">
        <f t="shared" si="62"/>
        <v>0</v>
      </c>
      <c r="BH43" s="11">
        <v>672</v>
      </c>
      <c r="BN43" s="8">
        <f t="shared" si="3"/>
        <v>9670</v>
      </c>
      <c r="BO43" s="8">
        <f t="shared" si="4"/>
        <v>524624</v>
      </c>
      <c r="BP43" s="8">
        <f t="shared" si="25"/>
        <v>281</v>
      </c>
      <c r="BQ43" s="12">
        <f t="shared" si="26"/>
        <v>15370</v>
      </c>
    </row>
    <row r="44" spans="1:69">
      <c r="A44" s="28">
        <v>1997</v>
      </c>
      <c r="B44" s="27" t="s">
        <v>137</v>
      </c>
      <c r="C44" s="24">
        <f t="shared" si="23"/>
        <v>2</v>
      </c>
      <c r="D44" s="7" t="e">
        <f t="shared" ca="1" si="0"/>
        <v>#N/A</v>
      </c>
      <c r="E44" s="26">
        <f t="array" aca="1" ref="E44" ca="1">AVERAGE(IF(INDIRECT(DatCol&amp;"$"&amp;TEXT(C44,"###")):INDIRECT(DatCol&amp;"$"&amp;TEXT(C44+57,"###"))&gt;0,INDIRECT(DatCol&amp;"$"&amp;TEXT(C44,"###")):INDIRECT(DatCol&amp;"$"&amp;TEXT(C44+57,"###"))))</f>
        <v>370.13629629629628</v>
      </c>
      <c r="F44" s="26" t="str">
        <f t="shared" si="1"/>
        <v>C</v>
      </c>
      <c r="G44" s="8">
        <v>503</v>
      </c>
      <c r="H44" s="9">
        <v>44</v>
      </c>
      <c r="I44" s="9">
        <v>87</v>
      </c>
      <c r="J44" s="9">
        <v>1206</v>
      </c>
      <c r="K44" s="9">
        <f t="shared" si="24"/>
        <v>1753</v>
      </c>
      <c r="L44" s="10">
        <f>((2046*80)/60)</f>
        <v>2728</v>
      </c>
      <c r="M44" s="11">
        <f t="shared" si="45"/>
        <v>136400</v>
      </c>
      <c r="N44" s="10">
        <f>((95*80)/60)</f>
        <v>126.66666666666667</v>
      </c>
      <c r="O44" s="11">
        <f t="shared" si="46"/>
        <v>6333.3333333333339</v>
      </c>
      <c r="P44" s="10">
        <f>1786+1204+1236</f>
        <v>4226</v>
      </c>
      <c r="Q44" s="11">
        <f t="shared" si="47"/>
        <v>253560</v>
      </c>
      <c r="X44" s="10">
        <v>80</v>
      </c>
      <c r="Y44" s="11">
        <f t="shared" si="48"/>
        <v>4800</v>
      </c>
      <c r="AF44" s="10">
        <v>0</v>
      </c>
      <c r="AG44" s="11">
        <f t="shared" si="49"/>
        <v>0</v>
      </c>
      <c r="AH44" s="10">
        <v>0</v>
      </c>
      <c r="AI44" s="11">
        <f t="shared" si="50"/>
        <v>0</v>
      </c>
      <c r="AJ44" s="10">
        <v>120</v>
      </c>
      <c r="AK44" s="13">
        <f t="shared" si="51"/>
        <v>1080</v>
      </c>
      <c r="AL44" s="10">
        <v>15</v>
      </c>
      <c r="AM44" s="13">
        <f t="shared" si="52"/>
        <v>135</v>
      </c>
      <c r="AN44" s="10">
        <v>0</v>
      </c>
      <c r="AO44" s="11">
        <f t="shared" si="53"/>
        <v>0</v>
      </c>
      <c r="AP44" s="10">
        <v>0</v>
      </c>
      <c r="AQ44" s="11">
        <f t="shared" si="54"/>
        <v>0</v>
      </c>
      <c r="AR44" s="10">
        <v>0</v>
      </c>
      <c r="AS44" s="11">
        <f t="shared" si="55"/>
        <v>0</v>
      </c>
      <c r="AT44" s="10">
        <v>1</v>
      </c>
      <c r="AU44" s="11">
        <f t="shared" si="56"/>
        <v>50</v>
      </c>
      <c r="AV44" s="10">
        <v>206</v>
      </c>
      <c r="AW44" s="11">
        <f t="shared" si="57"/>
        <v>12360</v>
      </c>
      <c r="AX44" s="10">
        <v>0</v>
      </c>
      <c r="AY44" s="11">
        <f t="shared" si="58"/>
        <v>0</v>
      </c>
      <c r="AZ44" s="10">
        <v>0</v>
      </c>
      <c r="BA44" s="11">
        <f t="shared" si="59"/>
        <v>0</v>
      </c>
      <c r="BB44" s="10">
        <v>0</v>
      </c>
      <c r="BC44" s="11">
        <f t="shared" si="60"/>
        <v>0</v>
      </c>
      <c r="BD44" s="10">
        <v>0</v>
      </c>
      <c r="BE44" s="11">
        <f t="shared" si="61"/>
        <v>0</v>
      </c>
      <c r="BF44" s="10">
        <v>0</v>
      </c>
      <c r="BG44" s="11">
        <f t="shared" si="62"/>
        <v>0</v>
      </c>
      <c r="BH44" s="11">
        <v>2101</v>
      </c>
      <c r="BN44" s="8">
        <f t="shared" si="3"/>
        <v>7360</v>
      </c>
      <c r="BO44" s="8">
        <f t="shared" si="4"/>
        <v>408200</v>
      </c>
      <c r="BP44" s="8">
        <f t="shared" si="25"/>
        <v>222.66666666666669</v>
      </c>
      <c r="BQ44" s="12">
        <f t="shared" si="26"/>
        <v>11318.333333333334</v>
      </c>
    </row>
    <row r="45" spans="1:69">
      <c r="A45" s="28">
        <v>1998</v>
      </c>
      <c r="B45" s="27" t="s">
        <v>137</v>
      </c>
      <c r="C45" s="24">
        <f t="shared" si="23"/>
        <v>2</v>
      </c>
      <c r="D45" s="7" t="e">
        <f t="shared" ca="1" si="0"/>
        <v>#N/A</v>
      </c>
      <c r="E45" s="26">
        <f t="array" aca="1" ref="E45" ca="1">AVERAGE(IF(INDIRECT(DatCol&amp;"$"&amp;TEXT(C45,"###")):INDIRECT(DatCol&amp;"$"&amp;TEXT(C45+57,"###"))&gt;0,INDIRECT(DatCol&amp;"$"&amp;TEXT(C45,"###")):INDIRECT(DatCol&amp;"$"&amp;TEXT(C45+57,"###"))))</f>
        <v>370.13629629629628</v>
      </c>
      <c r="F45" s="26" t="str">
        <f t="shared" si="1"/>
        <v>C</v>
      </c>
      <c r="G45" s="8">
        <v>572</v>
      </c>
      <c r="H45" s="9">
        <v>54</v>
      </c>
      <c r="I45" s="9">
        <v>75</v>
      </c>
      <c r="J45" s="9">
        <v>1855</v>
      </c>
      <c r="K45" s="9">
        <f t="shared" si="24"/>
        <v>2481</v>
      </c>
      <c r="L45" s="10">
        <f t="shared" ref="L45:L51" si="63">M45/50</f>
        <v>5718</v>
      </c>
      <c r="M45" s="11">
        <v>285900</v>
      </c>
      <c r="N45" s="10">
        <f t="shared" ref="N45:N51" si="64">O45/50</f>
        <v>74</v>
      </c>
      <c r="O45" s="11">
        <v>3700</v>
      </c>
      <c r="P45" s="10">
        <v>0</v>
      </c>
      <c r="Q45" s="11">
        <v>0</v>
      </c>
      <c r="R45" s="10">
        <f>S45/60</f>
        <v>1312</v>
      </c>
      <c r="S45" s="11">
        <v>78720</v>
      </c>
      <c r="T45" s="10">
        <f>U45/60</f>
        <v>728</v>
      </c>
      <c r="U45" s="11">
        <v>43680</v>
      </c>
      <c r="V45" s="10">
        <f>W45/60</f>
        <v>834</v>
      </c>
      <c r="W45" s="11">
        <v>50040</v>
      </c>
      <c r="X45" s="10">
        <f>Y45/60</f>
        <v>107</v>
      </c>
      <c r="Y45" s="11">
        <v>6420</v>
      </c>
      <c r="Z45" s="10">
        <v>0</v>
      </c>
      <c r="AA45" s="11">
        <v>0</v>
      </c>
      <c r="AB45" s="10">
        <v>0</v>
      </c>
      <c r="AC45" s="11">
        <v>0</v>
      </c>
      <c r="AD45" s="10">
        <v>0</v>
      </c>
      <c r="AE45" s="11">
        <v>0</v>
      </c>
      <c r="AF45" s="10">
        <v>0</v>
      </c>
      <c r="AG45" s="11">
        <v>0</v>
      </c>
      <c r="AH45" s="10">
        <f>AI45/50</f>
        <v>43</v>
      </c>
      <c r="AI45" s="11">
        <v>2150</v>
      </c>
      <c r="AJ45" s="10">
        <v>5</v>
      </c>
      <c r="AK45" s="13">
        <f>AJ45*9</f>
        <v>45</v>
      </c>
      <c r="AL45" s="10">
        <v>0</v>
      </c>
      <c r="AM45" s="13">
        <v>0</v>
      </c>
      <c r="AN45" s="10">
        <v>0</v>
      </c>
      <c r="AO45" s="11">
        <v>0</v>
      </c>
      <c r="AP45" s="10">
        <v>0</v>
      </c>
      <c r="AQ45" s="11">
        <v>0</v>
      </c>
      <c r="AR45" s="10">
        <v>0</v>
      </c>
      <c r="AS45" s="11">
        <v>0</v>
      </c>
      <c r="AT45" s="10">
        <f>AU45/55</f>
        <v>2</v>
      </c>
      <c r="AU45" s="11">
        <v>110</v>
      </c>
      <c r="AV45" s="10">
        <v>0</v>
      </c>
      <c r="AW45" s="11">
        <v>0</v>
      </c>
      <c r="AX45" s="10">
        <v>0</v>
      </c>
      <c r="AY45" s="11">
        <v>0</v>
      </c>
      <c r="AZ45" s="10">
        <v>0</v>
      </c>
      <c r="BA45" s="11">
        <v>0</v>
      </c>
      <c r="BB45" s="10">
        <v>0</v>
      </c>
      <c r="BC45" s="11">
        <v>0</v>
      </c>
      <c r="BD45" s="10">
        <v>0</v>
      </c>
      <c r="BE45" s="11">
        <v>0</v>
      </c>
      <c r="BF45" s="10">
        <v>0</v>
      </c>
      <c r="BG45" s="11">
        <v>0</v>
      </c>
      <c r="BH45" s="11">
        <v>615</v>
      </c>
      <c r="BN45" s="8">
        <f t="shared" si="3"/>
        <v>8704</v>
      </c>
      <c r="BO45" s="8">
        <f t="shared" si="4"/>
        <v>464805</v>
      </c>
      <c r="BP45" s="8">
        <f t="shared" si="25"/>
        <v>226</v>
      </c>
      <c r="BQ45" s="12">
        <f t="shared" si="26"/>
        <v>12380</v>
      </c>
    </row>
    <row r="46" spans="1:69">
      <c r="A46" s="28">
        <v>1999</v>
      </c>
      <c r="B46" s="27" t="s">
        <v>137</v>
      </c>
      <c r="C46" s="24">
        <f t="shared" si="23"/>
        <v>2</v>
      </c>
      <c r="D46" s="7" t="e">
        <f t="shared" ca="1" si="0"/>
        <v>#N/A</v>
      </c>
      <c r="E46" s="26">
        <f t="array" aca="1" ref="E46" ca="1">AVERAGE(IF(INDIRECT(DatCol&amp;"$"&amp;TEXT(C46,"###")):INDIRECT(DatCol&amp;"$"&amp;TEXT(C46+57,"###"))&gt;0,INDIRECT(DatCol&amp;"$"&amp;TEXT(C46,"###")):INDIRECT(DatCol&amp;"$"&amp;TEXT(C46+57,"###"))))</f>
        <v>370.13629629629628</v>
      </c>
      <c r="F46" s="26" t="str">
        <f t="shared" si="1"/>
        <v>C</v>
      </c>
      <c r="G46" s="8">
        <v>618</v>
      </c>
      <c r="H46" s="9">
        <v>44</v>
      </c>
      <c r="I46" s="9">
        <v>68</v>
      </c>
      <c r="J46" s="9">
        <v>1988</v>
      </c>
      <c r="K46" s="9">
        <f t="shared" si="24"/>
        <v>2650</v>
      </c>
      <c r="L46" s="10">
        <f t="shared" si="63"/>
        <v>2714</v>
      </c>
      <c r="M46" s="11">
        <v>135700</v>
      </c>
      <c r="N46" s="10">
        <f t="shared" si="64"/>
        <v>55</v>
      </c>
      <c r="O46" s="11">
        <v>2750</v>
      </c>
      <c r="P46" s="10">
        <v>0</v>
      </c>
      <c r="Q46" s="11">
        <v>0</v>
      </c>
      <c r="R46" s="10">
        <f>S46/60</f>
        <v>2533</v>
      </c>
      <c r="S46" s="11">
        <v>151980</v>
      </c>
      <c r="T46" s="10">
        <f>U46/60</f>
        <v>900</v>
      </c>
      <c r="U46" s="11">
        <v>54000</v>
      </c>
      <c r="V46" s="10">
        <f>W46/60</f>
        <v>1371</v>
      </c>
      <c r="W46" s="11">
        <v>82260</v>
      </c>
      <c r="X46" s="10">
        <f>Y46/60</f>
        <v>176</v>
      </c>
      <c r="Y46" s="11">
        <v>10560</v>
      </c>
      <c r="Z46" s="10">
        <v>0</v>
      </c>
      <c r="AA46" s="11">
        <v>0</v>
      </c>
      <c r="AB46" s="10">
        <v>0</v>
      </c>
      <c r="AC46" s="11">
        <v>0</v>
      </c>
      <c r="AD46" s="10">
        <v>0</v>
      </c>
      <c r="AE46" s="11">
        <v>0</v>
      </c>
      <c r="AF46" s="10">
        <v>0</v>
      </c>
      <c r="AG46" s="11">
        <v>0</v>
      </c>
      <c r="AH46" s="10">
        <f>AI46/50</f>
        <v>175</v>
      </c>
      <c r="AI46" s="11">
        <v>8750</v>
      </c>
      <c r="AJ46" s="10">
        <v>50</v>
      </c>
      <c r="AK46" s="13">
        <f>AJ46*9</f>
        <v>450</v>
      </c>
      <c r="AL46" s="10">
        <v>0</v>
      </c>
      <c r="AM46" s="13">
        <v>0</v>
      </c>
      <c r="AN46" s="10">
        <v>0</v>
      </c>
      <c r="AO46" s="11">
        <v>0</v>
      </c>
      <c r="AP46" s="10">
        <v>0</v>
      </c>
      <c r="AQ46" s="11">
        <v>0</v>
      </c>
      <c r="AR46" s="10">
        <v>0</v>
      </c>
      <c r="AS46" s="11">
        <v>0</v>
      </c>
      <c r="AT46" s="10">
        <f>AU46/55</f>
        <v>3</v>
      </c>
      <c r="AU46" s="11">
        <v>165</v>
      </c>
      <c r="AV46" s="10">
        <v>0</v>
      </c>
      <c r="AW46" s="11">
        <v>0</v>
      </c>
      <c r="AX46" s="10">
        <v>0</v>
      </c>
      <c r="AY46" s="11">
        <v>0</v>
      </c>
      <c r="AZ46" s="10">
        <v>0</v>
      </c>
      <c r="BA46" s="11">
        <v>0</v>
      </c>
      <c r="BB46" s="10">
        <v>0</v>
      </c>
      <c r="BC46" s="11">
        <v>0</v>
      </c>
      <c r="BD46" s="10">
        <v>0</v>
      </c>
      <c r="BE46" s="11">
        <v>0</v>
      </c>
      <c r="BF46" s="10">
        <v>0</v>
      </c>
      <c r="BG46" s="11">
        <v>0</v>
      </c>
      <c r="BH46" s="11">
        <v>896</v>
      </c>
      <c r="BI46" s="11">
        <v>0</v>
      </c>
      <c r="BN46" s="8">
        <f t="shared" si="3"/>
        <v>7744</v>
      </c>
      <c r="BO46" s="8">
        <f t="shared" si="4"/>
        <v>434950</v>
      </c>
      <c r="BP46" s="8">
        <f t="shared" si="25"/>
        <v>409</v>
      </c>
      <c r="BQ46" s="12">
        <f t="shared" si="26"/>
        <v>22225</v>
      </c>
    </row>
    <row r="47" spans="1:69">
      <c r="A47" s="28">
        <v>2000</v>
      </c>
      <c r="B47" s="27" t="s">
        <v>137</v>
      </c>
      <c r="C47" s="24">
        <f t="shared" si="23"/>
        <v>2</v>
      </c>
      <c r="D47" s="7" t="e">
        <f t="shared" ca="1" si="0"/>
        <v>#N/A</v>
      </c>
      <c r="E47" s="26">
        <f t="array" aca="1" ref="E47" ca="1">AVERAGE(IF(INDIRECT(DatCol&amp;"$"&amp;TEXT(C47,"###")):INDIRECT(DatCol&amp;"$"&amp;TEXT(C47+57,"###"))&gt;0,INDIRECT(DatCol&amp;"$"&amp;TEXT(C47,"###")):INDIRECT(DatCol&amp;"$"&amp;TEXT(C47+57,"###"))))</f>
        <v>370.13629629629628</v>
      </c>
      <c r="F47" s="26" t="str">
        <f t="shared" si="1"/>
        <v>C</v>
      </c>
      <c r="G47" s="8">
        <f>634+5</f>
        <v>639</v>
      </c>
      <c r="H47" s="9">
        <v>53</v>
      </c>
      <c r="I47" s="9">
        <v>64</v>
      </c>
      <c r="J47" s="9">
        <v>2119</v>
      </c>
      <c r="K47" s="9">
        <f t="shared" si="24"/>
        <v>2811</v>
      </c>
      <c r="L47" s="10">
        <f t="shared" si="63"/>
        <v>469</v>
      </c>
      <c r="M47" s="11">
        <v>23450</v>
      </c>
      <c r="N47" s="10">
        <f t="shared" si="64"/>
        <v>17</v>
      </c>
      <c r="O47" s="11">
        <v>850</v>
      </c>
      <c r="P47" s="10">
        <v>0</v>
      </c>
      <c r="Q47" s="11">
        <v>0</v>
      </c>
      <c r="R47" s="10">
        <f>S47/49.5</f>
        <v>2351.5151515151515</v>
      </c>
      <c r="S47" s="11">
        <v>116400</v>
      </c>
      <c r="T47" s="10">
        <f>U47/59.5</f>
        <v>899.49579831932772</v>
      </c>
      <c r="U47" s="11">
        <v>53520</v>
      </c>
      <c r="V47" s="10">
        <f>W47/49.5</f>
        <v>1111.5151515151515</v>
      </c>
      <c r="W47" s="11">
        <v>55020</v>
      </c>
      <c r="X47" s="10">
        <f>Y47/49.5</f>
        <v>236.36363636363637</v>
      </c>
      <c r="Y47" s="11">
        <v>11700</v>
      </c>
      <c r="Z47" s="10">
        <v>0</v>
      </c>
      <c r="AA47" s="11">
        <v>0</v>
      </c>
      <c r="AB47" s="10">
        <v>0</v>
      </c>
      <c r="AC47" s="11">
        <v>0</v>
      </c>
      <c r="AD47" s="10">
        <v>0</v>
      </c>
      <c r="AE47" s="11">
        <v>0</v>
      </c>
      <c r="AF47" s="10">
        <v>0</v>
      </c>
      <c r="AG47" s="11">
        <v>0</v>
      </c>
      <c r="AH47" s="10">
        <f>AI47/47.5</f>
        <v>517.89473684210532</v>
      </c>
      <c r="AI47" s="11">
        <v>24600</v>
      </c>
      <c r="AJ47" s="12">
        <f>AK47/9</f>
        <v>14.811111111111112</v>
      </c>
      <c r="AK47" s="11">
        <v>133.30000000000001</v>
      </c>
      <c r="AL47" s="10">
        <v>0</v>
      </c>
      <c r="AM47" s="13">
        <v>0</v>
      </c>
      <c r="AN47" s="10">
        <v>0</v>
      </c>
      <c r="AO47" s="11">
        <v>0</v>
      </c>
      <c r="AP47" s="10">
        <v>0</v>
      </c>
      <c r="AQ47" s="11">
        <v>0</v>
      </c>
      <c r="AR47" s="10">
        <v>0</v>
      </c>
      <c r="AS47" s="11">
        <v>0</v>
      </c>
      <c r="AT47" s="10">
        <v>3</v>
      </c>
      <c r="AU47" s="11">
        <v>165</v>
      </c>
      <c r="AV47" s="10">
        <v>0</v>
      </c>
      <c r="AW47" s="11">
        <v>0</v>
      </c>
      <c r="AX47" s="10">
        <v>0</v>
      </c>
      <c r="AY47" s="11">
        <v>0</v>
      </c>
      <c r="AZ47" s="10">
        <v>0</v>
      </c>
      <c r="BA47" s="11">
        <v>0</v>
      </c>
      <c r="BB47" s="10">
        <v>0</v>
      </c>
      <c r="BC47" s="11">
        <v>0</v>
      </c>
      <c r="BD47" s="10">
        <v>0</v>
      </c>
      <c r="BE47" s="11">
        <v>0</v>
      </c>
      <c r="BF47" s="10">
        <v>0</v>
      </c>
      <c r="BG47" s="11">
        <v>0</v>
      </c>
      <c r="BH47" s="11">
        <v>1081</v>
      </c>
      <c r="BI47" s="11">
        <v>0</v>
      </c>
      <c r="BN47" s="8">
        <f t="shared" si="3"/>
        <v>5082.7008488243782</v>
      </c>
      <c r="BO47" s="8">
        <f t="shared" si="4"/>
        <v>260223.3</v>
      </c>
      <c r="BP47" s="8">
        <f t="shared" si="25"/>
        <v>774.25837320574169</v>
      </c>
      <c r="BQ47" s="12">
        <f t="shared" si="26"/>
        <v>37315</v>
      </c>
    </row>
    <row r="48" spans="1:69">
      <c r="A48" s="28">
        <v>2001</v>
      </c>
      <c r="B48" s="27" t="s">
        <v>137</v>
      </c>
      <c r="C48" s="24">
        <f t="shared" si="23"/>
        <v>2</v>
      </c>
      <c r="D48" s="7" t="e">
        <f t="shared" ca="1" si="0"/>
        <v>#N/A</v>
      </c>
      <c r="E48" s="26">
        <f t="array" aca="1" ref="E48" ca="1">AVERAGE(IF(INDIRECT(DatCol&amp;"$"&amp;TEXT(C48,"###")):INDIRECT(DatCol&amp;"$"&amp;TEXT(C48+57,"###"))&gt;0,INDIRECT(DatCol&amp;"$"&amp;TEXT(C48,"###")):INDIRECT(DatCol&amp;"$"&amp;TEXT(C48+57,"###"))))</f>
        <v>370.13629629629628</v>
      </c>
      <c r="F48" s="26" t="str">
        <f t="shared" si="1"/>
        <v>C</v>
      </c>
      <c r="G48" s="8"/>
      <c r="H48" s="9">
        <v>41</v>
      </c>
      <c r="I48" s="9">
        <v>54</v>
      </c>
      <c r="J48" s="9">
        <v>2008</v>
      </c>
      <c r="K48" s="9">
        <f t="shared" si="24"/>
        <v>2049</v>
      </c>
      <c r="L48" s="10">
        <f t="shared" si="63"/>
        <v>433.76</v>
      </c>
      <c r="M48" s="11">
        <v>21688</v>
      </c>
      <c r="N48" s="10">
        <f t="shared" si="64"/>
        <v>289.27999999999997</v>
      </c>
      <c r="O48" s="11">
        <v>14464</v>
      </c>
      <c r="P48" s="10">
        <v>0</v>
      </c>
      <c r="Q48" s="11">
        <v>0</v>
      </c>
      <c r="R48" s="10">
        <f>S48/75</f>
        <v>1500</v>
      </c>
      <c r="S48" s="11">
        <v>112500</v>
      </c>
      <c r="T48" s="10">
        <f>U48/75</f>
        <v>873.21333333333337</v>
      </c>
      <c r="U48" s="11">
        <v>65491</v>
      </c>
      <c r="V48" s="10">
        <f>W48/75</f>
        <v>919.52</v>
      </c>
      <c r="W48" s="11">
        <v>68964</v>
      </c>
      <c r="X48" s="10">
        <f>Y48/75</f>
        <v>183.53333333333333</v>
      </c>
      <c r="Y48" s="11">
        <v>13765</v>
      </c>
      <c r="Z48" s="10">
        <v>0</v>
      </c>
      <c r="AA48" s="11">
        <v>0</v>
      </c>
      <c r="AB48" s="10">
        <v>0</v>
      </c>
      <c r="AC48" s="11">
        <v>0</v>
      </c>
      <c r="AD48" s="10">
        <v>0</v>
      </c>
      <c r="AE48" s="11">
        <v>0</v>
      </c>
      <c r="AF48" s="10">
        <v>0</v>
      </c>
      <c r="AG48" s="11">
        <v>0</v>
      </c>
      <c r="AH48" s="10">
        <f>AI48/47.5</f>
        <v>304.50526315789472</v>
      </c>
      <c r="AI48" s="11">
        <v>14464</v>
      </c>
      <c r="AJ48" s="12">
        <f>AK48/9</f>
        <v>2090.3333333333335</v>
      </c>
      <c r="AK48" s="11">
        <v>18813</v>
      </c>
      <c r="AL48" s="10">
        <v>0</v>
      </c>
      <c r="AM48" s="13">
        <v>0</v>
      </c>
      <c r="AN48" s="10">
        <v>0</v>
      </c>
      <c r="AO48" s="11">
        <v>0</v>
      </c>
      <c r="AP48" s="10">
        <v>0</v>
      </c>
      <c r="AQ48" s="11">
        <v>0</v>
      </c>
      <c r="AR48" s="10">
        <v>0</v>
      </c>
      <c r="AS48" s="11">
        <v>0</v>
      </c>
      <c r="AT48" s="10">
        <v>0</v>
      </c>
      <c r="AU48" s="11">
        <v>14</v>
      </c>
      <c r="AV48" s="10">
        <v>0</v>
      </c>
      <c r="AW48" s="11">
        <v>0</v>
      </c>
      <c r="AX48" s="10">
        <v>0</v>
      </c>
      <c r="AY48" s="11">
        <v>0</v>
      </c>
      <c r="AZ48" s="10">
        <v>0</v>
      </c>
      <c r="BA48" s="11">
        <v>0</v>
      </c>
      <c r="BB48" s="10">
        <v>0</v>
      </c>
      <c r="BC48" s="11">
        <v>0</v>
      </c>
      <c r="BD48" s="10">
        <v>0</v>
      </c>
      <c r="BE48" s="11">
        <v>0</v>
      </c>
      <c r="BF48" s="10">
        <v>0</v>
      </c>
      <c r="BG48" s="11">
        <v>0</v>
      </c>
      <c r="BH48" s="11">
        <v>0</v>
      </c>
      <c r="BI48" s="11">
        <v>0</v>
      </c>
      <c r="BN48" s="8">
        <f t="shared" si="3"/>
        <v>6000.3600000000006</v>
      </c>
      <c r="BO48" s="8">
        <f t="shared" si="4"/>
        <v>301221</v>
      </c>
      <c r="BP48" s="8">
        <f t="shared" si="25"/>
        <v>777.31859649122794</v>
      </c>
      <c r="BQ48" s="12">
        <f t="shared" si="26"/>
        <v>42707</v>
      </c>
    </row>
    <row r="49" spans="1:69">
      <c r="A49" s="28">
        <v>2002</v>
      </c>
      <c r="B49" s="27" t="s">
        <v>137</v>
      </c>
      <c r="C49" s="24">
        <f t="shared" si="23"/>
        <v>2</v>
      </c>
      <c r="D49" s="7" t="e">
        <f t="shared" ca="1" si="0"/>
        <v>#N/A</v>
      </c>
      <c r="E49" s="26">
        <f t="array" aca="1" ref="E49" ca="1">AVERAGE(IF(INDIRECT(DatCol&amp;"$"&amp;TEXT(C49,"###")):INDIRECT(DatCol&amp;"$"&amp;TEXT(C49+57,"###"))&gt;0,INDIRECT(DatCol&amp;"$"&amp;TEXT(C49,"###")):INDIRECT(DatCol&amp;"$"&amp;TEXT(C49+57,"###"))))</f>
        <v>370.13629629629628</v>
      </c>
      <c r="F49" s="26" t="str">
        <f t="shared" si="1"/>
        <v>C</v>
      </c>
      <c r="G49" s="8"/>
      <c r="H49" s="9">
        <v>50</v>
      </c>
      <c r="I49" s="9">
        <v>50</v>
      </c>
      <c r="J49" s="9">
        <v>1918</v>
      </c>
      <c r="K49" s="9">
        <f t="shared" si="24"/>
        <v>1968</v>
      </c>
      <c r="L49" s="10">
        <f t="shared" si="63"/>
        <v>378.76</v>
      </c>
      <c r="M49" s="11">
        <v>18938</v>
      </c>
      <c r="N49" s="10">
        <f t="shared" si="64"/>
        <v>24.68</v>
      </c>
      <c r="O49" s="11">
        <v>1234</v>
      </c>
      <c r="P49" s="10">
        <v>0</v>
      </c>
      <c r="Q49" s="11">
        <v>0</v>
      </c>
      <c r="R49" s="10">
        <f>S49/75</f>
        <v>1003.0533333333333</v>
      </c>
      <c r="S49" s="11">
        <v>75229</v>
      </c>
      <c r="T49" s="10">
        <f>U49/75</f>
        <v>694.14666666666665</v>
      </c>
      <c r="U49" s="11">
        <v>52061</v>
      </c>
      <c r="V49" s="10">
        <f>W49/75</f>
        <v>579.04</v>
      </c>
      <c r="W49" s="11">
        <v>43428</v>
      </c>
      <c r="X49" s="10">
        <f>Y49/75</f>
        <v>165.56</v>
      </c>
      <c r="Y49" s="11">
        <v>12417</v>
      </c>
      <c r="Z49" s="10">
        <v>0</v>
      </c>
      <c r="AA49" s="11">
        <v>0</v>
      </c>
      <c r="AB49" s="10">
        <v>0</v>
      </c>
      <c r="AC49" s="11">
        <v>0</v>
      </c>
      <c r="AD49" s="10">
        <v>0</v>
      </c>
      <c r="AE49" s="11">
        <v>0</v>
      </c>
      <c r="AF49" s="10">
        <v>0</v>
      </c>
      <c r="AG49" s="11">
        <v>0</v>
      </c>
      <c r="AH49" s="10">
        <f>AI49/47.5</f>
        <v>290.69473684210527</v>
      </c>
      <c r="AI49" s="11">
        <v>13808</v>
      </c>
      <c r="AJ49" s="12">
        <f>AK49/9</f>
        <v>520.88888888888891</v>
      </c>
      <c r="AK49" s="11">
        <v>4688</v>
      </c>
      <c r="AL49" s="10">
        <v>0</v>
      </c>
      <c r="AM49" s="13">
        <v>0</v>
      </c>
      <c r="AN49" s="10">
        <v>0</v>
      </c>
      <c r="AO49" s="11">
        <v>0</v>
      </c>
      <c r="AP49" s="10">
        <v>0</v>
      </c>
      <c r="AQ49" s="11">
        <v>0</v>
      </c>
      <c r="AR49" s="10">
        <f>AS49/55</f>
        <v>737.67272727272723</v>
      </c>
      <c r="AS49" s="11">
        <v>40572</v>
      </c>
      <c r="AT49" s="10">
        <f>AU49/55</f>
        <v>4.0545454545454547</v>
      </c>
      <c r="AU49" s="11">
        <v>223</v>
      </c>
      <c r="AV49" s="10">
        <v>0</v>
      </c>
      <c r="AW49" s="11">
        <v>0</v>
      </c>
      <c r="AX49" s="10">
        <v>0</v>
      </c>
      <c r="AY49" s="11">
        <v>0</v>
      </c>
      <c r="AZ49" s="10">
        <v>0</v>
      </c>
      <c r="BA49" s="11">
        <v>0</v>
      </c>
      <c r="BB49" s="10">
        <v>0</v>
      </c>
      <c r="BC49" s="11">
        <v>0</v>
      </c>
      <c r="BD49" s="10">
        <v>0</v>
      </c>
      <c r="BE49" s="11">
        <v>0</v>
      </c>
      <c r="BF49" s="10">
        <v>0</v>
      </c>
      <c r="BG49" s="11">
        <v>0</v>
      </c>
      <c r="BH49" s="11">
        <v>0</v>
      </c>
      <c r="BI49" s="11">
        <v>0</v>
      </c>
      <c r="BJ49" s="10">
        <v>0</v>
      </c>
      <c r="BN49" s="8">
        <f t="shared" si="3"/>
        <v>4079.1216161616162</v>
      </c>
      <c r="BO49" s="8">
        <f t="shared" si="4"/>
        <v>247333</v>
      </c>
      <c r="BP49" s="8">
        <f t="shared" si="25"/>
        <v>484.98928229665074</v>
      </c>
      <c r="BQ49" s="12">
        <f t="shared" si="26"/>
        <v>27682</v>
      </c>
    </row>
    <row r="50" spans="1:69">
      <c r="A50" s="28">
        <v>2003</v>
      </c>
      <c r="B50" s="27" t="s">
        <v>137</v>
      </c>
      <c r="C50" s="24">
        <f t="shared" si="23"/>
        <v>2</v>
      </c>
      <c r="D50" s="7" t="e">
        <f t="shared" ca="1" si="0"/>
        <v>#N/A</v>
      </c>
      <c r="E50" s="26">
        <f t="array" aca="1" ref="E50" ca="1">AVERAGE(IF(INDIRECT(DatCol&amp;"$"&amp;TEXT(C50,"###")):INDIRECT(DatCol&amp;"$"&amp;TEXT(C50+57,"###"))&gt;0,INDIRECT(DatCol&amp;"$"&amp;TEXT(C50,"###")):INDIRECT(DatCol&amp;"$"&amp;TEXT(C50+57,"###"))))</f>
        <v>370.13629629629628</v>
      </c>
      <c r="F50" s="26" t="str">
        <f t="shared" si="1"/>
        <v>C</v>
      </c>
      <c r="G50" s="8"/>
      <c r="H50" s="9">
        <v>57</v>
      </c>
      <c r="I50" s="9">
        <v>46</v>
      </c>
      <c r="J50" s="9">
        <v>1767</v>
      </c>
      <c r="K50" s="9">
        <f t="shared" si="24"/>
        <v>1824</v>
      </c>
      <c r="L50" s="10">
        <f t="shared" si="63"/>
        <v>328</v>
      </c>
      <c r="M50" s="11">
        <v>16400</v>
      </c>
      <c r="N50" s="10">
        <f t="shared" si="64"/>
        <v>19.059999999999999</v>
      </c>
      <c r="O50" s="11">
        <v>953</v>
      </c>
      <c r="P50" s="10">
        <v>0</v>
      </c>
      <c r="Q50" s="11">
        <v>0</v>
      </c>
      <c r="R50" s="10">
        <f>S50/75</f>
        <v>1012.6666666666666</v>
      </c>
      <c r="S50" s="11">
        <v>75950</v>
      </c>
      <c r="T50" s="10">
        <f>U50/75</f>
        <v>452.66666666666669</v>
      </c>
      <c r="U50" s="11">
        <v>33950</v>
      </c>
      <c r="V50" s="10">
        <f>W50/75</f>
        <v>253.33333333333334</v>
      </c>
      <c r="W50" s="11">
        <v>19000</v>
      </c>
      <c r="X50" s="10">
        <f>Y50/75</f>
        <v>291.12</v>
      </c>
      <c r="Y50" s="11">
        <v>21834</v>
      </c>
      <c r="Z50" s="10">
        <v>0</v>
      </c>
      <c r="AA50" s="11">
        <v>0</v>
      </c>
      <c r="AB50" s="10">
        <v>0</v>
      </c>
      <c r="AC50" s="11">
        <v>0</v>
      </c>
      <c r="AD50" s="10">
        <v>0</v>
      </c>
      <c r="AE50" s="11">
        <v>0</v>
      </c>
      <c r="AF50" s="10">
        <v>0</v>
      </c>
      <c r="AG50" s="11">
        <v>0</v>
      </c>
      <c r="AH50" s="14">
        <f>AI50/47.5</f>
        <v>1.9789473684210526</v>
      </c>
      <c r="AI50" s="15">
        <v>94</v>
      </c>
      <c r="AJ50" s="12">
        <f>AK50/9</f>
        <v>494.44444444444446</v>
      </c>
      <c r="AK50" s="11">
        <v>4450</v>
      </c>
      <c r="AL50" s="10">
        <v>0</v>
      </c>
      <c r="AM50" s="13">
        <v>0</v>
      </c>
      <c r="AN50" s="10">
        <v>0</v>
      </c>
      <c r="AO50" s="11">
        <v>0</v>
      </c>
      <c r="AP50" s="10">
        <v>0</v>
      </c>
      <c r="AQ50" s="11">
        <v>0</v>
      </c>
      <c r="AR50" s="10">
        <f>AS50/55</f>
        <v>6763</v>
      </c>
      <c r="AS50" s="11">
        <v>371965</v>
      </c>
      <c r="AT50" s="10">
        <f>AU50/55</f>
        <v>3.4363636363636365</v>
      </c>
      <c r="AU50" s="11">
        <v>189</v>
      </c>
      <c r="BN50" s="8">
        <f t="shared" si="3"/>
        <v>9595.2311111111103</v>
      </c>
      <c r="BO50" s="8">
        <f t="shared" si="4"/>
        <v>543549</v>
      </c>
      <c r="BP50" s="8">
        <f t="shared" si="25"/>
        <v>315.59531100478472</v>
      </c>
      <c r="BQ50" s="12">
        <f t="shared" si="26"/>
        <v>23070</v>
      </c>
    </row>
    <row r="51" spans="1:69" s="3" customFormat="1" ht="12.75">
      <c r="A51" s="28">
        <v>2004</v>
      </c>
      <c r="B51" s="27" t="s">
        <v>137</v>
      </c>
      <c r="C51" s="24">
        <f t="shared" si="23"/>
        <v>2</v>
      </c>
      <c r="D51" s="7" t="e">
        <f t="shared" ca="1" si="0"/>
        <v>#N/A</v>
      </c>
      <c r="E51" s="26">
        <f t="array" aca="1" ref="E51" ca="1">AVERAGE(IF(INDIRECT(DatCol&amp;"$"&amp;TEXT(C51,"###")):INDIRECT(DatCol&amp;"$"&amp;TEXT(C51+57,"###"))&gt;0,INDIRECT(DatCol&amp;"$"&amp;TEXT(C51,"###")):INDIRECT(DatCol&amp;"$"&amp;TEXT(C51+57,"###"))))</f>
        <v>370.13629629629628</v>
      </c>
      <c r="F51" s="26" t="str">
        <f t="shared" si="1"/>
        <v>C</v>
      </c>
      <c r="G51" s="8"/>
      <c r="H51" s="9">
        <v>57</v>
      </c>
      <c r="I51" s="9">
        <v>43</v>
      </c>
      <c r="J51" s="9">
        <v>1918</v>
      </c>
      <c r="K51" s="9">
        <f t="shared" si="24"/>
        <v>1975</v>
      </c>
      <c r="L51" s="10">
        <f t="shared" si="63"/>
        <v>1350.72</v>
      </c>
      <c r="M51" s="11">
        <v>67536</v>
      </c>
      <c r="N51" s="10">
        <f t="shared" si="64"/>
        <v>90.72</v>
      </c>
      <c r="O51" s="11">
        <v>4536</v>
      </c>
      <c r="P51" s="10">
        <v>0</v>
      </c>
      <c r="Q51" s="11">
        <v>0</v>
      </c>
      <c r="R51" s="10">
        <f>S51/75</f>
        <v>1721.92</v>
      </c>
      <c r="S51" s="11">
        <v>129144</v>
      </c>
      <c r="T51" s="16">
        <f>U51/75</f>
        <v>578.78666666666663</v>
      </c>
      <c r="U51" s="11">
        <v>43409</v>
      </c>
      <c r="V51" s="16">
        <f>W51/75</f>
        <v>511.73333333333335</v>
      </c>
      <c r="W51" s="11">
        <v>38380</v>
      </c>
      <c r="X51" s="10">
        <f>Y51/75</f>
        <v>903.78666666666663</v>
      </c>
      <c r="Y51" s="11">
        <v>67784</v>
      </c>
      <c r="Z51" s="10">
        <v>0</v>
      </c>
      <c r="AA51" s="11">
        <v>0</v>
      </c>
      <c r="AB51" s="10">
        <v>0</v>
      </c>
      <c r="AC51" s="11">
        <v>0</v>
      </c>
      <c r="AD51" s="10">
        <v>0</v>
      </c>
      <c r="AE51" s="11">
        <v>0</v>
      </c>
      <c r="AF51" s="10">
        <v>0</v>
      </c>
      <c r="AG51" s="11">
        <v>0</v>
      </c>
      <c r="AH51" s="10">
        <f>AI51/47.5</f>
        <v>434.5263157894737</v>
      </c>
      <c r="AI51" s="11">
        <v>20640</v>
      </c>
      <c r="AJ51" s="12">
        <f>AK51/9</f>
        <v>462</v>
      </c>
      <c r="AK51" s="11">
        <v>4158</v>
      </c>
      <c r="AL51" s="10">
        <v>0</v>
      </c>
      <c r="AM51" s="13">
        <v>0</v>
      </c>
      <c r="AN51" s="10">
        <v>0</v>
      </c>
      <c r="AO51" s="11">
        <v>0</v>
      </c>
      <c r="AP51" s="10">
        <v>0</v>
      </c>
      <c r="AQ51" s="11">
        <v>0</v>
      </c>
      <c r="AR51" s="10">
        <f>AS51/55</f>
        <v>1386.2727272727273</v>
      </c>
      <c r="AS51" s="11">
        <v>76245</v>
      </c>
      <c r="AT51" s="10">
        <f>AU51/55</f>
        <v>70.25454545454545</v>
      </c>
      <c r="AU51" s="11">
        <v>3864</v>
      </c>
      <c r="AV51" s="10">
        <v>0</v>
      </c>
      <c r="AW51" s="11">
        <v>0</v>
      </c>
      <c r="AX51" s="10">
        <v>0</v>
      </c>
      <c r="AY51" s="11">
        <v>0</v>
      </c>
      <c r="AZ51" s="10">
        <v>0</v>
      </c>
      <c r="BA51" s="11">
        <v>0</v>
      </c>
      <c r="BB51" s="16"/>
      <c r="BC51" s="17"/>
      <c r="BD51" s="16"/>
      <c r="BE51" s="17"/>
      <c r="BF51" s="16"/>
      <c r="BG51" s="17"/>
      <c r="BH51" s="17"/>
      <c r="BI51" s="17"/>
      <c r="BJ51" s="16"/>
      <c r="BK51" s="17"/>
      <c r="BL51" s="16"/>
      <c r="BM51" s="17"/>
      <c r="BN51" s="8">
        <f t="shared" si="3"/>
        <v>6915.2193939393946</v>
      </c>
      <c r="BO51" s="8">
        <f t="shared" si="4"/>
        <v>426656</v>
      </c>
      <c r="BP51" s="8">
        <f t="shared" si="25"/>
        <v>1499.2875279106859</v>
      </c>
      <c r="BQ51" s="12">
        <f t="shared" si="26"/>
        <v>96824</v>
      </c>
    </row>
    <row r="52" spans="1:69" s="3" customFormat="1" ht="12.75">
      <c r="A52" s="28">
        <v>2005</v>
      </c>
      <c r="B52" s="27" t="s">
        <v>137</v>
      </c>
      <c r="C52" s="24">
        <f t="shared" si="23"/>
        <v>2</v>
      </c>
      <c r="D52" s="7" t="e">
        <f t="shared" ca="1" si="0"/>
        <v>#N/A</v>
      </c>
      <c r="E52" s="26">
        <f t="array" aca="1" ref="E52" ca="1">AVERAGE(IF(INDIRECT(DatCol&amp;"$"&amp;TEXT(C52,"###")):INDIRECT(DatCol&amp;"$"&amp;TEXT(C52+57,"###"))&gt;0,INDIRECT(DatCol&amp;"$"&amp;TEXT(C52,"###")):INDIRECT(DatCol&amp;"$"&amp;TEXT(C52+57,"###"))))</f>
        <v>370.13629629629628</v>
      </c>
      <c r="F52" s="26" t="str">
        <f t="shared" si="1"/>
        <v>C</v>
      </c>
      <c r="G52" s="8"/>
      <c r="H52" s="9"/>
      <c r="I52" s="9">
        <v>45</v>
      </c>
      <c r="J52" s="9">
        <v>1798</v>
      </c>
      <c r="K52" s="9">
        <f t="shared" si="24"/>
        <v>1798</v>
      </c>
      <c r="L52" s="10">
        <v>4360</v>
      </c>
      <c r="M52" s="11">
        <f>L52*50</f>
        <v>218000</v>
      </c>
      <c r="N52" s="10">
        <f>39/4</f>
        <v>9.75</v>
      </c>
      <c r="O52" s="11">
        <f>N52*50</f>
        <v>487.5</v>
      </c>
      <c r="P52" s="10">
        <v>0</v>
      </c>
      <c r="Q52" s="11">
        <v>0</v>
      </c>
      <c r="R52" s="10">
        <v>861</v>
      </c>
      <c r="S52" s="11">
        <f>R52*75</f>
        <v>64575</v>
      </c>
      <c r="T52" s="10">
        <v>627</v>
      </c>
      <c r="U52" s="11">
        <f>T52*75</f>
        <v>47025</v>
      </c>
      <c r="V52" s="10">
        <v>305</v>
      </c>
      <c r="W52" s="11">
        <f>V52*75</f>
        <v>22875</v>
      </c>
      <c r="X52" s="10">
        <f>415/4</f>
        <v>103.75</v>
      </c>
      <c r="Y52" s="11">
        <f>X52*75</f>
        <v>7781.25</v>
      </c>
      <c r="Z52" s="10">
        <v>0</v>
      </c>
      <c r="AA52" s="11">
        <v>0</v>
      </c>
      <c r="AB52" s="10">
        <v>0</v>
      </c>
      <c r="AC52" s="11">
        <v>0</v>
      </c>
      <c r="AD52" s="10">
        <v>0</v>
      </c>
      <c r="AE52" s="11">
        <v>0</v>
      </c>
      <c r="AF52" s="10">
        <v>0</v>
      </c>
      <c r="AG52" s="11">
        <v>0</v>
      </c>
      <c r="AH52" s="10">
        <f>273/4</f>
        <v>68.25</v>
      </c>
      <c r="AI52" s="11">
        <f>AH52*47.5</f>
        <v>3241.875</v>
      </c>
      <c r="AJ52" s="12">
        <v>2.5</v>
      </c>
      <c r="AK52" s="11">
        <f>AJ52*9</f>
        <v>22.5</v>
      </c>
      <c r="AL52" s="10">
        <v>0</v>
      </c>
      <c r="AM52" s="13">
        <v>0</v>
      </c>
      <c r="AN52" s="10">
        <v>0</v>
      </c>
      <c r="AO52" s="11">
        <v>0</v>
      </c>
      <c r="AP52" s="10">
        <v>0</v>
      </c>
      <c r="AQ52" s="11">
        <v>0</v>
      </c>
      <c r="AR52" s="10">
        <v>0</v>
      </c>
      <c r="AS52" s="11">
        <v>0</v>
      </c>
      <c r="AT52" s="10">
        <v>1</v>
      </c>
      <c r="AU52" s="11">
        <f>AT52*55</f>
        <v>55</v>
      </c>
      <c r="AV52" s="10">
        <v>0</v>
      </c>
      <c r="AW52" s="11">
        <v>0</v>
      </c>
      <c r="AX52" s="10">
        <v>0</v>
      </c>
      <c r="AY52" s="11">
        <v>0</v>
      </c>
      <c r="AZ52" s="10">
        <v>25.4</v>
      </c>
      <c r="BA52" s="11">
        <f>AZ52*40</f>
        <v>1016</v>
      </c>
      <c r="BB52" s="10">
        <f>15/4</f>
        <v>3.75</v>
      </c>
      <c r="BC52" s="11">
        <f>BB52*40</f>
        <v>150</v>
      </c>
      <c r="BD52" s="10">
        <v>0</v>
      </c>
      <c r="BE52" s="11">
        <v>0</v>
      </c>
      <c r="BF52" s="16">
        <v>0</v>
      </c>
      <c r="BG52" s="11">
        <v>0</v>
      </c>
      <c r="BH52" s="11">
        <v>0</v>
      </c>
      <c r="BI52" s="11">
        <v>0</v>
      </c>
      <c r="BJ52" s="16">
        <v>0</v>
      </c>
      <c r="BK52" s="17">
        <v>0</v>
      </c>
      <c r="BL52" s="16">
        <v>0</v>
      </c>
      <c r="BM52" s="17">
        <v>0</v>
      </c>
      <c r="BN52" s="8">
        <f t="shared" si="3"/>
        <v>6284.65</v>
      </c>
      <c r="BO52" s="8">
        <f t="shared" si="4"/>
        <v>361294.75</v>
      </c>
      <c r="BP52" s="8">
        <f t="shared" si="25"/>
        <v>186.5</v>
      </c>
      <c r="BQ52" s="12">
        <f t="shared" si="26"/>
        <v>11715.625</v>
      </c>
    </row>
    <row r="53" spans="1:69" s="3" customFormat="1" ht="12.75">
      <c r="A53" s="28">
        <v>2006</v>
      </c>
      <c r="B53" s="27" t="s">
        <v>137</v>
      </c>
      <c r="C53" s="24">
        <f t="shared" si="23"/>
        <v>2</v>
      </c>
      <c r="D53" s="7" t="e">
        <f t="shared" ca="1" si="0"/>
        <v>#N/A</v>
      </c>
      <c r="E53" s="26">
        <f t="array" aca="1" ref="E53" ca="1">AVERAGE(IF(INDIRECT(DatCol&amp;"$"&amp;TEXT(C53,"###")):INDIRECT(DatCol&amp;"$"&amp;TEXT(C53+57,"###"))&gt;0,INDIRECT(DatCol&amp;"$"&amp;TEXT(C53,"###")):INDIRECT(DatCol&amp;"$"&amp;TEXT(C53+57,"###"))))</f>
        <v>370.13629629629628</v>
      </c>
      <c r="F53" s="26" t="str">
        <f t="shared" si="1"/>
        <v>C</v>
      </c>
      <c r="G53" s="8"/>
      <c r="H53" s="9"/>
      <c r="I53" s="9">
        <v>46</v>
      </c>
      <c r="J53" s="9">
        <v>1965</v>
      </c>
      <c r="K53" s="9">
        <f t="shared" si="24"/>
        <v>1965</v>
      </c>
      <c r="L53" s="10">
        <v>4638</v>
      </c>
      <c r="M53" s="11">
        <f>L53*50</f>
        <v>231900</v>
      </c>
      <c r="N53" s="10">
        <f>207/4</f>
        <v>51.75</v>
      </c>
      <c r="O53" s="11">
        <f>N53*50</f>
        <v>2587.5</v>
      </c>
      <c r="P53" s="10">
        <v>0</v>
      </c>
      <c r="Q53" s="11">
        <v>0</v>
      </c>
      <c r="R53" s="10">
        <v>1831</v>
      </c>
      <c r="S53" s="11">
        <f>R53*75</f>
        <v>137325</v>
      </c>
      <c r="T53" s="10">
        <v>469</v>
      </c>
      <c r="U53" s="11">
        <f>T53*75</f>
        <v>35175</v>
      </c>
      <c r="V53" s="10">
        <v>409</v>
      </c>
      <c r="W53" s="11">
        <f>V53*75</f>
        <v>30675</v>
      </c>
      <c r="X53" s="10">
        <f>582/4</f>
        <v>145.5</v>
      </c>
      <c r="Y53" s="11">
        <f>X53*75</f>
        <v>10912.5</v>
      </c>
      <c r="Z53" s="10">
        <v>0</v>
      </c>
      <c r="AA53" s="11">
        <v>0</v>
      </c>
      <c r="AB53" s="10">
        <v>0</v>
      </c>
      <c r="AC53" s="11">
        <v>0</v>
      </c>
      <c r="AD53" s="10">
        <v>0</v>
      </c>
      <c r="AE53" s="11">
        <v>0</v>
      </c>
      <c r="AF53" s="10">
        <v>0</v>
      </c>
      <c r="AG53" s="11">
        <v>0</v>
      </c>
      <c r="AH53" s="10">
        <f>367/4</f>
        <v>91.75</v>
      </c>
      <c r="AI53" s="11">
        <f>AH53*47.5</f>
        <v>4358.125</v>
      </c>
      <c r="AJ53" s="12">
        <v>0</v>
      </c>
      <c r="AK53" s="11">
        <v>0</v>
      </c>
      <c r="AL53" s="10">
        <v>0</v>
      </c>
      <c r="AM53" s="13">
        <v>0</v>
      </c>
      <c r="AN53" s="10">
        <v>0</v>
      </c>
      <c r="AO53" s="11">
        <v>0</v>
      </c>
      <c r="AP53" s="10">
        <v>0</v>
      </c>
      <c r="AQ53" s="11">
        <v>0</v>
      </c>
      <c r="AR53" s="10">
        <v>6</v>
      </c>
      <c r="AS53" s="11">
        <f>AR53*55</f>
        <v>330</v>
      </c>
      <c r="AT53" s="10">
        <v>1</v>
      </c>
      <c r="AU53" s="11">
        <f>AT53*55</f>
        <v>55</v>
      </c>
      <c r="AV53" s="10">
        <v>0</v>
      </c>
      <c r="AW53" s="11">
        <v>0</v>
      </c>
      <c r="AX53" s="10">
        <v>0</v>
      </c>
      <c r="AY53" s="11"/>
      <c r="AZ53" s="10">
        <v>1453</v>
      </c>
      <c r="BA53" s="11">
        <f>AZ53*40</f>
        <v>58120</v>
      </c>
      <c r="BB53" s="10">
        <f>14/4</f>
        <v>3.5</v>
      </c>
      <c r="BC53" s="11">
        <f>BB53*40</f>
        <v>140</v>
      </c>
      <c r="BD53" s="10">
        <v>0</v>
      </c>
      <c r="BE53" s="11">
        <v>0</v>
      </c>
      <c r="BF53" s="16">
        <v>0</v>
      </c>
      <c r="BG53" s="11">
        <v>0</v>
      </c>
      <c r="BH53" s="11">
        <v>0</v>
      </c>
      <c r="BI53" s="11">
        <v>0</v>
      </c>
      <c r="BJ53" s="10">
        <v>0</v>
      </c>
      <c r="BK53" s="11">
        <v>0</v>
      </c>
      <c r="BL53" s="10">
        <v>0</v>
      </c>
      <c r="BM53" s="11">
        <v>0</v>
      </c>
      <c r="BN53" s="8">
        <f t="shared" si="3"/>
        <v>8951.5</v>
      </c>
      <c r="BO53" s="8">
        <f t="shared" si="4"/>
        <v>504437.5</v>
      </c>
      <c r="BP53" s="8">
        <f t="shared" si="25"/>
        <v>293.5</v>
      </c>
      <c r="BQ53" s="12">
        <f t="shared" si="26"/>
        <v>18053.125</v>
      </c>
    </row>
    <row r="54" spans="1:69" s="3" customFormat="1" ht="12.75">
      <c r="A54" s="28">
        <v>2007</v>
      </c>
      <c r="B54" s="27" t="s">
        <v>137</v>
      </c>
      <c r="C54" s="24">
        <f t="shared" si="23"/>
        <v>2</v>
      </c>
      <c r="D54" s="7" t="e">
        <f t="shared" ca="1" si="0"/>
        <v>#N/A</v>
      </c>
      <c r="E54" s="26">
        <f t="array" aca="1" ref="E54" ca="1">AVERAGE(IF(INDIRECT(DatCol&amp;"$"&amp;TEXT(C54,"###")):INDIRECT(DatCol&amp;"$"&amp;TEXT(C54+57,"###"))&gt;0,INDIRECT(DatCol&amp;"$"&amp;TEXT(C54,"###")):INDIRECT(DatCol&amp;"$"&amp;TEXT(C54+57,"###"))))</f>
        <v>370.13629629629628</v>
      </c>
      <c r="F54" s="26" t="str">
        <f t="shared" si="1"/>
        <v>C</v>
      </c>
      <c r="G54" s="8"/>
      <c r="H54" s="9">
        <v>135</v>
      </c>
      <c r="I54" s="9">
        <v>47</v>
      </c>
      <c r="J54" s="9">
        <v>2101</v>
      </c>
      <c r="K54" s="9">
        <f t="shared" si="24"/>
        <v>2236</v>
      </c>
      <c r="L54" s="10">
        <f>M54/50</f>
        <v>2977</v>
      </c>
      <c r="M54" s="11">
        <v>148850</v>
      </c>
      <c r="N54" s="10">
        <f>O54/50</f>
        <v>95</v>
      </c>
      <c r="O54" s="11">
        <v>4750</v>
      </c>
      <c r="P54" s="10">
        <v>0</v>
      </c>
      <c r="Q54" s="11">
        <v>0</v>
      </c>
      <c r="R54" s="10">
        <f>S54/75</f>
        <v>2042</v>
      </c>
      <c r="S54" s="11">
        <v>153150</v>
      </c>
      <c r="T54" s="10">
        <f>U54/75</f>
        <v>655</v>
      </c>
      <c r="U54" s="11">
        <v>49125</v>
      </c>
      <c r="V54" s="10">
        <f>W54/75</f>
        <v>376</v>
      </c>
      <c r="W54" s="11">
        <v>28200</v>
      </c>
      <c r="X54" s="10">
        <f>Y54/75</f>
        <v>159.36000000000001</v>
      </c>
      <c r="Y54" s="11">
        <v>11952</v>
      </c>
      <c r="Z54" s="10">
        <v>0</v>
      </c>
      <c r="AA54" s="11">
        <v>0</v>
      </c>
      <c r="AB54" s="10">
        <v>0</v>
      </c>
      <c r="AC54" s="11">
        <v>0</v>
      </c>
      <c r="AD54" s="10">
        <v>0</v>
      </c>
      <c r="AE54" s="11">
        <v>0</v>
      </c>
      <c r="AF54" s="10">
        <v>0</v>
      </c>
      <c r="AG54" s="11">
        <v>0</v>
      </c>
      <c r="AH54" s="10">
        <f>AI54/47.5</f>
        <v>197.57894736842104</v>
      </c>
      <c r="AI54" s="11">
        <v>9385</v>
      </c>
      <c r="AJ54" s="12">
        <v>0</v>
      </c>
      <c r="AK54" s="11">
        <v>0</v>
      </c>
      <c r="AL54" s="10">
        <v>0</v>
      </c>
      <c r="AM54" s="13">
        <v>0</v>
      </c>
      <c r="AN54" s="10">
        <v>0</v>
      </c>
      <c r="AO54" s="11">
        <v>0</v>
      </c>
      <c r="AP54" s="10">
        <v>0</v>
      </c>
      <c r="AQ54" s="11">
        <v>0</v>
      </c>
      <c r="AR54" s="10">
        <f>AS54/55</f>
        <v>13</v>
      </c>
      <c r="AS54" s="11">
        <v>715</v>
      </c>
      <c r="AT54" s="10">
        <f>AU54/55</f>
        <v>12.50909090909091</v>
      </c>
      <c r="AU54" s="11">
        <v>688</v>
      </c>
      <c r="AV54" s="10">
        <v>0</v>
      </c>
      <c r="AW54" s="11">
        <v>0</v>
      </c>
      <c r="AX54" s="10">
        <v>0</v>
      </c>
      <c r="AY54" s="11">
        <v>0</v>
      </c>
      <c r="AZ54" s="10">
        <f>BA54/40</f>
        <v>200</v>
      </c>
      <c r="BA54" s="11">
        <v>8000</v>
      </c>
      <c r="BB54" s="10">
        <f>BC54/40</f>
        <v>10</v>
      </c>
      <c r="BC54" s="11">
        <v>400</v>
      </c>
      <c r="BD54" s="10">
        <v>0</v>
      </c>
      <c r="BE54" s="11">
        <v>0</v>
      </c>
      <c r="BF54" s="16"/>
      <c r="BG54" s="11"/>
      <c r="BH54" s="11"/>
      <c r="BI54" s="11"/>
      <c r="BJ54" s="10"/>
      <c r="BK54" s="11"/>
      <c r="BL54" s="10"/>
      <c r="BM54" s="11"/>
      <c r="BN54" s="8">
        <f t="shared" si="3"/>
        <v>6422.36</v>
      </c>
      <c r="BO54" s="8">
        <f t="shared" si="4"/>
        <v>399992</v>
      </c>
      <c r="BP54" s="8">
        <f t="shared" si="25"/>
        <v>474.44803827751196</v>
      </c>
      <c r="BQ54" s="12">
        <f t="shared" si="26"/>
        <v>27175</v>
      </c>
    </row>
    <row r="55" spans="1:69" s="3" customFormat="1" ht="12.75">
      <c r="A55" s="28">
        <v>2008</v>
      </c>
      <c r="B55" s="27" t="s">
        <v>137</v>
      </c>
      <c r="C55" s="24">
        <f t="shared" si="23"/>
        <v>2</v>
      </c>
      <c r="D55" s="7" t="e">
        <f t="shared" ca="1" si="0"/>
        <v>#N/A</v>
      </c>
      <c r="E55" s="26">
        <f t="array" aca="1" ref="E55" ca="1">AVERAGE(IF(INDIRECT(DatCol&amp;"$"&amp;TEXT(C55,"###")):INDIRECT(DatCol&amp;"$"&amp;TEXT(C55+57,"###"))&gt;0,INDIRECT(DatCol&amp;"$"&amp;TEXT(C55,"###")):INDIRECT(DatCol&amp;"$"&amp;TEXT(C55+57,"###"))))</f>
        <v>370.13629629629628</v>
      </c>
      <c r="F55" s="26" t="str">
        <f t="shared" si="1"/>
        <v>C</v>
      </c>
      <c r="G55" s="8"/>
      <c r="H55" s="9"/>
      <c r="I55" s="9"/>
      <c r="J55" s="9"/>
      <c r="K55" s="9">
        <f t="shared" si="24"/>
        <v>0</v>
      </c>
      <c r="L55" s="10"/>
      <c r="M55" s="11"/>
      <c r="N55" s="10"/>
      <c r="O55" s="11"/>
      <c r="P55" s="10"/>
      <c r="Q55" s="11"/>
      <c r="R55" s="10"/>
      <c r="S55" s="11"/>
      <c r="T55" s="10"/>
      <c r="U55" s="11"/>
      <c r="V55" s="10"/>
      <c r="W55" s="11"/>
      <c r="X55" s="10"/>
      <c r="Y55" s="11"/>
      <c r="Z55" s="10"/>
      <c r="AA55" s="11"/>
      <c r="AB55" s="10"/>
      <c r="AC55" s="11"/>
      <c r="AD55" s="10"/>
      <c r="AE55" s="11"/>
      <c r="AF55" s="10"/>
      <c r="AG55" s="11"/>
      <c r="AH55" s="10"/>
      <c r="AI55" s="11"/>
      <c r="AJ55" s="12"/>
      <c r="AK55" s="11"/>
      <c r="AL55" s="10"/>
      <c r="AM55" s="13"/>
      <c r="AN55" s="10"/>
      <c r="AO55" s="11"/>
      <c r="AP55" s="10"/>
      <c r="AQ55" s="11"/>
      <c r="AR55" s="10"/>
      <c r="AS55" s="11"/>
      <c r="AT55" s="10"/>
      <c r="AU55" s="11"/>
      <c r="AV55" s="10"/>
      <c r="AW55" s="11"/>
      <c r="AX55" s="10"/>
      <c r="AY55" s="11"/>
      <c r="AZ55" s="10"/>
      <c r="BA55" s="11"/>
      <c r="BB55" s="10"/>
      <c r="BC55" s="11"/>
      <c r="BD55" s="10"/>
      <c r="BE55" s="11"/>
      <c r="BF55" s="16"/>
      <c r="BG55" s="11"/>
      <c r="BH55" s="11"/>
      <c r="BI55" s="11"/>
      <c r="BJ55" s="10"/>
      <c r="BK55" s="11"/>
      <c r="BL55" s="10"/>
      <c r="BM55" s="11"/>
      <c r="BN55" s="8">
        <f t="shared" si="3"/>
        <v>0</v>
      </c>
      <c r="BO55" s="8">
        <f t="shared" si="4"/>
        <v>0</v>
      </c>
      <c r="BP55" s="8">
        <f t="shared" si="25"/>
        <v>0</v>
      </c>
      <c r="BQ55" s="12">
        <f t="shared" si="26"/>
        <v>0</v>
      </c>
    </row>
    <row r="56" spans="1:69">
      <c r="A56" s="28">
        <v>2009</v>
      </c>
      <c r="B56" s="27" t="s">
        <v>137</v>
      </c>
      <c r="C56" s="24">
        <f t="shared" si="23"/>
        <v>2</v>
      </c>
      <c r="D56" s="7" t="e">
        <f t="shared" ca="1" si="0"/>
        <v>#N/A</v>
      </c>
      <c r="E56" s="26">
        <f t="array" aca="1" ref="E56" ca="1">AVERAGE(IF(INDIRECT(DatCol&amp;"$"&amp;TEXT(C56,"###")):INDIRECT(DatCol&amp;"$"&amp;TEXT(C56+57,"###"))&gt;0,INDIRECT(DatCol&amp;"$"&amp;TEXT(C56,"###")):INDIRECT(DatCol&amp;"$"&amp;TEXT(C56+57,"###"))))</f>
        <v>370.13629629629628</v>
      </c>
      <c r="F56" s="26" t="str">
        <f t="shared" si="1"/>
        <v>C</v>
      </c>
      <c r="G56" s="8"/>
      <c r="K56" s="9">
        <f t="shared" si="24"/>
        <v>0</v>
      </c>
      <c r="AK56" s="13"/>
      <c r="AM56" s="13"/>
      <c r="BN56" s="8">
        <f t="shared" si="3"/>
        <v>0</v>
      </c>
      <c r="BO56" s="8">
        <f t="shared" si="4"/>
        <v>0</v>
      </c>
      <c r="BP56" s="8">
        <f t="shared" si="25"/>
        <v>0</v>
      </c>
      <c r="BQ56" s="12">
        <f t="shared" si="26"/>
        <v>0</v>
      </c>
    </row>
    <row r="57" spans="1:69">
      <c r="A57" s="28">
        <v>2010</v>
      </c>
      <c r="B57" s="27" t="s">
        <v>137</v>
      </c>
      <c r="C57" s="24">
        <f t="shared" si="23"/>
        <v>2</v>
      </c>
      <c r="D57" s="7" t="e">
        <f t="shared" ca="1" si="0"/>
        <v>#N/A</v>
      </c>
      <c r="E57" s="26">
        <f t="array" aca="1" ref="E57" ca="1">AVERAGE(IF(INDIRECT(DatCol&amp;"$"&amp;TEXT(C57,"###")):INDIRECT(DatCol&amp;"$"&amp;TEXT(C57+57,"###"))&gt;0,INDIRECT(DatCol&amp;"$"&amp;TEXT(C57,"###")):INDIRECT(DatCol&amp;"$"&amp;TEXT(C57+57,"###"))))</f>
        <v>370.13629629629628</v>
      </c>
      <c r="F57" s="26" t="str">
        <f t="shared" ref="F57:F59" si="65">VLOOKUP(B57,town_region,2,FALSE)</f>
        <v>C</v>
      </c>
      <c r="G57" s="8"/>
      <c r="AK57" s="13"/>
      <c r="AM57" s="13"/>
      <c r="BN57" s="8"/>
      <c r="BO57" s="8"/>
      <c r="BP57" s="8"/>
      <c r="BQ57" s="12"/>
    </row>
    <row r="58" spans="1:69">
      <c r="A58" s="28">
        <v>2011</v>
      </c>
      <c r="B58" s="27" t="s">
        <v>137</v>
      </c>
      <c r="C58" s="24">
        <f t="shared" si="23"/>
        <v>2</v>
      </c>
      <c r="D58" s="7" t="e">
        <f t="shared" ca="1" si="0"/>
        <v>#N/A</v>
      </c>
      <c r="E58" s="26">
        <f t="array" aca="1" ref="E58" ca="1">AVERAGE(IF(INDIRECT(DatCol&amp;"$"&amp;TEXT(C58,"###")):INDIRECT(DatCol&amp;"$"&amp;TEXT(C58+57,"###"))&gt;0,INDIRECT(DatCol&amp;"$"&amp;TEXT(C58,"###")):INDIRECT(DatCol&amp;"$"&amp;TEXT(C58+57,"###"))))</f>
        <v>370.13629629629628</v>
      </c>
      <c r="F58" s="26" t="str">
        <f t="shared" si="65"/>
        <v>C</v>
      </c>
      <c r="G58" s="8"/>
      <c r="AK58" s="13"/>
      <c r="AM58" s="13"/>
      <c r="BN58" s="8"/>
      <c r="BO58" s="8"/>
      <c r="BP58" s="8"/>
      <c r="BQ58" s="12"/>
    </row>
    <row r="59" spans="1:69">
      <c r="A59" s="28">
        <v>2012</v>
      </c>
      <c r="B59" s="27" t="s">
        <v>137</v>
      </c>
      <c r="C59" s="24">
        <f t="shared" si="23"/>
        <v>2</v>
      </c>
      <c r="D59" s="7" t="e">
        <f t="shared" ca="1" si="0"/>
        <v>#N/A</v>
      </c>
      <c r="E59" s="26">
        <f t="array" aca="1" ref="E59" ca="1">AVERAGE(IF(INDIRECT(DatCol&amp;"$"&amp;TEXT(C59,"###")):INDIRECT(DatCol&amp;"$"&amp;TEXT(C59+57,"###"))&gt;0,INDIRECT(DatCol&amp;"$"&amp;TEXT(C59,"###")):INDIRECT(DatCol&amp;"$"&amp;TEXT(C59+57,"###"))))</f>
        <v>370.13629629629628</v>
      </c>
      <c r="F59" s="26" t="str">
        <f t="shared" si="65"/>
        <v>C</v>
      </c>
      <c r="G59" s="8"/>
      <c r="AK59" s="13"/>
      <c r="AM59" s="13"/>
      <c r="BN59" s="8"/>
      <c r="BO59" s="8"/>
      <c r="BP59" s="8"/>
      <c r="BQ59" s="12"/>
    </row>
    <row r="60" spans="1:69">
      <c r="A60" s="28">
        <v>1955</v>
      </c>
      <c r="B60" s="27" t="s">
        <v>16</v>
      </c>
      <c r="C60" s="24">
        <f>ROW()</f>
        <v>60</v>
      </c>
      <c r="D60" s="7" t="e">
        <f t="shared" ca="1" si="0"/>
        <v>#N/A</v>
      </c>
      <c r="E60" s="26">
        <f t="array" aca="1" ref="E60" ca="1">AVERAGE(IF(INDIRECT(DatCol&amp;"$"&amp;TEXT(C60,"###")):INDIRECT(DatCol&amp;"$"&amp;TEXT(C60+57,"###"))&gt;0,INDIRECT(DatCol&amp;"$"&amp;TEXT(C60,"###")):INDIRECT(DatCol&amp;"$"&amp;TEXT(C60+57,"###"))))</f>
        <v>909.32999999999993</v>
      </c>
      <c r="F60" s="26" t="str">
        <f t="shared" si="1"/>
        <v>B</v>
      </c>
      <c r="G60" s="8"/>
      <c r="K60" s="9">
        <f t="shared" si="24"/>
        <v>0</v>
      </c>
      <c r="M60" s="11">
        <f t="shared" si="45"/>
        <v>0</v>
      </c>
      <c r="O60" s="11">
        <f t="shared" si="46"/>
        <v>0</v>
      </c>
      <c r="Q60" s="11">
        <f t="shared" si="47"/>
        <v>0</v>
      </c>
      <c r="Y60" s="11">
        <f t="shared" si="48"/>
        <v>0</v>
      </c>
      <c r="AG60" s="11">
        <f t="shared" si="49"/>
        <v>0</v>
      </c>
      <c r="AI60" s="11">
        <f t="shared" si="50"/>
        <v>0</v>
      </c>
      <c r="AK60" s="13">
        <f t="shared" si="51"/>
        <v>0</v>
      </c>
      <c r="AM60" s="13">
        <f t="shared" si="52"/>
        <v>0</v>
      </c>
      <c r="AO60" s="11">
        <f t="shared" si="53"/>
        <v>0</v>
      </c>
      <c r="AQ60" s="11">
        <f t="shared" si="54"/>
        <v>0</v>
      </c>
      <c r="AS60" s="11">
        <f t="shared" si="55"/>
        <v>0</v>
      </c>
      <c r="AU60" s="11">
        <f t="shared" si="56"/>
        <v>0</v>
      </c>
      <c r="AW60" s="11">
        <f t="shared" si="57"/>
        <v>0</v>
      </c>
      <c r="AY60" s="11">
        <f t="shared" si="58"/>
        <v>0</v>
      </c>
      <c r="BA60" s="11">
        <f t="shared" si="59"/>
        <v>0</v>
      </c>
      <c r="BC60" s="11">
        <f t="shared" si="60"/>
        <v>0</v>
      </c>
      <c r="BE60" s="11">
        <f t="shared" si="61"/>
        <v>0</v>
      </c>
      <c r="BG60" s="11">
        <f t="shared" si="62"/>
        <v>0</v>
      </c>
      <c r="BN60" s="8">
        <f t="shared" si="3"/>
        <v>0</v>
      </c>
      <c r="BO60" s="8">
        <f t="shared" si="4"/>
        <v>0</v>
      </c>
      <c r="BP60" s="8">
        <f t="shared" si="25"/>
        <v>0</v>
      </c>
      <c r="BQ60" s="12">
        <f t="shared" si="26"/>
        <v>0</v>
      </c>
    </row>
    <row r="61" spans="1:69">
      <c r="A61" s="28">
        <v>1956</v>
      </c>
      <c r="B61" s="27" t="s">
        <v>16</v>
      </c>
      <c r="C61" s="24">
        <f t="shared" ref="C61:C117" si="66">C60</f>
        <v>60</v>
      </c>
      <c r="D61" s="7" t="e">
        <f t="shared" ca="1" si="0"/>
        <v>#N/A</v>
      </c>
      <c r="E61" s="26">
        <f t="array" aca="1" ref="E61" ca="1">AVERAGE(IF(INDIRECT(DatCol&amp;"$"&amp;TEXT(C61,"###")):INDIRECT(DatCol&amp;"$"&amp;TEXT(C61+57,"###"))&gt;0,INDIRECT(DatCol&amp;"$"&amp;TEXT(C61,"###")):INDIRECT(DatCol&amp;"$"&amp;TEXT(C61+57,"###"))))</f>
        <v>909.32999999999993</v>
      </c>
      <c r="F61" s="26" t="str">
        <f t="shared" si="1"/>
        <v>B</v>
      </c>
      <c r="G61" s="8"/>
      <c r="K61" s="9">
        <f t="shared" si="24"/>
        <v>0</v>
      </c>
      <c r="M61" s="11">
        <f t="shared" si="45"/>
        <v>0</v>
      </c>
      <c r="O61" s="11">
        <f t="shared" si="46"/>
        <v>0</v>
      </c>
      <c r="Q61" s="11">
        <f t="shared" si="47"/>
        <v>0</v>
      </c>
      <c r="Y61" s="11">
        <f t="shared" si="48"/>
        <v>0</v>
      </c>
      <c r="AG61" s="11">
        <f t="shared" si="49"/>
        <v>0</v>
      </c>
      <c r="AI61" s="11">
        <f t="shared" si="50"/>
        <v>0</v>
      </c>
      <c r="AK61" s="13">
        <f t="shared" si="51"/>
        <v>0</v>
      </c>
      <c r="AM61" s="13">
        <f t="shared" si="52"/>
        <v>0</v>
      </c>
      <c r="AO61" s="11">
        <f t="shared" si="53"/>
        <v>0</v>
      </c>
      <c r="AQ61" s="11">
        <f t="shared" si="54"/>
        <v>0</v>
      </c>
      <c r="AS61" s="11">
        <f t="shared" si="55"/>
        <v>0</v>
      </c>
      <c r="AU61" s="11">
        <f t="shared" si="56"/>
        <v>0</v>
      </c>
      <c r="AW61" s="11">
        <f t="shared" si="57"/>
        <v>0</v>
      </c>
      <c r="AY61" s="11">
        <f t="shared" si="58"/>
        <v>0</v>
      </c>
      <c r="BA61" s="11">
        <f t="shared" si="59"/>
        <v>0</v>
      </c>
      <c r="BC61" s="11">
        <f t="shared" si="60"/>
        <v>0</v>
      </c>
      <c r="BE61" s="11">
        <f t="shared" si="61"/>
        <v>0</v>
      </c>
      <c r="BG61" s="11">
        <f t="shared" si="62"/>
        <v>0</v>
      </c>
      <c r="BN61" s="8">
        <f t="shared" si="3"/>
        <v>0</v>
      </c>
      <c r="BO61" s="8">
        <f t="shared" si="4"/>
        <v>0</v>
      </c>
      <c r="BP61" s="8">
        <f t="shared" si="25"/>
        <v>0</v>
      </c>
      <c r="BQ61" s="12">
        <f t="shared" si="26"/>
        <v>0</v>
      </c>
    </row>
    <row r="62" spans="1:69">
      <c r="A62" s="28">
        <v>1957</v>
      </c>
      <c r="B62" s="27" t="s">
        <v>16</v>
      </c>
      <c r="C62" s="24">
        <f t="shared" si="66"/>
        <v>60</v>
      </c>
      <c r="D62" s="7" t="e">
        <f t="shared" ca="1" si="0"/>
        <v>#N/A</v>
      </c>
      <c r="E62" s="26">
        <f t="array" aca="1" ref="E62" ca="1">AVERAGE(IF(INDIRECT(DatCol&amp;"$"&amp;TEXT(C62,"###")):INDIRECT(DatCol&amp;"$"&amp;TEXT(C62+57,"###"))&gt;0,INDIRECT(DatCol&amp;"$"&amp;TEXT(C62,"###")):INDIRECT(DatCol&amp;"$"&amp;TEXT(C62+57,"###"))))</f>
        <v>909.32999999999993</v>
      </c>
      <c r="F62" s="26" t="str">
        <f t="shared" si="1"/>
        <v>B</v>
      </c>
      <c r="G62" s="8"/>
      <c r="K62" s="9">
        <f t="shared" si="24"/>
        <v>0</v>
      </c>
      <c r="M62" s="11">
        <f t="shared" si="45"/>
        <v>0</v>
      </c>
      <c r="O62" s="11">
        <f t="shared" si="46"/>
        <v>0</v>
      </c>
      <c r="Q62" s="11">
        <f t="shared" si="47"/>
        <v>0</v>
      </c>
      <c r="Y62" s="11">
        <f t="shared" si="48"/>
        <v>0</v>
      </c>
      <c r="AG62" s="11">
        <f t="shared" si="49"/>
        <v>0</v>
      </c>
      <c r="AI62" s="11">
        <f t="shared" si="50"/>
        <v>0</v>
      </c>
      <c r="AK62" s="13">
        <f t="shared" si="51"/>
        <v>0</v>
      </c>
      <c r="AM62" s="13">
        <f t="shared" si="52"/>
        <v>0</v>
      </c>
      <c r="AO62" s="11">
        <f t="shared" si="53"/>
        <v>0</v>
      </c>
      <c r="AQ62" s="11">
        <f t="shared" si="54"/>
        <v>0</v>
      </c>
      <c r="AS62" s="11">
        <f t="shared" si="55"/>
        <v>0</v>
      </c>
      <c r="AU62" s="11">
        <f t="shared" si="56"/>
        <v>0</v>
      </c>
      <c r="AW62" s="11">
        <f t="shared" si="57"/>
        <v>0</v>
      </c>
      <c r="AY62" s="11">
        <f t="shared" si="58"/>
        <v>0</v>
      </c>
      <c r="BA62" s="11">
        <f t="shared" si="59"/>
        <v>0</v>
      </c>
      <c r="BC62" s="11">
        <f t="shared" si="60"/>
        <v>0</v>
      </c>
      <c r="BE62" s="11">
        <f t="shared" si="61"/>
        <v>0</v>
      </c>
      <c r="BG62" s="11">
        <f t="shared" si="62"/>
        <v>0</v>
      </c>
      <c r="BN62" s="8">
        <f t="shared" si="3"/>
        <v>0</v>
      </c>
      <c r="BO62" s="8">
        <f t="shared" si="4"/>
        <v>0</v>
      </c>
      <c r="BP62" s="8">
        <f t="shared" si="25"/>
        <v>0</v>
      </c>
      <c r="BQ62" s="12">
        <f t="shared" si="26"/>
        <v>0</v>
      </c>
    </row>
    <row r="63" spans="1:69">
      <c r="A63" s="28">
        <v>1958</v>
      </c>
      <c r="B63" s="27" t="s">
        <v>16</v>
      </c>
      <c r="C63" s="24">
        <f t="shared" si="66"/>
        <v>60</v>
      </c>
      <c r="D63" s="7" t="e">
        <f t="shared" ca="1" si="0"/>
        <v>#N/A</v>
      </c>
      <c r="E63" s="26">
        <f t="array" aca="1" ref="E63" ca="1">AVERAGE(IF(INDIRECT(DatCol&amp;"$"&amp;TEXT(C63,"###")):INDIRECT(DatCol&amp;"$"&amp;TEXT(C63+57,"###"))&gt;0,INDIRECT(DatCol&amp;"$"&amp;TEXT(C63,"###")):INDIRECT(DatCol&amp;"$"&amp;TEXT(C63+57,"###"))))</f>
        <v>909.32999999999993</v>
      </c>
      <c r="F63" s="26" t="str">
        <f t="shared" si="1"/>
        <v>B</v>
      </c>
      <c r="G63" s="8"/>
      <c r="K63" s="9">
        <f t="shared" si="24"/>
        <v>0</v>
      </c>
      <c r="M63" s="11">
        <f t="shared" si="45"/>
        <v>0</v>
      </c>
      <c r="O63" s="11">
        <f t="shared" si="46"/>
        <v>0</v>
      </c>
      <c r="Q63" s="11">
        <f t="shared" si="47"/>
        <v>0</v>
      </c>
      <c r="Y63" s="11">
        <f t="shared" si="48"/>
        <v>0</v>
      </c>
      <c r="AG63" s="11">
        <f t="shared" si="49"/>
        <v>0</v>
      </c>
      <c r="AI63" s="11">
        <f t="shared" si="50"/>
        <v>0</v>
      </c>
      <c r="AK63" s="13">
        <f t="shared" si="51"/>
        <v>0</v>
      </c>
      <c r="AM63" s="13">
        <f t="shared" si="52"/>
        <v>0</v>
      </c>
      <c r="AO63" s="11">
        <f t="shared" si="53"/>
        <v>0</v>
      </c>
      <c r="AQ63" s="11">
        <f t="shared" si="54"/>
        <v>0</v>
      </c>
      <c r="AS63" s="11">
        <f t="shared" si="55"/>
        <v>0</v>
      </c>
      <c r="AU63" s="11">
        <f t="shared" si="56"/>
        <v>0</v>
      </c>
      <c r="AW63" s="11">
        <f t="shared" si="57"/>
        <v>0</v>
      </c>
      <c r="AY63" s="11">
        <f t="shared" si="58"/>
        <v>0</v>
      </c>
      <c r="BA63" s="11">
        <f t="shared" si="59"/>
        <v>0</v>
      </c>
      <c r="BC63" s="11">
        <f t="shared" si="60"/>
        <v>0</v>
      </c>
      <c r="BE63" s="11">
        <f t="shared" si="61"/>
        <v>0</v>
      </c>
      <c r="BG63" s="11">
        <f t="shared" si="62"/>
        <v>0</v>
      </c>
      <c r="BN63" s="8">
        <f t="shared" si="3"/>
        <v>0</v>
      </c>
      <c r="BO63" s="8">
        <f t="shared" si="4"/>
        <v>0</v>
      </c>
      <c r="BP63" s="8">
        <f t="shared" si="25"/>
        <v>0</v>
      </c>
      <c r="BQ63" s="12">
        <f t="shared" si="26"/>
        <v>0</v>
      </c>
    </row>
    <row r="64" spans="1:69">
      <c r="A64" s="28">
        <v>1959</v>
      </c>
      <c r="B64" s="27" t="s">
        <v>16</v>
      </c>
      <c r="C64" s="24">
        <f t="shared" si="66"/>
        <v>60</v>
      </c>
      <c r="D64" s="7" t="e">
        <f t="shared" ca="1" si="0"/>
        <v>#N/A</v>
      </c>
      <c r="E64" s="26">
        <f t="array" aca="1" ref="E64" ca="1">AVERAGE(IF(INDIRECT(DatCol&amp;"$"&amp;TEXT(C64,"###")):INDIRECT(DatCol&amp;"$"&amp;TEXT(C64+57,"###"))&gt;0,INDIRECT(DatCol&amp;"$"&amp;TEXT(C64,"###")):INDIRECT(DatCol&amp;"$"&amp;TEXT(C64+57,"###"))))</f>
        <v>909.32999999999993</v>
      </c>
      <c r="F64" s="26" t="str">
        <f t="shared" si="1"/>
        <v>B</v>
      </c>
      <c r="G64" s="8"/>
      <c r="K64" s="9">
        <f t="shared" si="24"/>
        <v>0</v>
      </c>
      <c r="M64" s="11">
        <f t="shared" si="45"/>
        <v>0</v>
      </c>
      <c r="O64" s="11">
        <f t="shared" si="46"/>
        <v>0</v>
      </c>
      <c r="Q64" s="11">
        <f t="shared" si="47"/>
        <v>0</v>
      </c>
      <c r="Y64" s="11">
        <f t="shared" si="48"/>
        <v>0</v>
      </c>
      <c r="AG64" s="11">
        <f t="shared" si="49"/>
        <v>0</v>
      </c>
      <c r="AI64" s="11">
        <f t="shared" si="50"/>
        <v>0</v>
      </c>
      <c r="AK64" s="13">
        <f t="shared" si="51"/>
        <v>0</v>
      </c>
      <c r="AM64" s="13">
        <f t="shared" si="52"/>
        <v>0</v>
      </c>
      <c r="AO64" s="11">
        <f t="shared" si="53"/>
        <v>0</v>
      </c>
      <c r="AQ64" s="11">
        <f t="shared" si="54"/>
        <v>0</v>
      </c>
      <c r="AS64" s="11">
        <f t="shared" si="55"/>
        <v>0</v>
      </c>
      <c r="AU64" s="11">
        <f t="shared" si="56"/>
        <v>0</v>
      </c>
      <c r="AW64" s="11">
        <f t="shared" si="57"/>
        <v>0</v>
      </c>
      <c r="AY64" s="11">
        <f t="shared" si="58"/>
        <v>0</v>
      </c>
      <c r="BA64" s="11">
        <f t="shared" si="59"/>
        <v>0</v>
      </c>
      <c r="BC64" s="11">
        <f t="shared" si="60"/>
        <v>0</v>
      </c>
      <c r="BE64" s="11">
        <f t="shared" si="61"/>
        <v>0</v>
      </c>
      <c r="BG64" s="11">
        <f t="shared" si="62"/>
        <v>0</v>
      </c>
      <c r="BN64" s="8">
        <f t="shared" si="3"/>
        <v>0</v>
      </c>
      <c r="BO64" s="8">
        <f t="shared" si="4"/>
        <v>0</v>
      </c>
      <c r="BP64" s="8">
        <f t="shared" si="25"/>
        <v>0</v>
      </c>
      <c r="BQ64" s="12">
        <f t="shared" si="26"/>
        <v>0</v>
      </c>
    </row>
    <row r="65" spans="1:69">
      <c r="A65" s="28">
        <v>1960</v>
      </c>
      <c r="B65" s="27" t="s">
        <v>16</v>
      </c>
      <c r="C65" s="24">
        <f t="shared" si="66"/>
        <v>60</v>
      </c>
      <c r="D65" s="7" t="e">
        <f t="shared" ca="1" si="0"/>
        <v>#N/A</v>
      </c>
      <c r="E65" s="26">
        <f t="array" aca="1" ref="E65" ca="1">AVERAGE(IF(INDIRECT(DatCol&amp;"$"&amp;TEXT(C65,"###")):INDIRECT(DatCol&amp;"$"&amp;TEXT(C65+57,"###"))&gt;0,INDIRECT(DatCol&amp;"$"&amp;TEXT(C65,"###")):INDIRECT(DatCol&amp;"$"&amp;TEXT(C65+57,"###"))))</f>
        <v>909.32999999999993</v>
      </c>
      <c r="F65" s="26" t="str">
        <f t="shared" si="1"/>
        <v>B</v>
      </c>
      <c r="G65" s="8"/>
      <c r="H65" s="8">
        <v>90</v>
      </c>
      <c r="I65" s="8">
        <v>101</v>
      </c>
      <c r="J65" s="8">
        <v>1965</v>
      </c>
      <c r="K65" s="9">
        <f t="shared" si="24"/>
        <v>2055</v>
      </c>
      <c r="M65" s="11">
        <f t="shared" si="45"/>
        <v>0</v>
      </c>
      <c r="O65" s="11">
        <f t="shared" si="46"/>
        <v>0</v>
      </c>
      <c r="P65" s="12">
        <v>4116</v>
      </c>
      <c r="Q65" s="11">
        <f t="shared" si="47"/>
        <v>246960</v>
      </c>
      <c r="Y65" s="11">
        <f t="shared" si="48"/>
        <v>0</v>
      </c>
      <c r="AG65" s="11">
        <f t="shared" si="49"/>
        <v>0</v>
      </c>
      <c r="AI65" s="11">
        <f t="shared" si="50"/>
        <v>0</v>
      </c>
      <c r="AJ65" s="12">
        <v>12382</v>
      </c>
      <c r="AK65" s="13">
        <f t="shared" si="51"/>
        <v>111438</v>
      </c>
      <c r="AM65" s="13">
        <f t="shared" si="52"/>
        <v>0</v>
      </c>
      <c r="AO65" s="11">
        <f t="shared" si="53"/>
        <v>0</v>
      </c>
      <c r="AQ65" s="11">
        <f t="shared" si="54"/>
        <v>0</v>
      </c>
      <c r="AS65" s="11">
        <f t="shared" si="55"/>
        <v>0</v>
      </c>
      <c r="AU65" s="11">
        <f t="shared" si="56"/>
        <v>0</v>
      </c>
      <c r="AW65" s="11">
        <f t="shared" si="57"/>
        <v>0</v>
      </c>
      <c r="AY65" s="11">
        <f t="shared" si="58"/>
        <v>0</v>
      </c>
      <c r="BA65" s="11">
        <f t="shared" si="59"/>
        <v>0</v>
      </c>
      <c r="BC65" s="11">
        <f t="shared" si="60"/>
        <v>0</v>
      </c>
      <c r="BE65" s="11">
        <f t="shared" si="61"/>
        <v>0</v>
      </c>
      <c r="BG65" s="11">
        <f t="shared" si="62"/>
        <v>0</v>
      </c>
      <c r="BN65" s="8">
        <f t="shared" si="3"/>
        <v>16498</v>
      </c>
      <c r="BO65" s="8">
        <f t="shared" si="4"/>
        <v>358398</v>
      </c>
      <c r="BP65" s="8">
        <f t="shared" si="25"/>
        <v>0</v>
      </c>
      <c r="BQ65" s="12">
        <f t="shared" si="26"/>
        <v>0</v>
      </c>
    </row>
    <row r="66" spans="1:69">
      <c r="A66" s="28">
        <v>1961</v>
      </c>
      <c r="B66" s="27" t="s">
        <v>16</v>
      </c>
      <c r="C66" s="24">
        <f t="shared" si="66"/>
        <v>60</v>
      </c>
      <c r="D66" s="7" t="e">
        <f t="shared" ref="D66:D129" ca="1" si="67">IF(AND((INDIRECT(DatCol&amp;TEXT(ROW(),"###"))&gt;0),((F66=RegionSelect)+(RegionSelect="A"))),INDIRECT(DatCol&amp;TEXT(ROW(),"###"))/E66,NA())</f>
        <v>#N/A</v>
      </c>
      <c r="E66" s="26">
        <f t="array" aca="1" ref="E66" ca="1">AVERAGE(IF(INDIRECT(DatCol&amp;"$"&amp;TEXT(C66,"###")):INDIRECT(DatCol&amp;"$"&amp;TEXT(C66+57,"###"))&gt;0,INDIRECT(DatCol&amp;"$"&amp;TEXT(C66,"###")):INDIRECT(DatCol&amp;"$"&amp;TEXT(C66+57,"###"))))</f>
        <v>909.32999999999993</v>
      </c>
      <c r="F66" s="26" t="str">
        <f t="shared" si="1"/>
        <v>B</v>
      </c>
      <c r="G66" s="8"/>
      <c r="H66" s="8">
        <v>85</v>
      </c>
      <c r="I66" s="8">
        <v>108</v>
      </c>
      <c r="J66" s="8">
        <v>1893</v>
      </c>
      <c r="K66" s="9">
        <f t="shared" si="24"/>
        <v>1978</v>
      </c>
      <c r="M66" s="11">
        <f t="shared" ref="M66:M81" si="68">(L66*50)</f>
        <v>0</v>
      </c>
      <c r="O66" s="11">
        <f t="shared" ref="O66:O81" si="69">(N66*50)</f>
        <v>0</v>
      </c>
      <c r="P66" s="12">
        <v>3778</v>
      </c>
      <c r="Q66" s="11">
        <f t="shared" ref="Q66:Q81" si="70">((P66*330)/5.5)</f>
        <v>226680</v>
      </c>
      <c r="Y66" s="11">
        <f t="shared" ref="Y66:Y81" si="71">((X66*330)/5.5)</f>
        <v>0</v>
      </c>
      <c r="AG66" s="11">
        <f t="shared" ref="AG66:AG81" si="72">(AF66*65)</f>
        <v>0</v>
      </c>
      <c r="AI66" s="11">
        <f t="shared" ref="AI66:AI81" si="73">(AH66*65)</f>
        <v>0</v>
      </c>
      <c r="AJ66" s="12">
        <v>2572</v>
      </c>
      <c r="AK66" s="13">
        <f t="shared" ref="AK66:AK81" si="74">(AJ66*9)</f>
        <v>23148</v>
      </c>
      <c r="AM66" s="13">
        <f t="shared" ref="AM66:AM81" si="75">(AL66*9)</f>
        <v>0</v>
      </c>
      <c r="AO66" s="11">
        <f t="shared" ref="AO66:AO81" si="76">(AN66*80)</f>
        <v>0</v>
      </c>
      <c r="AQ66" s="11">
        <f t="shared" ref="AQ66:AQ81" si="77">(AP66*80)</f>
        <v>0</v>
      </c>
      <c r="AS66" s="11">
        <f t="shared" ref="AS66:AS81" si="78">(AR66*50)</f>
        <v>0</v>
      </c>
      <c r="AU66" s="11">
        <f t="shared" ref="AU66:AU81" si="79">(AT66*50)</f>
        <v>0</v>
      </c>
      <c r="AW66" s="11">
        <f t="shared" ref="AW66:AW81" si="80">(AV66*60)</f>
        <v>0</v>
      </c>
      <c r="AY66" s="11">
        <f t="shared" ref="AY66:AY81" si="81">(AX66*60)</f>
        <v>0</v>
      </c>
      <c r="BA66" s="11">
        <f t="shared" ref="BA66:BA81" si="82">(AZ66*40)</f>
        <v>0</v>
      </c>
      <c r="BC66" s="11">
        <f t="shared" ref="BC66:BC81" si="83">(BB66*40)</f>
        <v>0</v>
      </c>
      <c r="BE66" s="11">
        <f t="shared" ref="BE66:BE81" si="84">(BD66*95)</f>
        <v>0</v>
      </c>
      <c r="BG66" s="11">
        <f t="shared" ref="BG66:BG81" si="85">(BF66*95)</f>
        <v>0</v>
      </c>
      <c r="BN66" s="8">
        <f t="shared" ref="BN66:BN130" si="86">(L66+P66+R66+T66+V66+X66+Z66+AB66+AD66+AF66+AJ66+AN66+AR66+AV66+AZ66+BD66)</f>
        <v>6350</v>
      </c>
      <c r="BO66" s="8">
        <f t="shared" si="4"/>
        <v>249828</v>
      </c>
      <c r="BP66" s="8">
        <f t="shared" si="25"/>
        <v>0</v>
      </c>
      <c r="BQ66" s="12">
        <f t="shared" si="26"/>
        <v>0</v>
      </c>
    </row>
    <row r="67" spans="1:69">
      <c r="A67" s="28">
        <v>1962</v>
      </c>
      <c r="B67" s="27" t="s">
        <v>16</v>
      </c>
      <c r="C67" s="24">
        <f t="shared" si="66"/>
        <v>60</v>
      </c>
      <c r="D67" s="7" t="e">
        <f t="shared" ca="1" si="67"/>
        <v>#N/A</v>
      </c>
      <c r="E67" s="26">
        <f t="array" aca="1" ref="E67" ca="1">AVERAGE(IF(INDIRECT(DatCol&amp;"$"&amp;TEXT(C67,"###")):INDIRECT(DatCol&amp;"$"&amp;TEXT(C67+57,"###"))&gt;0,INDIRECT(DatCol&amp;"$"&amp;TEXT(C67,"###")):INDIRECT(DatCol&amp;"$"&amp;TEXT(C67+57,"###"))))</f>
        <v>909.32999999999993</v>
      </c>
      <c r="F67" s="26" t="str">
        <f t="shared" si="1"/>
        <v>B</v>
      </c>
      <c r="G67" s="8"/>
      <c r="K67" s="9">
        <f t="shared" si="24"/>
        <v>0</v>
      </c>
      <c r="M67" s="11">
        <f t="shared" si="68"/>
        <v>0</v>
      </c>
      <c r="O67" s="11">
        <f t="shared" si="69"/>
        <v>0</v>
      </c>
      <c r="Q67" s="11">
        <f t="shared" si="70"/>
        <v>0</v>
      </c>
      <c r="Y67" s="11">
        <f t="shared" si="71"/>
        <v>0</v>
      </c>
      <c r="AG67" s="11">
        <f t="shared" si="72"/>
        <v>0</v>
      </c>
      <c r="AI67" s="11">
        <f t="shared" si="73"/>
        <v>0</v>
      </c>
      <c r="AK67" s="13">
        <f t="shared" si="74"/>
        <v>0</v>
      </c>
      <c r="AM67" s="13">
        <f t="shared" si="75"/>
        <v>0</v>
      </c>
      <c r="AO67" s="11">
        <f t="shared" si="76"/>
        <v>0</v>
      </c>
      <c r="AQ67" s="11">
        <f t="shared" si="77"/>
        <v>0</v>
      </c>
      <c r="AS67" s="11">
        <f t="shared" si="78"/>
        <v>0</v>
      </c>
      <c r="AU67" s="11">
        <f t="shared" si="79"/>
        <v>0</v>
      </c>
      <c r="AW67" s="11">
        <f t="shared" si="80"/>
        <v>0</v>
      </c>
      <c r="AY67" s="11">
        <f t="shared" si="81"/>
        <v>0</v>
      </c>
      <c r="BA67" s="11">
        <f t="shared" si="82"/>
        <v>0</v>
      </c>
      <c r="BC67" s="11">
        <f t="shared" si="83"/>
        <v>0</v>
      </c>
      <c r="BE67" s="11">
        <f t="shared" si="84"/>
        <v>0</v>
      </c>
      <c r="BG67" s="11">
        <f t="shared" si="85"/>
        <v>0</v>
      </c>
      <c r="BN67" s="8">
        <f t="shared" si="86"/>
        <v>0</v>
      </c>
      <c r="BO67" s="8">
        <f t="shared" ref="BO67:BO131" si="87">(M67+Q67+S67+U67+W67+Y67+AA67+AC67+AG67+AK67+AO67+AS67+AW67+BA67+BE67)</f>
        <v>0</v>
      </c>
      <c r="BP67" s="8">
        <f t="shared" si="25"/>
        <v>0</v>
      </c>
      <c r="BQ67" s="12">
        <f t="shared" si="26"/>
        <v>0</v>
      </c>
    </row>
    <row r="68" spans="1:69">
      <c r="A68" s="28">
        <v>1963</v>
      </c>
      <c r="B68" s="27" t="s">
        <v>16</v>
      </c>
      <c r="C68" s="24">
        <f t="shared" si="66"/>
        <v>60</v>
      </c>
      <c r="D68" s="7">
        <f t="shared" ca="1" si="67"/>
        <v>1.6495661640988422</v>
      </c>
      <c r="E68" s="26">
        <f t="array" aca="1" ref="E68" ca="1">AVERAGE(IF(INDIRECT(DatCol&amp;"$"&amp;TEXT(C68,"###")):INDIRECT(DatCol&amp;"$"&amp;TEXT(C68+57,"###"))&gt;0,INDIRECT(DatCol&amp;"$"&amp;TEXT(C68,"###")):INDIRECT(DatCol&amp;"$"&amp;TEXT(C68+57,"###"))))</f>
        <v>909.32999999999993</v>
      </c>
      <c r="F68" s="26" t="str">
        <f t="shared" si="1"/>
        <v>B</v>
      </c>
      <c r="G68" s="8"/>
      <c r="H68" s="8">
        <v>45</v>
      </c>
      <c r="I68" s="8">
        <v>53</v>
      </c>
      <c r="J68" s="8">
        <v>2225</v>
      </c>
      <c r="K68" s="9">
        <f t="shared" ref="K68:K132" si="88">G68+H68+J68</f>
        <v>2270</v>
      </c>
      <c r="M68" s="11">
        <f t="shared" si="68"/>
        <v>0</v>
      </c>
      <c r="N68" s="12">
        <v>1500</v>
      </c>
      <c r="O68" s="11">
        <f t="shared" si="69"/>
        <v>75000</v>
      </c>
      <c r="P68" s="12">
        <v>1462</v>
      </c>
      <c r="Q68" s="11">
        <f t="shared" si="70"/>
        <v>87720</v>
      </c>
      <c r="X68" s="12">
        <v>2000</v>
      </c>
      <c r="Y68" s="11">
        <f t="shared" si="71"/>
        <v>120000</v>
      </c>
      <c r="AG68" s="11">
        <f t="shared" si="72"/>
        <v>0</v>
      </c>
      <c r="AH68" s="12">
        <v>500</v>
      </c>
      <c r="AI68" s="11">
        <f t="shared" si="73"/>
        <v>32500</v>
      </c>
      <c r="AJ68" s="12">
        <v>4326</v>
      </c>
      <c r="AK68" s="13">
        <f t="shared" si="74"/>
        <v>38934</v>
      </c>
      <c r="AM68" s="13">
        <f t="shared" si="75"/>
        <v>0</v>
      </c>
      <c r="AO68" s="11">
        <f t="shared" si="76"/>
        <v>0</v>
      </c>
      <c r="AQ68" s="11">
        <f t="shared" si="77"/>
        <v>0</v>
      </c>
      <c r="AS68" s="11">
        <f t="shared" si="78"/>
        <v>0</v>
      </c>
      <c r="AU68" s="11">
        <f t="shared" si="79"/>
        <v>0</v>
      </c>
      <c r="AW68" s="11">
        <f t="shared" si="80"/>
        <v>0</v>
      </c>
      <c r="AY68" s="11">
        <f t="shared" si="81"/>
        <v>0</v>
      </c>
      <c r="BA68" s="11">
        <f t="shared" si="82"/>
        <v>0</v>
      </c>
      <c r="BC68" s="11">
        <f t="shared" si="83"/>
        <v>0</v>
      </c>
      <c r="BE68" s="11">
        <f t="shared" si="84"/>
        <v>0</v>
      </c>
      <c r="BG68" s="11">
        <f t="shared" si="85"/>
        <v>0</v>
      </c>
      <c r="BN68" s="8">
        <f t="shared" si="86"/>
        <v>7788</v>
      </c>
      <c r="BO68" s="8">
        <f t="shared" si="87"/>
        <v>246654</v>
      </c>
      <c r="BP68" s="8">
        <f t="shared" si="25"/>
        <v>4000</v>
      </c>
      <c r="BQ68" s="12">
        <f t="shared" si="26"/>
        <v>227500</v>
      </c>
    </row>
    <row r="69" spans="1:69">
      <c r="A69" s="28">
        <v>1964</v>
      </c>
      <c r="B69" s="27" t="s">
        <v>16</v>
      </c>
      <c r="C69" s="24">
        <f t="shared" si="66"/>
        <v>60</v>
      </c>
      <c r="D69" s="7" t="e">
        <f t="shared" ca="1" si="67"/>
        <v>#N/A</v>
      </c>
      <c r="E69" s="26">
        <f t="array" aca="1" ref="E69" ca="1">AVERAGE(IF(INDIRECT(DatCol&amp;"$"&amp;TEXT(C69,"###")):INDIRECT(DatCol&amp;"$"&amp;TEXT(C69+57,"###"))&gt;0,INDIRECT(DatCol&amp;"$"&amp;TEXT(C69,"###")):INDIRECT(DatCol&amp;"$"&amp;TEXT(C69+57,"###"))))</f>
        <v>909.32999999999993</v>
      </c>
      <c r="F69" s="26" t="str">
        <f t="shared" ref="F69:F135" si="89">VLOOKUP(B69,town_region,2,FALSE)</f>
        <v>B</v>
      </c>
      <c r="G69" s="8"/>
      <c r="H69" s="8">
        <v>41</v>
      </c>
      <c r="I69" s="8">
        <v>66</v>
      </c>
      <c r="J69" s="8">
        <v>2281</v>
      </c>
      <c r="K69" s="9">
        <f t="shared" si="88"/>
        <v>2322</v>
      </c>
      <c r="M69" s="11">
        <f t="shared" si="68"/>
        <v>0</v>
      </c>
      <c r="O69" s="11">
        <f t="shared" si="69"/>
        <v>0</v>
      </c>
      <c r="P69" s="12">
        <v>1601</v>
      </c>
      <c r="Q69" s="11">
        <f t="shared" si="70"/>
        <v>96060</v>
      </c>
      <c r="Y69" s="11">
        <f t="shared" si="71"/>
        <v>0</v>
      </c>
      <c r="AG69" s="11">
        <f t="shared" si="72"/>
        <v>0</v>
      </c>
      <c r="AI69" s="11">
        <f t="shared" si="73"/>
        <v>0</v>
      </c>
      <c r="AJ69" s="12">
        <v>3150</v>
      </c>
      <c r="AK69" s="13">
        <f t="shared" si="74"/>
        <v>28350</v>
      </c>
      <c r="AM69" s="13">
        <f t="shared" si="75"/>
        <v>0</v>
      </c>
      <c r="AO69" s="11">
        <f t="shared" si="76"/>
        <v>0</v>
      </c>
      <c r="AQ69" s="11">
        <f t="shared" si="77"/>
        <v>0</v>
      </c>
      <c r="AS69" s="11">
        <f t="shared" si="78"/>
        <v>0</v>
      </c>
      <c r="AU69" s="11">
        <f t="shared" si="79"/>
        <v>0</v>
      </c>
      <c r="AW69" s="11">
        <f t="shared" si="80"/>
        <v>0</v>
      </c>
      <c r="AY69" s="11">
        <f t="shared" si="81"/>
        <v>0</v>
      </c>
      <c r="BA69" s="11">
        <f t="shared" si="82"/>
        <v>0</v>
      </c>
      <c r="BC69" s="11">
        <f t="shared" si="83"/>
        <v>0</v>
      </c>
      <c r="BE69" s="11">
        <f t="shared" si="84"/>
        <v>0</v>
      </c>
      <c r="BG69" s="11">
        <f t="shared" si="85"/>
        <v>0</v>
      </c>
      <c r="BN69" s="8">
        <f t="shared" si="86"/>
        <v>4751</v>
      </c>
      <c r="BO69" s="8">
        <f t="shared" si="87"/>
        <v>124410</v>
      </c>
      <c r="BP69" s="8">
        <f t="shared" si="25"/>
        <v>0</v>
      </c>
      <c r="BQ69" s="12">
        <f t="shared" si="26"/>
        <v>0</v>
      </c>
    </row>
    <row r="70" spans="1:69">
      <c r="A70" s="28">
        <v>1965</v>
      </c>
      <c r="B70" s="27" t="s">
        <v>16</v>
      </c>
      <c r="C70" s="24">
        <f t="shared" si="66"/>
        <v>60</v>
      </c>
      <c r="D70" s="7" t="e">
        <f t="shared" ca="1" si="67"/>
        <v>#N/A</v>
      </c>
      <c r="E70" s="26">
        <f t="array" aca="1" ref="E70" ca="1">AVERAGE(IF(INDIRECT(DatCol&amp;"$"&amp;TEXT(C70,"###")):INDIRECT(DatCol&amp;"$"&amp;TEXT(C70+57,"###"))&gt;0,INDIRECT(DatCol&amp;"$"&amp;TEXT(C70,"###")):INDIRECT(DatCol&amp;"$"&amp;TEXT(C70+57,"###"))))</f>
        <v>909.32999999999993</v>
      </c>
      <c r="F70" s="26" t="str">
        <f t="shared" si="89"/>
        <v>B</v>
      </c>
      <c r="G70" s="8"/>
      <c r="K70" s="9">
        <f t="shared" si="88"/>
        <v>0</v>
      </c>
      <c r="M70" s="11">
        <f t="shared" si="68"/>
        <v>0</v>
      </c>
      <c r="O70" s="11">
        <f t="shared" si="69"/>
        <v>0</v>
      </c>
      <c r="Q70" s="11">
        <f t="shared" si="70"/>
        <v>0</v>
      </c>
      <c r="Y70" s="11">
        <f t="shared" si="71"/>
        <v>0</v>
      </c>
      <c r="AG70" s="11">
        <f t="shared" si="72"/>
        <v>0</v>
      </c>
      <c r="AI70" s="11">
        <f t="shared" si="73"/>
        <v>0</v>
      </c>
      <c r="AK70" s="13">
        <f t="shared" si="74"/>
        <v>0</v>
      </c>
      <c r="AM70" s="13">
        <f t="shared" si="75"/>
        <v>0</v>
      </c>
      <c r="AO70" s="11">
        <f t="shared" si="76"/>
        <v>0</v>
      </c>
      <c r="AQ70" s="11">
        <f t="shared" si="77"/>
        <v>0</v>
      </c>
      <c r="AS70" s="11">
        <f t="shared" si="78"/>
        <v>0</v>
      </c>
      <c r="AU70" s="11">
        <f t="shared" si="79"/>
        <v>0</v>
      </c>
      <c r="AW70" s="11">
        <f t="shared" si="80"/>
        <v>0</v>
      </c>
      <c r="AY70" s="11">
        <f t="shared" si="81"/>
        <v>0</v>
      </c>
      <c r="BA70" s="11">
        <f t="shared" si="82"/>
        <v>0</v>
      </c>
      <c r="BC70" s="11">
        <f t="shared" si="83"/>
        <v>0</v>
      </c>
      <c r="BE70" s="11">
        <f t="shared" si="84"/>
        <v>0</v>
      </c>
      <c r="BG70" s="11">
        <f t="shared" si="85"/>
        <v>0</v>
      </c>
      <c r="BN70" s="8">
        <f t="shared" si="86"/>
        <v>0</v>
      </c>
      <c r="BO70" s="8">
        <f t="shared" si="87"/>
        <v>0</v>
      </c>
      <c r="BP70" s="8">
        <f t="shared" si="25"/>
        <v>0</v>
      </c>
      <c r="BQ70" s="12">
        <f t="shared" si="26"/>
        <v>0</v>
      </c>
    </row>
    <row r="71" spans="1:69">
      <c r="A71" s="28">
        <v>1966</v>
      </c>
      <c r="B71" s="27" t="s">
        <v>16</v>
      </c>
      <c r="C71" s="24">
        <f t="shared" si="66"/>
        <v>60</v>
      </c>
      <c r="D71" s="7">
        <f t="shared" ca="1" si="67"/>
        <v>2.3951700702715186</v>
      </c>
      <c r="E71" s="26">
        <f t="array" aca="1" ref="E71" ca="1">AVERAGE(IF(INDIRECT(DatCol&amp;"$"&amp;TEXT(C71,"###")):INDIRECT(DatCol&amp;"$"&amp;TEXT(C71+57,"###"))&gt;0,INDIRECT(DatCol&amp;"$"&amp;TEXT(C71,"###")):INDIRECT(DatCol&amp;"$"&amp;TEXT(C71+57,"###"))))</f>
        <v>909.32999999999993</v>
      </c>
      <c r="F71" s="26" t="str">
        <f t="shared" si="89"/>
        <v>B</v>
      </c>
      <c r="G71" s="8"/>
      <c r="H71" s="8">
        <v>47</v>
      </c>
      <c r="I71" s="8">
        <v>85</v>
      </c>
      <c r="J71" s="8">
        <v>2604</v>
      </c>
      <c r="K71" s="9">
        <f t="shared" si="88"/>
        <v>2651</v>
      </c>
      <c r="M71" s="11">
        <f t="shared" si="68"/>
        <v>0</v>
      </c>
      <c r="N71" s="12">
        <v>2178</v>
      </c>
      <c r="O71" s="11">
        <f t="shared" si="69"/>
        <v>108900</v>
      </c>
      <c r="P71" s="12">
        <v>1365</v>
      </c>
      <c r="Q71" s="11">
        <f t="shared" si="70"/>
        <v>81900</v>
      </c>
      <c r="X71" s="12">
        <v>1089</v>
      </c>
      <c r="Y71" s="11">
        <f t="shared" si="71"/>
        <v>65340</v>
      </c>
      <c r="AG71" s="11">
        <f t="shared" si="72"/>
        <v>0</v>
      </c>
      <c r="AH71" s="12">
        <v>473</v>
      </c>
      <c r="AI71" s="11">
        <f t="shared" si="73"/>
        <v>30745</v>
      </c>
      <c r="AJ71" s="12">
        <v>4768</v>
      </c>
      <c r="AK71" s="13">
        <f t="shared" si="74"/>
        <v>42912</v>
      </c>
      <c r="AM71" s="13">
        <f t="shared" si="75"/>
        <v>0</v>
      </c>
      <c r="AO71" s="11">
        <f t="shared" si="76"/>
        <v>0</v>
      </c>
      <c r="AQ71" s="11">
        <f t="shared" si="77"/>
        <v>0</v>
      </c>
      <c r="AS71" s="11">
        <f t="shared" si="78"/>
        <v>0</v>
      </c>
      <c r="AU71" s="11">
        <f t="shared" si="79"/>
        <v>0</v>
      </c>
      <c r="AW71" s="11">
        <f t="shared" si="80"/>
        <v>0</v>
      </c>
      <c r="AY71" s="11">
        <f t="shared" si="81"/>
        <v>0</v>
      </c>
      <c r="BA71" s="11">
        <f t="shared" si="82"/>
        <v>0</v>
      </c>
      <c r="BC71" s="11">
        <f t="shared" si="83"/>
        <v>0</v>
      </c>
      <c r="BE71" s="11">
        <f t="shared" si="84"/>
        <v>0</v>
      </c>
      <c r="BG71" s="11">
        <f t="shared" si="85"/>
        <v>0</v>
      </c>
      <c r="BN71" s="8">
        <f t="shared" si="86"/>
        <v>7222</v>
      </c>
      <c r="BO71" s="8">
        <f t="shared" si="87"/>
        <v>190152</v>
      </c>
      <c r="BP71" s="8">
        <f t="shared" si="25"/>
        <v>3740</v>
      </c>
      <c r="BQ71" s="12">
        <f t="shared" si="26"/>
        <v>204985</v>
      </c>
    </row>
    <row r="72" spans="1:69">
      <c r="A72" s="28">
        <v>1967</v>
      </c>
      <c r="B72" s="27" t="s">
        <v>16</v>
      </c>
      <c r="C72" s="24">
        <f t="shared" si="66"/>
        <v>60</v>
      </c>
      <c r="D72" s="7">
        <f t="shared" ca="1" si="67"/>
        <v>1.962983735277622</v>
      </c>
      <c r="E72" s="26">
        <f t="array" aca="1" ref="E72" ca="1">AVERAGE(IF(INDIRECT(DatCol&amp;"$"&amp;TEXT(C72,"###")):INDIRECT(DatCol&amp;"$"&amp;TEXT(C72+57,"###"))&gt;0,INDIRECT(DatCol&amp;"$"&amp;TEXT(C72,"###")):INDIRECT(DatCol&amp;"$"&amp;TEXT(C72+57,"###"))))</f>
        <v>909.32999999999993</v>
      </c>
      <c r="F72" s="26" t="str">
        <f t="shared" si="89"/>
        <v>B</v>
      </c>
      <c r="G72" s="8"/>
      <c r="H72" s="8">
        <v>44</v>
      </c>
      <c r="I72" s="8">
        <v>24</v>
      </c>
      <c r="J72" s="8">
        <v>2665</v>
      </c>
      <c r="K72" s="9">
        <f t="shared" si="88"/>
        <v>2709</v>
      </c>
      <c r="M72" s="11">
        <f t="shared" si="68"/>
        <v>0</v>
      </c>
      <c r="N72" s="12">
        <v>1785</v>
      </c>
      <c r="O72" s="11">
        <f t="shared" si="69"/>
        <v>89250</v>
      </c>
      <c r="P72" s="12">
        <v>3038</v>
      </c>
      <c r="Q72" s="11">
        <f t="shared" si="70"/>
        <v>182280</v>
      </c>
      <c r="X72" s="12">
        <v>902</v>
      </c>
      <c r="Y72" s="11">
        <f t="shared" si="71"/>
        <v>54120</v>
      </c>
      <c r="AF72" s="12">
        <v>7568</v>
      </c>
      <c r="AG72" s="11">
        <f>(AF72*65)</f>
        <v>491920</v>
      </c>
      <c r="AH72" s="12">
        <v>532</v>
      </c>
      <c r="AI72" s="11">
        <f t="shared" si="73"/>
        <v>34580</v>
      </c>
      <c r="AJ72" s="12">
        <v>150</v>
      </c>
      <c r="AK72" s="13">
        <f t="shared" si="74"/>
        <v>1350</v>
      </c>
      <c r="AM72" s="13">
        <f t="shared" si="75"/>
        <v>0</v>
      </c>
      <c r="AO72" s="11">
        <f t="shared" si="76"/>
        <v>0</v>
      </c>
      <c r="AQ72" s="11">
        <f t="shared" si="77"/>
        <v>0</v>
      </c>
      <c r="AS72" s="11">
        <f t="shared" si="78"/>
        <v>0</v>
      </c>
      <c r="AU72" s="11">
        <f t="shared" si="79"/>
        <v>0</v>
      </c>
      <c r="AW72" s="11">
        <f t="shared" si="80"/>
        <v>0</v>
      </c>
      <c r="AY72" s="11">
        <f t="shared" si="81"/>
        <v>0</v>
      </c>
      <c r="BA72" s="11">
        <f t="shared" si="82"/>
        <v>0</v>
      </c>
      <c r="BC72" s="11">
        <f t="shared" si="83"/>
        <v>0</v>
      </c>
      <c r="BE72" s="11">
        <f t="shared" si="84"/>
        <v>0</v>
      </c>
      <c r="BG72" s="11">
        <f t="shared" si="85"/>
        <v>0</v>
      </c>
      <c r="BN72" s="8">
        <f t="shared" si="86"/>
        <v>11658</v>
      </c>
      <c r="BO72" s="8">
        <f t="shared" si="87"/>
        <v>729670</v>
      </c>
      <c r="BP72" s="8">
        <f t="shared" si="25"/>
        <v>3219</v>
      </c>
      <c r="BQ72" s="12">
        <f t="shared" si="26"/>
        <v>177950</v>
      </c>
    </row>
    <row r="73" spans="1:69">
      <c r="A73" s="28">
        <v>1968</v>
      </c>
      <c r="B73" s="27" t="s">
        <v>16</v>
      </c>
      <c r="C73" s="24">
        <f t="shared" si="66"/>
        <v>60</v>
      </c>
      <c r="D73" s="7">
        <f t="shared" ca="1" si="67"/>
        <v>4.0326394158336365</v>
      </c>
      <c r="E73" s="26">
        <f t="array" aca="1" ref="E73" ca="1">AVERAGE(IF(INDIRECT(DatCol&amp;"$"&amp;TEXT(C73,"###")):INDIRECT(DatCol&amp;"$"&amp;TEXT(C73+57,"###"))&gt;0,INDIRECT(DatCol&amp;"$"&amp;TEXT(C73,"###")):INDIRECT(DatCol&amp;"$"&amp;TEXT(C73+57,"###"))))</f>
        <v>909.32999999999993</v>
      </c>
      <c r="F73" s="26" t="str">
        <f t="shared" si="89"/>
        <v>B</v>
      </c>
      <c r="G73" s="8"/>
      <c r="H73" s="8">
        <v>257</v>
      </c>
      <c r="I73" s="8">
        <v>71</v>
      </c>
      <c r="J73" s="8">
        <v>2594</v>
      </c>
      <c r="K73" s="9">
        <f t="shared" si="88"/>
        <v>2851</v>
      </c>
      <c r="M73" s="11">
        <f t="shared" si="68"/>
        <v>0</v>
      </c>
      <c r="N73" s="12">
        <v>3667</v>
      </c>
      <c r="O73" s="11">
        <f t="shared" si="69"/>
        <v>183350</v>
      </c>
      <c r="P73" s="12">
        <v>2528</v>
      </c>
      <c r="Q73" s="11">
        <f t="shared" si="70"/>
        <v>151680</v>
      </c>
      <c r="X73" s="12">
        <v>1840</v>
      </c>
      <c r="Y73" s="11">
        <f t="shared" si="71"/>
        <v>110400</v>
      </c>
      <c r="AG73" s="11">
        <f t="shared" si="72"/>
        <v>0</v>
      </c>
      <c r="AH73" s="12">
        <v>466</v>
      </c>
      <c r="AI73" s="11">
        <f t="shared" si="73"/>
        <v>30290</v>
      </c>
      <c r="AJ73" s="12">
        <v>1947</v>
      </c>
      <c r="AK73" s="13">
        <f t="shared" si="74"/>
        <v>17523</v>
      </c>
      <c r="AM73" s="13">
        <f t="shared" si="75"/>
        <v>0</v>
      </c>
      <c r="AO73" s="11">
        <f t="shared" si="76"/>
        <v>0</v>
      </c>
      <c r="AQ73" s="11">
        <f t="shared" si="77"/>
        <v>0</v>
      </c>
      <c r="AS73" s="11">
        <f t="shared" si="78"/>
        <v>0</v>
      </c>
      <c r="AU73" s="11">
        <f t="shared" si="79"/>
        <v>0</v>
      </c>
      <c r="AW73" s="11">
        <f t="shared" si="80"/>
        <v>0</v>
      </c>
      <c r="AY73" s="11">
        <f t="shared" si="81"/>
        <v>0</v>
      </c>
      <c r="BA73" s="11">
        <f t="shared" si="82"/>
        <v>0</v>
      </c>
      <c r="BC73" s="11">
        <f t="shared" si="83"/>
        <v>0</v>
      </c>
      <c r="BE73" s="11">
        <f t="shared" si="84"/>
        <v>0</v>
      </c>
      <c r="BG73" s="11">
        <f t="shared" si="85"/>
        <v>0</v>
      </c>
      <c r="BN73" s="8">
        <f t="shared" si="86"/>
        <v>6315</v>
      </c>
      <c r="BO73" s="8">
        <f t="shared" si="87"/>
        <v>279603</v>
      </c>
      <c r="BP73" s="8">
        <f t="shared" si="25"/>
        <v>5973</v>
      </c>
      <c r="BQ73" s="12">
        <f t="shared" si="26"/>
        <v>324040</v>
      </c>
    </row>
    <row r="74" spans="1:69">
      <c r="A74" s="28">
        <v>1969</v>
      </c>
      <c r="B74" s="27" t="s">
        <v>16</v>
      </c>
      <c r="C74" s="24">
        <f t="shared" si="66"/>
        <v>60</v>
      </c>
      <c r="D74" s="7">
        <f t="shared" ca="1" si="67"/>
        <v>1.9046990641461297</v>
      </c>
      <c r="E74" s="26">
        <f t="array" aca="1" ref="E74" ca="1">AVERAGE(IF(INDIRECT(DatCol&amp;"$"&amp;TEXT(C74,"###")):INDIRECT(DatCol&amp;"$"&amp;TEXT(C74+57,"###"))&gt;0,INDIRECT(DatCol&amp;"$"&amp;TEXT(C74,"###")):INDIRECT(DatCol&amp;"$"&amp;TEXT(C74+57,"###"))))</f>
        <v>909.32999999999993</v>
      </c>
      <c r="F74" s="26" t="str">
        <f t="shared" si="89"/>
        <v>B</v>
      </c>
      <c r="G74" s="8"/>
      <c r="H74" s="8">
        <v>79</v>
      </c>
      <c r="I74" s="8">
        <v>140</v>
      </c>
      <c r="J74" s="8">
        <v>3080</v>
      </c>
      <c r="K74" s="9">
        <f t="shared" si="88"/>
        <v>3159</v>
      </c>
      <c r="M74" s="11">
        <f t="shared" si="68"/>
        <v>0</v>
      </c>
      <c r="N74" s="12">
        <v>1732</v>
      </c>
      <c r="O74" s="11">
        <f t="shared" si="69"/>
        <v>86600</v>
      </c>
      <c r="P74" s="12">
        <v>1965</v>
      </c>
      <c r="Q74" s="11">
        <f t="shared" si="70"/>
        <v>117900</v>
      </c>
      <c r="X74" s="12">
        <v>968</v>
      </c>
      <c r="Y74" s="11">
        <f t="shared" si="71"/>
        <v>58080</v>
      </c>
      <c r="AG74" s="11">
        <f t="shared" si="72"/>
        <v>0</v>
      </c>
      <c r="AH74" s="12">
        <v>621</v>
      </c>
      <c r="AI74" s="11">
        <f t="shared" si="73"/>
        <v>40365</v>
      </c>
      <c r="AJ74" s="12">
        <v>17180</v>
      </c>
      <c r="AK74" s="13">
        <f t="shared" si="74"/>
        <v>154620</v>
      </c>
      <c r="AM74" s="13">
        <f t="shared" si="75"/>
        <v>0</v>
      </c>
      <c r="AO74" s="11">
        <f t="shared" si="76"/>
        <v>0</v>
      </c>
      <c r="AQ74" s="11">
        <f t="shared" si="77"/>
        <v>0</v>
      </c>
      <c r="AS74" s="11">
        <f t="shared" si="78"/>
        <v>0</v>
      </c>
      <c r="AU74" s="11">
        <f t="shared" si="79"/>
        <v>0</v>
      </c>
      <c r="AW74" s="11">
        <f t="shared" si="80"/>
        <v>0</v>
      </c>
      <c r="AY74" s="11">
        <f t="shared" si="81"/>
        <v>0</v>
      </c>
      <c r="BA74" s="11">
        <f t="shared" si="82"/>
        <v>0</v>
      </c>
      <c r="BC74" s="11">
        <f t="shared" si="83"/>
        <v>0</v>
      </c>
      <c r="BE74" s="11">
        <f t="shared" si="84"/>
        <v>0</v>
      </c>
      <c r="BG74" s="11">
        <f t="shared" si="85"/>
        <v>0</v>
      </c>
      <c r="BN74" s="8">
        <f t="shared" si="86"/>
        <v>20113</v>
      </c>
      <c r="BO74" s="8">
        <f t="shared" si="87"/>
        <v>330600</v>
      </c>
      <c r="BP74" s="8">
        <f t="shared" si="25"/>
        <v>3321</v>
      </c>
      <c r="BQ74" s="12">
        <f t="shared" si="26"/>
        <v>185045</v>
      </c>
    </row>
    <row r="75" spans="1:69">
      <c r="A75" s="28">
        <v>1970</v>
      </c>
      <c r="B75" s="27" t="s">
        <v>16</v>
      </c>
      <c r="C75" s="24">
        <f t="shared" si="66"/>
        <v>60</v>
      </c>
      <c r="D75" s="7">
        <f t="shared" ca="1" si="67"/>
        <v>2.038863778826169</v>
      </c>
      <c r="E75" s="26">
        <f t="array" aca="1" ref="E75" ca="1">AVERAGE(IF(INDIRECT(DatCol&amp;"$"&amp;TEXT(C75,"###")):INDIRECT(DatCol&amp;"$"&amp;TEXT(C75+57,"###"))&gt;0,INDIRECT(DatCol&amp;"$"&amp;TEXT(C75,"###")):INDIRECT(DatCol&amp;"$"&amp;TEXT(C75+57,"###"))))</f>
        <v>909.32999999999993</v>
      </c>
      <c r="F75" s="26" t="str">
        <f t="shared" si="89"/>
        <v>B</v>
      </c>
      <c r="G75" s="8"/>
      <c r="H75" s="8">
        <v>160</v>
      </c>
      <c r="I75" s="8">
        <v>192</v>
      </c>
      <c r="J75" s="8">
        <v>3183</v>
      </c>
      <c r="K75" s="9">
        <f t="shared" si="88"/>
        <v>3343</v>
      </c>
      <c r="M75" s="11">
        <f t="shared" si="68"/>
        <v>0</v>
      </c>
      <c r="N75" s="12">
        <v>1854</v>
      </c>
      <c r="O75" s="11">
        <f t="shared" si="69"/>
        <v>92700</v>
      </c>
      <c r="P75" s="12">
        <v>2379</v>
      </c>
      <c r="Q75" s="11">
        <f t="shared" si="70"/>
        <v>142740</v>
      </c>
      <c r="X75" s="12">
        <v>1358</v>
      </c>
      <c r="Y75" s="11">
        <f t="shared" si="71"/>
        <v>81480</v>
      </c>
      <c r="AG75" s="11">
        <f t="shared" si="72"/>
        <v>0</v>
      </c>
      <c r="AH75" s="12">
        <v>653</v>
      </c>
      <c r="AI75" s="11">
        <f t="shared" si="73"/>
        <v>42445</v>
      </c>
      <c r="AJ75" s="12">
        <v>22560</v>
      </c>
      <c r="AK75" s="13">
        <f t="shared" si="74"/>
        <v>203040</v>
      </c>
      <c r="AM75" s="13">
        <f t="shared" si="75"/>
        <v>0</v>
      </c>
      <c r="AO75" s="11">
        <f t="shared" si="76"/>
        <v>0</v>
      </c>
      <c r="AQ75" s="11">
        <f t="shared" si="77"/>
        <v>0</v>
      </c>
      <c r="AS75" s="11">
        <f t="shared" si="78"/>
        <v>0</v>
      </c>
      <c r="AU75" s="11">
        <f t="shared" si="79"/>
        <v>0</v>
      </c>
      <c r="AW75" s="11">
        <f t="shared" si="80"/>
        <v>0</v>
      </c>
      <c r="AY75" s="11">
        <f t="shared" si="81"/>
        <v>0</v>
      </c>
      <c r="BA75" s="11">
        <f t="shared" si="82"/>
        <v>0</v>
      </c>
      <c r="BC75" s="11">
        <f t="shared" si="83"/>
        <v>0</v>
      </c>
      <c r="BE75" s="11">
        <f t="shared" si="84"/>
        <v>0</v>
      </c>
      <c r="BG75" s="11">
        <f t="shared" si="85"/>
        <v>0</v>
      </c>
      <c r="BN75" s="8">
        <f t="shared" si="86"/>
        <v>26297</v>
      </c>
      <c r="BO75" s="8">
        <f t="shared" si="87"/>
        <v>427260</v>
      </c>
      <c r="BP75" s="8">
        <f t="shared" si="25"/>
        <v>3865</v>
      </c>
      <c r="BQ75" s="12">
        <f t="shared" si="26"/>
        <v>216625</v>
      </c>
    </row>
    <row r="76" spans="1:69">
      <c r="A76" s="28">
        <v>1971</v>
      </c>
      <c r="B76" s="27" t="s">
        <v>16</v>
      </c>
      <c r="C76" s="24">
        <f t="shared" si="66"/>
        <v>60</v>
      </c>
      <c r="D76" s="7">
        <f t="shared" ca="1" si="67"/>
        <v>1.3196529312790737</v>
      </c>
      <c r="E76" s="26">
        <f t="array" aca="1" ref="E76" ca="1">AVERAGE(IF(INDIRECT(DatCol&amp;"$"&amp;TEXT(C76,"###")):INDIRECT(DatCol&amp;"$"&amp;TEXT(C76+57,"###"))&gt;0,INDIRECT(DatCol&amp;"$"&amp;TEXT(C76,"###")):INDIRECT(DatCol&amp;"$"&amp;TEXT(C76+57,"###"))))</f>
        <v>909.32999999999993</v>
      </c>
      <c r="F76" s="26" t="str">
        <f t="shared" si="89"/>
        <v>B</v>
      </c>
      <c r="G76" s="8"/>
      <c r="H76" s="8">
        <v>292</v>
      </c>
      <c r="I76" s="8">
        <v>94</v>
      </c>
      <c r="J76" s="8">
        <v>2269</v>
      </c>
      <c r="K76" s="9">
        <f t="shared" si="88"/>
        <v>2561</v>
      </c>
      <c r="M76" s="11">
        <f t="shared" si="68"/>
        <v>0</v>
      </c>
      <c r="N76" s="12">
        <v>1200</v>
      </c>
      <c r="O76" s="11">
        <f t="shared" si="69"/>
        <v>60000</v>
      </c>
      <c r="P76" s="12">
        <v>2000</v>
      </c>
      <c r="Q76" s="11">
        <f t="shared" si="70"/>
        <v>120000</v>
      </c>
      <c r="X76" s="12">
        <v>1200</v>
      </c>
      <c r="Y76" s="11">
        <f t="shared" si="71"/>
        <v>72000</v>
      </c>
      <c r="AG76" s="11">
        <f t="shared" si="72"/>
        <v>0</v>
      </c>
      <c r="AH76" s="12">
        <v>450</v>
      </c>
      <c r="AI76" s="11">
        <f t="shared" si="73"/>
        <v>29250</v>
      </c>
      <c r="AJ76" s="12">
        <v>3500</v>
      </c>
      <c r="AK76" s="13">
        <f t="shared" si="74"/>
        <v>31500</v>
      </c>
      <c r="AM76" s="13">
        <f t="shared" si="75"/>
        <v>0</v>
      </c>
      <c r="AO76" s="11">
        <f t="shared" si="76"/>
        <v>0</v>
      </c>
      <c r="AQ76" s="11">
        <f t="shared" si="77"/>
        <v>0</v>
      </c>
      <c r="AS76" s="11">
        <f t="shared" si="78"/>
        <v>0</v>
      </c>
      <c r="AU76" s="11">
        <f t="shared" si="79"/>
        <v>0</v>
      </c>
      <c r="AW76" s="11">
        <f t="shared" si="80"/>
        <v>0</v>
      </c>
      <c r="AY76" s="11">
        <f t="shared" si="81"/>
        <v>0</v>
      </c>
      <c r="BA76" s="11">
        <f t="shared" si="82"/>
        <v>0</v>
      </c>
      <c r="BC76" s="11">
        <f t="shared" si="83"/>
        <v>0</v>
      </c>
      <c r="BE76" s="11">
        <f t="shared" si="84"/>
        <v>0</v>
      </c>
      <c r="BG76" s="11">
        <f t="shared" si="85"/>
        <v>0</v>
      </c>
      <c r="BN76" s="8">
        <f t="shared" si="86"/>
        <v>6700</v>
      </c>
      <c r="BO76" s="8">
        <f t="shared" si="87"/>
        <v>223500</v>
      </c>
      <c r="BP76" s="8">
        <f t="shared" si="25"/>
        <v>2850</v>
      </c>
      <c r="BQ76" s="12">
        <f t="shared" si="26"/>
        <v>161250</v>
      </c>
    </row>
    <row r="77" spans="1:69">
      <c r="A77" s="28">
        <v>1972</v>
      </c>
      <c r="B77" s="27" t="s">
        <v>16</v>
      </c>
      <c r="C77" s="24">
        <f t="shared" si="66"/>
        <v>60</v>
      </c>
      <c r="D77" s="7">
        <f t="shared" ca="1" si="67"/>
        <v>1.3658407838738413</v>
      </c>
      <c r="E77" s="26">
        <f t="array" aca="1" ref="E77" ca="1">AVERAGE(IF(INDIRECT(DatCol&amp;"$"&amp;TEXT(C77,"###")):INDIRECT(DatCol&amp;"$"&amp;TEXT(C77+57,"###"))&gt;0,INDIRECT(DatCol&amp;"$"&amp;TEXT(C77,"###")):INDIRECT(DatCol&amp;"$"&amp;TEXT(C77+57,"###"))))</f>
        <v>909.32999999999993</v>
      </c>
      <c r="F77" s="26" t="str">
        <f t="shared" si="89"/>
        <v>B</v>
      </c>
      <c r="G77" s="8"/>
      <c r="H77" s="8">
        <v>135</v>
      </c>
      <c r="I77" s="8">
        <v>188</v>
      </c>
      <c r="J77" s="8">
        <v>2441</v>
      </c>
      <c r="K77" s="9">
        <f t="shared" si="88"/>
        <v>2576</v>
      </c>
      <c r="M77" s="11">
        <f t="shared" si="68"/>
        <v>0</v>
      </c>
      <c r="N77" s="12">
        <v>1242</v>
      </c>
      <c r="O77" s="11">
        <f t="shared" si="69"/>
        <v>62100</v>
      </c>
      <c r="P77" s="12">
        <v>3280</v>
      </c>
      <c r="Q77" s="11">
        <f t="shared" si="70"/>
        <v>196800</v>
      </c>
      <c r="X77" s="12">
        <v>824</v>
      </c>
      <c r="Y77" s="11">
        <f t="shared" si="71"/>
        <v>49440</v>
      </c>
      <c r="AG77" s="11">
        <f t="shared" si="72"/>
        <v>0</v>
      </c>
      <c r="AH77" s="12">
        <v>413</v>
      </c>
      <c r="AI77" s="11">
        <f t="shared" si="73"/>
        <v>26845</v>
      </c>
      <c r="AJ77" s="12">
        <v>28410</v>
      </c>
      <c r="AK77" s="13">
        <f t="shared" si="74"/>
        <v>255690</v>
      </c>
      <c r="AM77" s="13">
        <f t="shared" si="75"/>
        <v>0</v>
      </c>
      <c r="AO77" s="11">
        <f t="shared" si="76"/>
        <v>0</v>
      </c>
      <c r="AQ77" s="11">
        <f t="shared" si="77"/>
        <v>0</v>
      </c>
      <c r="AS77" s="11">
        <f t="shared" si="78"/>
        <v>0</v>
      </c>
      <c r="AU77" s="11">
        <f t="shared" si="79"/>
        <v>0</v>
      </c>
      <c r="AW77" s="11">
        <f t="shared" si="80"/>
        <v>0</v>
      </c>
      <c r="AY77" s="11">
        <f t="shared" si="81"/>
        <v>0</v>
      </c>
      <c r="BA77" s="11">
        <f t="shared" si="82"/>
        <v>0</v>
      </c>
      <c r="BC77" s="11">
        <f t="shared" si="83"/>
        <v>0</v>
      </c>
      <c r="BE77" s="11">
        <f t="shared" si="84"/>
        <v>0</v>
      </c>
      <c r="BG77" s="11">
        <f t="shared" si="85"/>
        <v>0</v>
      </c>
      <c r="BN77" s="8">
        <f t="shared" si="86"/>
        <v>32514</v>
      </c>
      <c r="BO77" s="8">
        <f t="shared" si="87"/>
        <v>501930</v>
      </c>
      <c r="BP77" s="8">
        <f t="shared" ref="BP77:BP141" si="90">(N77+X77+Z77+AB77+AD77+AH77+AL77+AP77+AT77+AX77+BB77+BF77)</f>
        <v>2479</v>
      </c>
      <c r="BQ77" s="12">
        <f t="shared" ref="BQ77:BQ141" si="91">(O77+Y77+AA77+AC77+AE77+AI77+AM77+AQ77+AU77+AY77+BC77+BG77)</f>
        <v>138385</v>
      </c>
    </row>
    <row r="78" spans="1:69">
      <c r="A78" s="28">
        <v>1973</v>
      </c>
      <c r="B78" s="27" t="s">
        <v>16</v>
      </c>
      <c r="C78" s="24">
        <f t="shared" si="66"/>
        <v>60</v>
      </c>
      <c r="D78" s="7">
        <f t="shared" ca="1" si="67"/>
        <v>1.1568957364213213</v>
      </c>
      <c r="E78" s="26">
        <f t="array" aca="1" ref="E78" ca="1">AVERAGE(IF(INDIRECT(DatCol&amp;"$"&amp;TEXT(C78,"###")):INDIRECT(DatCol&amp;"$"&amp;TEXT(C78+57,"###"))&gt;0,INDIRECT(DatCol&amp;"$"&amp;TEXT(C78,"###")):INDIRECT(DatCol&amp;"$"&amp;TEXT(C78+57,"###"))))</f>
        <v>909.32999999999993</v>
      </c>
      <c r="F78" s="26" t="str">
        <f t="shared" si="89"/>
        <v>B</v>
      </c>
      <c r="G78" s="8"/>
      <c r="H78" s="8">
        <v>121</v>
      </c>
      <c r="I78" s="8">
        <v>99</v>
      </c>
      <c r="J78" s="8">
        <v>2361</v>
      </c>
      <c r="K78" s="9">
        <f t="shared" si="88"/>
        <v>2482</v>
      </c>
      <c r="M78" s="11">
        <f t="shared" si="68"/>
        <v>0</v>
      </c>
      <c r="N78" s="12">
        <v>1052</v>
      </c>
      <c r="O78" s="11">
        <f t="shared" si="69"/>
        <v>52600</v>
      </c>
      <c r="P78" s="12">
        <v>5200</v>
      </c>
      <c r="Q78" s="11">
        <f t="shared" si="70"/>
        <v>312000</v>
      </c>
      <c r="X78" s="12">
        <v>882</v>
      </c>
      <c r="Y78" s="11">
        <f t="shared" si="71"/>
        <v>52920</v>
      </c>
      <c r="AG78" s="11">
        <f t="shared" si="72"/>
        <v>0</v>
      </c>
      <c r="AH78" s="12">
        <v>330</v>
      </c>
      <c r="AI78" s="11">
        <f t="shared" si="73"/>
        <v>21450</v>
      </c>
      <c r="AJ78" s="12">
        <v>500</v>
      </c>
      <c r="AK78" s="13">
        <f t="shared" si="74"/>
        <v>4500</v>
      </c>
      <c r="AM78" s="13">
        <f t="shared" si="75"/>
        <v>0</v>
      </c>
      <c r="AO78" s="11">
        <f t="shared" si="76"/>
        <v>0</v>
      </c>
      <c r="AP78" s="12">
        <v>20</v>
      </c>
      <c r="AQ78" s="11">
        <f t="shared" si="77"/>
        <v>1600</v>
      </c>
      <c r="AS78" s="11">
        <f t="shared" si="78"/>
        <v>0</v>
      </c>
      <c r="AT78" s="12">
        <v>10</v>
      </c>
      <c r="AU78" s="11">
        <f t="shared" si="79"/>
        <v>500</v>
      </c>
      <c r="AW78" s="11">
        <f t="shared" si="80"/>
        <v>0</v>
      </c>
      <c r="AY78" s="11">
        <f t="shared" si="81"/>
        <v>0</v>
      </c>
      <c r="BA78" s="11">
        <f t="shared" si="82"/>
        <v>0</v>
      </c>
      <c r="BB78" s="12">
        <v>20</v>
      </c>
      <c r="BC78" s="11">
        <f t="shared" si="83"/>
        <v>800</v>
      </c>
      <c r="BE78" s="11">
        <f t="shared" si="84"/>
        <v>0</v>
      </c>
      <c r="BG78" s="11">
        <f t="shared" si="85"/>
        <v>0</v>
      </c>
      <c r="BN78" s="8">
        <f t="shared" si="86"/>
        <v>6582</v>
      </c>
      <c r="BO78" s="8">
        <f t="shared" si="87"/>
        <v>369420</v>
      </c>
      <c r="BP78" s="8">
        <f t="shared" si="90"/>
        <v>2314</v>
      </c>
      <c r="BQ78" s="12">
        <f t="shared" si="91"/>
        <v>129870</v>
      </c>
    </row>
    <row r="79" spans="1:69">
      <c r="A79" s="28">
        <v>1974</v>
      </c>
      <c r="B79" s="27" t="s">
        <v>16</v>
      </c>
      <c r="C79" s="24">
        <f t="shared" si="66"/>
        <v>60</v>
      </c>
      <c r="D79" s="7">
        <f t="shared" ca="1" si="67"/>
        <v>0.54985538803294742</v>
      </c>
      <c r="E79" s="26">
        <f t="array" aca="1" ref="E79" ca="1">AVERAGE(IF(INDIRECT(DatCol&amp;"$"&amp;TEXT(C79,"###")):INDIRECT(DatCol&amp;"$"&amp;TEXT(C79+57,"###"))&gt;0,INDIRECT(DatCol&amp;"$"&amp;TEXT(C79,"###")):INDIRECT(DatCol&amp;"$"&amp;TEXT(C79+57,"###"))))</f>
        <v>909.32999999999993</v>
      </c>
      <c r="F79" s="26" t="str">
        <f t="shared" si="89"/>
        <v>B</v>
      </c>
      <c r="G79" s="8"/>
      <c r="H79" s="8">
        <v>141</v>
      </c>
      <c r="I79" s="8">
        <v>196</v>
      </c>
      <c r="J79" s="8">
        <v>2790</v>
      </c>
      <c r="K79" s="9">
        <f t="shared" si="88"/>
        <v>2931</v>
      </c>
      <c r="M79" s="11">
        <f t="shared" si="68"/>
        <v>0</v>
      </c>
      <c r="N79" s="12">
        <v>500</v>
      </c>
      <c r="O79" s="11">
        <f t="shared" si="69"/>
        <v>25000</v>
      </c>
      <c r="P79" s="12">
        <v>7488</v>
      </c>
      <c r="Q79" s="11">
        <f t="shared" si="70"/>
        <v>449280</v>
      </c>
      <c r="X79" s="12">
        <v>1500</v>
      </c>
      <c r="Y79" s="11">
        <f t="shared" si="71"/>
        <v>90000</v>
      </c>
      <c r="AG79" s="11">
        <f t="shared" si="72"/>
        <v>0</v>
      </c>
      <c r="AH79" s="12">
        <v>300</v>
      </c>
      <c r="AI79" s="11">
        <f t="shared" si="73"/>
        <v>19500</v>
      </c>
      <c r="AJ79" s="12">
        <v>3000</v>
      </c>
      <c r="AK79" s="13">
        <f t="shared" si="74"/>
        <v>27000</v>
      </c>
      <c r="AM79" s="13">
        <f t="shared" si="75"/>
        <v>0</v>
      </c>
      <c r="AO79" s="11">
        <f t="shared" si="76"/>
        <v>0</v>
      </c>
      <c r="AQ79" s="11">
        <f t="shared" si="77"/>
        <v>0</v>
      </c>
      <c r="AS79" s="11">
        <f t="shared" si="78"/>
        <v>0</v>
      </c>
      <c r="AU79" s="11">
        <f t="shared" si="79"/>
        <v>0</v>
      </c>
      <c r="AW79" s="11">
        <f t="shared" si="80"/>
        <v>0</v>
      </c>
      <c r="AY79" s="11">
        <f t="shared" si="81"/>
        <v>0</v>
      </c>
      <c r="BA79" s="11">
        <f t="shared" si="82"/>
        <v>0</v>
      </c>
      <c r="BC79" s="11">
        <f t="shared" si="83"/>
        <v>0</v>
      </c>
      <c r="BE79" s="11">
        <f t="shared" si="84"/>
        <v>0</v>
      </c>
      <c r="BG79" s="11">
        <f t="shared" si="85"/>
        <v>0</v>
      </c>
      <c r="BN79" s="8">
        <f t="shared" si="86"/>
        <v>11988</v>
      </c>
      <c r="BO79" s="8">
        <f t="shared" si="87"/>
        <v>566280</v>
      </c>
      <c r="BP79" s="8">
        <f t="shared" si="90"/>
        <v>2300</v>
      </c>
      <c r="BQ79" s="12">
        <f t="shared" si="91"/>
        <v>134500</v>
      </c>
    </row>
    <row r="80" spans="1:69">
      <c r="A80" s="28">
        <v>1975</v>
      </c>
      <c r="B80" s="27" t="s">
        <v>16</v>
      </c>
      <c r="C80" s="24">
        <f t="shared" si="66"/>
        <v>60</v>
      </c>
      <c r="D80" s="7" t="e">
        <f t="shared" ca="1" si="67"/>
        <v>#N/A</v>
      </c>
      <c r="E80" s="26">
        <f t="array" aca="1" ref="E80" ca="1">AVERAGE(IF(INDIRECT(DatCol&amp;"$"&amp;TEXT(C80,"###")):INDIRECT(DatCol&amp;"$"&amp;TEXT(C80+57,"###"))&gt;0,INDIRECT(DatCol&amp;"$"&amp;TEXT(C80,"###")):INDIRECT(DatCol&amp;"$"&amp;TEXT(C80+57,"###"))))</f>
        <v>909.32999999999993</v>
      </c>
      <c r="F80" s="26" t="str">
        <f t="shared" si="89"/>
        <v>B</v>
      </c>
      <c r="G80" s="8"/>
      <c r="H80" s="8">
        <v>92</v>
      </c>
      <c r="I80" s="8">
        <v>85</v>
      </c>
      <c r="J80" s="8">
        <v>2343</v>
      </c>
      <c r="K80" s="9">
        <f t="shared" si="88"/>
        <v>2435</v>
      </c>
      <c r="M80" s="11">
        <f t="shared" si="68"/>
        <v>0</v>
      </c>
      <c r="O80" s="11">
        <f t="shared" si="69"/>
        <v>0</v>
      </c>
      <c r="P80" s="12">
        <v>4800</v>
      </c>
      <c r="Q80" s="11">
        <f t="shared" si="70"/>
        <v>288000</v>
      </c>
      <c r="X80" s="12">
        <v>1364</v>
      </c>
      <c r="Y80" s="11">
        <f t="shared" si="71"/>
        <v>81840</v>
      </c>
      <c r="AG80" s="11">
        <f t="shared" si="72"/>
        <v>0</v>
      </c>
      <c r="AH80" s="12">
        <v>400</v>
      </c>
      <c r="AI80" s="11">
        <f t="shared" si="73"/>
        <v>26000</v>
      </c>
      <c r="AJ80" s="12">
        <v>1396</v>
      </c>
      <c r="AK80" s="13">
        <f t="shared" si="74"/>
        <v>12564</v>
      </c>
      <c r="AM80" s="13">
        <f t="shared" si="75"/>
        <v>0</v>
      </c>
      <c r="AO80" s="11">
        <f t="shared" si="76"/>
        <v>0</v>
      </c>
      <c r="AQ80" s="11">
        <f t="shared" si="77"/>
        <v>0</v>
      </c>
      <c r="AS80" s="11">
        <f t="shared" si="78"/>
        <v>0</v>
      </c>
      <c r="AU80" s="11">
        <f t="shared" si="79"/>
        <v>0</v>
      </c>
      <c r="AW80" s="11">
        <f t="shared" si="80"/>
        <v>0</v>
      </c>
      <c r="AY80" s="11">
        <f t="shared" si="81"/>
        <v>0</v>
      </c>
      <c r="BA80" s="11">
        <f t="shared" si="82"/>
        <v>0</v>
      </c>
      <c r="BC80" s="11">
        <f t="shared" si="83"/>
        <v>0</v>
      </c>
      <c r="BE80" s="11">
        <f t="shared" si="84"/>
        <v>0</v>
      </c>
      <c r="BG80" s="11">
        <f t="shared" si="85"/>
        <v>0</v>
      </c>
      <c r="BN80" s="8">
        <f t="shared" si="86"/>
        <v>7560</v>
      </c>
      <c r="BO80" s="8">
        <f t="shared" si="87"/>
        <v>382404</v>
      </c>
      <c r="BP80" s="8">
        <f t="shared" si="90"/>
        <v>1764</v>
      </c>
      <c r="BQ80" s="12">
        <f t="shared" si="91"/>
        <v>107840</v>
      </c>
    </row>
    <row r="81" spans="1:69">
      <c r="A81" s="28">
        <v>1976</v>
      </c>
      <c r="B81" s="27" t="s">
        <v>16</v>
      </c>
      <c r="C81" s="24">
        <f t="shared" si="66"/>
        <v>60</v>
      </c>
      <c r="D81" s="7">
        <f t="shared" ca="1" si="67"/>
        <v>5.4985538803294737E-2</v>
      </c>
      <c r="E81" s="26">
        <f t="array" aca="1" ref="E81" ca="1">AVERAGE(IF(INDIRECT(DatCol&amp;"$"&amp;TEXT(C81,"###")):INDIRECT(DatCol&amp;"$"&amp;TEXT(C81+57,"###"))&gt;0,INDIRECT(DatCol&amp;"$"&amp;TEXT(C81,"###")):INDIRECT(DatCol&amp;"$"&amp;TEXT(C81+57,"###"))))</f>
        <v>909.32999999999993</v>
      </c>
      <c r="F81" s="26" t="str">
        <f t="shared" si="89"/>
        <v>B</v>
      </c>
      <c r="G81" s="8"/>
      <c r="H81" s="8">
        <v>105</v>
      </c>
      <c r="I81" s="8">
        <v>109</v>
      </c>
      <c r="J81" s="8">
        <v>2348</v>
      </c>
      <c r="K81" s="9">
        <f t="shared" si="88"/>
        <v>2453</v>
      </c>
      <c r="M81" s="11">
        <f t="shared" si="68"/>
        <v>0</v>
      </c>
      <c r="N81" s="12">
        <v>50</v>
      </c>
      <c r="O81" s="11">
        <f t="shared" si="69"/>
        <v>2500</v>
      </c>
      <c r="P81" s="12">
        <v>2016</v>
      </c>
      <c r="Q81" s="11">
        <f t="shared" si="70"/>
        <v>120960</v>
      </c>
      <c r="X81" s="12">
        <v>1379</v>
      </c>
      <c r="Y81" s="11">
        <f t="shared" si="71"/>
        <v>82740</v>
      </c>
      <c r="AG81" s="11">
        <f t="shared" si="72"/>
        <v>0</v>
      </c>
      <c r="AH81" s="12">
        <v>400</v>
      </c>
      <c r="AI81" s="11">
        <f t="shared" si="73"/>
        <v>26000</v>
      </c>
      <c r="AK81" s="13">
        <f t="shared" si="74"/>
        <v>0</v>
      </c>
      <c r="AM81" s="13">
        <f t="shared" si="75"/>
        <v>0</v>
      </c>
      <c r="AO81" s="11">
        <f t="shared" si="76"/>
        <v>0</v>
      </c>
      <c r="AQ81" s="11">
        <f t="shared" si="77"/>
        <v>0</v>
      </c>
      <c r="AS81" s="11">
        <f t="shared" si="78"/>
        <v>0</v>
      </c>
      <c r="AU81" s="11">
        <f t="shared" si="79"/>
        <v>0</v>
      </c>
      <c r="AW81" s="11">
        <f t="shared" si="80"/>
        <v>0</v>
      </c>
      <c r="AY81" s="11">
        <f t="shared" si="81"/>
        <v>0</v>
      </c>
      <c r="BA81" s="11">
        <f t="shared" si="82"/>
        <v>0</v>
      </c>
      <c r="BC81" s="11">
        <f t="shared" si="83"/>
        <v>0</v>
      </c>
      <c r="BE81" s="11">
        <f t="shared" si="84"/>
        <v>0</v>
      </c>
      <c r="BG81" s="11">
        <f t="shared" si="85"/>
        <v>0</v>
      </c>
      <c r="BN81" s="8">
        <f t="shared" si="86"/>
        <v>3395</v>
      </c>
      <c r="BO81" s="8">
        <f t="shared" si="87"/>
        <v>203700</v>
      </c>
      <c r="BP81" s="8">
        <f t="shared" si="90"/>
        <v>1829</v>
      </c>
      <c r="BQ81" s="12">
        <f t="shared" si="91"/>
        <v>111240</v>
      </c>
    </row>
    <row r="82" spans="1:69">
      <c r="A82" s="28">
        <v>1977</v>
      </c>
      <c r="B82" s="27" t="s">
        <v>16</v>
      </c>
      <c r="C82" s="24">
        <f t="shared" si="66"/>
        <v>60</v>
      </c>
      <c r="D82" s="7" t="e">
        <f t="shared" ca="1" si="67"/>
        <v>#N/A</v>
      </c>
      <c r="E82" s="26">
        <f t="array" aca="1" ref="E82" ca="1">AVERAGE(IF(INDIRECT(DatCol&amp;"$"&amp;TEXT(C82,"###")):INDIRECT(DatCol&amp;"$"&amp;TEXT(C82+57,"###"))&gt;0,INDIRECT(DatCol&amp;"$"&amp;TEXT(C82,"###")):INDIRECT(DatCol&amp;"$"&amp;TEXT(C82+57,"###"))))</f>
        <v>909.32999999999993</v>
      </c>
      <c r="F82" s="26" t="str">
        <f t="shared" si="89"/>
        <v>B</v>
      </c>
      <c r="G82" s="8"/>
      <c r="H82" s="8">
        <v>7</v>
      </c>
      <c r="I82" s="8">
        <v>94</v>
      </c>
      <c r="J82" s="8">
        <v>908</v>
      </c>
      <c r="K82" s="9">
        <f t="shared" si="88"/>
        <v>915</v>
      </c>
      <c r="M82" s="11">
        <f t="shared" ref="M82:M97" si="92">(L82*50)</f>
        <v>0</v>
      </c>
      <c r="O82" s="11">
        <f t="shared" ref="O82:O97" si="93">(N82*50)</f>
        <v>0</v>
      </c>
      <c r="Q82" s="11">
        <f t="shared" ref="Q82:Q97" si="94">((P82*330)/5.5)</f>
        <v>0</v>
      </c>
      <c r="Y82" s="11">
        <f t="shared" ref="Y82:Y97" si="95">((X82*330)/5.5)</f>
        <v>0</v>
      </c>
      <c r="AF82" s="12">
        <v>500</v>
      </c>
      <c r="AG82" s="11">
        <f t="shared" ref="AG82:AG97" si="96">(AF82*65)</f>
        <v>32500</v>
      </c>
      <c r="AI82" s="11">
        <f t="shared" ref="AI82:AI97" si="97">(AH82*65)</f>
        <v>0</v>
      </c>
      <c r="AK82" s="13">
        <f t="shared" ref="AK82:AK97" si="98">(AJ82*9)</f>
        <v>0</v>
      </c>
      <c r="AM82" s="13">
        <f t="shared" ref="AM82:AM97" si="99">(AL82*9)</f>
        <v>0</v>
      </c>
      <c r="AO82" s="11">
        <f t="shared" ref="AO82:AO97" si="100">(AN82*80)</f>
        <v>0</v>
      </c>
      <c r="AQ82" s="11">
        <f t="shared" ref="AQ82:AQ97" si="101">(AP82*80)</f>
        <v>0</v>
      </c>
      <c r="AS82" s="11">
        <f t="shared" ref="AS82:AS97" si="102">(AR82*50)</f>
        <v>0</v>
      </c>
      <c r="AU82" s="11">
        <f t="shared" ref="AU82:AU97" si="103">(AT82*50)</f>
        <v>0</v>
      </c>
      <c r="AW82" s="11">
        <f t="shared" ref="AW82:AW97" si="104">(AV82*60)</f>
        <v>0</v>
      </c>
      <c r="AY82" s="11">
        <f t="shared" ref="AY82:AY97" si="105">(AX82*60)</f>
        <v>0</v>
      </c>
      <c r="BA82" s="11">
        <f t="shared" ref="BA82:BA97" si="106">(AZ82*40)</f>
        <v>0</v>
      </c>
      <c r="BC82" s="11">
        <f t="shared" ref="BC82:BC97" si="107">(BB82*40)</f>
        <v>0</v>
      </c>
      <c r="BE82" s="11">
        <f t="shared" ref="BE82:BE97" si="108">(BD82*95)</f>
        <v>0</v>
      </c>
      <c r="BG82" s="11">
        <f t="shared" ref="BG82:BG97" si="109">(BF82*95)</f>
        <v>0</v>
      </c>
      <c r="BN82" s="8">
        <f t="shared" si="86"/>
        <v>500</v>
      </c>
      <c r="BO82" s="8">
        <f t="shared" si="87"/>
        <v>32500</v>
      </c>
      <c r="BP82" s="8">
        <f t="shared" si="90"/>
        <v>0</v>
      </c>
      <c r="BQ82" s="12">
        <f t="shared" si="91"/>
        <v>0</v>
      </c>
    </row>
    <row r="83" spans="1:69">
      <c r="A83" s="28">
        <v>1978</v>
      </c>
      <c r="B83" s="27" t="s">
        <v>16</v>
      </c>
      <c r="C83" s="24">
        <f t="shared" si="66"/>
        <v>60</v>
      </c>
      <c r="D83" s="7">
        <f t="shared" ca="1" si="67"/>
        <v>0.35850571299748168</v>
      </c>
      <c r="E83" s="26">
        <f t="array" aca="1" ref="E83" ca="1">AVERAGE(IF(INDIRECT(DatCol&amp;"$"&amp;TEXT(C83,"###")):INDIRECT(DatCol&amp;"$"&amp;TEXT(C83+57,"###"))&gt;0,INDIRECT(DatCol&amp;"$"&amp;TEXT(C83,"###")):INDIRECT(DatCol&amp;"$"&amp;TEXT(C83+57,"###"))))</f>
        <v>909.32999999999993</v>
      </c>
      <c r="F83" s="26" t="str">
        <f t="shared" si="89"/>
        <v>B</v>
      </c>
      <c r="G83" s="8"/>
      <c r="H83" s="8">
        <v>77</v>
      </c>
      <c r="I83" s="8">
        <v>143</v>
      </c>
      <c r="J83" s="8">
        <v>2608</v>
      </c>
      <c r="K83" s="9">
        <f t="shared" si="88"/>
        <v>2685</v>
      </c>
      <c r="M83" s="11">
        <f t="shared" si="92"/>
        <v>0</v>
      </c>
      <c r="N83" s="12">
        <v>326</v>
      </c>
      <c r="O83" s="11">
        <f t="shared" si="93"/>
        <v>16300</v>
      </c>
      <c r="P83" s="12">
        <v>426</v>
      </c>
      <c r="Q83" s="11">
        <f t="shared" si="94"/>
        <v>25560</v>
      </c>
      <c r="X83" s="12">
        <v>1297</v>
      </c>
      <c r="Y83" s="11">
        <f t="shared" si="95"/>
        <v>77820</v>
      </c>
      <c r="AG83" s="11">
        <f t="shared" si="96"/>
        <v>0</v>
      </c>
      <c r="AH83" s="12">
        <v>300</v>
      </c>
      <c r="AI83" s="11">
        <f t="shared" si="97"/>
        <v>19500</v>
      </c>
      <c r="AJ83" s="12">
        <v>7258</v>
      </c>
      <c r="AK83" s="13">
        <f t="shared" si="98"/>
        <v>65322</v>
      </c>
      <c r="AM83" s="13">
        <f t="shared" si="99"/>
        <v>0</v>
      </c>
      <c r="AO83" s="11">
        <f t="shared" si="100"/>
        <v>0</v>
      </c>
      <c r="AQ83" s="11">
        <f t="shared" si="101"/>
        <v>0</v>
      </c>
      <c r="AS83" s="11">
        <f t="shared" si="102"/>
        <v>0</v>
      </c>
      <c r="AU83" s="11">
        <f t="shared" si="103"/>
        <v>0</v>
      </c>
      <c r="AW83" s="11">
        <f t="shared" si="104"/>
        <v>0</v>
      </c>
      <c r="AX83" s="12">
        <v>300</v>
      </c>
      <c r="AY83" s="11">
        <f t="shared" si="105"/>
        <v>18000</v>
      </c>
      <c r="BA83" s="11">
        <f t="shared" si="106"/>
        <v>0</v>
      </c>
      <c r="BC83" s="11">
        <f t="shared" si="107"/>
        <v>0</v>
      </c>
      <c r="BE83" s="11">
        <f t="shared" si="108"/>
        <v>0</v>
      </c>
      <c r="BG83" s="11">
        <f t="shared" si="109"/>
        <v>0</v>
      </c>
      <c r="BN83" s="8">
        <f t="shared" si="86"/>
        <v>8981</v>
      </c>
      <c r="BO83" s="8">
        <f t="shared" si="87"/>
        <v>168702</v>
      </c>
      <c r="BP83" s="8">
        <f t="shared" si="90"/>
        <v>2223</v>
      </c>
      <c r="BQ83" s="12">
        <f t="shared" si="91"/>
        <v>131620</v>
      </c>
    </row>
    <row r="84" spans="1:69">
      <c r="A84" s="28">
        <v>1979</v>
      </c>
      <c r="B84" s="27" t="s">
        <v>16</v>
      </c>
      <c r="C84" s="24">
        <f t="shared" si="66"/>
        <v>60</v>
      </c>
      <c r="D84" s="7">
        <f t="shared" ca="1" si="67"/>
        <v>0.27602740479253957</v>
      </c>
      <c r="E84" s="26">
        <f t="array" aca="1" ref="E84" ca="1">AVERAGE(IF(INDIRECT(DatCol&amp;"$"&amp;TEXT(C84,"###")):INDIRECT(DatCol&amp;"$"&amp;TEXT(C84+57,"###"))&gt;0,INDIRECT(DatCol&amp;"$"&amp;TEXT(C84,"###")):INDIRECT(DatCol&amp;"$"&amp;TEXT(C84+57,"###"))))</f>
        <v>909.32999999999993</v>
      </c>
      <c r="F84" s="26" t="str">
        <f t="shared" si="89"/>
        <v>B</v>
      </c>
      <c r="G84" s="8"/>
      <c r="H84" s="8">
        <v>197</v>
      </c>
      <c r="I84" s="8">
        <v>288</v>
      </c>
      <c r="J84" s="8">
        <v>2709</v>
      </c>
      <c r="K84" s="9">
        <f t="shared" si="88"/>
        <v>2906</v>
      </c>
      <c r="M84" s="11">
        <f t="shared" si="92"/>
        <v>0</v>
      </c>
      <c r="N84" s="12">
        <v>251</v>
      </c>
      <c r="O84" s="11">
        <f t="shared" si="93"/>
        <v>12550</v>
      </c>
      <c r="P84" s="12">
        <v>2212</v>
      </c>
      <c r="Q84" s="11">
        <f t="shared" si="94"/>
        <v>132720</v>
      </c>
      <c r="X84" s="12">
        <v>1566</v>
      </c>
      <c r="Y84" s="11">
        <f t="shared" si="95"/>
        <v>93960</v>
      </c>
      <c r="AG84" s="11">
        <f t="shared" si="96"/>
        <v>0</v>
      </c>
      <c r="AH84" s="12">
        <v>257</v>
      </c>
      <c r="AI84" s="11">
        <f t="shared" si="97"/>
        <v>16705</v>
      </c>
      <c r="AJ84" s="12">
        <v>8645</v>
      </c>
      <c r="AK84" s="13">
        <f t="shared" si="98"/>
        <v>77805</v>
      </c>
      <c r="AM84" s="13">
        <f t="shared" si="99"/>
        <v>0</v>
      </c>
      <c r="AO84" s="11">
        <f t="shared" si="100"/>
        <v>0</v>
      </c>
      <c r="AQ84" s="11">
        <f t="shared" si="101"/>
        <v>0</v>
      </c>
      <c r="AS84" s="11">
        <f t="shared" si="102"/>
        <v>0</v>
      </c>
      <c r="AU84" s="11">
        <f t="shared" si="103"/>
        <v>0</v>
      </c>
      <c r="AW84" s="11">
        <f t="shared" si="104"/>
        <v>0</v>
      </c>
      <c r="AY84" s="11">
        <f t="shared" si="105"/>
        <v>0</v>
      </c>
      <c r="BA84" s="11">
        <f t="shared" si="106"/>
        <v>0</v>
      </c>
      <c r="BC84" s="11">
        <f t="shared" si="107"/>
        <v>0</v>
      </c>
      <c r="BE84" s="11">
        <f t="shared" si="108"/>
        <v>0</v>
      </c>
      <c r="BG84" s="11">
        <f t="shared" si="109"/>
        <v>0</v>
      </c>
      <c r="BN84" s="8">
        <f t="shared" si="86"/>
        <v>12423</v>
      </c>
      <c r="BO84" s="8">
        <f t="shared" si="87"/>
        <v>304485</v>
      </c>
      <c r="BP84" s="8">
        <f t="shared" si="90"/>
        <v>2074</v>
      </c>
      <c r="BQ84" s="12">
        <f t="shared" si="91"/>
        <v>123215</v>
      </c>
    </row>
    <row r="85" spans="1:69">
      <c r="A85" s="28">
        <v>1980</v>
      </c>
      <c r="B85" s="27" t="s">
        <v>16</v>
      </c>
      <c r="C85" s="24">
        <f t="shared" si="66"/>
        <v>60</v>
      </c>
      <c r="D85" s="7">
        <f t="shared" ca="1" si="67"/>
        <v>0.87976862085271579</v>
      </c>
      <c r="E85" s="26">
        <f t="array" aca="1" ref="E85" ca="1">AVERAGE(IF(INDIRECT(DatCol&amp;"$"&amp;TEXT(C85,"###")):INDIRECT(DatCol&amp;"$"&amp;TEXT(C85+57,"###"))&gt;0,INDIRECT(DatCol&amp;"$"&amp;TEXT(C85,"###")):INDIRECT(DatCol&amp;"$"&amp;TEXT(C85+57,"###"))))</f>
        <v>909.32999999999993</v>
      </c>
      <c r="F85" s="26" t="str">
        <f t="shared" si="89"/>
        <v>B</v>
      </c>
      <c r="G85" s="8"/>
      <c r="H85" s="8">
        <v>289</v>
      </c>
      <c r="I85" s="8">
        <v>176</v>
      </c>
      <c r="J85" s="8">
        <v>3299</v>
      </c>
      <c r="K85" s="9">
        <f t="shared" si="88"/>
        <v>3588</v>
      </c>
      <c r="L85" s="12">
        <v>2000</v>
      </c>
      <c r="M85" s="11">
        <f t="shared" si="92"/>
        <v>100000</v>
      </c>
      <c r="N85" s="12">
        <v>800</v>
      </c>
      <c r="O85" s="11">
        <f t="shared" si="93"/>
        <v>40000</v>
      </c>
      <c r="P85" s="12">
        <v>2986</v>
      </c>
      <c r="Q85" s="11">
        <f t="shared" si="94"/>
        <v>179160</v>
      </c>
      <c r="X85" s="12">
        <v>2000</v>
      </c>
      <c r="Y85" s="11">
        <f t="shared" si="95"/>
        <v>120000</v>
      </c>
      <c r="AG85" s="11">
        <f t="shared" si="96"/>
        <v>0</v>
      </c>
      <c r="AH85" s="12">
        <v>300</v>
      </c>
      <c r="AI85" s="11">
        <f t="shared" si="97"/>
        <v>19500</v>
      </c>
      <c r="AJ85" s="12">
        <v>981</v>
      </c>
      <c r="AK85" s="13">
        <f t="shared" si="98"/>
        <v>8829</v>
      </c>
      <c r="AM85" s="13">
        <f t="shared" si="99"/>
        <v>0</v>
      </c>
      <c r="AO85" s="11">
        <f t="shared" si="100"/>
        <v>0</v>
      </c>
      <c r="AQ85" s="11">
        <f t="shared" si="101"/>
        <v>0</v>
      </c>
      <c r="AS85" s="11">
        <f t="shared" si="102"/>
        <v>0</v>
      </c>
      <c r="AU85" s="11">
        <f t="shared" si="103"/>
        <v>0</v>
      </c>
      <c r="AW85" s="11">
        <f t="shared" si="104"/>
        <v>0</v>
      </c>
      <c r="AX85" s="12">
        <v>750</v>
      </c>
      <c r="AY85" s="11">
        <f t="shared" si="105"/>
        <v>45000</v>
      </c>
      <c r="BA85" s="11">
        <f t="shared" si="106"/>
        <v>0</v>
      </c>
      <c r="BC85" s="11">
        <f t="shared" si="107"/>
        <v>0</v>
      </c>
      <c r="BE85" s="11">
        <f t="shared" si="108"/>
        <v>0</v>
      </c>
      <c r="BG85" s="11">
        <f t="shared" si="109"/>
        <v>0</v>
      </c>
      <c r="BN85" s="8">
        <f t="shared" si="86"/>
        <v>7967</v>
      </c>
      <c r="BO85" s="8">
        <f t="shared" si="87"/>
        <v>407989</v>
      </c>
      <c r="BP85" s="8">
        <f t="shared" si="90"/>
        <v>3850</v>
      </c>
      <c r="BQ85" s="12">
        <f t="shared" si="91"/>
        <v>224500</v>
      </c>
    </row>
    <row r="86" spans="1:69">
      <c r="A86" s="28">
        <v>1981</v>
      </c>
      <c r="B86" s="27" t="s">
        <v>16</v>
      </c>
      <c r="C86" s="24">
        <f t="shared" si="66"/>
        <v>60</v>
      </c>
      <c r="D86" s="7">
        <f t="shared" ca="1" si="67"/>
        <v>1.1711919765101779</v>
      </c>
      <c r="E86" s="26">
        <f t="array" aca="1" ref="E86" ca="1">AVERAGE(IF(INDIRECT(DatCol&amp;"$"&amp;TEXT(C86,"###")):INDIRECT(DatCol&amp;"$"&amp;TEXT(C86+57,"###"))&gt;0,INDIRECT(DatCol&amp;"$"&amp;TEXT(C86,"###")):INDIRECT(DatCol&amp;"$"&amp;TEXT(C86+57,"###"))))</f>
        <v>909.32999999999993</v>
      </c>
      <c r="F86" s="26" t="str">
        <f t="shared" si="89"/>
        <v>B</v>
      </c>
      <c r="G86" s="8"/>
      <c r="H86" s="8">
        <v>363</v>
      </c>
      <c r="I86" s="8">
        <v>158</v>
      </c>
      <c r="J86" s="8">
        <v>2959</v>
      </c>
      <c r="K86" s="9">
        <f t="shared" si="88"/>
        <v>3322</v>
      </c>
      <c r="L86" s="12">
        <v>765</v>
      </c>
      <c r="M86" s="11">
        <f t="shared" si="92"/>
        <v>38250</v>
      </c>
      <c r="N86" s="12">
        <v>1065</v>
      </c>
      <c r="O86" s="11">
        <f t="shared" si="93"/>
        <v>53250</v>
      </c>
      <c r="P86" s="12">
        <v>2562</v>
      </c>
      <c r="Q86" s="11">
        <f t="shared" si="94"/>
        <v>153720</v>
      </c>
      <c r="X86" s="12">
        <v>1499</v>
      </c>
      <c r="Y86" s="11">
        <f t="shared" si="95"/>
        <v>89940</v>
      </c>
      <c r="AF86" s="12">
        <v>858</v>
      </c>
      <c r="AG86" s="11">
        <f t="shared" si="96"/>
        <v>55770</v>
      </c>
      <c r="AH86" s="12">
        <v>350</v>
      </c>
      <c r="AI86" s="11">
        <f t="shared" si="97"/>
        <v>22750</v>
      </c>
      <c r="AK86" s="13">
        <f t="shared" si="98"/>
        <v>0</v>
      </c>
      <c r="AM86" s="13">
        <f t="shared" si="99"/>
        <v>0</v>
      </c>
      <c r="AO86" s="11">
        <f t="shared" si="100"/>
        <v>0</v>
      </c>
      <c r="AQ86" s="11">
        <f t="shared" si="101"/>
        <v>0</v>
      </c>
      <c r="AS86" s="11">
        <f t="shared" si="102"/>
        <v>0</v>
      </c>
      <c r="AU86" s="11">
        <f t="shared" si="103"/>
        <v>0</v>
      </c>
      <c r="AW86" s="11">
        <f t="shared" si="104"/>
        <v>0</v>
      </c>
      <c r="AY86" s="11">
        <f t="shared" si="105"/>
        <v>0</v>
      </c>
      <c r="BA86" s="11">
        <f t="shared" si="106"/>
        <v>0</v>
      </c>
      <c r="BC86" s="11">
        <f t="shared" si="107"/>
        <v>0</v>
      </c>
      <c r="BE86" s="11">
        <f t="shared" si="108"/>
        <v>0</v>
      </c>
      <c r="BG86" s="11">
        <f t="shared" si="109"/>
        <v>0</v>
      </c>
      <c r="BN86" s="8">
        <f t="shared" si="86"/>
        <v>5684</v>
      </c>
      <c r="BO86" s="8">
        <f t="shared" si="87"/>
        <v>337680</v>
      </c>
      <c r="BP86" s="8">
        <f t="shared" si="90"/>
        <v>2914</v>
      </c>
      <c r="BQ86" s="12">
        <f t="shared" si="91"/>
        <v>165940</v>
      </c>
    </row>
    <row r="87" spans="1:69">
      <c r="A87" s="28">
        <v>1982</v>
      </c>
      <c r="B87" s="27" t="s">
        <v>16</v>
      </c>
      <c r="C87" s="24">
        <f t="shared" si="66"/>
        <v>60</v>
      </c>
      <c r="D87" s="7">
        <f t="shared" ca="1" si="67"/>
        <v>1.1766905303905073</v>
      </c>
      <c r="E87" s="26">
        <f t="array" aca="1" ref="E87" ca="1">AVERAGE(IF(INDIRECT(DatCol&amp;"$"&amp;TEXT(C87,"###")):INDIRECT(DatCol&amp;"$"&amp;TEXT(C87+57,"###"))&gt;0,INDIRECT(DatCol&amp;"$"&amp;TEXT(C87,"###")):INDIRECT(DatCol&amp;"$"&amp;TEXT(C87+57,"###"))))</f>
        <v>909.32999999999993</v>
      </c>
      <c r="F87" s="26" t="str">
        <f t="shared" si="89"/>
        <v>B</v>
      </c>
      <c r="G87" s="8"/>
      <c r="H87" s="8">
        <v>388</v>
      </c>
      <c r="I87" s="8">
        <v>203</v>
      </c>
      <c r="J87" s="8">
        <v>3231</v>
      </c>
      <c r="K87" s="9">
        <f t="shared" si="88"/>
        <v>3619</v>
      </c>
      <c r="L87" s="12">
        <v>1210</v>
      </c>
      <c r="M87" s="11">
        <f t="shared" si="92"/>
        <v>60500</v>
      </c>
      <c r="N87" s="12">
        <v>1070</v>
      </c>
      <c r="O87" s="11">
        <f t="shared" si="93"/>
        <v>53500</v>
      </c>
      <c r="P87" s="12">
        <v>5479</v>
      </c>
      <c r="Q87" s="11">
        <f t="shared" si="94"/>
        <v>328740</v>
      </c>
      <c r="X87" s="12">
        <v>2041</v>
      </c>
      <c r="Y87" s="11">
        <f t="shared" si="95"/>
        <v>122460</v>
      </c>
      <c r="AF87" s="12">
        <v>0</v>
      </c>
      <c r="AG87" s="11">
        <f t="shared" si="96"/>
        <v>0</v>
      </c>
      <c r="AH87" s="12">
        <v>423</v>
      </c>
      <c r="AI87" s="11">
        <f t="shared" si="97"/>
        <v>27495</v>
      </c>
      <c r="AJ87" s="12">
        <v>2109</v>
      </c>
      <c r="AK87" s="13">
        <f t="shared" si="98"/>
        <v>18981</v>
      </c>
      <c r="AM87" s="13">
        <f t="shared" si="99"/>
        <v>0</v>
      </c>
      <c r="AO87" s="11">
        <f t="shared" si="100"/>
        <v>0</v>
      </c>
      <c r="AQ87" s="11">
        <f t="shared" si="101"/>
        <v>0</v>
      </c>
      <c r="AS87" s="11">
        <f t="shared" si="102"/>
        <v>0</v>
      </c>
      <c r="AU87" s="11">
        <f t="shared" si="103"/>
        <v>0</v>
      </c>
      <c r="AW87" s="11">
        <f t="shared" si="104"/>
        <v>0</v>
      </c>
      <c r="AY87" s="11">
        <f t="shared" si="105"/>
        <v>0</v>
      </c>
      <c r="BA87" s="11">
        <f t="shared" si="106"/>
        <v>0</v>
      </c>
      <c r="BC87" s="11">
        <f t="shared" si="107"/>
        <v>0</v>
      </c>
      <c r="BE87" s="11">
        <f t="shared" si="108"/>
        <v>0</v>
      </c>
      <c r="BG87" s="11">
        <f t="shared" si="109"/>
        <v>0</v>
      </c>
      <c r="BN87" s="8">
        <f t="shared" si="86"/>
        <v>10839</v>
      </c>
      <c r="BO87" s="8">
        <f t="shared" si="87"/>
        <v>530681</v>
      </c>
      <c r="BP87" s="8">
        <f t="shared" si="90"/>
        <v>3534</v>
      </c>
      <c r="BQ87" s="12">
        <f t="shared" si="91"/>
        <v>203455</v>
      </c>
    </row>
    <row r="88" spans="1:69">
      <c r="A88" s="28">
        <v>1983</v>
      </c>
      <c r="B88" s="27" t="s">
        <v>16</v>
      </c>
      <c r="C88" s="24">
        <f t="shared" si="66"/>
        <v>60</v>
      </c>
      <c r="D88" s="7">
        <f t="shared" ca="1" si="67"/>
        <v>0.93035531655174697</v>
      </c>
      <c r="E88" s="26">
        <f t="array" aca="1" ref="E88" ca="1">AVERAGE(IF(INDIRECT(DatCol&amp;"$"&amp;TEXT(C88,"###")):INDIRECT(DatCol&amp;"$"&amp;TEXT(C88+57,"###"))&gt;0,INDIRECT(DatCol&amp;"$"&amp;TEXT(C88,"###")):INDIRECT(DatCol&amp;"$"&amp;TEXT(C88+57,"###"))))</f>
        <v>909.32999999999993</v>
      </c>
      <c r="F88" s="26" t="str">
        <f t="shared" si="89"/>
        <v>B</v>
      </c>
      <c r="G88" s="8"/>
      <c r="H88" s="8">
        <v>441</v>
      </c>
      <c r="I88" s="8">
        <v>106</v>
      </c>
      <c r="J88" s="8">
        <v>3662</v>
      </c>
      <c r="K88" s="9">
        <f t="shared" si="88"/>
        <v>4103</v>
      </c>
      <c r="L88" s="12">
        <v>879</v>
      </c>
      <c r="M88" s="11">
        <f t="shared" si="92"/>
        <v>43950</v>
      </c>
      <c r="N88" s="12">
        <v>846</v>
      </c>
      <c r="O88" s="11">
        <f t="shared" si="93"/>
        <v>42300</v>
      </c>
      <c r="P88" s="12">
        <v>5663</v>
      </c>
      <c r="Q88" s="11">
        <f t="shared" si="94"/>
        <v>339780</v>
      </c>
      <c r="X88" s="12">
        <v>1878</v>
      </c>
      <c r="Y88" s="11">
        <f t="shared" si="95"/>
        <v>112680</v>
      </c>
      <c r="AG88" s="11">
        <f t="shared" si="96"/>
        <v>0</v>
      </c>
      <c r="AH88" s="12">
        <v>370</v>
      </c>
      <c r="AI88" s="11">
        <f t="shared" si="97"/>
        <v>24050</v>
      </c>
      <c r="AJ88" s="12">
        <v>481</v>
      </c>
      <c r="AK88" s="13">
        <f t="shared" si="98"/>
        <v>4329</v>
      </c>
      <c r="AM88" s="13">
        <f t="shared" si="99"/>
        <v>0</v>
      </c>
      <c r="AO88" s="11">
        <f t="shared" si="100"/>
        <v>0</v>
      </c>
      <c r="AQ88" s="11">
        <f t="shared" si="101"/>
        <v>0</v>
      </c>
      <c r="AS88" s="11">
        <f t="shared" si="102"/>
        <v>0</v>
      </c>
      <c r="AU88" s="11">
        <f t="shared" si="103"/>
        <v>0</v>
      </c>
      <c r="AW88" s="11">
        <f t="shared" si="104"/>
        <v>0</v>
      </c>
      <c r="AY88" s="11">
        <f t="shared" si="105"/>
        <v>0</v>
      </c>
      <c r="BA88" s="11">
        <f t="shared" si="106"/>
        <v>0</v>
      </c>
      <c r="BC88" s="11">
        <f t="shared" si="107"/>
        <v>0</v>
      </c>
      <c r="BE88" s="11">
        <f t="shared" si="108"/>
        <v>0</v>
      </c>
      <c r="BG88" s="11">
        <f t="shared" si="109"/>
        <v>0</v>
      </c>
      <c r="BN88" s="8">
        <f t="shared" si="86"/>
        <v>8901</v>
      </c>
      <c r="BO88" s="8">
        <f t="shared" si="87"/>
        <v>500739</v>
      </c>
      <c r="BP88" s="8">
        <f t="shared" si="90"/>
        <v>3094</v>
      </c>
      <c r="BQ88" s="12">
        <f t="shared" si="91"/>
        <v>179030</v>
      </c>
    </row>
    <row r="89" spans="1:69">
      <c r="A89" s="28">
        <v>1984</v>
      </c>
      <c r="B89" s="27" t="s">
        <v>16</v>
      </c>
      <c r="C89" s="24">
        <f t="shared" si="66"/>
        <v>60</v>
      </c>
      <c r="D89" s="7">
        <f t="shared" ca="1" si="67"/>
        <v>0.71481200444283155</v>
      </c>
      <c r="E89" s="26">
        <f t="array" aca="1" ref="E89" ca="1">AVERAGE(IF(INDIRECT(DatCol&amp;"$"&amp;TEXT(C89,"###")):INDIRECT(DatCol&amp;"$"&amp;TEXT(C89+57,"###"))&gt;0,INDIRECT(DatCol&amp;"$"&amp;TEXT(C89,"###")):INDIRECT(DatCol&amp;"$"&amp;TEXT(C89+57,"###"))))</f>
        <v>909.32999999999993</v>
      </c>
      <c r="F89" s="26" t="str">
        <f t="shared" si="89"/>
        <v>B</v>
      </c>
      <c r="G89" s="8"/>
      <c r="H89" s="8">
        <v>222</v>
      </c>
      <c r="I89" s="8">
        <v>61</v>
      </c>
      <c r="J89" s="8">
        <v>2030</v>
      </c>
      <c r="K89" s="9">
        <f t="shared" si="88"/>
        <v>2252</v>
      </c>
      <c r="M89" s="11">
        <f t="shared" si="92"/>
        <v>0</v>
      </c>
      <c r="N89" s="12">
        <v>650</v>
      </c>
      <c r="O89" s="11">
        <f t="shared" si="93"/>
        <v>32500</v>
      </c>
      <c r="P89" s="12">
        <v>3048</v>
      </c>
      <c r="Q89" s="11">
        <f t="shared" si="94"/>
        <v>182880</v>
      </c>
      <c r="X89" s="12">
        <v>2851</v>
      </c>
      <c r="Y89" s="11">
        <f t="shared" si="95"/>
        <v>171060</v>
      </c>
      <c r="AG89" s="11">
        <f t="shared" si="96"/>
        <v>0</v>
      </c>
      <c r="AH89" s="12">
        <v>400</v>
      </c>
      <c r="AI89" s="11">
        <f t="shared" si="97"/>
        <v>26000</v>
      </c>
      <c r="AJ89" s="12">
        <v>334</v>
      </c>
      <c r="AK89" s="13">
        <f t="shared" si="98"/>
        <v>3006</v>
      </c>
      <c r="AM89" s="13">
        <f t="shared" si="99"/>
        <v>0</v>
      </c>
      <c r="AO89" s="11">
        <f t="shared" si="100"/>
        <v>0</v>
      </c>
      <c r="AQ89" s="11">
        <f t="shared" si="101"/>
        <v>0</v>
      </c>
      <c r="AS89" s="11">
        <f t="shared" si="102"/>
        <v>0</v>
      </c>
      <c r="AU89" s="11">
        <f t="shared" si="103"/>
        <v>0</v>
      </c>
      <c r="AW89" s="11">
        <f t="shared" si="104"/>
        <v>0</v>
      </c>
      <c r="AY89" s="11">
        <f t="shared" si="105"/>
        <v>0</v>
      </c>
      <c r="BA89" s="11">
        <f t="shared" si="106"/>
        <v>0</v>
      </c>
      <c r="BC89" s="11">
        <f t="shared" si="107"/>
        <v>0</v>
      </c>
      <c r="BE89" s="11">
        <f t="shared" si="108"/>
        <v>0</v>
      </c>
      <c r="BG89" s="11">
        <f t="shared" si="109"/>
        <v>0</v>
      </c>
      <c r="BN89" s="8">
        <f t="shared" si="86"/>
        <v>6233</v>
      </c>
      <c r="BO89" s="8">
        <f t="shared" si="87"/>
        <v>356946</v>
      </c>
      <c r="BP89" s="8">
        <f t="shared" si="90"/>
        <v>3901</v>
      </c>
      <c r="BQ89" s="12">
        <f t="shared" si="91"/>
        <v>229560</v>
      </c>
    </row>
    <row r="90" spans="1:69">
      <c r="A90" s="28">
        <v>1985</v>
      </c>
      <c r="B90" s="27" t="s">
        <v>16</v>
      </c>
      <c r="C90" s="24">
        <f t="shared" si="66"/>
        <v>60</v>
      </c>
      <c r="D90" s="7">
        <f t="shared" ca="1" si="67"/>
        <v>1.0095344924284915</v>
      </c>
      <c r="E90" s="26">
        <f t="array" aca="1" ref="E90" ca="1">AVERAGE(IF(INDIRECT(DatCol&amp;"$"&amp;TEXT(C90,"###")):INDIRECT(DatCol&amp;"$"&amp;TEXT(C90+57,"###"))&gt;0,INDIRECT(DatCol&amp;"$"&amp;TEXT(C90,"###")):INDIRECT(DatCol&amp;"$"&amp;TEXT(C90+57,"###"))))</f>
        <v>909.32999999999993</v>
      </c>
      <c r="F90" s="26" t="str">
        <f t="shared" si="89"/>
        <v>B</v>
      </c>
      <c r="G90" s="8">
        <v>397</v>
      </c>
      <c r="H90" s="8">
        <v>269</v>
      </c>
      <c r="I90" s="8">
        <v>42</v>
      </c>
      <c r="J90" s="8">
        <v>2219</v>
      </c>
      <c r="K90" s="9">
        <f t="shared" si="88"/>
        <v>2885</v>
      </c>
      <c r="L90" s="12">
        <v>281</v>
      </c>
      <c r="M90" s="11">
        <f t="shared" si="92"/>
        <v>14050</v>
      </c>
      <c r="N90" s="12">
        <v>918</v>
      </c>
      <c r="O90" s="11">
        <f t="shared" si="93"/>
        <v>45900</v>
      </c>
      <c r="P90" s="12">
        <v>4481</v>
      </c>
      <c r="Q90" s="11">
        <f t="shared" si="94"/>
        <v>268860</v>
      </c>
      <c r="X90" s="12">
        <v>3570</v>
      </c>
      <c r="Y90" s="11">
        <f t="shared" si="95"/>
        <v>214200</v>
      </c>
      <c r="AF90" s="12">
        <v>77</v>
      </c>
      <c r="AG90" s="11">
        <f t="shared" si="96"/>
        <v>5005</v>
      </c>
      <c r="AH90" s="12">
        <v>344</v>
      </c>
      <c r="AI90" s="11">
        <f t="shared" si="97"/>
        <v>22360</v>
      </c>
      <c r="AJ90" s="12">
        <v>97</v>
      </c>
      <c r="AK90" s="13">
        <f t="shared" si="98"/>
        <v>873</v>
      </c>
      <c r="AM90" s="13">
        <f t="shared" si="99"/>
        <v>0</v>
      </c>
      <c r="AO90" s="11">
        <f t="shared" si="100"/>
        <v>0</v>
      </c>
      <c r="AQ90" s="11">
        <f t="shared" si="101"/>
        <v>0</v>
      </c>
      <c r="AS90" s="11">
        <f t="shared" si="102"/>
        <v>0</v>
      </c>
      <c r="AU90" s="11">
        <f t="shared" si="103"/>
        <v>0</v>
      </c>
      <c r="AV90" s="12">
        <v>300</v>
      </c>
      <c r="AW90" s="11">
        <f t="shared" si="104"/>
        <v>18000</v>
      </c>
      <c r="AY90" s="11">
        <f t="shared" si="105"/>
        <v>0</v>
      </c>
      <c r="BA90" s="11">
        <f t="shared" si="106"/>
        <v>0</v>
      </c>
      <c r="BC90" s="11">
        <f t="shared" si="107"/>
        <v>0</v>
      </c>
      <c r="BE90" s="11">
        <f t="shared" si="108"/>
        <v>0</v>
      </c>
      <c r="BG90" s="11">
        <f t="shared" si="109"/>
        <v>0</v>
      </c>
      <c r="BN90" s="8">
        <f t="shared" si="86"/>
        <v>8806</v>
      </c>
      <c r="BO90" s="8">
        <f t="shared" si="87"/>
        <v>520988</v>
      </c>
      <c r="BP90" s="8">
        <f t="shared" si="90"/>
        <v>4832</v>
      </c>
      <c r="BQ90" s="12">
        <f t="shared" si="91"/>
        <v>282460</v>
      </c>
    </row>
    <row r="91" spans="1:69">
      <c r="A91" s="28">
        <v>1986</v>
      </c>
      <c r="B91" s="27" t="s">
        <v>16</v>
      </c>
      <c r="C91" s="24">
        <f t="shared" si="66"/>
        <v>60</v>
      </c>
      <c r="D91" s="7">
        <f t="shared" ca="1" si="67"/>
        <v>0.99743767389176652</v>
      </c>
      <c r="E91" s="26">
        <f t="array" aca="1" ref="E91" ca="1">AVERAGE(IF(INDIRECT(DatCol&amp;"$"&amp;TEXT(C91,"###")):INDIRECT(DatCol&amp;"$"&amp;TEXT(C91+57,"###"))&gt;0,INDIRECT(DatCol&amp;"$"&amp;TEXT(C91,"###")):INDIRECT(DatCol&amp;"$"&amp;TEXT(C91+57,"###"))))</f>
        <v>909.32999999999993</v>
      </c>
      <c r="F91" s="26" t="str">
        <f t="shared" si="89"/>
        <v>B</v>
      </c>
      <c r="G91" s="8">
        <v>395</v>
      </c>
      <c r="H91" s="8">
        <v>267</v>
      </c>
      <c r="I91" s="8">
        <v>56</v>
      </c>
      <c r="J91" s="8">
        <v>2056</v>
      </c>
      <c r="K91" s="9">
        <f t="shared" si="88"/>
        <v>2718</v>
      </c>
      <c r="L91" s="12">
        <v>1505</v>
      </c>
      <c r="M91" s="11">
        <f t="shared" si="92"/>
        <v>75250</v>
      </c>
      <c r="N91" s="12">
        <v>907</v>
      </c>
      <c r="O91" s="11">
        <f t="shared" si="93"/>
        <v>45350</v>
      </c>
      <c r="P91" s="12">
        <v>4965</v>
      </c>
      <c r="Q91" s="11">
        <f t="shared" si="94"/>
        <v>297900</v>
      </c>
      <c r="X91" s="12">
        <v>1128</v>
      </c>
      <c r="Y91" s="11">
        <f t="shared" si="95"/>
        <v>67680</v>
      </c>
      <c r="AF91" s="12">
        <v>59</v>
      </c>
      <c r="AG91" s="11">
        <f t="shared" si="96"/>
        <v>3835</v>
      </c>
      <c r="AH91" s="12">
        <v>259</v>
      </c>
      <c r="AI91" s="11">
        <f t="shared" si="97"/>
        <v>16835</v>
      </c>
      <c r="AJ91" s="12">
        <v>171</v>
      </c>
      <c r="AK91" s="13">
        <f t="shared" si="98"/>
        <v>1539</v>
      </c>
      <c r="AM91" s="13">
        <f t="shared" si="99"/>
        <v>0</v>
      </c>
      <c r="AO91" s="11">
        <f t="shared" si="100"/>
        <v>0</v>
      </c>
      <c r="AQ91" s="11">
        <f t="shared" si="101"/>
        <v>0</v>
      </c>
      <c r="AS91" s="11">
        <f t="shared" si="102"/>
        <v>0</v>
      </c>
      <c r="AU91" s="11">
        <f t="shared" si="103"/>
        <v>0</v>
      </c>
      <c r="AV91" s="12">
        <v>500</v>
      </c>
      <c r="AW91" s="11">
        <f t="shared" si="104"/>
        <v>30000</v>
      </c>
      <c r="AY91" s="11">
        <f t="shared" si="105"/>
        <v>0</v>
      </c>
      <c r="BA91" s="11">
        <f t="shared" si="106"/>
        <v>0</v>
      </c>
      <c r="BC91" s="11">
        <f t="shared" si="107"/>
        <v>0</v>
      </c>
      <c r="BE91" s="11">
        <f t="shared" si="108"/>
        <v>0</v>
      </c>
      <c r="BG91" s="11">
        <f t="shared" si="109"/>
        <v>0</v>
      </c>
      <c r="BN91" s="8">
        <f t="shared" si="86"/>
        <v>8328</v>
      </c>
      <c r="BO91" s="8">
        <f t="shared" si="87"/>
        <v>476204</v>
      </c>
      <c r="BP91" s="8">
        <f t="shared" si="90"/>
        <v>2294</v>
      </c>
      <c r="BQ91" s="12">
        <f t="shared" si="91"/>
        <v>129865</v>
      </c>
    </row>
    <row r="92" spans="1:69">
      <c r="A92" s="28">
        <v>1987</v>
      </c>
      <c r="B92" s="27" t="s">
        <v>16</v>
      </c>
      <c r="C92" s="24">
        <f t="shared" si="66"/>
        <v>60</v>
      </c>
      <c r="D92" s="7">
        <f t="shared" ca="1" si="67"/>
        <v>0.86767180231599095</v>
      </c>
      <c r="E92" s="26">
        <f t="array" aca="1" ref="E92" ca="1">AVERAGE(IF(INDIRECT(DatCol&amp;"$"&amp;TEXT(C92,"###")):INDIRECT(DatCol&amp;"$"&amp;TEXT(C92+57,"###"))&gt;0,INDIRECT(DatCol&amp;"$"&amp;TEXT(C92,"###")):INDIRECT(DatCol&amp;"$"&amp;TEXT(C92+57,"###"))))</f>
        <v>909.32999999999993</v>
      </c>
      <c r="F92" s="26" t="str">
        <f t="shared" si="89"/>
        <v>B</v>
      </c>
      <c r="G92" s="8">
        <v>401</v>
      </c>
      <c r="H92" s="8">
        <v>301</v>
      </c>
      <c r="I92" s="8">
        <v>53</v>
      </c>
      <c r="J92" s="8">
        <v>1821</v>
      </c>
      <c r="K92" s="9">
        <f t="shared" si="88"/>
        <v>2523</v>
      </c>
      <c r="L92" s="12">
        <v>1507</v>
      </c>
      <c r="M92" s="11">
        <f t="shared" si="92"/>
        <v>75350</v>
      </c>
      <c r="N92" s="12">
        <v>789</v>
      </c>
      <c r="O92" s="11">
        <f t="shared" si="93"/>
        <v>39450</v>
      </c>
      <c r="P92" s="12">
        <v>4543</v>
      </c>
      <c r="Q92" s="11">
        <f t="shared" si="94"/>
        <v>272580</v>
      </c>
      <c r="Y92" s="11">
        <f t="shared" si="95"/>
        <v>0</v>
      </c>
      <c r="AG92" s="11">
        <f t="shared" si="96"/>
        <v>0</v>
      </c>
      <c r="AH92" s="12">
        <v>218</v>
      </c>
      <c r="AI92" s="11">
        <f t="shared" si="97"/>
        <v>14170</v>
      </c>
      <c r="AJ92" s="12">
        <v>132</v>
      </c>
      <c r="AK92" s="13">
        <f t="shared" si="98"/>
        <v>1188</v>
      </c>
      <c r="AM92" s="13">
        <f t="shared" si="99"/>
        <v>0</v>
      </c>
      <c r="AO92" s="11">
        <f t="shared" si="100"/>
        <v>0</v>
      </c>
      <c r="AQ92" s="11">
        <f t="shared" si="101"/>
        <v>0</v>
      </c>
      <c r="AS92" s="11">
        <f t="shared" si="102"/>
        <v>0</v>
      </c>
      <c r="AU92" s="11">
        <f t="shared" si="103"/>
        <v>0</v>
      </c>
      <c r="AW92" s="11">
        <f t="shared" si="104"/>
        <v>0</v>
      </c>
      <c r="AY92" s="11">
        <f t="shared" si="105"/>
        <v>0</v>
      </c>
      <c r="BA92" s="11">
        <f t="shared" si="106"/>
        <v>0</v>
      </c>
      <c r="BC92" s="11">
        <f t="shared" si="107"/>
        <v>0</v>
      </c>
      <c r="BE92" s="11">
        <f t="shared" si="108"/>
        <v>0</v>
      </c>
      <c r="BG92" s="11">
        <f t="shared" si="109"/>
        <v>0</v>
      </c>
      <c r="BN92" s="8">
        <f t="shared" si="86"/>
        <v>6182</v>
      </c>
      <c r="BO92" s="8">
        <f t="shared" si="87"/>
        <v>349118</v>
      </c>
      <c r="BP92" s="8">
        <f t="shared" si="90"/>
        <v>1007</v>
      </c>
      <c r="BQ92" s="12">
        <f t="shared" si="91"/>
        <v>53620</v>
      </c>
    </row>
    <row r="93" spans="1:69">
      <c r="A93" s="28">
        <v>1988</v>
      </c>
      <c r="B93" s="27" t="s">
        <v>16</v>
      </c>
      <c r="C93" s="24">
        <f t="shared" si="66"/>
        <v>60</v>
      </c>
      <c r="D93" s="7">
        <f t="shared" ca="1" si="67"/>
        <v>1.1733913980623096</v>
      </c>
      <c r="E93" s="26">
        <f t="array" aca="1" ref="E93" ca="1">AVERAGE(IF(INDIRECT(DatCol&amp;"$"&amp;TEXT(C93,"###")):INDIRECT(DatCol&amp;"$"&amp;TEXT(C93+57,"###"))&gt;0,INDIRECT(DatCol&amp;"$"&amp;TEXT(C93,"###")):INDIRECT(DatCol&amp;"$"&amp;TEXT(C93+57,"###"))))</f>
        <v>909.32999999999993</v>
      </c>
      <c r="F93" s="26" t="str">
        <f t="shared" si="89"/>
        <v>B</v>
      </c>
      <c r="G93" s="8">
        <v>383</v>
      </c>
      <c r="H93" s="8">
        <v>299</v>
      </c>
      <c r="I93" s="8">
        <v>51</v>
      </c>
      <c r="J93" s="8">
        <v>1726</v>
      </c>
      <c r="K93" s="9">
        <f t="shared" si="88"/>
        <v>2408</v>
      </c>
      <c r="L93" s="12">
        <v>1718</v>
      </c>
      <c r="M93" s="11">
        <f t="shared" si="92"/>
        <v>85900</v>
      </c>
      <c r="N93" s="12">
        <v>1067</v>
      </c>
      <c r="O93" s="11">
        <f t="shared" si="93"/>
        <v>53350</v>
      </c>
      <c r="P93" s="12">
        <v>4533</v>
      </c>
      <c r="Q93" s="11">
        <f t="shared" si="94"/>
        <v>271980</v>
      </c>
      <c r="X93" s="12">
        <v>1691</v>
      </c>
      <c r="Y93" s="11">
        <f t="shared" si="95"/>
        <v>101460</v>
      </c>
      <c r="AF93" s="12">
        <v>45</v>
      </c>
      <c r="AG93" s="11">
        <f t="shared" si="96"/>
        <v>2925</v>
      </c>
      <c r="AH93" s="12">
        <v>83</v>
      </c>
      <c r="AI93" s="11">
        <f t="shared" si="97"/>
        <v>5395</v>
      </c>
      <c r="AJ93" s="12">
        <v>118</v>
      </c>
      <c r="AK93" s="13">
        <f t="shared" si="98"/>
        <v>1062</v>
      </c>
      <c r="AL93" s="12">
        <v>57</v>
      </c>
      <c r="AM93" s="13">
        <f t="shared" si="99"/>
        <v>513</v>
      </c>
      <c r="AO93" s="11">
        <f t="shared" si="100"/>
        <v>0</v>
      </c>
      <c r="AQ93" s="11">
        <f t="shared" si="101"/>
        <v>0</v>
      </c>
      <c r="AS93" s="11">
        <f t="shared" si="102"/>
        <v>0</v>
      </c>
      <c r="AU93" s="11">
        <f t="shared" si="103"/>
        <v>0</v>
      </c>
      <c r="AW93" s="11">
        <f t="shared" si="104"/>
        <v>0</v>
      </c>
      <c r="AY93" s="11">
        <f t="shared" si="105"/>
        <v>0</v>
      </c>
      <c r="BA93" s="11">
        <f t="shared" si="106"/>
        <v>0</v>
      </c>
      <c r="BC93" s="11">
        <f t="shared" si="107"/>
        <v>0</v>
      </c>
      <c r="BE93" s="11">
        <f t="shared" si="108"/>
        <v>0</v>
      </c>
      <c r="BG93" s="11">
        <f t="shared" si="109"/>
        <v>0</v>
      </c>
      <c r="BN93" s="8">
        <f t="shared" si="86"/>
        <v>8105</v>
      </c>
      <c r="BO93" s="8">
        <f t="shared" si="87"/>
        <v>463327</v>
      </c>
      <c r="BP93" s="8">
        <f t="shared" si="90"/>
        <v>2898</v>
      </c>
      <c r="BQ93" s="12">
        <f t="shared" si="91"/>
        <v>160718</v>
      </c>
    </row>
    <row r="94" spans="1:69">
      <c r="A94" s="28">
        <v>1989</v>
      </c>
      <c r="B94" s="27" t="s">
        <v>16</v>
      </c>
      <c r="C94" s="24">
        <f t="shared" si="66"/>
        <v>60</v>
      </c>
      <c r="D94" s="7">
        <f t="shared" ca="1" si="67"/>
        <v>1.1887873489272323</v>
      </c>
      <c r="E94" s="26">
        <f t="array" aca="1" ref="E94" ca="1">AVERAGE(IF(INDIRECT(DatCol&amp;"$"&amp;TEXT(C94,"###")):INDIRECT(DatCol&amp;"$"&amp;TEXT(C94+57,"###"))&gt;0,INDIRECT(DatCol&amp;"$"&amp;TEXT(C94,"###")):INDIRECT(DatCol&amp;"$"&amp;TEXT(C94+57,"###"))))</f>
        <v>909.32999999999993</v>
      </c>
      <c r="F94" s="26" t="str">
        <f t="shared" si="89"/>
        <v>B</v>
      </c>
      <c r="G94" s="8">
        <v>342</v>
      </c>
      <c r="H94" s="8">
        <v>160</v>
      </c>
      <c r="I94" s="8">
        <v>61</v>
      </c>
      <c r="J94" s="8">
        <v>1742</v>
      </c>
      <c r="K94" s="9">
        <f t="shared" si="88"/>
        <v>2244</v>
      </c>
      <c r="L94" s="12">
        <v>1786.75</v>
      </c>
      <c r="M94" s="11">
        <f t="shared" si="92"/>
        <v>89337.5</v>
      </c>
      <c r="N94" s="12">
        <v>1081</v>
      </c>
      <c r="O94" s="11">
        <f t="shared" si="93"/>
        <v>54050</v>
      </c>
      <c r="P94" s="12">
        <v>4649</v>
      </c>
      <c r="Q94" s="11">
        <f t="shared" si="94"/>
        <v>278940</v>
      </c>
      <c r="X94" s="12">
        <v>1708</v>
      </c>
      <c r="Y94" s="11">
        <f t="shared" si="95"/>
        <v>102480</v>
      </c>
      <c r="AF94" s="12">
        <v>123</v>
      </c>
      <c r="AG94" s="11">
        <f t="shared" si="96"/>
        <v>7995</v>
      </c>
      <c r="AH94" s="12">
        <v>108.5</v>
      </c>
      <c r="AI94" s="11">
        <f t="shared" si="97"/>
        <v>7052.5</v>
      </c>
      <c r="AJ94" s="12">
        <v>118</v>
      </c>
      <c r="AK94" s="13">
        <f t="shared" si="98"/>
        <v>1062</v>
      </c>
      <c r="AL94" s="12">
        <v>57.25</v>
      </c>
      <c r="AM94" s="13">
        <f t="shared" si="99"/>
        <v>515.25</v>
      </c>
      <c r="AO94" s="11">
        <f t="shared" si="100"/>
        <v>0</v>
      </c>
      <c r="AQ94" s="11">
        <f t="shared" si="101"/>
        <v>0</v>
      </c>
      <c r="AS94" s="11">
        <f t="shared" si="102"/>
        <v>0</v>
      </c>
      <c r="AU94" s="11">
        <f t="shared" si="103"/>
        <v>0</v>
      </c>
      <c r="AW94" s="11">
        <f t="shared" si="104"/>
        <v>0</v>
      </c>
      <c r="AY94" s="11">
        <f t="shared" si="105"/>
        <v>0</v>
      </c>
      <c r="BA94" s="11">
        <f t="shared" si="106"/>
        <v>0</v>
      </c>
      <c r="BC94" s="11">
        <f t="shared" si="107"/>
        <v>0</v>
      </c>
      <c r="BE94" s="11">
        <f t="shared" si="108"/>
        <v>0</v>
      </c>
      <c r="BG94" s="11">
        <f t="shared" si="109"/>
        <v>0</v>
      </c>
      <c r="BN94" s="8">
        <f t="shared" si="86"/>
        <v>8384.75</v>
      </c>
      <c r="BO94" s="8">
        <f t="shared" si="87"/>
        <v>479814.5</v>
      </c>
      <c r="BP94" s="8">
        <f t="shared" si="90"/>
        <v>2954.75</v>
      </c>
      <c r="BQ94" s="12">
        <f t="shared" si="91"/>
        <v>164097.75</v>
      </c>
    </row>
    <row r="95" spans="1:69">
      <c r="A95" s="28">
        <v>1990</v>
      </c>
      <c r="B95" s="27" t="s">
        <v>16</v>
      </c>
      <c r="C95" s="24">
        <f t="shared" si="66"/>
        <v>60</v>
      </c>
      <c r="D95" s="7">
        <f t="shared" ca="1" si="67"/>
        <v>0.94850054435683417</v>
      </c>
      <c r="E95" s="26">
        <f t="array" aca="1" ref="E95" ca="1">AVERAGE(IF(INDIRECT(DatCol&amp;"$"&amp;TEXT(C95,"###")):INDIRECT(DatCol&amp;"$"&amp;TEXT(C95+57,"###"))&gt;0,INDIRECT(DatCol&amp;"$"&amp;TEXT(C95,"###")):INDIRECT(DatCol&amp;"$"&amp;TEXT(C95+57,"###"))))</f>
        <v>909.32999999999993</v>
      </c>
      <c r="F95" s="26" t="str">
        <f t="shared" si="89"/>
        <v>B</v>
      </c>
      <c r="G95" s="8">
        <v>329</v>
      </c>
      <c r="H95" s="8">
        <v>252</v>
      </c>
      <c r="I95" s="8">
        <v>110</v>
      </c>
      <c r="J95" s="8">
        <v>1509</v>
      </c>
      <c r="K95" s="9">
        <f t="shared" si="88"/>
        <v>2090</v>
      </c>
      <c r="L95" s="12">
        <v>1202.5</v>
      </c>
      <c r="M95" s="11">
        <f t="shared" si="92"/>
        <v>60125</v>
      </c>
      <c r="N95" s="12">
        <v>862.5</v>
      </c>
      <c r="O95" s="11">
        <f t="shared" si="93"/>
        <v>43125</v>
      </c>
      <c r="P95" s="12">
        <v>6290</v>
      </c>
      <c r="Q95" s="11">
        <f t="shared" si="94"/>
        <v>377400</v>
      </c>
      <c r="X95" s="12">
        <v>1598.75</v>
      </c>
      <c r="Y95" s="11">
        <f t="shared" si="95"/>
        <v>95925</v>
      </c>
      <c r="AF95" s="12">
        <v>0</v>
      </c>
      <c r="AG95" s="11">
        <f t="shared" si="96"/>
        <v>0</v>
      </c>
      <c r="AH95" s="12">
        <v>112.5</v>
      </c>
      <c r="AI95" s="11">
        <f t="shared" si="97"/>
        <v>7312.5</v>
      </c>
      <c r="AJ95" s="12">
        <v>142.83000000000001</v>
      </c>
      <c r="AK95" s="13">
        <f t="shared" si="98"/>
        <v>1285.47</v>
      </c>
      <c r="AL95" s="12">
        <v>81</v>
      </c>
      <c r="AM95" s="13">
        <f t="shared" si="99"/>
        <v>729</v>
      </c>
      <c r="AO95" s="11">
        <f t="shared" si="100"/>
        <v>0</v>
      </c>
      <c r="AQ95" s="11">
        <f t="shared" si="101"/>
        <v>0</v>
      </c>
      <c r="AS95" s="11">
        <f t="shared" si="102"/>
        <v>0</v>
      </c>
      <c r="AU95" s="11">
        <f t="shared" si="103"/>
        <v>0</v>
      </c>
      <c r="AW95" s="11">
        <f t="shared" si="104"/>
        <v>0</v>
      </c>
      <c r="AY95" s="11">
        <f t="shared" si="105"/>
        <v>0</v>
      </c>
      <c r="BA95" s="11">
        <f t="shared" si="106"/>
        <v>0</v>
      </c>
      <c r="BC95" s="11">
        <f t="shared" si="107"/>
        <v>0</v>
      </c>
      <c r="BE95" s="11">
        <f t="shared" si="108"/>
        <v>0</v>
      </c>
      <c r="BG95" s="11">
        <f t="shared" si="109"/>
        <v>0</v>
      </c>
      <c r="BN95" s="8">
        <f t="shared" si="86"/>
        <v>9234.08</v>
      </c>
      <c r="BO95" s="8">
        <f t="shared" si="87"/>
        <v>534735.47</v>
      </c>
      <c r="BP95" s="8">
        <f t="shared" si="90"/>
        <v>2654.75</v>
      </c>
      <c r="BQ95" s="12">
        <f t="shared" si="91"/>
        <v>147091.5</v>
      </c>
    </row>
    <row r="96" spans="1:69">
      <c r="A96" s="28">
        <v>1991</v>
      </c>
      <c r="B96" s="27" t="s">
        <v>16</v>
      </c>
      <c r="C96" s="24">
        <f t="shared" si="66"/>
        <v>60</v>
      </c>
      <c r="D96" s="7">
        <f t="shared" ca="1" si="67"/>
        <v>0.75770072470940153</v>
      </c>
      <c r="E96" s="26">
        <f t="array" aca="1" ref="E96" ca="1">AVERAGE(IF(INDIRECT(DatCol&amp;"$"&amp;TEXT(C96,"###")):INDIRECT(DatCol&amp;"$"&amp;TEXT(C96+57,"###"))&gt;0,INDIRECT(DatCol&amp;"$"&amp;TEXT(C96,"###")):INDIRECT(DatCol&amp;"$"&amp;TEXT(C96+57,"###"))))</f>
        <v>909.32999999999993</v>
      </c>
      <c r="F96" s="26" t="str">
        <f t="shared" si="89"/>
        <v>B</v>
      </c>
      <c r="G96" s="8"/>
      <c r="H96" s="8">
        <v>0</v>
      </c>
      <c r="I96" s="8">
        <v>113</v>
      </c>
      <c r="J96" s="8">
        <v>2051</v>
      </c>
      <c r="K96" s="9">
        <f t="shared" si="88"/>
        <v>2051</v>
      </c>
      <c r="L96" s="12">
        <v>2081</v>
      </c>
      <c r="M96" s="11">
        <f t="shared" si="92"/>
        <v>104050</v>
      </c>
      <c r="N96" s="12">
        <v>689</v>
      </c>
      <c r="O96" s="11">
        <f t="shared" si="93"/>
        <v>34450</v>
      </c>
      <c r="P96" s="12">
        <v>7445</v>
      </c>
      <c r="Q96" s="11">
        <f t="shared" si="94"/>
        <v>446700</v>
      </c>
      <c r="X96" s="12">
        <v>1466</v>
      </c>
      <c r="Y96" s="11">
        <f t="shared" si="95"/>
        <v>87960</v>
      </c>
      <c r="AF96" s="12">
        <v>0</v>
      </c>
      <c r="AG96" s="11">
        <f t="shared" si="96"/>
        <v>0</v>
      </c>
      <c r="AH96" s="12">
        <v>82</v>
      </c>
      <c r="AI96" s="11">
        <f t="shared" si="97"/>
        <v>5330</v>
      </c>
      <c r="AJ96" s="12">
        <v>289</v>
      </c>
      <c r="AK96" s="13">
        <f t="shared" si="98"/>
        <v>2601</v>
      </c>
      <c r="AL96" s="12">
        <v>176</v>
      </c>
      <c r="AM96" s="13">
        <f t="shared" si="99"/>
        <v>1584</v>
      </c>
      <c r="AO96" s="11">
        <f t="shared" si="100"/>
        <v>0</v>
      </c>
      <c r="AQ96" s="11">
        <f t="shared" si="101"/>
        <v>0</v>
      </c>
      <c r="AS96" s="11">
        <f t="shared" si="102"/>
        <v>0</v>
      </c>
      <c r="AU96" s="11">
        <f t="shared" si="103"/>
        <v>0</v>
      </c>
      <c r="AW96" s="11">
        <f t="shared" si="104"/>
        <v>0</v>
      </c>
      <c r="AY96" s="11">
        <f t="shared" si="105"/>
        <v>0</v>
      </c>
      <c r="BA96" s="11">
        <f t="shared" si="106"/>
        <v>0</v>
      </c>
      <c r="BC96" s="11">
        <f t="shared" si="107"/>
        <v>0</v>
      </c>
      <c r="BE96" s="11">
        <f t="shared" si="108"/>
        <v>0</v>
      </c>
      <c r="BG96" s="11">
        <f t="shared" si="109"/>
        <v>0</v>
      </c>
      <c r="BN96" s="8">
        <f t="shared" si="86"/>
        <v>11281</v>
      </c>
      <c r="BO96" s="8">
        <f t="shared" si="87"/>
        <v>641311</v>
      </c>
      <c r="BP96" s="8">
        <f t="shared" si="90"/>
        <v>2413</v>
      </c>
      <c r="BQ96" s="12">
        <f t="shared" si="91"/>
        <v>129324</v>
      </c>
    </row>
    <row r="97" spans="1:69">
      <c r="A97" s="28">
        <v>1992</v>
      </c>
      <c r="B97" s="27" t="s">
        <v>16</v>
      </c>
      <c r="C97" s="24">
        <f t="shared" si="66"/>
        <v>60</v>
      </c>
      <c r="D97" s="7">
        <f t="shared" ca="1" si="67"/>
        <v>0.84127874369040945</v>
      </c>
      <c r="E97" s="26">
        <f t="array" aca="1" ref="E97" ca="1">AVERAGE(IF(INDIRECT(DatCol&amp;"$"&amp;TEXT(C97,"###")):INDIRECT(DatCol&amp;"$"&amp;TEXT(C97+57,"###"))&gt;0,INDIRECT(DatCol&amp;"$"&amp;TEXT(C97,"###")):INDIRECT(DatCol&amp;"$"&amp;TEXT(C97+57,"###"))))</f>
        <v>909.32999999999993</v>
      </c>
      <c r="F97" s="26" t="str">
        <f t="shared" si="89"/>
        <v>B</v>
      </c>
      <c r="G97" s="8">
        <v>363</v>
      </c>
      <c r="H97" s="8">
        <v>248</v>
      </c>
      <c r="I97" s="8">
        <v>113</v>
      </c>
      <c r="J97" s="8">
        <v>1443</v>
      </c>
      <c r="K97" s="9">
        <f t="shared" si="88"/>
        <v>2054</v>
      </c>
      <c r="L97" s="12">
        <v>2928</v>
      </c>
      <c r="M97" s="11">
        <f t="shared" si="92"/>
        <v>146400</v>
      </c>
      <c r="N97" s="12">
        <v>765</v>
      </c>
      <c r="O97" s="11">
        <f t="shared" si="93"/>
        <v>38250</v>
      </c>
      <c r="P97" s="12">
        <v>9289</v>
      </c>
      <c r="Q97" s="11">
        <f t="shared" si="94"/>
        <v>557340</v>
      </c>
      <c r="X97" s="12">
        <v>1389</v>
      </c>
      <c r="Y97" s="11">
        <f t="shared" si="95"/>
        <v>83340</v>
      </c>
      <c r="AF97" s="12">
        <v>0</v>
      </c>
      <c r="AG97" s="11">
        <f t="shared" si="96"/>
        <v>0</v>
      </c>
      <c r="AH97" s="12">
        <v>82</v>
      </c>
      <c r="AI97" s="11">
        <f t="shared" si="97"/>
        <v>5330</v>
      </c>
      <c r="AJ97" s="12">
        <v>289</v>
      </c>
      <c r="AK97" s="13">
        <f t="shared" si="98"/>
        <v>2601</v>
      </c>
      <c r="AL97" s="12">
        <v>176</v>
      </c>
      <c r="AM97" s="13">
        <f t="shared" si="99"/>
        <v>1584</v>
      </c>
      <c r="AO97" s="11">
        <f t="shared" si="100"/>
        <v>0</v>
      </c>
      <c r="AQ97" s="11">
        <f t="shared" si="101"/>
        <v>0</v>
      </c>
      <c r="AS97" s="11">
        <f t="shared" si="102"/>
        <v>0</v>
      </c>
      <c r="AU97" s="11">
        <f t="shared" si="103"/>
        <v>0</v>
      </c>
      <c r="AW97" s="11">
        <f t="shared" si="104"/>
        <v>0</v>
      </c>
      <c r="AY97" s="11">
        <f t="shared" si="105"/>
        <v>0</v>
      </c>
      <c r="BA97" s="11">
        <f t="shared" si="106"/>
        <v>0</v>
      </c>
      <c r="BC97" s="11">
        <f t="shared" si="107"/>
        <v>0</v>
      </c>
      <c r="BE97" s="11">
        <f t="shared" si="108"/>
        <v>0</v>
      </c>
      <c r="BG97" s="11">
        <f t="shared" si="109"/>
        <v>0</v>
      </c>
      <c r="BN97" s="8">
        <f t="shared" si="86"/>
        <v>13895</v>
      </c>
      <c r="BO97" s="8">
        <f t="shared" si="87"/>
        <v>789681</v>
      </c>
      <c r="BP97" s="8">
        <f t="shared" si="90"/>
        <v>2412</v>
      </c>
      <c r="BQ97" s="12">
        <f t="shared" si="91"/>
        <v>128504</v>
      </c>
    </row>
    <row r="98" spans="1:69">
      <c r="A98" s="28">
        <v>1993</v>
      </c>
      <c r="B98" s="27" t="s">
        <v>16</v>
      </c>
      <c r="C98" s="24">
        <f t="shared" si="66"/>
        <v>60</v>
      </c>
      <c r="D98" s="7">
        <f t="shared" ca="1" si="67"/>
        <v>1.0513235019189955</v>
      </c>
      <c r="E98" s="26">
        <f t="array" aca="1" ref="E98" ca="1">AVERAGE(IF(INDIRECT(DatCol&amp;"$"&amp;TEXT(C98,"###")):INDIRECT(DatCol&amp;"$"&amp;TEXT(C98+57,"###"))&gt;0,INDIRECT(DatCol&amp;"$"&amp;TEXT(C98,"###")):INDIRECT(DatCol&amp;"$"&amp;TEXT(C98+57,"###"))))</f>
        <v>909.32999999999993</v>
      </c>
      <c r="F98" s="26" t="str">
        <f t="shared" si="89"/>
        <v>B</v>
      </c>
      <c r="G98" s="8">
        <v>388</v>
      </c>
      <c r="H98" s="8">
        <v>236</v>
      </c>
      <c r="I98" s="8">
        <v>112</v>
      </c>
      <c r="J98" s="8">
        <v>1368</v>
      </c>
      <c r="K98" s="9">
        <f t="shared" si="88"/>
        <v>1992</v>
      </c>
      <c r="L98" s="12">
        <v>2781.8</v>
      </c>
      <c r="M98" s="11">
        <f>(L98*50)</f>
        <v>139090</v>
      </c>
      <c r="N98" s="12">
        <v>956</v>
      </c>
      <c r="O98" s="11">
        <f>(N98*50)</f>
        <v>47800</v>
      </c>
      <c r="P98" s="12">
        <v>11194.8</v>
      </c>
      <c r="Q98" s="11">
        <f>((P98*330)/5.5)</f>
        <v>671687.99999999988</v>
      </c>
      <c r="X98" s="12">
        <v>3094.74</v>
      </c>
      <c r="Y98" s="11">
        <f>((X98*330)/5.5)</f>
        <v>185684.4</v>
      </c>
      <c r="AF98" s="12">
        <v>0</v>
      </c>
      <c r="AG98" s="11">
        <f>(AF98*65)</f>
        <v>0</v>
      </c>
      <c r="AH98" s="12">
        <v>87.75</v>
      </c>
      <c r="AI98" s="11">
        <f>(AH98*65)</f>
        <v>5703.75</v>
      </c>
      <c r="AJ98" s="12">
        <v>3020</v>
      </c>
      <c r="AK98" s="13">
        <f>(AJ98*9)</f>
        <v>27180</v>
      </c>
      <c r="AL98" s="12">
        <v>665</v>
      </c>
      <c r="AM98" s="13">
        <f>(AL98*9)</f>
        <v>5985</v>
      </c>
      <c r="AO98" s="11">
        <f>(AN98*80)</f>
        <v>0</v>
      </c>
      <c r="AQ98" s="11">
        <f>(AP98*80)</f>
        <v>0</v>
      </c>
      <c r="AS98" s="11">
        <f>(AR98*50)</f>
        <v>0</v>
      </c>
      <c r="AU98" s="11">
        <f>(AT98*50)</f>
        <v>0</v>
      </c>
      <c r="AW98" s="11">
        <f>(AV98*60)</f>
        <v>0</v>
      </c>
      <c r="AY98" s="11">
        <f>(AX98*60)</f>
        <v>0</v>
      </c>
      <c r="BA98" s="11">
        <f>(AZ98*40)</f>
        <v>0</v>
      </c>
      <c r="BC98" s="11">
        <f>(BB98*40)</f>
        <v>0</v>
      </c>
      <c r="BE98" s="11">
        <f>(BD98*95)</f>
        <v>0</v>
      </c>
      <c r="BG98" s="11">
        <f>(BF98*95)</f>
        <v>0</v>
      </c>
      <c r="BN98" s="8">
        <f t="shared" si="86"/>
        <v>20091.339999999997</v>
      </c>
      <c r="BO98" s="8">
        <f t="shared" si="87"/>
        <v>1023642.3999999999</v>
      </c>
      <c r="BP98" s="8">
        <f t="shared" si="90"/>
        <v>4803.49</v>
      </c>
      <c r="BQ98" s="12">
        <f t="shared" si="91"/>
        <v>245173.15</v>
      </c>
    </row>
    <row r="99" spans="1:69">
      <c r="A99" s="28">
        <v>1994</v>
      </c>
      <c r="B99" s="27" t="s">
        <v>16</v>
      </c>
      <c r="C99" s="24">
        <f t="shared" si="66"/>
        <v>60</v>
      </c>
      <c r="D99" s="7" t="e">
        <f t="shared" ca="1" si="67"/>
        <v>#N/A</v>
      </c>
      <c r="E99" s="26">
        <f t="array" aca="1" ref="E99" ca="1">AVERAGE(IF(INDIRECT(DatCol&amp;"$"&amp;TEXT(C99,"###")):INDIRECT(DatCol&amp;"$"&amp;TEXT(C99+57,"###"))&gt;0,INDIRECT(DatCol&amp;"$"&amp;TEXT(C99,"###")):INDIRECT(DatCol&amp;"$"&amp;TEXT(C99+57,"###"))))</f>
        <v>909.32999999999993</v>
      </c>
      <c r="F99" s="26" t="str">
        <f t="shared" si="89"/>
        <v>B</v>
      </c>
      <c r="G99" s="8">
        <v>334</v>
      </c>
      <c r="H99" s="8">
        <v>237</v>
      </c>
      <c r="I99" s="8">
        <v>80</v>
      </c>
      <c r="J99" s="8">
        <v>1282</v>
      </c>
      <c r="K99" s="9">
        <f t="shared" si="88"/>
        <v>1853</v>
      </c>
      <c r="L99" s="12">
        <v>4070</v>
      </c>
      <c r="M99" s="11">
        <f>(L99*50)</f>
        <v>203500</v>
      </c>
      <c r="N99" s="12">
        <v>0</v>
      </c>
      <c r="O99" s="11">
        <f>(N99*50)</f>
        <v>0</v>
      </c>
      <c r="P99" s="12">
        <v>14540</v>
      </c>
      <c r="Q99" s="11">
        <f>((P99*330)/5.5)</f>
        <v>872400</v>
      </c>
      <c r="X99" s="12">
        <f>1092+451</f>
        <v>1543</v>
      </c>
      <c r="Y99" s="11">
        <f>((X99*330)/5.5)</f>
        <v>92580</v>
      </c>
      <c r="AF99" s="12">
        <v>0</v>
      </c>
      <c r="AG99" s="11">
        <f>(AF99*65)</f>
        <v>0</v>
      </c>
      <c r="AH99" s="12">
        <v>375</v>
      </c>
      <c r="AI99" s="11">
        <f>(AH99*65)</f>
        <v>24375</v>
      </c>
      <c r="AJ99" s="12">
        <v>1064</v>
      </c>
      <c r="AK99" s="13">
        <f>(AJ99*9)</f>
        <v>9576</v>
      </c>
      <c r="AL99" s="12">
        <v>375</v>
      </c>
      <c r="AM99" s="13">
        <f>(AL99*9)</f>
        <v>3375</v>
      </c>
      <c r="AN99" s="12">
        <v>0</v>
      </c>
      <c r="AO99" s="11">
        <f>(AN99*80)</f>
        <v>0</v>
      </c>
      <c r="AQ99" s="11">
        <f>(AP99*80)</f>
        <v>0</v>
      </c>
      <c r="AS99" s="11">
        <f>(AR99*50)</f>
        <v>0</v>
      </c>
      <c r="AU99" s="11">
        <f>(AT99*50)</f>
        <v>0</v>
      </c>
      <c r="AW99" s="11">
        <f>(AV99*60)</f>
        <v>0</v>
      </c>
      <c r="AY99" s="11">
        <f>(AX99*60)</f>
        <v>0</v>
      </c>
      <c r="BA99" s="11">
        <f>(AZ99*40)</f>
        <v>0</v>
      </c>
      <c r="BC99" s="11">
        <f>(BB99*40)</f>
        <v>0</v>
      </c>
      <c r="BE99" s="11">
        <f>(BD99*95)</f>
        <v>0</v>
      </c>
      <c r="BG99" s="11">
        <f>(BF99*95)</f>
        <v>0</v>
      </c>
      <c r="BN99" s="8">
        <f t="shared" si="86"/>
        <v>21217</v>
      </c>
      <c r="BO99" s="8">
        <f t="shared" si="87"/>
        <v>1178056</v>
      </c>
      <c r="BP99" s="8">
        <f t="shared" si="90"/>
        <v>2293</v>
      </c>
      <c r="BQ99" s="12">
        <f t="shared" si="91"/>
        <v>120330</v>
      </c>
    </row>
    <row r="100" spans="1:69">
      <c r="A100" s="28">
        <v>1995</v>
      </c>
      <c r="B100" s="27" t="s">
        <v>16</v>
      </c>
      <c r="C100" s="24">
        <f t="shared" si="66"/>
        <v>60</v>
      </c>
      <c r="D100" s="7">
        <f t="shared" ca="1" si="67"/>
        <v>0.69721663202577733</v>
      </c>
      <c r="E100" s="26">
        <f t="array" aca="1" ref="E100" ca="1">AVERAGE(IF(INDIRECT(DatCol&amp;"$"&amp;TEXT(C100,"###")):INDIRECT(DatCol&amp;"$"&amp;TEXT(C100+57,"###"))&gt;0,INDIRECT(DatCol&amp;"$"&amp;TEXT(C100,"###")):INDIRECT(DatCol&amp;"$"&amp;TEXT(C100+57,"###"))))</f>
        <v>909.32999999999993</v>
      </c>
      <c r="F100" s="26" t="str">
        <f t="shared" si="89"/>
        <v>B</v>
      </c>
      <c r="G100" s="8">
        <v>409</v>
      </c>
      <c r="H100" s="9">
        <v>238</v>
      </c>
      <c r="I100" s="9">
        <v>98</v>
      </c>
      <c r="J100" s="9">
        <v>1256</v>
      </c>
      <c r="K100" s="9">
        <f t="shared" si="88"/>
        <v>1903</v>
      </c>
      <c r="L100" s="10">
        <v>3077</v>
      </c>
      <c r="M100" s="11">
        <f>(L100*50)</f>
        <v>153850</v>
      </c>
      <c r="N100" s="10">
        <v>634</v>
      </c>
      <c r="O100" s="11">
        <f>(N100*50)</f>
        <v>31700</v>
      </c>
      <c r="P100" s="10">
        <v>13424</v>
      </c>
      <c r="Q100" s="11">
        <f>((P100*330)/5.5)</f>
        <v>805440</v>
      </c>
      <c r="X100" s="10">
        <v>1730</v>
      </c>
      <c r="Y100" s="11">
        <f>((X100*330)/5.5)</f>
        <v>103800</v>
      </c>
      <c r="AF100" s="10">
        <v>0</v>
      </c>
      <c r="AG100" s="11">
        <f>(AF100*65)</f>
        <v>0</v>
      </c>
      <c r="AH100" s="10">
        <v>0</v>
      </c>
      <c r="AI100" s="11">
        <f>(AH100*65)</f>
        <v>0</v>
      </c>
      <c r="AJ100" s="10">
        <v>217.5</v>
      </c>
      <c r="AK100" s="13">
        <f>(AJ100*9)</f>
        <v>1957.5</v>
      </c>
      <c r="AL100" s="10">
        <v>173.25</v>
      </c>
      <c r="AM100" s="13">
        <f>(AL100*9)</f>
        <v>1559.25</v>
      </c>
      <c r="AN100" s="10">
        <v>0</v>
      </c>
      <c r="AO100" s="11">
        <f>(AN100*80)</f>
        <v>0</v>
      </c>
      <c r="AP100" s="10">
        <v>0</v>
      </c>
      <c r="AQ100" s="11">
        <f>(AP100*80)</f>
        <v>0</v>
      </c>
      <c r="AR100" s="10">
        <v>0</v>
      </c>
      <c r="AS100" s="11">
        <f>(AR100*50)</f>
        <v>0</v>
      </c>
      <c r="AT100" s="10">
        <v>0</v>
      </c>
      <c r="AU100" s="11">
        <f>(AT100*50)</f>
        <v>0</v>
      </c>
      <c r="AV100" s="10">
        <v>0</v>
      </c>
      <c r="AW100" s="11">
        <f>(AV100*60)</f>
        <v>0</v>
      </c>
      <c r="AX100" s="10">
        <v>0</v>
      </c>
      <c r="AY100" s="11">
        <f>(AX100*60)</f>
        <v>0</v>
      </c>
      <c r="AZ100" s="10">
        <v>0</v>
      </c>
      <c r="BA100" s="11">
        <f>(AZ100*40)</f>
        <v>0</v>
      </c>
      <c r="BB100" s="10">
        <v>0</v>
      </c>
      <c r="BC100" s="11">
        <f>(BB100*40)</f>
        <v>0</v>
      </c>
      <c r="BD100" s="10">
        <v>0</v>
      </c>
      <c r="BE100" s="11">
        <f>(BD100*95)</f>
        <v>0</v>
      </c>
      <c r="BF100" s="10">
        <v>0</v>
      </c>
      <c r="BG100" s="11">
        <f>(BF100*95)</f>
        <v>0</v>
      </c>
      <c r="BN100" s="8">
        <f t="shared" si="86"/>
        <v>18448.5</v>
      </c>
      <c r="BO100" s="8">
        <f t="shared" si="87"/>
        <v>1065047.5</v>
      </c>
      <c r="BP100" s="8">
        <f t="shared" si="90"/>
        <v>2537.25</v>
      </c>
      <c r="BQ100" s="12">
        <f t="shared" si="91"/>
        <v>137059.25</v>
      </c>
    </row>
    <row r="101" spans="1:69">
      <c r="A101" s="28">
        <v>1996</v>
      </c>
      <c r="B101" s="27" t="s">
        <v>16</v>
      </c>
      <c r="C101" s="24">
        <f t="shared" si="66"/>
        <v>60</v>
      </c>
      <c r="D101" s="7">
        <f t="shared" ca="1" si="67"/>
        <v>2.3621787469895419</v>
      </c>
      <c r="E101" s="26">
        <f t="array" aca="1" ref="E101" ca="1">AVERAGE(IF(INDIRECT(DatCol&amp;"$"&amp;TEXT(C101,"###")):INDIRECT(DatCol&amp;"$"&amp;TEXT(C101+57,"###"))&gt;0,INDIRECT(DatCol&amp;"$"&amp;TEXT(C101,"###")):INDIRECT(DatCol&amp;"$"&amp;TEXT(C101+57,"###"))))</f>
        <v>909.32999999999993</v>
      </c>
      <c r="F101" s="26" t="str">
        <f t="shared" si="89"/>
        <v>B</v>
      </c>
      <c r="G101" s="8">
        <v>395</v>
      </c>
      <c r="H101" s="9">
        <v>217</v>
      </c>
      <c r="I101" s="9">
        <v>89</v>
      </c>
      <c r="J101" s="9">
        <v>1272</v>
      </c>
      <c r="K101" s="9">
        <f t="shared" si="88"/>
        <v>1884</v>
      </c>
      <c r="L101" s="10">
        <v>2936</v>
      </c>
      <c r="M101" s="11">
        <f>(L101*50)</f>
        <v>146800</v>
      </c>
      <c r="N101" s="10">
        <v>2148</v>
      </c>
      <c r="O101" s="11">
        <f>(N101*50)</f>
        <v>107400</v>
      </c>
      <c r="P101" s="10">
        <v>12453</v>
      </c>
      <c r="Q101" s="11">
        <f>((P101*330)/5.5)</f>
        <v>747180</v>
      </c>
      <c r="X101" s="10">
        <v>1529</v>
      </c>
      <c r="Y101" s="11">
        <f>((X101*330)/5.5)</f>
        <v>91740</v>
      </c>
      <c r="AF101" s="10">
        <v>0</v>
      </c>
      <c r="AG101" s="11">
        <f>(AF101*65)</f>
        <v>0</v>
      </c>
      <c r="AH101" s="10">
        <v>177</v>
      </c>
      <c r="AI101" s="11">
        <f>(AH101*65)</f>
        <v>11505</v>
      </c>
      <c r="AJ101" s="10">
        <v>1072</v>
      </c>
      <c r="AK101" s="13">
        <f>(AJ101*9)</f>
        <v>9648</v>
      </c>
      <c r="AL101" s="10">
        <v>402</v>
      </c>
      <c r="AM101" s="13">
        <f>(AL101*9)</f>
        <v>3618</v>
      </c>
      <c r="AN101" s="10">
        <v>0</v>
      </c>
      <c r="AO101" s="11">
        <f>(AN101*80)</f>
        <v>0</v>
      </c>
      <c r="AP101" s="10">
        <v>0</v>
      </c>
      <c r="AQ101" s="11">
        <f>(AP101*80)</f>
        <v>0</v>
      </c>
      <c r="AR101" s="10">
        <v>0</v>
      </c>
      <c r="AS101" s="11">
        <f>(AR101*50)</f>
        <v>0</v>
      </c>
      <c r="AT101" s="10">
        <v>0</v>
      </c>
      <c r="AU101" s="11">
        <f>(AT101*50)</f>
        <v>0</v>
      </c>
      <c r="AV101" s="10">
        <v>0</v>
      </c>
      <c r="AW101" s="11">
        <f>(AV101*60)</f>
        <v>0</v>
      </c>
      <c r="AX101" s="10">
        <v>0</v>
      </c>
      <c r="AY101" s="11">
        <f>(AX101*60)</f>
        <v>0</v>
      </c>
      <c r="AZ101" s="10">
        <v>0</v>
      </c>
      <c r="BA101" s="11">
        <f>(AZ101*40)</f>
        <v>0</v>
      </c>
      <c r="BB101" s="10">
        <v>0</v>
      </c>
      <c r="BC101" s="11">
        <f>(BB101*40)</f>
        <v>0</v>
      </c>
      <c r="BD101" s="10">
        <v>0</v>
      </c>
      <c r="BE101" s="11">
        <f>(BD101*95)</f>
        <v>0</v>
      </c>
      <c r="BF101" s="10">
        <v>0</v>
      </c>
      <c r="BG101" s="11">
        <f>(BF101*95)</f>
        <v>0</v>
      </c>
      <c r="BN101" s="8">
        <f t="shared" si="86"/>
        <v>17990</v>
      </c>
      <c r="BO101" s="8">
        <f t="shared" si="87"/>
        <v>995368</v>
      </c>
      <c r="BP101" s="8">
        <f t="shared" si="90"/>
        <v>4256</v>
      </c>
      <c r="BQ101" s="12">
        <f t="shared" si="91"/>
        <v>214263</v>
      </c>
    </row>
    <row r="102" spans="1:69">
      <c r="A102" s="28">
        <v>1997</v>
      </c>
      <c r="B102" s="27" t="s">
        <v>16</v>
      </c>
      <c r="C102" s="24">
        <f t="shared" si="66"/>
        <v>60</v>
      </c>
      <c r="D102" s="7">
        <f t="shared" ca="1" si="67"/>
        <v>0.68621952426511834</v>
      </c>
      <c r="E102" s="26">
        <f t="array" aca="1" ref="E102" ca="1">AVERAGE(IF(INDIRECT(DatCol&amp;"$"&amp;TEXT(C102,"###")):INDIRECT(DatCol&amp;"$"&amp;TEXT(C102+57,"###"))&gt;0,INDIRECT(DatCol&amp;"$"&amp;TEXT(C102,"###")):INDIRECT(DatCol&amp;"$"&amp;TEXT(C102+57,"###"))))</f>
        <v>909.32999999999993</v>
      </c>
      <c r="F102" s="26" t="str">
        <f t="shared" si="89"/>
        <v>B</v>
      </c>
      <c r="G102" s="8">
        <v>375</v>
      </c>
      <c r="H102" s="9">
        <v>211</v>
      </c>
      <c r="I102" s="9">
        <v>82</v>
      </c>
      <c r="J102" s="9">
        <v>1233</v>
      </c>
      <c r="K102" s="9">
        <f t="shared" si="88"/>
        <v>1819</v>
      </c>
      <c r="L102" s="10">
        <v>2176</v>
      </c>
      <c r="M102" s="11">
        <f>(L102*50)</f>
        <v>108800</v>
      </c>
      <c r="N102" s="10">
        <v>624</v>
      </c>
      <c r="O102" s="11">
        <f>(N102*50)</f>
        <v>31200</v>
      </c>
      <c r="P102" s="10">
        <v>10800</v>
      </c>
      <c r="Q102" s="11">
        <f>((P102*330)/5.5)</f>
        <v>648000</v>
      </c>
      <c r="X102" s="10">
        <v>1472</v>
      </c>
      <c r="Y102" s="11">
        <f>((X102*330)/5.5)</f>
        <v>88320</v>
      </c>
      <c r="AF102" s="10">
        <v>0</v>
      </c>
      <c r="AG102" s="11">
        <f>(AF102*65)</f>
        <v>0</v>
      </c>
      <c r="AH102" s="10">
        <v>132</v>
      </c>
      <c r="AI102" s="11">
        <f>(AH102*65)</f>
        <v>8580</v>
      </c>
      <c r="AJ102" s="10">
        <v>111</v>
      </c>
      <c r="AK102" s="13">
        <f>(AJ102*9)</f>
        <v>999</v>
      </c>
      <c r="AL102" s="10">
        <v>100</v>
      </c>
      <c r="AM102" s="13">
        <f>(AL102*9)</f>
        <v>900</v>
      </c>
      <c r="AN102" s="10">
        <v>0</v>
      </c>
      <c r="AO102" s="11">
        <f>(AN102*80)</f>
        <v>0</v>
      </c>
      <c r="AP102" s="10">
        <v>0</v>
      </c>
      <c r="AQ102" s="11">
        <f>(AP102*80)</f>
        <v>0</v>
      </c>
      <c r="AR102" s="10">
        <v>0</v>
      </c>
      <c r="AS102" s="11">
        <f>(AR102*50)</f>
        <v>0</v>
      </c>
      <c r="AT102" s="10">
        <v>0</v>
      </c>
      <c r="AU102" s="11">
        <f>(AT102*50)</f>
        <v>0</v>
      </c>
      <c r="AV102" s="10">
        <v>0</v>
      </c>
      <c r="AW102" s="11">
        <f>(AV102*60)</f>
        <v>0</v>
      </c>
      <c r="AX102" s="10">
        <v>0</v>
      </c>
      <c r="AY102" s="11">
        <f>(AX102*60)</f>
        <v>0</v>
      </c>
      <c r="AZ102" s="10">
        <v>0</v>
      </c>
      <c r="BA102" s="11">
        <f>(AZ102*40)</f>
        <v>0</v>
      </c>
      <c r="BB102" s="10">
        <v>0</v>
      </c>
      <c r="BC102" s="11">
        <f>(BB102*40)</f>
        <v>0</v>
      </c>
      <c r="BD102" s="10">
        <v>0</v>
      </c>
      <c r="BE102" s="11">
        <f>(BD102*95)</f>
        <v>0</v>
      </c>
      <c r="BF102" s="10">
        <v>0</v>
      </c>
      <c r="BG102" s="11">
        <f>(BF102*95)</f>
        <v>0</v>
      </c>
      <c r="BN102" s="8">
        <f t="shared" si="86"/>
        <v>14559</v>
      </c>
      <c r="BO102" s="8">
        <f t="shared" si="87"/>
        <v>846119</v>
      </c>
      <c r="BP102" s="8">
        <f t="shared" si="90"/>
        <v>2328</v>
      </c>
      <c r="BQ102" s="12">
        <f t="shared" si="91"/>
        <v>129000</v>
      </c>
    </row>
    <row r="103" spans="1:69">
      <c r="A103" s="28">
        <v>1998</v>
      </c>
      <c r="B103" s="27" t="s">
        <v>16</v>
      </c>
      <c r="C103" s="24">
        <f t="shared" si="66"/>
        <v>60</v>
      </c>
      <c r="D103" s="7">
        <f t="shared" ca="1" si="67"/>
        <v>0.85777440533139793</v>
      </c>
      <c r="E103" s="26">
        <f t="array" aca="1" ref="E103" ca="1">AVERAGE(IF(INDIRECT(DatCol&amp;"$"&amp;TEXT(C103,"###")):INDIRECT(DatCol&amp;"$"&amp;TEXT(C103+57,"###"))&gt;0,INDIRECT(DatCol&amp;"$"&amp;TEXT(C103,"###")):INDIRECT(DatCol&amp;"$"&amp;TEXT(C103+57,"###"))))</f>
        <v>909.32999999999993</v>
      </c>
      <c r="F103" s="26" t="str">
        <f t="shared" si="89"/>
        <v>B</v>
      </c>
      <c r="G103" s="8">
        <v>395</v>
      </c>
      <c r="H103" s="9">
        <v>217</v>
      </c>
      <c r="I103" s="9">
        <v>98</v>
      </c>
      <c r="J103" s="9">
        <v>1272</v>
      </c>
      <c r="K103" s="9">
        <f t="shared" si="88"/>
        <v>1884</v>
      </c>
      <c r="L103" s="10">
        <f>M103/50</f>
        <v>1040.76</v>
      </c>
      <c r="M103" s="11">
        <v>52038</v>
      </c>
      <c r="N103" s="10">
        <f>O103/50</f>
        <v>780</v>
      </c>
      <c r="O103" s="11">
        <v>39000</v>
      </c>
      <c r="P103" s="10">
        <f>Q103/60</f>
        <v>12500.75</v>
      </c>
      <c r="Q103" s="11">
        <v>750045</v>
      </c>
      <c r="R103" s="10">
        <v>0</v>
      </c>
      <c r="S103" s="11">
        <v>0</v>
      </c>
      <c r="T103" s="10">
        <v>0</v>
      </c>
      <c r="U103" s="11">
        <v>0</v>
      </c>
      <c r="V103" s="10">
        <v>0</v>
      </c>
      <c r="W103" s="11">
        <v>0</v>
      </c>
      <c r="X103" s="10">
        <f>Y103/60</f>
        <v>1704.1</v>
      </c>
      <c r="Y103" s="11">
        <v>102246</v>
      </c>
      <c r="Z103" s="10">
        <v>0</v>
      </c>
      <c r="AA103" s="11">
        <v>0</v>
      </c>
      <c r="AB103" s="10">
        <v>0</v>
      </c>
      <c r="AC103" s="11">
        <v>0</v>
      </c>
      <c r="AD103" s="10">
        <v>0</v>
      </c>
      <c r="AE103" s="11">
        <v>0</v>
      </c>
      <c r="AF103" s="10">
        <v>0</v>
      </c>
      <c r="AG103" s="11">
        <v>0</v>
      </c>
      <c r="AH103" s="10">
        <f>AI103/50</f>
        <v>216</v>
      </c>
      <c r="AI103" s="11">
        <v>10800</v>
      </c>
      <c r="AJ103" s="10">
        <f>AK103/9</f>
        <v>2515.1111111111113</v>
      </c>
      <c r="AK103" s="13">
        <v>22636</v>
      </c>
      <c r="AL103" s="10">
        <f>AM103/9</f>
        <v>200</v>
      </c>
      <c r="AM103" s="13">
        <v>1800</v>
      </c>
      <c r="AN103" s="10">
        <v>0</v>
      </c>
      <c r="AO103" s="11">
        <v>0</v>
      </c>
      <c r="AP103" s="10">
        <v>0</v>
      </c>
      <c r="AQ103" s="11">
        <v>0</v>
      </c>
      <c r="AR103" s="10">
        <v>0</v>
      </c>
      <c r="AS103" s="11">
        <v>0</v>
      </c>
      <c r="AT103" s="10">
        <v>0</v>
      </c>
      <c r="AU103" s="11">
        <v>0</v>
      </c>
      <c r="AV103" s="10">
        <v>0</v>
      </c>
      <c r="AW103" s="11">
        <v>0</v>
      </c>
      <c r="AX103" s="10">
        <v>0</v>
      </c>
      <c r="AY103" s="11">
        <v>0</v>
      </c>
      <c r="AZ103" s="10">
        <v>0</v>
      </c>
      <c r="BA103" s="11">
        <v>0</v>
      </c>
      <c r="BB103" s="10">
        <v>0</v>
      </c>
      <c r="BC103" s="11">
        <v>0</v>
      </c>
      <c r="BD103" s="10">
        <v>0</v>
      </c>
      <c r="BE103" s="11">
        <v>0</v>
      </c>
      <c r="BF103" s="10">
        <v>0</v>
      </c>
      <c r="BG103" s="11">
        <v>0</v>
      </c>
      <c r="BN103" s="8">
        <f t="shared" si="86"/>
        <v>17760.72111111111</v>
      </c>
      <c r="BO103" s="8">
        <f t="shared" si="87"/>
        <v>926965</v>
      </c>
      <c r="BP103" s="8">
        <f t="shared" si="90"/>
        <v>2900.1</v>
      </c>
      <c r="BQ103" s="12">
        <f t="shared" si="91"/>
        <v>153846</v>
      </c>
    </row>
    <row r="104" spans="1:69">
      <c r="A104" s="28">
        <v>1999</v>
      </c>
      <c r="B104" s="27" t="s">
        <v>16</v>
      </c>
      <c r="C104" s="24">
        <f t="shared" si="66"/>
        <v>60</v>
      </c>
      <c r="D104" s="7">
        <f t="shared" ca="1" si="67"/>
        <v>0.81043185642176119</v>
      </c>
      <c r="E104" s="26">
        <f t="array" aca="1" ref="E104" ca="1">AVERAGE(IF(INDIRECT(DatCol&amp;"$"&amp;TEXT(C104,"###")):INDIRECT(DatCol&amp;"$"&amp;TEXT(C104+57,"###"))&gt;0,INDIRECT(DatCol&amp;"$"&amp;TEXT(C104,"###")):INDIRECT(DatCol&amp;"$"&amp;TEXT(C104+57,"###"))))</f>
        <v>909.32999999999993</v>
      </c>
      <c r="F104" s="26" t="str">
        <f t="shared" si="89"/>
        <v>B</v>
      </c>
      <c r="G104" s="8">
        <v>410</v>
      </c>
      <c r="H104" s="9">
        <v>368</v>
      </c>
      <c r="I104" s="9">
        <v>82</v>
      </c>
      <c r="J104" s="9">
        <v>1494</v>
      </c>
      <c r="K104" s="9">
        <f t="shared" si="88"/>
        <v>2272</v>
      </c>
      <c r="L104" s="10">
        <f>M104/50</f>
        <v>1327.5</v>
      </c>
      <c r="M104" s="11">
        <v>66375</v>
      </c>
      <c r="N104" s="10">
        <f>O104/50</f>
        <v>736.95</v>
      </c>
      <c r="O104" s="11">
        <v>36847.5</v>
      </c>
      <c r="P104" s="10">
        <f>Q104/60</f>
        <v>11144</v>
      </c>
      <c r="Q104" s="11">
        <v>668640</v>
      </c>
      <c r="R104" s="10">
        <v>0</v>
      </c>
      <c r="S104" s="11">
        <v>0</v>
      </c>
      <c r="T104" s="10">
        <v>0</v>
      </c>
      <c r="U104" s="11">
        <v>0</v>
      </c>
      <c r="V104" s="10">
        <v>0</v>
      </c>
      <c r="W104" s="11">
        <v>0</v>
      </c>
      <c r="X104" s="10">
        <f>Y104/60</f>
        <v>2193.4299999999998</v>
      </c>
      <c r="Y104" s="11">
        <v>131605.79999999999</v>
      </c>
      <c r="Z104" s="10">
        <v>0</v>
      </c>
      <c r="AA104" s="11">
        <v>0</v>
      </c>
      <c r="AB104" s="10">
        <v>0</v>
      </c>
      <c r="AC104" s="11">
        <v>0</v>
      </c>
      <c r="AD104" s="10">
        <v>0</v>
      </c>
      <c r="AE104" s="11">
        <v>0</v>
      </c>
      <c r="AF104" s="10">
        <v>0</v>
      </c>
      <c r="AG104" s="11">
        <v>0</v>
      </c>
      <c r="AH104" s="10">
        <f>AI104/50</f>
        <v>179.5</v>
      </c>
      <c r="AI104" s="11">
        <v>8975</v>
      </c>
      <c r="AJ104" s="10">
        <f>AK104/9</f>
        <v>4275</v>
      </c>
      <c r="AK104" s="13">
        <v>38475</v>
      </c>
      <c r="AL104" s="10">
        <f>AM104/9</f>
        <v>2225</v>
      </c>
      <c r="AM104" s="13">
        <v>20025</v>
      </c>
      <c r="AN104" s="10">
        <v>0</v>
      </c>
      <c r="AO104" s="11">
        <v>0</v>
      </c>
      <c r="AP104" s="10">
        <v>0</v>
      </c>
      <c r="AQ104" s="11">
        <v>0</v>
      </c>
      <c r="AR104" s="10">
        <v>0</v>
      </c>
      <c r="AS104" s="11">
        <v>0</v>
      </c>
      <c r="AT104" s="10">
        <v>0</v>
      </c>
      <c r="AU104" s="11">
        <v>0</v>
      </c>
      <c r="AV104" s="10">
        <v>0</v>
      </c>
      <c r="AW104" s="11">
        <v>0</v>
      </c>
      <c r="AX104" s="10">
        <v>0</v>
      </c>
      <c r="AY104" s="11">
        <v>0</v>
      </c>
      <c r="AZ104" s="10">
        <v>0</v>
      </c>
      <c r="BA104" s="11">
        <v>0</v>
      </c>
      <c r="BB104" s="10">
        <v>0</v>
      </c>
      <c r="BC104" s="11">
        <v>0</v>
      </c>
      <c r="BD104" s="10">
        <v>0</v>
      </c>
      <c r="BE104" s="11">
        <v>0</v>
      </c>
      <c r="BF104" s="10">
        <v>0</v>
      </c>
      <c r="BG104" s="11">
        <v>0</v>
      </c>
      <c r="BN104" s="8">
        <f t="shared" si="86"/>
        <v>18939.93</v>
      </c>
      <c r="BO104" s="8">
        <f t="shared" si="87"/>
        <v>905095.8</v>
      </c>
      <c r="BP104" s="8">
        <f t="shared" si="90"/>
        <v>5334.88</v>
      </c>
      <c r="BQ104" s="12">
        <f t="shared" si="91"/>
        <v>197453.3</v>
      </c>
    </row>
    <row r="105" spans="1:69">
      <c r="A105" s="28">
        <v>2000</v>
      </c>
      <c r="B105" s="27" t="s">
        <v>16</v>
      </c>
      <c r="C105" s="24">
        <f t="shared" si="66"/>
        <v>60</v>
      </c>
      <c r="D105" s="7">
        <f t="shared" ca="1" si="67"/>
        <v>0.26832942936007831</v>
      </c>
      <c r="E105" s="26">
        <f t="array" aca="1" ref="E105" ca="1">AVERAGE(IF(INDIRECT(DatCol&amp;"$"&amp;TEXT(C105,"###")):INDIRECT(DatCol&amp;"$"&amp;TEXT(C105+57,"###"))&gt;0,INDIRECT(DatCol&amp;"$"&amp;TEXT(C105,"###")):INDIRECT(DatCol&amp;"$"&amp;TEXT(C105+57,"###"))))</f>
        <v>909.32999999999993</v>
      </c>
      <c r="F105" s="26" t="str">
        <f t="shared" si="89"/>
        <v>B</v>
      </c>
      <c r="G105" s="8"/>
      <c r="H105" s="9">
        <v>240</v>
      </c>
      <c r="I105" s="9">
        <v>86</v>
      </c>
      <c r="J105" s="9">
        <v>1942</v>
      </c>
      <c r="K105" s="9">
        <f t="shared" si="88"/>
        <v>2182</v>
      </c>
      <c r="L105" s="10">
        <v>252</v>
      </c>
      <c r="M105" s="11">
        <f>L105*50</f>
        <v>12600</v>
      </c>
      <c r="N105" s="10">
        <v>244</v>
      </c>
      <c r="O105" s="11">
        <f>N105*50</f>
        <v>12200</v>
      </c>
      <c r="P105" s="10">
        <v>2533</v>
      </c>
      <c r="Q105" s="11">
        <f>P105*75</f>
        <v>189975</v>
      </c>
      <c r="R105" s="10">
        <v>1206</v>
      </c>
      <c r="S105" s="11">
        <f>R105*75</f>
        <v>90450</v>
      </c>
      <c r="T105" s="10">
        <v>996</v>
      </c>
      <c r="U105" s="11">
        <f>T105*75</f>
        <v>74700</v>
      </c>
      <c r="V105" s="10">
        <v>331</v>
      </c>
      <c r="W105" s="11">
        <f>V105*75</f>
        <v>24825</v>
      </c>
      <c r="X105" s="10">
        <v>3588</v>
      </c>
      <c r="Y105" s="11">
        <f>X105*75</f>
        <v>269100</v>
      </c>
      <c r="Z105" s="10">
        <v>0</v>
      </c>
      <c r="AA105" s="11">
        <v>0</v>
      </c>
      <c r="AB105" s="10">
        <v>0</v>
      </c>
      <c r="AC105" s="11">
        <v>0</v>
      </c>
      <c r="AD105" s="10">
        <v>0</v>
      </c>
      <c r="AE105" s="11">
        <v>0</v>
      </c>
      <c r="AF105" s="10">
        <v>0</v>
      </c>
      <c r="AG105" s="11">
        <v>0</v>
      </c>
      <c r="AH105" s="10">
        <v>200</v>
      </c>
      <c r="AI105" s="11">
        <f>AH105*47.5</f>
        <v>9500</v>
      </c>
      <c r="AJ105" s="10">
        <v>243</v>
      </c>
      <c r="AK105" s="13">
        <f>AJ105*9</f>
        <v>2187</v>
      </c>
      <c r="AL105" s="10">
        <v>8</v>
      </c>
      <c r="AM105" s="13">
        <f>AL105*9</f>
        <v>72</v>
      </c>
      <c r="AN105" s="10">
        <v>0</v>
      </c>
      <c r="AO105" s="11">
        <v>0</v>
      </c>
      <c r="AP105" s="10">
        <v>0</v>
      </c>
      <c r="AQ105" s="11">
        <v>0</v>
      </c>
      <c r="AR105" s="10">
        <v>0</v>
      </c>
      <c r="AS105" s="11">
        <v>0</v>
      </c>
      <c r="AT105" s="10">
        <v>0</v>
      </c>
      <c r="AU105" s="11">
        <v>0</v>
      </c>
      <c r="AV105" s="10">
        <v>0</v>
      </c>
      <c r="AW105" s="11">
        <v>0</v>
      </c>
      <c r="AX105" s="10">
        <v>0</v>
      </c>
      <c r="AY105" s="11">
        <v>0</v>
      </c>
      <c r="AZ105" s="10">
        <v>0</v>
      </c>
      <c r="BA105" s="11">
        <v>0</v>
      </c>
      <c r="BB105" s="10">
        <v>0</v>
      </c>
      <c r="BC105" s="11">
        <v>0</v>
      </c>
      <c r="BD105" s="10">
        <v>0</v>
      </c>
      <c r="BE105" s="11">
        <v>0</v>
      </c>
      <c r="BF105" s="10">
        <v>0</v>
      </c>
      <c r="BG105" s="11">
        <v>0</v>
      </c>
      <c r="BN105" s="8">
        <f t="shared" si="86"/>
        <v>9149</v>
      </c>
      <c r="BO105" s="8">
        <f t="shared" si="87"/>
        <v>663837</v>
      </c>
      <c r="BP105" s="8">
        <f t="shared" si="90"/>
        <v>4040</v>
      </c>
      <c r="BQ105" s="12">
        <f t="shared" si="91"/>
        <v>290872</v>
      </c>
    </row>
    <row r="106" spans="1:69">
      <c r="A106" s="28">
        <v>2001</v>
      </c>
      <c r="B106" s="27" t="s">
        <v>16</v>
      </c>
      <c r="C106" s="24">
        <f t="shared" si="66"/>
        <v>60</v>
      </c>
      <c r="D106" s="7">
        <f t="shared" ca="1" si="67"/>
        <v>0.23643781685416737</v>
      </c>
      <c r="E106" s="26">
        <f t="array" aca="1" ref="E106" ca="1">AVERAGE(IF(INDIRECT(DatCol&amp;"$"&amp;TEXT(C106,"###")):INDIRECT(DatCol&amp;"$"&amp;TEXT(C106+57,"###"))&gt;0,INDIRECT(DatCol&amp;"$"&amp;TEXT(C106,"###")):INDIRECT(DatCol&amp;"$"&amp;TEXT(C106+57,"###"))))</f>
        <v>909.32999999999993</v>
      </c>
      <c r="F106" s="26" t="str">
        <f t="shared" si="89"/>
        <v>B</v>
      </c>
      <c r="G106" s="8"/>
      <c r="H106" s="59">
        <v>288</v>
      </c>
      <c r="I106" s="9">
        <v>82</v>
      </c>
      <c r="J106" s="9">
        <v>1827</v>
      </c>
      <c r="K106" s="9">
        <f t="shared" si="88"/>
        <v>2115</v>
      </c>
      <c r="L106" s="10">
        <v>632</v>
      </c>
      <c r="M106" s="11">
        <f>L106*50</f>
        <v>31600</v>
      </c>
      <c r="N106" s="10">
        <v>215</v>
      </c>
      <c r="O106" s="11">
        <f>N106*50</f>
        <v>10750</v>
      </c>
      <c r="P106" s="10">
        <v>0</v>
      </c>
      <c r="Q106" s="11">
        <v>0</v>
      </c>
      <c r="R106" s="10">
        <v>7047</v>
      </c>
      <c r="S106" s="11">
        <f>R106*75</f>
        <v>528525</v>
      </c>
      <c r="T106" s="10">
        <v>0</v>
      </c>
      <c r="U106" s="11">
        <v>0</v>
      </c>
      <c r="V106" s="10">
        <v>0</v>
      </c>
      <c r="W106" s="11">
        <v>0</v>
      </c>
      <c r="X106" s="10">
        <v>7014</v>
      </c>
      <c r="Y106" s="11">
        <f>X106*75</f>
        <v>526050</v>
      </c>
      <c r="Z106" s="10">
        <v>0</v>
      </c>
      <c r="AA106" s="11">
        <v>0</v>
      </c>
      <c r="AB106" s="10">
        <v>0</v>
      </c>
      <c r="AC106" s="11">
        <v>0</v>
      </c>
      <c r="AD106" s="10">
        <v>0</v>
      </c>
      <c r="AE106" s="11">
        <v>0</v>
      </c>
      <c r="AF106" s="10">
        <v>0</v>
      </c>
      <c r="AG106" s="11">
        <v>0</v>
      </c>
      <c r="AH106" s="10">
        <v>208</v>
      </c>
      <c r="AI106" s="11">
        <f>AH106*47.5</f>
        <v>9880</v>
      </c>
      <c r="AJ106" s="10">
        <v>328</v>
      </c>
      <c r="AK106" s="13">
        <f>AJ106*9</f>
        <v>2952</v>
      </c>
      <c r="AL106" s="10">
        <v>121</v>
      </c>
      <c r="AM106" s="13">
        <f>AL106*9</f>
        <v>1089</v>
      </c>
      <c r="AN106" s="10">
        <v>0</v>
      </c>
      <c r="AO106" s="11">
        <v>0</v>
      </c>
      <c r="AP106" s="10">
        <v>0</v>
      </c>
      <c r="AQ106" s="11">
        <v>0</v>
      </c>
      <c r="AR106" s="10">
        <v>0</v>
      </c>
      <c r="AS106" s="11">
        <v>0</v>
      </c>
      <c r="AT106" s="10">
        <v>0</v>
      </c>
      <c r="AU106" s="11">
        <v>0</v>
      </c>
      <c r="AV106" s="10">
        <v>0</v>
      </c>
      <c r="AW106" s="11">
        <v>0</v>
      </c>
      <c r="AX106" s="10">
        <v>0</v>
      </c>
      <c r="AY106" s="11">
        <v>0</v>
      </c>
      <c r="AZ106" s="10">
        <v>0</v>
      </c>
      <c r="BA106" s="11">
        <v>0</v>
      </c>
      <c r="BB106" s="10">
        <v>0</v>
      </c>
      <c r="BC106" s="11">
        <v>0</v>
      </c>
      <c r="BD106" s="10">
        <v>0</v>
      </c>
      <c r="BE106" s="11">
        <v>0</v>
      </c>
      <c r="BF106" s="10">
        <v>0</v>
      </c>
      <c r="BG106" s="11">
        <v>0</v>
      </c>
      <c r="BN106" s="8">
        <f t="shared" si="86"/>
        <v>15021</v>
      </c>
      <c r="BO106" s="8">
        <f t="shared" si="87"/>
        <v>1089127</v>
      </c>
      <c r="BP106" s="8">
        <f t="shared" si="90"/>
        <v>7558</v>
      </c>
      <c r="BQ106" s="12">
        <f t="shared" si="91"/>
        <v>547769</v>
      </c>
    </row>
    <row r="107" spans="1:69">
      <c r="A107" s="28">
        <v>2002</v>
      </c>
      <c r="B107" s="27" t="s">
        <v>16</v>
      </c>
      <c r="C107" s="24">
        <f t="shared" si="66"/>
        <v>60</v>
      </c>
      <c r="D107" s="7">
        <f t="shared" ca="1" si="67"/>
        <v>0.30242046341812107</v>
      </c>
      <c r="E107" s="26">
        <f t="array" aca="1" ref="E107" ca="1">AVERAGE(IF(INDIRECT(DatCol&amp;"$"&amp;TEXT(C107,"###")):INDIRECT(DatCol&amp;"$"&amp;TEXT(C107+57,"###"))&gt;0,INDIRECT(DatCol&amp;"$"&amp;TEXT(C107,"###")):INDIRECT(DatCol&amp;"$"&amp;TEXT(C107+57,"###"))))</f>
        <v>909.32999999999993</v>
      </c>
      <c r="F107" s="26" t="str">
        <f t="shared" si="89"/>
        <v>B</v>
      </c>
      <c r="G107" s="8"/>
      <c r="H107" s="59">
        <v>406</v>
      </c>
      <c r="I107" s="9">
        <v>58</v>
      </c>
      <c r="J107" s="9">
        <v>2031</v>
      </c>
      <c r="K107" s="9">
        <f t="shared" si="88"/>
        <v>2437</v>
      </c>
      <c r="L107" s="10">
        <v>215</v>
      </c>
      <c r="M107" s="11">
        <f>L107*50</f>
        <v>10750</v>
      </c>
      <c r="N107" s="10">
        <v>275</v>
      </c>
      <c r="O107" s="11">
        <f>N107*50</f>
        <v>13750</v>
      </c>
      <c r="P107" s="10">
        <v>0</v>
      </c>
      <c r="Q107" s="11">
        <v>0</v>
      </c>
      <c r="R107" s="10">
        <v>3224</v>
      </c>
      <c r="S107" s="11">
        <f>R107*75</f>
        <v>241800</v>
      </c>
      <c r="T107" s="10">
        <v>0</v>
      </c>
      <c r="U107" s="11">
        <v>0</v>
      </c>
      <c r="V107" s="10">
        <v>0</v>
      </c>
      <c r="W107" s="11">
        <v>0</v>
      </c>
      <c r="X107" s="10">
        <v>3250</v>
      </c>
      <c r="Y107" s="11">
        <f>X107*75</f>
        <v>243750</v>
      </c>
      <c r="Z107" s="10">
        <v>0</v>
      </c>
      <c r="AA107" s="11">
        <v>0</v>
      </c>
      <c r="AB107" s="10">
        <v>0</v>
      </c>
      <c r="AC107" s="11">
        <v>0</v>
      </c>
      <c r="AD107" s="10">
        <v>0</v>
      </c>
      <c r="AE107" s="11">
        <v>0</v>
      </c>
      <c r="AF107" s="10">
        <v>0</v>
      </c>
      <c r="AG107" s="11">
        <v>0</v>
      </c>
      <c r="AH107" s="10">
        <v>219</v>
      </c>
      <c r="AI107" s="11">
        <f>AH107*47.5</f>
        <v>10402.5</v>
      </c>
      <c r="AJ107" s="10">
        <v>245</v>
      </c>
      <c r="AK107" s="13">
        <f>AJ107*9</f>
        <v>2205</v>
      </c>
      <c r="AL107" s="10">
        <v>10</v>
      </c>
      <c r="AM107" s="13">
        <f>AL107*9</f>
        <v>90</v>
      </c>
      <c r="AN107" s="10">
        <v>0</v>
      </c>
      <c r="AO107" s="11">
        <v>0</v>
      </c>
      <c r="AP107" s="10">
        <v>0</v>
      </c>
      <c r="AQ107" s="11">
        <v>0</v>
      </c>
      <c r="AR107" s="10">
        <v>0</v>
      </c>
      <c r="AS107" s="11">
        <v>0</v>
      </c>
      <c r="AT107" s="10">
        <v>0</v>
      </c>
      <c r="AU107" s="11">
        <v>0</v>
      </c>
      <c r="AV107" s="10">
        <v>0</v>
      </c>
      <c r="AW107" s="11">
        <v>0</v>
      </c>
      <c r="AX107" s="10">
        <v>0</v>
      </c>
      <c r="AY107" s="11">
        <v>0</v>
      </c>
      <c r="AZ107" s="10">
        <v>0</v>
      </c>
      <c r="BA107" s="11">
        <v>0</v>
      </c>
      <c r="BB107" s="10">
        <v>0</v>
      </c>
      <c r="BC107" s="11">
        <v>0</v>
      </c>
      <c r="BD107" s="10">
        <v>0</v>
      </c>
      <c r="BE107" s="11">
        <v>0</v>
      </c>
      <c r="BF107" s="10">
        <v>0</v>
      </c>
      <c r="BG107" s="11">
        <v>0</v>
      </c>
      <c r="BN107" s="8">
        <f t="shared" si="86"/>
        <v>6934</v>
      </c>
      <c r="BO107" s="8">
        <f t="shared" si="87"/>
        <v>498505</v>
      </c>
      <c r="BP107" s="8">
        <f t="shared" si="90"/>
        <v>3754</v>
      </c>
      <c r="BQ107" s="12">
        <f t="shared" si="91"/>
        <v>267992.5</v>
      </c>
    </row>
    <row r="108" spans="1:69">
      <c r="A108" s="28">
        <v>2003</v>
      </c>
      <c r="B108" s="27" t="s">
        <v>16</v>
      </c>
      <c r="C108" s="24">
        <f t="shared" si="66"/>
        <v>60</v>
      </c>
      <c r="D108" s="7">
        <f t="shared" ca="1" si="67"/>
        <v>0.28372538022500082</v>
      </c>
      <c r="E108" s="26">
        <f t="array" aca="1" ref="E108" ca="1">AVERAGE(IF(INDIRECT(DatCol&amp;"$"&amp;TEXT(C108,"###")):INDIRECT(DatCol&amp;"$"&amp;TEXT(C108+57,"###"))&gt;0,INDIRECT(DatCol&amp;"$"&amp;TEXT(C108,"###")):INDIRECT(DatCol&amp;"$"&amp;TEXT(C108+57,"###"))))</f>
        <v>909.32999999999993</v>
      </c>
      <c r="F108" s="26" t="str">
        <f t="shared" si="89"/>
        <v>B</v>
      </c>
      <c r="G108" s="8"/>
      <c r="H108" s="59">
        <v>286</v>
      </c>
      <c r="I108" s="9">
        <v>53</v>
      </c>
      <c r="J108" s="9">
        <v>2199</v>
      </c>
      <c r="K108" s="9">
        <f t="shared" si="88"/>
        <v>2485</v>
      </c>
      <c r="L108" s="10">
        <v>44</v>
      </c>
      <c r="M108" s="11">
        <f>L108*50</f>
        <v>2200</v>
      </c>
      <c r="N108" s="10">
        <f>O108/50</f>
        <v>258</v>
      </c>
      <c r="O108" s="11">
        <v>12900</v>
      </c>
      <c r="P108" s="10">
        <f>Q108/75</f>
        <v>2878</v>
      </c>
      <c r="Q108" s="11">
        <v>215850</v>
      </c>
      <c r="R108" s="10">
        <v>0</v>
      </c>
      <c r="S108" s="11">
        <v>0</v>
      </c>
      <c r="T108" s="10">
        <v>0</v>
      </c>
      <c r="U108" s="11">
        <v>0</v>
      </c>
      <c r="V108" s="10">
        <v>0</v>
      </c>
      <c r="W108" s="11">
        <v>0</v>
      </c>
      <c r="X108" s="10">
        <f>Y108/75</f>
        <v>710</v>
      </c>
      <c r="Y108" s="11">
        <v>53250</v>
      </c>
      <c r="Z108" s="10">
        <v>0</v>
      </c>
      <c r="AA108" s="11">
        <v>0</v>
      </c>
      <c r="AB108" s="10">
        <v>0</v>
      </c>
      <c r="AC108" s="11">
        <v>0</v>
      </c>
      <c r="AD108" s="10">
        <v>0</v>
      </c>
      <c r="AE108" s="11">
        <v>0</v>
      </c>
      <c r="AF108" s="10">
        <v>0</v>
      </c>
      <c r="AG108" s="11">
        <v>0</v>
      </c>
      <c r="AH108" s="10">
        <f>AI108/47.5</f>
        <v>137</v>
      </c>
      <c r="AI108" s="11">
        <v>6507.5</v>
      </c>
      <c r="AJ108" s="10">
        <f>AK108/9</f>
        <v>227</v>
      </c>
      <c r="AK108" s="13">
        <v>2043</v>
      </c>
      <c r="AL108" s="10">
        <f>AM108/9</f>
        <v>42</v>
      </c>
      <c r="AM108" s="13">
        <v>378</v>
      </c>
      <c r="AN108" s="10">
        <v>0</v>
      </c>
      <c r="AO108" s="11">
        <v>0</v>
      </c>
      <c r="AP108" s="10">
        <v>0</v>
      </c>
      <c r="AQ108" s="11">
        <v>0</v>
      </c>
      <c r="AR108" s="10">
        <v>0</v>
      </c>
      <c r="AS108" s="11">
        <v>0</v>
      </c>
      <c r="AT108" s="10">
        <v>0</v>
      </c>
      <c r="AU108" s="11">
        <v>0</v>
      </c>
      <c r="AV108" s="10">
        <v>0</v>
      </c>
      <c r="AW108" s="11">
        <v>0</v>
      </c>
      <c r="AX108" s="10">
        <v>0</v>
      </c>
      <c r="AY108" s="11">
        <v>0</v>
      </c>
      <c r="AZ108" s="10">
        <v>0</v>
      </c>
      <c r="BA108" s="11">
        <v>0</v>
      </c>
      <c r="BB108" s="10">
        <v>0</v>
      </c>
      <c r="BC108" s="11">
        <v>0</v>
      </c>
      <c r="BD108" s="10">
        <v>0</v>
      </c>
      <c r="BE108" s="11">
        <v>0</v>
      </c>
      <c r="BF108" s="10">
        <v>0</v>
      </c>
      <c r="BG108" s="11">
        <v>0</v>
      </c>
      <c r="BH108" s="11">
        <v>0</v>
      </c>
      <c r="BN108" s="8">
        <f t="shared" si="86"/>
        <v>3859</v>
      </c>
      <c r="BO108" s="8">
        <f t="shared" si="87"/>
        <v>273343</v>
      </c>
      <c r="BP108" s="8">
        <f t="shared" si="90"/>
        <v>1147</v>
      </c>
      <c r="BQ108" s="12">
        <f t="shared" si="91"/>
        <v>73035.5</v>
      </c>
    </row>
    <row r="109" spans="1:69">
      <c r="A109" s="28">
        <v>2004</v>
      </c>
      <c r="B109" s="27" t="s">
        <v>16</v>
      </c>
      <c r="C109" s="24">
        <f t="shared" si="66"/>
        <v>60</v>
      </c>
      <c r="D109" s="7">
        <f t="shared" ca="1" si="67"/>
        <v>0.28372538022500082</v>
      </c>
      <c r="E109" s="26">
        <f t="array" aca="1" ref="E109" ca="1">AVERAGE(IF(INDIRECT(DatCol&amp;"$"&amp;TEXT(C109,"###")):INDIRECT(DatCol&amp;"$"&amp;TEXT(C109+57,"###"))&gt;0,INDIRECT(DatCol&amp;"$"&amp;TEXT(C109,"###")):INDIRECT(DatCol&amp;"$"&amp;TEXT(C109+57,"###"))))</f>
        <v>909.32999999999993</v>
      </c>
      <c r="F109" s="26" t="str">
        <f t="shared" si="89"/>
        <v>B</v>
      </c>
      <c r="G109" s="8"/>
      <c r="H109" s="59">
        <v>286</v>
      </c>
      <c r="I109" s="9">
        <v>43</v>
      </c>
      <c r="J109" s="9">
        <v>2199</v>
      </c>
      <c r="K109" s="9">
        <f t="shared" si="88"/>
        <v>2485</v>
      </c>
      <c r="L109" s="10">
        <v>44</v>
      </c>
      <c r="M109" s="11">
        <v>2200</v>
      </c>
      <c r="N109" s="10">
        <v>258</v>
      </c>
      <c r="O109" s="11">
        <v>12900</v>
      </c>
      <c r="P109" s="10">
        <v>2878</v>
      </c>
      <c r="Q109" s="11">
        <v>215850</v>
      </c>
      <c r="R109" s="10">
        <v>0</v>
      </c>
      <c r="S109" s="11">
        <v>0</v>
      </c>
      <c r="T109" s="10">
        <v>0</v>
      </c>
      <c r="U109" s="11">
        <v>0</v>
      </c>
      <c r="V109" s="10">
        <v>0</v>
      </c>
      <c r="W109" s="11">
        <v>0</v>
      </c>
      <c r="X109" s="10">
        <v>710</v>
      </c>
      <c r="Y109" s="11">
        <v>53250</v>
      </c>
      <c r="Z109" s="10">
        <v>0</v>
      </c>
      <c r="AA109" s="11">
        <v>0</v>
      </c>
      <c r="AB109" s="10">
        <v>0</v>
      </c>
      <c r="AC109" s="11">
        <v>0</v>
      </c>
      <c r="AD109" s="10">
        <v>0</v>
      </c>
      <c r="AE109" s="11">
        <v>0</v>
      </c>
      <c r="AF109" s="10">
        <v>0</v>
      </c>
      <c r="AG109" s="11">
        <v>0</v>
      </c>
      <c r="AH109" s="10">
        <f>AI109/47.5</f>
        <v>137.01052631578946</v>
      </c>
      <c r="AI109" s="11">
        <v>6508</v>
      </c>
      <c r="AJ109" s="10">
        <f>AK109/9</f>
        <v>1261.1111111111111</v>
      </c>
      <c r="AK109" s="13">
        <v>11350</v>
      </c>
      <c r="AL109" s="10">
        <f>AM109/9</f>
        <v>233.33333333333334</v>
      </c>
      <c r="AM109" s="13">
        <v>2100</v>
      </c>
      <c r="AN109" s="10">
        <v>0</v>
      </c>
      <c r="AO109" s="11">
        <v>0</v>
      </c>
      <c r="AP109" s="10">
        <v>0</v>
      </c>
      <c r="AQ109" s="11">
        <v>0</v>
      </c>
      <c r="AR109" s="10">
        <v>0</v>
      </c>
      <c r="AS109" s="11">
        <v>0</v>
      </c>
      <c r="AT109" s="10">
        <v>0</v>
      </c>
      <c r="AU109" s="11">
        <v>0</v>
      </c>
      <c r="AV109" s="10">
        <v>0</v>
      </c>
      <c r="AW109" s="11">
        <v>0</v>
      </c>
      <c r="AX109" s="10">
        <v>0</v>
      </c>
      <c r="AY109" s="11">
        <v>0</v>
      </c>
      <c r="AZ109" s="10">
        <v>0</v>
      </c>
      <c r="BA109" s="11">
        <v>0</v>
      </c>
      <c r="BB109" s="10">
        <v>0</v>
      </c>
      <c r="BC109" s="11">
        <v>0</v>
      </c>
      <c r="BD109" s="10">
        <v>0</v>
      </c>
      <c r="BE109" s="11">
        <v>0</v>
      </c>
      <c r="BF109" s="10">
        <v>0</v>
      </c>
      <c r="BN109" s="8">
        <f t="shared" si="86"/>
        <v>4893.1111111111113</v>
      </c>
      <c r="BO109" s="8">
        <f t="shared" si="87"/>
        <v>282650</v>
      </c>
      <c r="BP109" s="8">
        <f t="shared" si="90"/>
        <v>1338.3438596491228</v>
      </c>
      <c r="BQ109" s="12">
        <f t="shared" si="91"/>
        <v>74758</v>
      </c>
    </row>
    <row r="110" spans="1:69">
      <c r="A110" s="28">
        <v>2005</v>
      </c>
      <c r="B110" s="27" t="s">
        <v>16</v>
      </c>
      <c r="C110" s="24">
        <f t="shared" si="66"/>
        <v>60</v>
      </c>
      <c r="D110" s="7">
        <f t="shared" ca="1" si="67"/>
        <v>0.13581428084413799</v>
      </c>
      <c r="E110" s="26">
        <f t="array" aca="1" ref="E110" ca="1">AVERAGE(IF(INDIRECT(DatCol&amp;"$"&amp;TEXT(C110,"###")):INDIRECT(DatCol&amp;"$"&amp;TEXT(C110+57,"###"))&gt;0,INDIRECT(DatCol&amp;"$"&amp;TEXT(C110,"###")):INDIRECT(DatCol&amp;"$"&amp;TEXT(C110+57,"###"))))</f>
        <v>909.32999999999993</v>
      </c>
      <c r="F110" s="26" t="str">
        <f t="shared" si="89"/>
        <v>B</v>
      </c>
      <c r="G110" s="8"/>
      <c r="H110" s="9">
        <v>242</v>
      </c>
      <c r="I110" s="9">
        <v>29</v>
      </c>
      <c r="J110" s="9">
        <v>1710</v>
      </c>
      <c r="K110" s="9">
        <f t="shared" si="88"/>
        <v>1952</v>
      </c>
      <c r="L110" s="10">
        <v>0</v>
      </c>
      <c r="M110" s="11">
        <v>0</v>
      </c>
      <c r="N110" s="10">
        <f>O110/50</f>
        <v>123.5</v>
      </c>
      <c r="O110" s="11">
        <v>6175</v>
      </c>
      <c r="P110" s="10">
        <f>Q110/75</f>
        <v>1335</v>
      </c>
      <c r="Q110" s="11">
        <v>100125</v>
      </c>
      <c r="R110" s="10">
        <v>0</v>
      </c>
      <c r="S110" s="11">
        <v>0</v>
      </c>
      <c r="T110" s="10">
        <v>0</v>
      </c>
      <c r="U110" s="11">
        <v>0</v>
      </c>
      <c r="V110" s="10">
        <v>0</v>
      </c>
      <c r="W110" s="11">
        <v>0</v>
      </c>
      <c r="X110" s="10">
        <f>Y110/75</f>
        <v>387.4</v>
      </c>
      <c r="Y110" s="11">
        <v>29055</v>
      </c>
      <c r="Z110" s="10">
        <v>0</v>
      </c>
      <c r="AA110" s="11">
        <v>0</v>
      </c>
      <c r="AB110" s="10">
        <v>0</v>
      </c>
      <c r="AC110" s="11">
        <v>0</v>
      </c>
      <c r="AD110" s="10">
        <v>0</v>
      </c>
      <c r="AE110" s="11">
        <v>0</v>
      </c>
      <c r="AF110" s="10">
        <v>0</v>
      </c>
      <c r="AG110" s="11">
        <v>0</v>
      </c>
      <c r="AH110" s="10">
        <f>AI110/47.5</f>
        <v>72.250105263157891</v>
      </c>
      <c r="AI110" s="11">
        <v>3431.88</v>
      </c>
      <c r="AJ110" s="10">
        <f>AK110/9</f>
        <v>114.5</v>
      </c>
      <c r="AK110" s="13">
        <v>1030.5</v>
      </c>
      <c r="AL110" s="10">
        <f>AM110/9</f>
        <v>18</v>
      </c>
      <c r="AM110" s="13">
        <v>162</v>
      </c>
      <c r="AN110" s="10">
        <v>0</v>
      </c>
      <c r="AO110" s="11">
        <v>0</v>
      </c>
      <c r="AP110" s="10">
        <v>0</v>
      </c>
      <c r="AQ110" s="11">
        <v>0</v>
      </c>
      <c r="AR110" s="10">
        <v>0</v>
      </c>
      <c r="AS110" s="11">
        <v>0</v>
      </c>
      <c r="AT110" s="10">
        <v>0</v>
      </c>
      <c r="AU110" s="11">
        <v>0</v>
      </c>
      <c r="AV110" s="10">
        <v>0</v>
      </c>
      <c r="AW110" s="11">
        <v>0</v>
      </c>
      <c r="AX110" s="10">
        <v>0</v>
      </c>
      <c r="AY110" s="11">
        <v>0</v>
      </c>
      <c r="AZ110" s="10">
        <v>0</v>
      </c>
      <c r="BA110" s="11">
        <v>0</v>
      </c>
      <c r="BB110" s="10">
        <v>0</v>
      </c>
      <c r="BC110" s="11">
        <v>0</v>
      </c>
      <c r="BD110" s="10">
        <v>0</v>
      </c>
      <c r="BE110" s="11">
        <v>0</v>
      </c>
      <c r="BF110" s="10">
        <v>0</v>
      </c>
      <c r="BN110" s="8">
        <f t="shared" si="86"/>
        <v>1836.9</v>
      </c>
      <c r="BO110" s="8">
        <f t="shared" si="87"/>
        <v>130210.5</v>
      </c>
      <c r="BP110" s="8">
        <f t="shared" si="90"/>
        <v>601.15010526315791</v>
      </c>
      <c r="BQ110" s="12">
        <f t="shared" si="91"/>
        <v>38823.879999999997</v>
      </c>
    </row>
    <row r="111" spans="1:69">
      <c r="A111" s="28">
        <v>2006</v>
      </c>
      <c r="B111" s="27" t="s">
        <v>16</v>
      </c>
      <c r="C111" s="24">
        <f t="shared" si="66"/>
        <v>60</v>
      </c>
      <c r="D111" s="7">
        <f t="shared" ca="1" si="67"/>
        <v>0.21196925208670123</v>
      </c>
      <c r="E111" s="26">
        <f t="array" aca="1" ref="E111" ca="1">AVERAGE(IF(INDIRECT(DatCol&amp;"$"&amp;TEXT(C111,"###")):INDIRECT(DatCol&amp;"$"&amp;TEXT(C111+57,"###"))&gt;0,INDIRECT(DatCol&amp;"$"&amp;TEXT(C111,"###")):INDIRECT(DatCol&amp;"$"&amp;TEXT(C111+57,"###"))))</f>
        <v>909.32999999999993</v>
      </c>
      <c r="F111" s="26" t="str">
        <f t="shared" si="89"/>
        <v>B</v>
      </c>
      <c r="G111" s="8"/>
      <c r="H111" s="9">
        <v>177</v>
      </c>
      <c r="I111" s="9">
        <f>26+7+2</f>
        <v>35</v>
      </c>
      <c r="J111" s="9">
        <v>1802</v>
      </c>
      <c r="K111" s="9">
        <f t="shared" si="88"/>
        <v>1979</v>
      </c>
      <c r="L111" s="10">
        <v>0</v>
      </c>
      <c r="M111" s="11">
        <v>0</v>
      </c>
      <c r="N111" s="10">
        <f>O111/50</f>
        <v>192.75</v>
      </c>
      <c r="O111" s="11">
        <v>9637.5</v>
      </c>
      <c r="P111" s="10">
        <f>Q111/75</f>
        <v>1495.1266666666668</v>
      </c>
      <c r="Q111" s="11">
        <v>112134.5</v>
      </c>
      <c r="R111" s="10">
        <v>0</v>
      </c>
      <c r="S111" s="11">
        <v>0</v>
      </c>
      <c r="T111" s="10">
        <v>0</v>
      </c>
      <c r="U111" s="11">
        <v>0</v>
      </c>
      <c r="V111" s="10">
        <v>0</v>
      </c>
      <c r="W111" s="11">
        <v>0</v>
      </c>
      <c r="X111" s="10">
        <f>Y111/75</f>
        <v>446.28933333333327</v>
      </c>
      <c r="Y111" s="11">
        <v>33471.699999999997</v>
      </c>
      <c r="Z111" s="10">
        <v>0</v>
      </c>
      <c r="AA111" s="11">
        <v>0</v>
      </c>
      <c r="AB111" s="10">
        <v>0</v>
      </c>
      <c r="AC111" s="11">
        <v>0</v>
      </c>
      <c r="AD111" s="10">
        <v>0</v>
      </c>
      <c r="AE111" s="11">
        <v>0</v>
      </c>
      <c r="AF111" s="10">
        <v>0</v>
      </c>
      <c r="AG111" s="11">
        <v>0</v>
      </c>
      <c r="AH111" s="10">
        <f>AI111/47.5</f>
        <v>74.5</v>
      </c>
      <c r="AI111" s="11">
        <v>3538.75</v>
      </c>
      <c r="AJ111" s="10">
        <f>AK111/9</f>
        <v>677.77777777777783</v>
      </c>
      <c r="AK111" s="13">
        <v>6100</v>
      </c>
      <c r="AL111" s="10">
        <f>AM111/9</f>
        <v>419.44444444444446</v>
      </c>
      <c r="AM111" s="13">
        <v>3775</v>
      </c>
      <c r="AN111" s="10">
        <v>0</v>
      </c>
      <c r="AO111" s="11">
        <v>0</v>
      </c>
      <c r="AP111" s="10">
        <v>0</v>
      </c>
      <c r="AQ111" s="11">
        <v>0</v>
      </c>
      <c r="AR111" s="10">
        <v>0</v>
      </c>
      <c r="AS111" s="11">
        <v>0</v>
      </c>
      <c r="AT111" s="10">
        <v>0</v>
      </c>
      <c r="AU111" s="11">
        <v>0</v>
      </c>
      <c r="AV111" s="10">
        <v>0</v>
      </c>
      <c r="AW111" s="11">
        <v>0</v>
      </c>
      <c r="AX111" s="10">
        <v>0</v>
      </c>
      <c r="AY111" s="11">
        <v>0</v>
      </c>
      <c r="AZ111" s="10">
        <v>0</v>
      </c>
      <c r="BA111" s="11">
        <v>0</v>
      </c>
      <c r="BB111" s="10">
        <v>0</v>
      </c>
      <c r="BC111" s="11">
        <v>0</v>
      </c>
      <c r="BD111" s="10">
        <v>0</v>
      </c>
      <c r="BE111" s="11">
        <v>0</v>
      </c>
      <c r="BF111" s="10">
        <v>0</v>
      </c>
      <c r="BG111" s="11">
        <v>0</v>
      </c>
      <c r="BH111" s="11">
        <v>0</v>
      </c>
      <c r="BI111" s="11">
        <v>0</v>
      </c>
      <c r="BN111" s="8">
        <f t="shared" si="86"/>
        <v>2619.193777777778</v>
      </c>
      <c r="BO111" s="8">
        <f t="shared" si="87"/>
        <v>151706.20000000001</v>
      </c>
      <c r="BP111" s="8">
        <f t="shared" si="90"/>
        <v>1132.9837777777777</v>
      </c>
      <c r="BQ111" s="12">
        <f t="shared" si="91"/>
        <v>50422.95</v>
      </c>
    </row>
    <row r="112" spans="1:69">
      <c r="A112" s="28">
        <v>2007</v>
      </c>
      <c r="B112" s="27" t="s">
        <v>16</v>
      </c>
      <c r="C112" s="24">
        <f t="shared" si="66"/>
        <v>60</v>
      </c>
      <c r="D112" s="7">
        <f t="shared" ca="1" si="67"/>
        <v>8.9626428249370421E-2</v>
      </c>
      <c r="E112" s="26">
        <f t="array" aca="1" ref="E112" ca="1">AVERAGE(IF(INDIRECT(DatCol&amp;"$"&amp;TEXT(C112,"###")):INDIRECT(DatCol&amp;"$"&amp;TEXT(C112+57,"###"))&gt;0,INDIRECT(DatCol&amp;"$"&amp;TEXT(C112,"###")):INDIRECT(DatCol&amp;"$"&amp;TEXT(C112+57,"###"))))</f>
        <v>909.32999999999993</v>
      </c>
      <c r="F112" s="26" t="str">
        <f t="shared" si="89"/>
        <v>B</v>
      </c>
      <c r="G112" s="8"/>
      <c r="H112" s="9">
        <v>163</v>
      </c>
      <c r="I112" s="9">
        <f>19+5+2+1</f>
        <v>27</v>
      </c>
      <c r="J112" s="9">
        <v>1834</v>
      </c>
      <c r="K112" s="9">
        <f t="shared" si="88"/>
        <v>1997</v>
      </c>
      <c r="L112" s="10">
        <v>0</v>
      </c>
      <c r="M112" s="11">
        <v>0</v>
      </c>
      <c r="N112" s="10">
        <f>O112/50</f>
        <v>81.5</v>
      </c>
      <c r="O112" s="11">
        <v>4075</v>
      </c>
      <c r="P112" s="10">
        <f>Q112/75</f>
        <v>863.49733333333336</v>
      </c>
      <c r="Q112" s="11">
        <v>64762.3</v>
      </c>
      <c r="R112" s="10">
        <v>0</v>
      </c>
      <c r="S112" s="11">
        <v>0</v>
      </c>
      <c r="T112" s="10">
        <v>0</v>
      </c>
      <c r="U112" s="11">
        <v>0</v>
      </c>
      <c r="V112" s="10">
        <v>0</v>
      </c>
      <c r="W112" s="11">
        <v>0</v>
      </c>
      <c r="X112" s="10">
        <f>Y112/75</f>
        <v>397</v>
      </c>
      <c r="Y112" s="11">
        <v>29775</v>
      </c>
      <c r="Z112" s="10">
        <v>0</v>
      </c>
      <c r="AA112" s="11">
        <v>0</v>
      </c>
      <c r="AB112" s="10">
        <v>0</v>
      </c>
      <c r="AC112" s="11">
        <v>0</v>
      </c>
      <c r="AD112" s="10">
        <v>0</v>
      </c>
      <c r="AE112" s="11">
        <v>0</v>
      </c>
      <c r="AF112" s="10">
        <v>0</v>
      </c>
      <c r="AG112" s="11">
        <v>0</v>
      </c>
      <c r="AH112" s="10">
        <f>AI112/47.5</f>
        <v>88.749473684210528</v>
      </c>
      <c r="AI112" s="11">
        <v>4215.6000000000004</v>
      </c>
      <c r="AJ112" s="10">
        <f>AK112/9</f>
        <v>1288.8888888888889</v>
      </c>
      <c r="AK112" s="13">
        <v>11600</v>
      </c>
      <c r="AL112" s="10">
        <f>AM112/9</f>
        <v>802.77777777777783</v>
      </c>
      <c r="AM112" s="13">
        <v>7225</v>
      </c>
      <c r="AN112" s="10">
        <v>0</v>
      </c>
      <c r="AO112" s="11">
        <v>0</v>
      </c>
      <c r="AP112" s="10">
        <v>0</v>
      </c>
      <c r="AQ112" s="11">
        <v>0</v>
      </c>
      <c r="AR112" s="10">
        <v>0</v>
      </c>
      <c r="AS112" s="11">
        <v>0</v>
      </c>
      <c r="AT112" s="10">
        <v>0</v>
      </c>
      <c r="AU112" s="11">
        <v>0</v>
      </c>
      <c r="AV112" s="10">
        <v>0</v>
      </c>
      <c r="AW112" s="11">
        <v>0</v>
      </c>
      <c r="AX112" s="10">
        <v>0</v>
      </c>
      <c r="AY112" s="11">
        <v>0</v>
      </c>
      <c r="AZ112" s="10">
        <v>0</v>
      </c>
      <c r="BA112" s="11">
        <v>0</v>
      </c>
      <c r="BB112" s="10">
        <v>0</v>
      </c>
      <c r="BC112" s="11">
        <v>0</v>
      </c>
      <c r="BD112" s="10">
        <v>0</v>
      </c>
      <c r="BE112" s="11">
        <v>0</v>
      </c>
      <c r="BF112" s="10">
        <v>0</v>
      </c>
      <c r="BG112" s="11">
        <v>0</v>
      </c>
      <c r="BH112" s="11">
        <v>0</v>
      </c>
      <c r="BI112" s="11">
        <v>0</v>
      </c>
      <c r="BN112" s="8">
        <f t="shared" si="86"/>
        <v>2549.3862222222224</v>
      </c>
      <c r="BO112" s="8">
        <f t="shared" si="87"/>
        <v>106137.3</v>
      </c>
      <c r="BP112" s="8">
        <f t="shared" si="90"/>
        <v>1370.0272514619883</v>
      </c>
      <c r="BQ112" s="12">
        <f t="shared" si="91"/>
        <v>45290.6</v>
      </c>
    </row>
    <row r="113" spans="1:69">
      <c r="A113" s="28">
        <v>2008</v>
      </c>
      <c r="B113" s="27" t="s">
        <v>16</v>
      </c>
      <c r="C113" s="24">
        <f t="shared" si="66"/>
        <v>60</v>
      </c>
      <c r="D113" s="7" t="e">
        <f t="shared" ca="1" si="67"/>
        <v>#N/A</v>
      </c>
      <c r="E113" s="26">
        <f t="array" aca="1" ref="E113" ca="1">AVERAGE(IF(INDIRECT(DatCol&amp;"$"&amp;TEXT(C113,"###")):INDIRECT(DatCol&amp;"$"&amp;TEXT(C113+57,"###"))&gt;0,INDIRECT(DatCol&amp;"$"&amp;TEXT(C113,"###")):INDIRECT(DatCol&amp;"$"&amp;TEXT(C113+57,"###"))))</f>
        <v>909.32999999999993</v>
      </c>
      <c r="F113" s="26" t="str">
        <f t="shared" si="89"/>
        <v>B</v>
      </c>
      <c r="G113" s="8">
        <v>408</v>
      </c>
      <c r="H113" s="9">
        <v>138</v>
      </c>
      <c r="I113" s="9">
        <v>24</v>
      </c>
      <c r="J113" s="9">
        <v>1340</v>
      </c>
      <c r="K113" s="9">
        <f t="shared" si="88"/>
        <v>1886</v>
      </c>
      <c r="AK113" s="13"/>
      <c r="AM113" s="13"/>
      <c r="BN113" s="8">
        <f t="shared" si="86"/>
        <v>0</v>
      </c>
      <c r="BO113" s="8">
        <f t="shared" si="87"/>
        <v>0</v>
      </c>
      <c r="BP113" s="8">
        <f t="shared" si="90"/>
        <v>0</v>
      </c>
      <c r="BQ113" s="12">
        <f t="shared" si="91"/>
        <v>0</v>
      </c>
    </row>
    <row r="114" spans="1:69">
      <c r="A114" s="28">
        <v>2009</v>
      </c>
      <c r="B114" s="27" t="s">
        <v>16</v>
      </c>
      <c r="C114" s="24">
        <f t="shared" si="66"/>
        <v>60</v>
      </c>
      <c r="D114" s="7" t="e">
        <f t="shared" ca="1" si="67"/>
        <v>#N/A</v>
      </c>
      <c r="E114" s="26">
        <f t="array" aca="1" ref="E114" ca="1">AVERAGE(IF(INDIRECT(DatCol&amp;"$"&amp;TEXT(C114,"###")):INDIRECT(DatCol&amp;"$"&amp;TEXT(C114+57,"###"))&gt;0,INDIRECT(DatCol&amp;"$"&amp;TEXT(C114,"###")):INDIRECT(DatCol&amp;"$"&amp;TEXT(C114+57,"###"))))</f>
        <v>909.32999999999993</v>
      </c>
      <c r="F114" s="26" t="str">
        <f t="shared" si="89"/>
        <v>B</v>
      </c>
      <c r="G114" s="8">
        <v>444</v>
      </c>
      <c r="H114" s="9">
        <v>139</v>
      </c>
      <c r="I114" s="9">
        <v>22</v>
      </c>
      <c r="J114" s="9">
        <v>1376</v>
      </c>
      <c r="K114" s="9">
        <f t="shared" si="88"/>
        <v>1959</v>
      </c>
      <c r="AK114" s="13"/>
      <c r="AM114" s="13"/>
      <c r="BN114" s="8">
        <f t="shared" si="86"/>
        <v>0</v>
      </c>
      <c r="BO114" s="8">
        <f t="shared" si="87"/>
        <v>0</v>
      </c>
      <c r="BP114" s="8">
        <f t="shared" si="90"/>
        <v>0</v>
      </c>
      <c r="BQ114" s="12">
        <f t="shared" si="91"/>
        <v>0</v>
      </c>
    </row>
    <row r="115" spans="1:69">
      <c r="A115" s="28">
        <v>2010</v>
      </c>
      <c r="B115" s="27" t="s">
        <v>16</v>
      </c>
      <c r="C115" s="24">
        <f t="shared" si="66"/>
        <v>60</v>
      </c>
      <c r="D115" s="7" t="e">
        <f t="shared" ca="1" si="67"/>
        <v>#N/A</v>
      </c>
      <c r="E115" s="26">
        <f t="array" aca="1" ref="E115" ca="1">AVERAGE(IF(INDIRECT(DatCol&amp;"$"&amp;TEXT(C115,"###")):INDIRECT(DatCol&amp;"$"&amp;TEXT(C115+57,"###"))&gt;0,INDIRECT(DatCol&amp;"$"&amp;TEXT(C115,"###")):INDIRECT(DatCol&amp;"$"&amp;TEXT(C115+57,"###"))))</f>
        <v>909.32999999999993</v>
      </c>
      <c r="F115" s="26" t="str">
        <f t="shared" ref="F115:F117" si="110">VLOOKUP(B115,town_region,2,FALSE)</f>
        <v>B</v>
      </c>
      <c r="G115" s="8"/>
      <c r="AK115" s="13"/>
      <c r="AM115" s="13"/>
      <c r="BN115" s="8"/>
      <c r="BO115" s="8"/>
      <c r="BP115" s="8"/>
      <c r="BQ115" s="12"/>
    </row>
    <row r="116" spans="1:69">
      <c r="A116" s="28">
        <v>2011</v>
      </c>
      <c r="B116" s="27" t="s">
        <v>16</v>
      </c>
      <c r="C116" s="24">
        <f t="shared" si="66"/>
        <v>60</v>
      </c>
      <c r="D116" s="7" t="e">
        <f t="shared" ca="1" si="67"/>
        <v>#N/A</v>
      </c>
      <c r="E116" s="26">
        <f t="array" aca="1" ref="E116" ca="1">AVERAGE(IF(INDIRECT(DatCol&amp;"$"&amp;TEXT(C116,"###")):INDIRECT(DatCol&amp;"$"&amp;TEXT(C116+57,"###"))&gt;0,INDIRECT(DatCol&amp;"$"&amp;TEXT(C116,"###")):INDIRECT(DatCol&amp;"$"&amp;TEXT(C116+57,"###"))))</f>
        <v>909.32999999999993</v>
      </c>
      <c r="F116" s="26" t="str">
        <f t="shared" si="110"/>
        <v>B</v>
      </c>
      <c r="G116" s="8"/>
      <c r="AK116" s="13"/>
      <c r="AM116" s="13"/>
      <c r="BN116" s="8"/>
      <c r="BO116" s="8"/>
      <c r="BP116" s="8"/>
      <c r="BQ116" s="12"/>
    </row>
    <row r="117" spans="1:69">
      <c r="A117" s="28">
        <v>2012</v>
      </c>
      <c r="B117" s="27" t="s">
        <v>16</v>
      </c>
      <c r="C117" s="24">
        <f t="shared" si="66"/>
        <v>60</v>
      </c>
      <c r="D117" s="7" t="e">
        <f t="shared" ca="1" si="67"/>
        <v>#N/A</v>
      </c>
      <c r="E117" s="26">
        <f t="array" aca="1" ref="E117" ca="1">AVERAGE(IF(INDIRECT(DatCol&amp;"$"&amp;TEXT(C117,"###")):INDIRECT(DatCol&amp;"$"&amp;TEXT(C117+57,"###"))&gt;0,INDIRECT(DatCol&amp;"$"&amp;TEXT(C117,"###")):INDIRECT(DatCol&amp;"$"&amp;TEXT(C117+57,"###"))))</f>
        <v>909.32999999999993</v>
      </c>
      <c r="F117" s="26" t="str">
        <f t="shared" si="110"/>
        <v>B</v>
      </c>
      <c r="G117" s="8"/>
      <c r="AK117" s="13"/>
      <c r="AM117" s="13"/>
      <c r="BN117" s="8"/>
      <c r="BO117" s="8"/>
      <c r="BP117" s="8"/>
      <c r="BQ117" s="12"/>
    </row>
    <row r="118" spans="1:69">
      <c r="A118" s="28">
        <v>1955</v>
      </c>
      <c r="B118" s="27" t="s">
        <v>17</v>
      </c>
      <c r="C118" s="24">
        <f>ROW()</f>
        <v>118</v>
      </c>
      <c r="D118" s="7" t="e">
        <f t="shared" ca="1" si="67"/>
        <v>#N/A</v>
      </c>
      <c r="E118" s="26">
        <f t="array" aca="1" ref="E118" ca="1">AVERAGE(IF(INDIRECT(DatCol&amp;"$"&amp;TEXT(C118,"###")):INDIRECT(DatCol&amp;"$"&amp;TEXT(C118+57,"###"))&gt;0,INDIRECT(DatCol&amp;"$"&amp;TEXT(C118,"###")):INDIRECT(DatCol&amp;"$"&amp;TEXT(C118+57,"###"))))</f>
        <v>272.50857142857149</v>
      </c>
      <c r="F118" s="26" t="str">
        <f t="shared" si="89"/>
        <v>C</v>
      </c>
      <c r="G118" s="8"/>
      <c r="H118" s="8">
        <v>87</v>
      </c>
      <c r="I118" s="8">
        <v>63</v>
      </c>
      <c r="J118" s="8">
        <v>334</v>
      </c>
      <c r="K118" s="9">
        <f t="shared" si="88"/>
        <v>421</v>
      </c>
      <c r="M118" s="11">
        <f t="shared" ref="M118:M128" si="111">(L118*50)</f>
        <v>0</v>
      </c>
      <c r="O118" s="11">
        <f t="shared" ref="O118:O128" si="112">(N118*50)</f>
        <v>0</v>
      </c>
      <c r="P118" s="12">
        <v>700</v>
      </c>
      <c r="Q118" s="11">
        <f t="shared" ref="Q118:Q128" si="113">((P118*330)/5.5)</f>
        <v>42000</v>
      </c>
      <c r="X118" s="12">
        <v>300</v>
      </c>
      <c r="Y118" s="11">
        <f t="shared" ref="Y118:Y128" si="114">((X118*330)/5.5)</f>
        <v>18000</v>
      </c>
      <c r="AG118" s="11">
        <f t="shared" ref="AG118:AG128" si="115">(AF118*65)</f>
        <v>0</v>
      </c>
      <c r="AI118" s="11">
        <f t="shared" ref="AI118:AI128" si="116">(AH118*65)</f>
        <v>0</v>
      </c>
      <c r="AK118" s="13">
        <f t="shared" ref="AK118:AK128" si="117">(AJ118*9)</f>
        <v>0</v>
      </c>
      <c r="AM118" s="13">
        <f t="shared" ref="AM118:AM128" si="118">(AL118*9)</f>
        <v>0</v>
      </c>
      <c r="AN118" s="12">
        <v>100</v>
      </c>
      <c r="AO118" s="11">
        <f t="shared" ref="AO118:AO128" si="119">(AN118*80)</f>
        <v>8000</v>
      </c>
      <c r="AP118" s="12">
        <v>50</v>
      </c>
      <c r="AQ118" s="11">
        <f t="shared" ref="AQ118:AQ128" si="120">(AP118*80)</f>
        <v>4000</v>
      </c>
      <c r="AS118" s="11">
        <f t="shared" ref="AS118:AS128" si="121">(AR118*50)</f>
        <v>0</v>
      </c>
      <c r="AU118" s="11">
        <f t="shared" ref="AU118:AU128" si="122">(AT118*50)</f>
        <v>0</v>
      </c>
      <c r="AW118" s="11">
        <f t="shared" ref="AW118:AW128" si="123">(AV118*60)</f>
        <v>0</v>
      </c>
      <c r="AY118" s="11">
        <f t="shared" ref="AY118:AY128" si="124">(AX118*60)</f>
        <v>0</v>
      </c>
      <c r="AZ118" s="12">
        <v>35</v>
      </c>
      <c r="BA118" s="11">
        <f t="shared" ref="BA118:BA128" si="125">(AZ118*40)</f>
        <v>1400</v>
      </c>
      <c r="BB118" s="12">
        <v>15</v>
      </c>
      <c r="BC118" s="11">
        <f t="shared" ref="BC118:BC128" si="126">(BB118*40)</f>
        <v>600</v>
      </c>
      <c r="BE118" s="11">
        <f t="shared" ref="BE118:BE128" si="127">(BD118*95)</f>
        <v>0</v>
      </c>
      <c r="BG118" s="11">
        <f t="shared" ref="BG118:BG128" si="128">(BF118*95)</f>
        <v>0</v>
      </c>
      <c r="BN118" s="8">
        <f t="shared" si="86"/>
        <v>1135</v>
      </c>
      <c r="BO118" s="8">
        <f t="shared" si="87"/>
        <v>69400</v>
      </c>
      <c r="BP118" s="8">
        <f t="shared" si="90"/>
        <v>365</v>
      </c>
      <c r="BQ118" s="12">
        <f t="shared" si="91"/>
        <v>22600</v>
      </c>
    </row>
    <row r="119" spans="1:69">
      <c r="A119" s="28">
        <v>1956</v>
      </c>
      <c r="B119" s="27" t="s">
        <v>17</v>
      </c>
      <c r="C119" s="24">
        <f t="shared" ref="C119:C175" si="129">C118</f>
        <v>118</v>
      </c>
      <c r="D119" s="7" t="e">
        <f t="shared" ca="1" si="67"/>
        <v>#N/A</v>
      </c>
      <c r="E119" s="26">
        <f t="array" aca="1" ref="E119" ca="1">AVERAGE(IF(INDIRECT(DatCol&amp;"$"&amp;TEXT(C119,"###")):INDIRECT(DatCol&amp;"$"&amp;TEXT(C119+57,"###"))&gt;0,INDIRECT(DatCol&amp;"$"&amp;TEXT(C119,"###")):INDIRECT(DatCol&amp;"$"&amp;TEXT(C119+57,"###"))))</f>
        <v>272.50857142857149</v>
      </c>
      <c r="F119" s="26" t="str">
        <f t="shared" si="89"/>
        <v>C</v>
      </c>
      <c r="G119" s="8"/>
      <c r="H119" s="8">
        <v>121</v>
      </c>
      <c r="I119" s="8">
        <v>66</v>
      </c>
      <c r="J119" s="8">
        <v>585</v>
      </c>
      <c r="K119" s="9">
        <f t="shared" si="88"/>
        <v>706</v>
      </c>
      <c r="M119" s="11">
        <f t="shared" si="111"/>
        <v>0</v>
      </c>
      <c r="O119" s="11">
        <f t="shared" si="112"/>
        <v>0</v>
      </c>
      <c r="P119" s="12">
        <v>800</v>
      </c>
      <c r="Q119" s="11">
        <f t="shared" si="113"/>
        <v>48000</v>
      </c>
      <c r="X119" s="12">
        <v>400</v>
      </c>
      <c r="Y119" s="11">
        <f t="shared" si="114"/>
        <v>24000</v>
      </c>
      <c r="AG119" s="11">
        <f t="shared" si="115"/>
        <v>0</v>
      </c>
      <c r="AI119" s="11">
        <f t="shared" si="116"/>
        <v>0</v>
      </c>
      <c r="AK119" s="13">
        <f t="shared" si="117"/>
        <v>0</v>
      </c>
      <c r="AM119" s="13">
        <f t="shared" si="118"/>
        <v>0</v>
      </c>
      <c r="AN119" s="12">
        <v>70</v>
      </c>
      <c r="AO119" s="11">
        <f t="shared" si="119"/>
        <v>5600</v>
      </c>
      <c r="AP119" s="12">
        <v>30</v>
      </c>
      <c r="AQ119" s="11">
        <f t="shared" si="120"/>
        <v>2400</v>
      </c>
      <c r="AS119" s="11">
        <f t="shared" si="121"/>
        <v>0</v>
      </c>
      <c r="AU119" s="11">
        <f t="shared" si="122"/>
        <v>0</v>
      </c>
      <c r="AW119" s="11">
        <f t="shared" si="123"/>
        <v>0</v>
      </c>
      <c r="AY119" s="11">
        <f t="shared" si="124"/>
        <v>0</v>
      </c>
      <c r="AZ119" s="12">
        <v>35</v>
      </c>
      <c r="BA119" s="11">
        <f t="shared" si="125"/>
        <v>1400</v>
      </c>
      <c r="BB119" s="12">
        <v>15</v>
      </c>
      <c r="BC119" s="11">
        <f t="shared" si="126"/>
        <v>600</v>
      </c>
      <c r="BE119" s="11">
        <f t="shared" si="127"/>
        <v>0</v>
      </c>
      <c r="BG119" s="11">
        <f t="shared" si="128"/>
        <v>0</v>
      </c>
      <c r="BN119" s="8">
        <f t="shared" si="86"/>
        <v>1305</v>
      </c>
      <c r="BO119" s="8">
        <f t="shared" si="87"/>
        <v>79000</v>
      </c>
      <c r="BP119" s="8">
        <f t="shared" si="90"/>
        <v>445</v>
      </c>
      <c r="BQ119" s="12">
        <f t="shared" si="91"/>
        <v>27000</v>
      </c>
    </row>
    <row r="120" spans="1:69">
      <c r="A120" s="28">
        <v>1957</v>
      </c>
      <c r="B120" s="27" t="s">
        <v>17</v>
      </c>
      <c r="C120" s="24">
        <f t="shared" si="129"/>
        <v>118</v>
      </c>
      <c r="D120" s="7" t="e">
        <f t="shared" ca="1" si="67"/>
        <v>#N/A</v>
      </c>
      <c r="E120" s="26">
        <f t="array" aca="1" ref="E120" ca="1">AVERAGE(IF(INDIRECT(DatCol&amp;"$"&amp;TEXT(C120,"###")):INDIRECT(DatCol&amp;"$"&amp;TEXT(C120+57,"###"))&gt;0,INDIRECT(DatCol&amp;"$"&amp;TEXT(C120,"###")):INDIRECT(DatCol&amp;"$"&amp;TEXT(C120+57,"###"))))</f>
        <v>272.50857142857149</v>
      </c>
      <c r="F120" s="26" t="str">
        <f t="shared" si="89"/>
        <v>C</v>
      </c>
      <c r="G120" s="8"/>
      <c r="H120" s="8">
        <v>232</v>
      </c>
      <c r="I120" s="8">
        <v>51</v>
      </c>
      <c r="J120" s="8">
        <v>980</v>
      </c>
      <c r="K120" s="9">
        <f t="shared" si="88"/>
        <v>1212</v>
      </c>
      <c r="M120" s="11">
        <f t="shared" si="111"/>
        <v>0</v>
      </c>
      <c r="O120" s="11">
        <f t="shared" si="112"/>
        <v>0</v>
      </c>
      <c r="P120" s="12">
        <v>400</v>
      </c>
      <c r="Q120" s="11">
        <f t="shared" si="113"/>
        <v>24000</v>
      </c>
      <c r="X120" s="12">
        <v>300</v>
      </c>
      <c r="Y120" s="11">
        <f t="shared" si="114"/>
        <v>18000</v>
      </c>
      <c r="AG120" s="11">
        <f t="shared" si="115"/>
        <v>0</v>
      </c>
      <c r="AI120" s="11">
        <f t="shared" si="116"/>
        <v>0</v>
      </c>
      <c r="AK120" s="13">
        <f t="shared" si="117"/>
        <v>0</v>
      </c>
      <c r="AM120" s="13">
        <f t="shared" si="118"/>
        <v>0</v>
      </c>
      <c r="AO120" s="11">
        <f t="shared" si="119"/>
        <v>0</v>
      </c>
      <c r="AQ120" s="11">
        <f t="shared" si="120"/>
        <v>0</v>
      </c>
      <c r="AS120" s="11">
        <f t="shared" si="121"/>
        <v>0</v>
      </c>
      <c r="AU120" s="11">
        <f t="shared" si="122"/>
        <v>0</v>
      </c>
      <c r="AW120" s="11">
        <f t="shared" si="123"/>
        <v>0</v>
      </c>
      <c r="AY120" s="11">
        <f t="shared" si="124"/>
        <v>0</v>
      </c>
      <c r="BA120" s="11">
        <f t="shared" si="125"/>
        <v>0</v>
      </c>
      <c r="BC120" s="11">
        <f t="shared" si="126"/>
        <v>0</v>
      </c>
      <c r="BE120" s="11">
        <f t="shared" si="127"/>
        <v>0</v>
      </c>
      <c r="BG120" s="11">
        <f t="shared" si="128"/>
        <v>0</v>
      </c>
      <c r="BN120" s="8">
        <f t="shared" si="86"/>
        <v>700</v>
      </c>
      <c r="BO120" s="8">
        <f t="shared" si="87"/>
        <v>42000</v>
      </c>
      <c r="BP120" s="8">
        <f t="shared" si="90"/>
        <v>300</v>
      </c>
      <c r="BQ120" s="12">
        <f t="shared" si="91"/>
        <v>18000</v>
      </c>
    </row>
    <row r="121" spans="1:69">
      <c r="A121" s="28">
        <v>1958</v>
      </c>
      <c r="B121" s="27" t="s">
        <v>17</v>
      </c>
      <c r="C121" s="24">
        <f t="shared" si="129"/>
        <v>118</v>
      </c>
      <c r="D121" s="7" t="e">
        <f t="shared" ca="1" si="67"/>
        <v>#N/A</v>
      </c>
      <c r="E121" s="26">
        <f t="array" aca="1" ref="E121" ca="1">AVERAGE(IF(INDIRECT(DatCol&amp;"$"&amp;TEXT(C121,"###")):INDIRECT(DatCol&amp;"$"&amp;TEXT(C121+57,"###"))&gt;0,INDIRECT(DatCol&amp;"$"&amp;TEXT(C121,"###")):INDIRECT(DatCol&amp;"$"&amp;TEXT(C121+57,"###"))))</f>
        <v>272.50857142857149</v>
      </c>
      <c r="F121" s="26" t="str">
        <f t="shared" si="89"/>
        <v>C</v>
      </c>
      <c r="G121" s="8"/>
      <c r="H121" s="8">
        <v>230</v>
      </c>
      <c r="I121" s="8">
        <v>14</v>
      </c>
      <c r="J121" s="8">
        <v>901</v>
      </c>
      <c r="K121" s="9">
        <f t="shared" si="88"/>
        <v>1131</v>
      </c>
      <c r="M121" s="11">
        <f t="shared" si="111"/>
        <v>0</v>
      </c>
      <c r="O121" s="11">
        <f t="shared" si="112"/>
        <v>0</v>
      </c>
      <c r="P121" s="12" t="s">
        <v>18</v>
      </c>
      <c r="Q121" s="11">
        <f t="shared" si="113"/>
        <v>0</v>
      </c>
      <c r="Y121" s="11">
        <f t="shared" si="114"/>
        <v>0</v>
      </c>
      <c r="AG121" s="11">
        <f t="shared" si="115"/>
        <v>0</v>
      </c>
      <c r="AI121" s="11">
        <f t="shared" si="116"/>
        <v>0</v>
      </c>
      <c r="AK121" s="13">
        <f t="shared" si="117"/>
        <v>0</v>
      </c>
      <c r="AM121" s="13">
        <f t="shared" si="118"/>
        <v>0</v>
      </c>
      <c r="AO121" s="11">
        <f t="shared" si="119"/>
        <v>0</v>
      </c>
      <c r="AQ121" s="11">
        <f t="shared" si="120"/>
        <v>0</v>
      </c>
      <c r="AS121" s="11">
        <f t="shared" si="121"/>
        <v>0</v>
      </c>
      <c r="AU121" s="11">
        <f t="shared" si="122"/>
        <v>0</v>
      </c>
      <c r="AW121" s="11">
        <f t="shared" si="123"/>
        <v>0</v>
      </c>
      <c r="AY121" s="11">
        <f t="shared" si="124"/>
        <v>0</v>
      </c>
      <c r="BA121" s="11">
        <f t="shared" si="125"/>
        <v>0</v>
      </c>
      <c r="BC121" s="11">
        <f t="shared" si="126"/>
        <v>0</v>
      </c>
      <c r="BE121" s="11">
        <f t="shared" si="127"/>
        <v>0</v>
      </c>
      <c r="BG121" s="11">
        <f t="shared" si="128"/>
        <v>0</v>
      </c>
      <c r="BN121" s="8">
        <f t="shared" si="86"/>
        <v>0</v>
      </c>
      <c r="BO121" s="8">
        <f t="shared" si="87"/>
        <v>0</v>
      </c>
      <c r="BP121" s="8">
        <f t="shared" si="90"/>
        <v>0</v>
      </c>
      <c r="BQ121" s="12">
        <f t="shared" si="91"/>
        <v>0</v>
      </c>
    </row>
    <row r="122" spans="1:69">
      <c r="A122" s="28">
        <v>1959</v>
      </c>
      <c r="B122" s="27" t="s">
        <v>17</v>
      </c>
      <c r="C122" s="24">
        <f t="shared" si="129"/>
        <v>118</v>
      </c>
      <c r="D122" s="7" t="e">
        <f t="shared" ca="1" si="67"/>
        <v>#N/A</v>
      </c>
      <c r="E122" s="26">
        <f t="array" aca="1" ref="E122" ca="1">AVERAGE(IF(INDIRECT(DatCol&amp;"$"&amp;TEXT(C122,"###")):INDIRECT(DatCol&amp;"$"&amp;TEXT(C122+57,"###"))&gt;0,INDIRECT(DatCol&amp;"$"&amp;TEXT(C122,"###")):INDIRECT(DatCol&amp;"$"&amp;TEXT(C122+57,"###"))))</f>
        <v>272.50857142857149</v>
      </c>
      <c r="F122" s="26" t="str">
        <f t="shared" si="89"/>
        <v>C</v>
      </c>
      <c r="G122" s="8"/>
      <c r="H122" s="8">
        <v>128</v>
      </c>
      <c r="I122" s="8">
        <v>0</v>
      </c>
      <c r="J122" s="8">
        <v>946</v>
      </c>
      <c r="K122" s="9">
        <f t="shared" si="88"/>
        <v>1074</v>
      </c>
      <c r="M122" s="11">
        <f t="shared" si="111"/>
        <v>0</v>
      </c>
      <c r="O122" s="11">
        <f t="shared" si="112"/>
        <v>0</v>
      </c>
      <c r="Q122" s="11">
        <f t="shared" si="113"/>
        <v>0</v>
      </c>
      <c r="Y122" s="11">
        <f t="shared" si="114"/>
        <v>0</v>
      </c>
      <c r="AG122" s="11">
        <f t="shared" si="115"/>
        <v>0</v>
      </c>
      <c r="AI122" s="11">
        <f t="shared" si="116"/>
        <v>0</v>
      </c>
      <c r="AK122" s="13">
        <f t="shared" si="117"/>
        <v>0</v>
      </c>
      <c r="AM122" s="13">
        <f t="shared" si="118"/>
        <v>0</v>
      </c>
      <c r="AO122" s="11">
        <f t="shared" si="119"/>
        <v>0</v>
      </c>
      <c r="AQ122" s="11">
        <f t="shared" si="120"/>
        <v>0</v>
      </c>
      <c r="AS122" s="11">
        <f t="shared" si="121"/>
        <v>0</v>
      </c>
      <c r="AU122" s="11">
        <f t="shared" si="122"/>
        <v>0</v>
      </c>
      <c r="AW122" s="11">
        <f t="shared" si="123"/>
        <v>0</v>
      </c>
      <c r="AY122" s="11">
        <f t="shared" si="124"/>
        <v>0</v>
      </c>
      <c r="BA122" s="11">
        <f t="shared" si="125"/>
        <v>0</v>
      </c>
      <c r="BC122" s="11">
        <f t="shared" si="126"/>
        <v>0</v>
      </c>
      <c r="BE122" s="11">
        <f t="shared" si="127"/>
        <v>0</v>
      </c>
      <c r="BG122" s="11">
        <f t="shared" si="128"/>
        <v>0</v>
      </c>
      <c r="BN122" s="8">
        <f t="shared" si="86"/>
        <v>0</v>
      </c>
      <c r="BO122" s="8">
        <f t="shared" si="87"/>
        <v>0</v>
      </c>
      <c r="BP122" s="8">
        <f t="shared" si="90"/>
        <v>0</v>
      </c>
      <c r="BQ122" s="12">
        <f t="shared" si="91"/>
        <v>0</v>
      </c>
    </row>
    <row r="123" spans="1:69">
      <c r="A123" s="28">
        <v>1960</v>
      </c>
      <c r="B123" s="27" t="s">
        <v>17</v>
      </c>
      <c r="C123" s="24">
        <f t="shared" si="129"/>
        <v>118</v>
      </c>
      <c r="D123" s="7" t="e">
        <f t="shared" ca="1" si="67"/>
        <v>#N/A</v>
      </c>
      <c r="E123" s="26">
        <f t="array" aca="1" ref="E123" ca="1">AVERAGE(IF(INDIRECT(DatCol&amp;"$"&amp;TEXT(C123,"###")):INDIRECT(DatCol&amp;"$"&amp;TEXT(C123+57,"###"))&gt;0,INDIRECT(DatCol&amp;"$"&amp;TEXT(C123,"###")):INDIRECT(DatCol&amp;"$"&amp;TEXT(C123+57,"###"))))</f>
        <v>272.50857142857149</v>
      </c>
      <c r="F123" s="26" t="str">
        <f t="shared" si="89"/>
        <v>C</v>
      </c>
      <c r="G123" s="8"/>
      <c r="H123" s="8">
        <v>103</v>
      </c>
      <c r="I123" s="8">
        <v>2</v>
      </c>
      <c r="J123" s="8">
        <v>803</v>
      </c>
      <c r="K123" s="9">
        <f t="shared" si="88"/>
        <v>906</v>
      </c>
      <c r="M123" s="11">
        <f t="shared" si="111"/>
        <v>0</v>
      </c>
      <c r="O123" s="11">
        <f t="shared" si="112"/>
        <v>0</v>
      </c>
      <c r="Q123" s="11">
        <f t="shared" si="113"/>
        <v>0</v>
      </c>
      <c r="Y123" s="11">
        <f t="shared" si="114"/>
        <v>0</v>
      </c>
      <c r="AG123" s="11">
        <f t="shared" si="115"/>
        <v>0</v>
      </c>
      <c r="AI123" s="11">
        <f t="shared" si="116"/>
        <v>0</v>
      </c>
      <c r="AK123" s="13">
        <f t="shared" si="117"/>
        <v>0</v>
      </c>
      <c r="AM123" s="13">
        <f t="shared" si="118"/>
        <v>0</v>
      </c>
      <c r="AO123" s="11">
        <f t="shared" si="119"/>
        <v>0</v>
      </c>
      <c r="AQ123" s="11">
        <f t="shared" si="120"/>
        <v>0</v>
      </c>
      <c r="AS123" s="11">
        <f t="shared" si="121"/>
        <v>0</v>
      </c>
      <c r="AU123" s="11">
        <f t="shared" si="122"/>
        <v>0</v>
      </c>
      <c r="AW123" s="11">
        <f t="shared" si="123"/>
        <v>0</v>
      </c>
      <c r="AY123" s="11">
        <f t="shared" si="124"/>
        <v>0</v>
      </c>
      <c r="BA123" s="11">
        <f t="shared" si="125"/>
        <v>0</v>
      </c>
      <c r="BC123" s="11">
        <f t="shared" si="126"/>
        <v>0</v>
      </c>
      <c r="BE123" s="11">
        <f t="shared" si="127"/>
        <v>0</v>
      </c>
      <c r="BG123" s="11">
        <f t="shared" si="128"/>
        <v>0</v>
      </c>
      <c r="BN123" s="8">
        <f t="shared" si="86"/>
        <v>0</v>
      </c>
      <c r="BO123" s="8">
        <f t="shared" si="87"/>
        <v>0</v>
      </c>
      <c r="BP123" s="8">
        <f t="shared" si="90"/>
        <v>0</v>
      </c>
      <c r="BQ123" s="12">
        <f t="shared" si="91"/>
        <v>0</v>
      </c>
    </row>
    <row r="124" spans="1:69">
      <c r="A124" s="28">
        <v>1961</v>
      </c>
      <c r="B124" s="27" t="s">
        <v>17</v>
      </c>
      <c r="C124" s="24">
        <f t="shared" si="129"/>
        <v>118</v>
      </c>
      <c r="D124" s="7" t="e">
        <f t="shared" ca="1" si="67"/>
        <v>#N/A</v>
      </c>
      <c r="E124" s="26">
        <f t="array" aca="1" ref="E124" ca="1">AVERAGE(IF(INDIRECT(DatCol&amp;"$"&amp;TEXT(C124,"###")):INDIRECT(DatCol&amp;"$"&amp;TEXT(C124+57,"###"))&gt;0,INDIRECT(DatCol&amp;"$"&amp;TEXT(C124,"###")):INDIRECT(DatCol&amp;"$"&amp;TEXT(C124+57,"###"))))</f>
        <v>272.50857142857149</v>
      </c>
      <c r="F124" s="26" t="str">
        <f t="shared" si="89"/>
        <v>C</v>
      </c>
      <c r="G124" s="8"/>
      <c r="H124" s="8">
        <v>82</v>
      </c>
      <c r="I124" s="8">
        <v>0</v>
      </c>
      <c r="J124" s="8">
        <v>747</v>
      </c>
      <c r="K124" s="9">
        <f t="shared" si="88"/>
        <v>829</v>
      </c>
      <c r="M124" s="11">
        <f t="shared" si="111"/>
        <v>0</v>
      </c>
      <c r="O124" s="11">
        <f t="shared" si="112"/>
        <v>0</v>
      </c>
      <c r="Q124" s="11">
        <f t="shared" si="113"/>
        <v>0</v>
      </c>
      <c r="Y124" s="11">
        <f t="shared" si="114"/>
        <v>0</v>
      </c>
      <c r="AG124" s="11">
        <f t="shared" si="115"/>
        <v>0</v>
      </c>
      <c r="AI124" s="11">
        <f t="shared" si="116"/>
        <v>0</v>
      </c>
      <c r="AK124" s="13">
        <f t="shared" si="117"/>
        <v>0</v>
      </c>
      <c r="AM124" s="13">
        <f t="shared" si="118"/>
        <v>0</v>
      </c>
      <c r="AO124" s="11">
        <f t="shared" si="119"/>
        <v>0</v>
      </c>
      <c r="AQ124" s="11">
        <f t="shared" si="120"/>
        <v>0</v>
      </c>
      <c r="AS124" s="11">
        <f t="shared" si="121"/>
        <v>0</v>
      </c>
      <c r="AU124" s="11">
        <f t="shared" si="122"/>
        <v>0</v>
      </c>
      <c r="AW124" s="11">
        <f t="shared" si="123"/>
        <v>0</v>
      </c>
      <c r="AY124" s="11">
        <f t="shared" si="124"/>
        <v>0</v>
      </c>
      <c r="BA124" s="11">
        <f t="shared" si="125"/>
        <v>0</v>
      </c>
      <c r="BC124" s="11">
        <f t="shared" si="126"/>
        <v>0</v>
      </c>
      <c r="BE124" s="11">
        <f t="shared" si="127"/>
        <v>0</v>
      </c>
      <c r="BG124" s="11">
        <f t="shared" si="128"/>
        <v>0</v>
      </c>
      <c r="BN124" s="8">
        <f t="shared" si="86"/>
        <v>0</v>
      </c>
      <c r="BO124" s="8">
        <f t="shared" si="87"/>
        <v>0</v>
      </c>
      <c r="BP124" s="8">
        <f t="shared" si="90"/>
        <v>0</v>
      </c>
      <c r="BQ124" s="12">
        <f t="shared" si="91"/>
        <v>0</v>
      </c>
    </row>
    <row r="125" spans="1:69">
      <c r="A125" s="28">
        <v>1962</v>
      </c>
      <c r="B125" s="27" t="s">
        <v>17</v>
      </c>
      <c r="C125" s="24">
        <f t="shared" si="129"/>
        <v>118</v>
      </c>
      <c r="D125" s="7" t="e">
        <f t="shared" ca="1" si="67"/>
        <v>#N/A</v>
      </c>
      <c r="E125" s="26">
        <f t="array" aca="1" ref="E125" ca="1">AVERAGE(IF(INDIRECT(DatCol&amp;"$"&amp;TEXT(C125,"###")):INDIRECT(DatCol&amp;"$"&amp;TEXT(C125+57,"###"))&gt;0,INDIRECT(DatCol&amp;"$"&amp;TEXT(C125,"###")):INDIRECT(DatCol&amp;"$"&amp;TEXT(C125+57,"###"))))</f>
        <v>272.50857142857149</v>
      </c>
      <c r="F125" s="26" t="str">
        <f t="shared" si="89"/>
        <v>C</v>
      </c>
      <c r="G125" s="8"/>
      <c r="H125" s="8">
        <v>70</v>
      </c>
      <c r="I125" s="8">
        <v>2</v>
      </c>
      <c r="J125" s="8">
        <v>648</v>
      </c>
      <c r="K125" s="9">
        <f t="shared" si="88"/>
        <v>718</v>
      </c>
      <c r="M125" s="11">
        <f t="shared" si="111"/>
        <v>0</v>
      </c>
      <c r="N125" s="12">
        <v>10</v>
      </c>
      <c r="O125" s="11">
        <f t="shared" si="112"/>
        <v>500</v>
      </c>
      <c r="Q125" s="11">
        <f t="shared" si="113"/>
        <v>0</v>
      </c>
      <c r="Y125" s="11">
        <f t="shared" si="114"/>
        <v>0</v>
      </c>
      <c r="AG125" s="11">
        <f t="shared" si="115"/>
        <v>0</v>
      </c>
      <c r="AI125" s="11">
        <f t="shared" si="116"/>
        <v>0</v>
      </c>
      <c r="AK125" s="13">
        <f t="shared" si="117"/>
        <v>0</v>
      </c>
      <c r="AM125" s="13">
        <f t="shared" si="118"/>
        <v>0</v>
      </c>
      <c r="AO125" s="11">
        <f t="shared" si="119"/>
        <v>0</v>
      </c>
      <c r="AQ125" s="11">
        <f t="shared" si="120"/>
        <v>0</v>
      </c>
      <c r="AS125" s="11">
        <f t="shared" si="121"/>
        <v>0</v>
      </c>
      <c r="AU125" s="11">
        <f t="shared" si="122"/>
        <v>0</v>
      </c>
      <c r="AW125" s="11">
        <f t="shared" si="123"/>
        <v>0</v>
      </c>
      <c r="AY125" s="11">
        <f t="shared" si="124"/>
        <v>0</v>
      </c>
      <c r="BA125" s="11">
        <f t="shared" si="125"/>
        <v>0</v>
      </c>
      <c r="BC125" s="11">
        <f t="shared" si="126"/>
        <v>0</v>
      </c>
      <c r="BE125" s="11">
        <f t="shared" si="127"/>
        <v>0</v>
      </c>
      <c r="BG125" s="11">
        <f t="shared" si="128"/>
        <v>0</v>
      </c>
      <c r="BN125" s="8">
        <f t="shared" si="86"/>
        <v>0</v>
      </c>
      <c r="BO125" s="8">
        <f t="shared" si="87"/>
        <v>0</v>
      </c>
      <c r="BP125" s="8">
        <f t="shared" si="90"/>
        <v>10</v>
      </c>
      <c r="BQ125" s="12">
        <f t="shared" si="91"/>
        <v>500</v>
      </c>
    </row>
    <row r="126" spans="1:69">
      <c r="A126" s="28">
        <v>1963</v>
      </c>
      <c r="B126" s="27" t="s">
        <v>17</v>
      </c>
      <c r="C126" s="24">
        <f t="shared" si="129"/>
        <v>118</v>
      </c>
      <c r="D126" s="7" t="e">
        <f t="shared" ca="1" si="67"/>
        <v>#N/A</v>
      </c>
      <c r="E126" s="26">
        <f t="array" aca="1" ref="E126" ca="1">AVERAGE(IF(INDIRECT(DatCol&amp;"$"&amp;TEXT(C126,"###")):INDIRECT(DatCol&amp;"$"&amp;TEXT(C126+57,"###"))&gt;0,INDIRECT(DatCol&amp;"$"&amp;TEXT(C126,"###")):INDIRECT(DatCol&amp;"$"&amp;TEXT(C126+57,"###"))))</f>
        <v>272.50857142857149</v>
      </c>
      <c r="F126" s="26" t="str">
        <f t="shared" si="89"/>
        <v>C</v>
      </c>
      <c r="G126" s="8"/>
      <c r="H126" s="8">
        <v>73</v>
      </c>
      <c r="I126" s="8">
        <v>0</v>
      </c>
      <c r="J126" s="8">
        <v>655</v>
      </c>
      <c r="K126" s="9">
        <f t="shared" si="88"/>
        <v>728</v>
      </c>
      <c r="M126" s="11">
        <f t="shared" si="111"/>
        <v>0</v>
      </c>
      <c r="N126" s="12">
        <v>20</v>
      </c>
      <c r="O126" s="11">
        <f t="shared" si="112"/>
        <v>1000</v>
      </c>
      <c r="Q126" s="11">
        <f t="shared" si="113"/>
        <v>0</v>
      </c>
      <c r="X126" s="12">
        <v>250</v>
      </c>
      <c r="Y126" s="11">
        <f t="shared" si="114"/>
        <v>15000</v>
      </c>
      <c r="AG126" s="11">
        <f t="shared" si="115"/>
        <v>0</v>
      </c>
      <c r="AI126" s="11">
        <f t="shared" si="116"/>
        <v>0</v>
      </c>
      <c r="AK126" s="13">
        <f t="shared" si="117"/>
        <v>0</v>
      </c>
      <c r="AM126" s="13">
        <f t="shared" si="118"/>
        <v>0</v>
      </c>
      <c r="AO126" s="11">
        <f t="shared" si="119"/>
        <v>0</v>
      </c>
      <c r="AP126" s="12">
        <v>100</v>
      </c>
      <c r="AQ126" s="11">
        <f t="shared" si="120"/>
        <v>8000</v>
      </c>
      <c r="AS126" s="11">
        <f t="shared" si="121"/>
        <v>0</v>
      </c>
      <c r="AU126" s="11">
        <f t="shared" si="122"/>
        <v>0</v>
      </c>
      <c r="AW126" s="11">
        <f t="shared" si="123"/>
        <v>0</v>
      </c>
      <c r="AY126" s="11">
        <f t="shared" si="124"/>
        <v>0</v>
      </c>
      <c r="BA126" s="11">
        <f t="shared" si="125"/>
        <v>0</v>
      </c>
      <c r="BC126" s="11">
        <f t="shared" si="126"/>
        <v>0</v>
      </c>
      <c r="BE126" s="11">
        <f t="shared" si="127"/>
        <v>0</v>
      </c>
      <c r="BG126" s="11">
        <f t="shared" si="128"/>
        <v>0</v>
      </c>
      <c r="BN126" s="8">
        <f t="shared" si="86"/>
        <v>250</v>
      </c>
      <c r="BO126" s="8">
        <f t="shared" si="87"/>
        <v>15000</v>
      </c>
      <c r="BP126" s="8">
        <f t="shared" si="90"/>
        <v>370</v>
      </c>
      <c r="BQ126" s="12">
        <f t="shared" si="91"/>
        <v>24000</v>
      </c>
    </row>
    <row r="127" spans="1:69">
      <c r="A127" s="28">
        <v>1964</v>
      </c>
      <c r="B127" s="27" t="s">
        <v>17</v>
      </c>
      <c r="C127" s="24">
        <f t="shared" si="129"/>
        <v>118</v>
      </c>
      <c r="D127" s="7" t="e">
        <f t="shared" ca="1" si="67"/>
        <v>#N/A</v>
      </c>
      <c r="E127" s="26">
        <f t="array" aca="1" ref="E127" ca="1">AVERAGE(IF(INDIRECT(DatCol&amp;"$"&amp;TEXT(C127,"###")):INDIRECT(DatCol&amp;"$"&amp;TEXT(C127+57,"###"))&gt;0,INDIRECT(DatCol&amp;"$"&amp;TEXT(C127,"###")):INDIRECT(DatCol&amp;"$"&amp;TEXT(C127+57,"###"))))</f>
        <v>272.50857142857149</v>
      </c>
      <c r="F127" s="26" t="str">
        <f t="shared" si="89"/>
        <v>C</v>
      </c>
      <c r="G127" s="8"/>
      <c r="H127" s="8">
        <v>29</v>
      </c>
      <c r="I127" s="8">
        <v>1</v>
      </c>
      <c r="J127" s="8">
        <v>675</v>
      </c>
      <c r="K127" s="9">
        <f t="shared" si="88"/>
        <v>704</v>
      </c>
      <c r="M127" s="11">
        <f t="shared" si="111"/>
        <v>0</v>
      </c>
      <c r="O127" s="11">
        <f t="shared" si="112"/>
        <v>0</v>
      </c>
      <c r="Q127" s="11">
        <f t="shared" si="113"/>
        <v>0</v>
      </c>
      <c r="Y127" s="11">
        <f t="shared" si="114"/>
        <v>0</v>
      </c>
      <c r="AG127" s="11">
        <f t="shared" si="115"/>
        <v>0</v>
      </c>
      <c r="AI127" s="11">
        <f t="shared" si="116"/>
        <v>0</v>
      </c>
      <c r="AK127" s="13">
        <f t="shared" si="117"/>
        <v>0</v>
      </c>
      <c r="AM127" s="13">
        <f t="shared" si="118"/>
        <v>0</v>
      </c>
      <c r="AO127" s="11">
        <f t="shared" si="119"/>
        <v>0</v>
      </c>
      <c r="AQ127" s="11">
        <f t="shared" si="120"/>
        <v>0</v>
      </c>
      <c r="AS127" s="11">
        <f t="shared" si="121"/>
        <v>0</v>
      </c>
      <c r="AU127" s="11">
        <f t="shared" si="122"/>
        <v>0</v>
      </c>
      <c r="AW127" s="11">
        <f t="shared" si="123"/>
        <v>0</v>
      </c>
      <c r="AY127" s="11">
        <f t="shared" si="124"/>
        <v>0</v>
      </c>
      <c r="BA127" s="11">
        <f t="shared" si="125"/>
        <v>0</v>
      </c>
      <c r="BC127" s="11">
        <f t="shared" si="126"/>
        <v>0</v>
      </c>
      <c r="BE127" s="11">
        <f t="shared" si="127"/>
        <v>0</v>
      </c>
      <c r="BG127" s="11">
        <f t="shared" si="128"/>
        <v>0</v>
      </c>
      <c r="BN127" s="8">
        <f t="shared" si="86"/>
        <v>0</v>
      </c>
      <c r="BO127" s="8">
        <f t="shared" si="87"/>
        <v>0</v>
      </c>
      <c r="BP127" s="8">
        <f t="shared" si="90"/>
        <v>0</v>
      </c>
      <c r="BQ127" s="12">
        <f t="shared" si="91"/>
        <v>0</v>
      </c>
    </row>
    <row r="128" spans="1:69">
      <c r="A128" s="28">
        <v>1965</v>
      </c>
      <c r="B128" s="27" t="s">
        <v>17</v>
      </c>
      <c r="C128" s="24">
        <f t="shared" si="129"/>
        <v>118</v>
      </c>
      <c r="D128" s="7" t="e">
        <f t="shared" ca="1" si="67"/>
        <v>#N/A</v>
      </c>
      <c r="E128" s="26">
        <f t="array" aca="1" ref="E128" ca="1">AVERAGE(IF(INDIRECT(DatCol&amp;"$"&amp;TEXT(C128,"###")):INDIRECT(DatCol&amp;"$"&amp;TEXT(C128+57,"###"))&gt;0,INDIRECT(DatCol&amp;"$"&amp;TEXT(C128,"###")):INDIRECT(DatCol&amp;"$"&amp;TEXT(C128+57,"###"))))</f>
        <v>272.50857142857149</v>
      </c>
      <c r="F128" s="26" t="str">
        <f t="shared" si="89"/>
        <v>C</v>
      </c>
      <c r="G128" s="8"/>
      <c r="H128" s="8">
        <v>39</v>
      </c>
      <c r="I128" s="8">
        <v>0</v>
      </c>
      <c r="J128" s="8">
        <v>730</v>
      </c>
      <c r="K128" s="9">
        <f t="shared" si="88"/>
        <v>769</v>
      </c>
      <c r="M128" s="11">
        <f t="shared" si="111"/>
        <v>0</v>
      </c>
      <c r="O128" s="11">
        <f t="shared" si="112"/>
        <v>0</v>
      </c>
      <c r="Q128" s="11">
        <f t="shared" si="113"/>
        <v>0</v>
      </c>
      <c r="Y128" s="11">
        <f t="shared" si="114"/>
        <v>0</v>
      </c>
      <c r="AG128" s="11">
        <f t="shared" si="115"/>
        <v>0</v>
      </c>
      <c r="AI128" s="11">
        <f t="shared" si="116"/>
        <v>0</v>
      </c>
      <c r="AK128" s="13">
        <f t="shared" si="117"/>
        <v>0</v>
      </c>
      <c r="AM128" s="13">
        <f t="shared" si="118"/>
        <v>0</v>
      </c>
      <c r="AO128" s="11">
        <f t="shared" si="119"/>
        <v>0</v>
      </c>
      <c r="AQ128" s="11">
        <f t="shared" si="120"/>
        <v>0</v>
      </c>
      <c r="AS128" s="11">
        <f t="shared" si="121"/>
        <v>0</v>
      </c>
      <c r="AU128" s="11">
        <f t="shared" si="122"/>
        <v>0</v>
      </c>
      <c r="AW128" s="11">
        <f t="shared" si="123"/>
        <v>0</v>
      </c>
      <c r="AY128" s="11">
        <f t="shared" si="124"/>
        <v>0</v>
      </c>
      <c r="BA128" s="11">
        <f t="shared" si="125"/>
        <v>0</v>
      </c>
      <c r="BC128" s="11">
        <f t="shared" si="126"/>
        <v>0</v>
      </c>
      <c r="BE128" s="11">
        <f t="shared" si="127"/>
        <v>0</v>
      </c>
      <c r="BG128" s="11">
        <f t="shared" si="128"/>
        <v>0</v>
      </c>
      <c r="BN128" s="8">
        <f t="shared" si="86"/>
        <v>0</v>
      </c>
      <c r="BO128" s="8">
        <f t="shared" si="87"/>
        <v>0</v>
      </c>
      <c r="BP128" s="8">
        <f t="shared" si="90"/>
        <v>0</v>
      </c>
      <c r="BQ128" s="12">
        <f t="shared" si="91"/>
        <v>0</v>
      </c>
    </row>
    <row r="129" spans="1:69">
      <c r="A129" s="28">
        <v>1966</v>
      </c>
      <c r="B129" s="27" t="s">
        <v>17</v>
      </c>
      <c r="C129" s="24">
        <f t="shared" si="129"/>
        <v>118</v>
      </c>
      <c r="D129" s="7" t="e">
        <f t="shared" ca="1" si="67"/>
        <v>#N/A</v>
      </c>
      <c r="E129" s="26">
        <f t="array" aca="1" ref="E129" ca="1">AVERAGE(IF(INDIRECT(DatCol&amp;"$"&amp;TEXT(C129,"###")):INDIRECT(DatCol&amp;"$"&amp;TEXT(C129+57,"###"))&gt;0,INDIRECT(DatCol&amp;"$"&amp;TEXT(C129,"###")):INDIRECT(DatCol&amp;"$"&amp;TEXT(C129+57,"###"))))</f>
        <v>272.50857142857149</v>
      </c>
      <c r="F129" s="26" t="str">
        <f t="shared" si="89"/>
        <v>C</v>
      </c>
      <c r="G129" s="8"/>
      <c r="H129" s="8">
        <v>34</v>
      </c>
      <c r="I129" s="8">
        <v>0</v>
      </c>
      <c r="J129" s="8">
        <v>815</v>
      </c>
      <c r="K129" s="9">
        <f t="shared" si="88"/>
        <v>849</v>
      </c>
      <c r="M129" s="11">
        <f t="shared" ref="M129:M144" si="130">(L129*50)</f>
        <v>0</v>
      </c>
      <c r="O129" s="11">
        <f t="shared" ref="O129:O144" si="131">(N129*50)</f>
        <v>0</v>
      </c>
      <c r="Q129" s="11">
        <f t="shared" ref="Q129:Q144" si="132">((P129*330)/5.5)</f>
        <v>0</v>
      </c>
      <c r="Y129" s="11">
        <f t="shared" ref="Y129:Y144" si="133">((X129*330)/5.5)</f>
        <v>0</v>
      </c>
      <c r="AG129" s="11">
        <f t="shared" ref="AG129:AG144" si="134">(AF129*65)</f>
        <v>0</v>
      </c>
      <c r="AI129" s="11">
        <f t="shared" ref="AI129:AI144" si="135">(AH129*65)</f>
        <v>0</v>
      </c>
      <c r="AK129" s="13">
        <f t="shared" ref="AK129:AK144" si="136">(AJ129*9)</f>
        <v>0</v>
      </c>
      <c r="AM129" s="13">
        <f t="shared" ref="AM129:AM144" si="137">(AL129*9)</f>
        <v>0</v>
      </c>
      <c r="AO129" s="11">
        <f t="shared" ref="AO129:AO144" si="138">(AN129*80)</f>
        <v>0</v>
      </c>
      <c r="AQ129" s="11">
        <f t="shared" ref="AQ129:AQ144" si="139">(AP129*80)</f>
        <v>0</v>
      </c>
      <c r="AS129" s="11">
        <f t="shared" ref="AS129:AS144" si="140">(AR129*50)</f>
        <v>0</v>
      </c>
      <c r="AU129" s="11">
        <f t="shared" ref="AU129:AU144" si="141">(AT129*50)</f>
        <v>0</v>
      </c>
      <c r="AW129" s="11">
        <f t="shared" ref="AW129:AW144" si="142">(AV129*60)</f>
        <v>0</v>
      </c>
      <c r="AY129" s="11">
        <f t="shared" ref="AY129:AY144" si="143">(AX129*60)</f>
        <v>0</v>
      </c>
      <c r="BA129" s="11">
        <f t="shared" ref="BA129:BA144" si="144">(AZ129*40)</f>
        <v>0</v>
      </c>
      <c r="BC129" s="11">
        <f t="shared" ref="BC129:BC144" si="145">(BB129*40)</f>
        <v>0</v>
      </c>
      <c r="BE129" s="11">
        <f t="shared" ref="BE129:BE144" si="146">(BD129*95)</f>
        <v>0</v>
      </c>
      <c r="BG129" s="11">
        <f t="shared" ref="BG129:BG144" si="147">(BF129*95)</f>
        <v>0</v>
      </c>
      <c r="BN129" s="8">
        <f t="shared" si="86"/>
        <v>0</v>
      </c>
      <c r="BO129" s="8">
        <f t="shared" si="87"/>
        <v>0</v>
      </c>
      <c r="BP129" s="8">
        <f t="shared" si="90"/>
        <v>0</v>
      </c>
      <c r="BQ129" s="12">
        <f t="shared" si="91"/>
        <v>0</v>
      </c>
    </row>
    <row r="130" spans="1:69">
      <c r="A130" s="28">
        <v>1967</v>
      </c>
      <c r="B130" s="27" t="s">
        <v>17</v>
      </c>
      <c r="C130" s="24">
        <f t="shared" si="129"/>
        <v>118</v>
      </c>
      <c r="D130" s="7" t="e">
        <f t="shared" ref="D130:D193" ca="1" si="148">IF(AND((INDIRECT(DatCol&amp;TEXT(ROW(),"###"))&gt;0),((F130=RegionSelect)+(RegionSelect="A"))),INDIRECT(DatCol&amp;TEXT(ROW(),"###"))/E130,NA())</f>
        <v>#N/A</v>
      </c>
      <c r="E130" s="26">
        <f t="array" aca="1" ref="E130" ca="1">AVERAGE(IF(INDIRECT(DatCol&amp;"$"&amp;TEXT(C130,"###")):INDIRECT(DatCol&amp;"$"&amp;TEXT(C130+57,"###"))&gt;0,INDIRECT(DatCol&amp;"$"&amp;TEXT(C130,"###")):INDIRECT(DatCol&amp;"$"&amp;TEXT(C130+57,"###"))))</f>
        <v>272.50857142857149</v>
      </c>
      <c r="F130" s="26" t="str">
        <f t="shared" si="89"/>
        <v>C</v>
      </c>
      <c r="G130" s="8"/>
      <c r="H130" s="8">
        <v>30</v>
      </c>
      <c r="I130" s="8">
        <v>0</v>
      </c>
      <c r="J130" s="8">
        <v>790</v>
      </c>
      <c r="K130" s="9">
        <f t="shared" si="88"/>
        <v>820</v>
      </c>
      <c r="M130" s="11">
        <f t="shared" si="130"/>
        <v>0</v>
      </c>
      <c r="N130" s="12">
        <v>69</v>
      </c>
      <c r="O130" s="11">
        <f t="shared" si="131"/>
        <v>3450</v>
      </c>
      <c r="Q130" s="11">
        <f t="shared" si="132"/>
        <v>0</v>
      </c>
      <c r="X130" s="12">
        <v>585</v>
      </c>
      <c r="Y130" s="11">
        <f t="shared" si="133"/>
        <v>35100</v>
      </c>
      <c r="AG130" s="11">
        <f t="shared" si="134"/>
        <v>0</v>
      </c>
      <c r="AI130" s="11">
        <f t="shared" si="135"/>
        <v>0</v>
      </c>
      <c r="AK130" s="13">
        <f t="shared" si="136"/>
        <v>0</v>
      </c>
      <c r="AM130" s="13">
        <f t="shared" si="137"/>
        <v>0</v>
      </c>
      <c r="AO130" s="11">
        <f t="shared" si="138"/>
        <v>0</v>
      </c>
      <c r="AP130" s="12">
        <v>95</v>
      </c>
      <c r="AQ130" s="11">
        <f t="shared" si="139"/>
        <v>7600</v>
      </c>
      <c r="AS130" s="11">
        <f t="shared" si="140"/>
        <v>0</v>
      </c>
      <c r="AU130" s="11">
        <f t="shared" si="141"/>
        <v>0</v>
      </c>
      <c r="AW130" s="11">
        <f t="shared" si="142"/>
        <v>0</v>
      </c>
      <c r="AY130" s="11">
        <f t="shared" si="143"/>
        <v>0</v>
      </c>
      <c r="BA130" s="11">
        <f t="shared" si="144"/>
        <v>0</v>
      </c>
      <c r="BB130" s="12">
        <v>6</v>
      </c>
      <c r="BC130" s="11">
        <f t="shared" si="145"/>
        <v>240</v>
      </c>
      <c r="BE130" s="11">
        <f t="shared" si="146"/>
        <v>0</v>
      </c>
      <c r="BG130" s="11">
        <f t="shared" si="147"/>
        <v>0</v>
      </c>
      <c r="BN130" s="8">
        <f t="shared" si="86"/>
        <v>585</v>
      </c>
      <c r="BO130" s="8">
        <f t="shared" si="87"/>
        <v>35100</v>
      </c>
      <c r="BP130" s="8">
        <f t="shared" si="90"/>
        <v>755</v>
      </c>
      <c r="BQ130" s="12">
        <f t="shared" si="91"/>
        <v>46390</v>
      </c>
    </row>
    <row r="131" spans="1:69">
      <c r="A131" s="28">
        <v>1968</v>
      </c>
      <c r="B131" s="27" t="s">
        <v>17</v>
      </c>
      <c r="C131" s="24">
        <f t="shared" si="129"/>
        <v>118</v>
      </c>
      <c r="D131" s="7" t="e">
        <f t="shared" ca="1" si="148"/>
        <v>#N/A</v>
      </c>
      <c r="E131" s="26">
        <f t="array" aca="1" ref="E131" ca="1">AVERAGE(IF(INDIRECT(DatCol&amp;"$"&amp;TEXT(C131,"###")):INDIRECT(DatCol&amp;"$"&amp;TEXT(C131+57,"###"))&gt;0,INDIRECT(DatCol&amp;"$"&amp;TEXT(C131,"###")):INDIRECT(DatCol&amp;"$"&amp;TEXT(C131+57,"###"))))</f>
        <v>272.50857142857149</v>
      </c>
      <c r="F131" s="26" t="str">
        <f t="shared" si="89"/>
        <v>C</v>
      </c>
      <c r="G131" s="8"/>
      <c r="H131" s="8">
        <v>51</v>
      </c>
      <c r="I131" s="8">
        <v>0</v>
      </c>
      <c r="J131" s="8">
        <v>1156</v>
      </c>
      <c r="K131" s="9">
        <f t="shared" si="88"/>
        <v>1207</v>
      </c>
      <c r="M131" s="11">
        <f t="shared" si="130"/>
        <v>0</v>
      </c>
      <c r="N131" s="12">
        <v>69</v>
      </c>
      <c r="O131" s="11">
        <f t="shared" si="131"/>
        <v>3450</v>
      </c>
      <c r="Q131" s="11">
        <f t="shared" si="132"/>
        <v>0</v>
      </c>
      <c r="X131" s="12">
        <v>585</v>
      </c>
      <c r="Y131" s="11">
        <f t="shared" si="133"/>
        <v>35100</v>
      </c>
      <c r="AG131" s="11">
        <f t="shared" si="134"/>
        <v>0</v>
      </c>
      <c r="AI131" s="11">
        <f t="shared" si="135"/>
        <v>0</v>
      </c>
      <c r="AK131" s="13">
        <f t="shared" si="136"/>
        <v>0</v>
      </c>
      <c r="AM131" s="13">
        <f t="shared" si="137"/>
        <v>0</v>
      </c>
      <c r="AO131" s="11">
        <f t="shared" si="138"/>
        <v>0</v>
      </c>
      <c r="AP131" s="12">
        <v>95</v>
      </c>
      <c r="AQ131" s="11">
        <f t="shared" si="139"/>
        <v>7600</v>
      </c>
      <c r="AS131" s="11">
        <f t="shared" si="140"/>
        <v>0</v>
      </c>
      <c r="AU131" s="11">
        <f t="shared" si="141"/>
        <v>0</v>
      </c>
      <c r="AW131" s="11">
        <f t="shared" si="142"/>
        <v>0</v>
      </c>
      <c r="AY131" s="11">
        <f t="shared" si="143"/>
        <v>0</v>
      </c>
      <c r="BA131" s="11">
        <f t="shared" si="144"/>
        <v>0</v>
      </c>
      <c r="BB131" s="12">
        <v>6</v>
      </c>
      <c r="BC131" s="11">
        <f t="shared" si="145"/>
        <v>240</v>
      </c>
      <c r="BE131" s="11">
        <f t="shared" si="146"/>
        <v>0</v>
      </c>
      <c r="BG131" s="11">
        <f t="shared" si="147"/>
        <v>0</v>
      </c>
      <c r="BN131" s="8">
        <f t="shared" ref="BN131:BN195" si="149">(L131+P131+R131+T131+V131+X131+Z131+AB131+AD131+AF131+AJ131+AN131+AR131+AV131+AZ131+BD131)</f>
        <v>585</v>
      </c>
      <c r="BO131" s="8">
        <f t="shared" si="87"/>
        <v>35100</v>
      </c>
      <c r="BP131" s="8">
        <f t="shared" si="90"/>
        <v>755</v>
      </c>
      <c r="BQ131" s="12">
        <f t="shared" si="91"/>
        <v>46390</v>
      </c>
    </row>
    <row r="132" spans="1:69">
      <c r="A132" s="28">
        <v>1969</v>
      </c>
      <c r="B132" s="27" t="s">
        <v>17</v>
      </c>
      <c r="C132" s="24">
        <f t="shared" si="129"/>
        <v>118</v>
      </c>
      <c r="D132" s="7" t="e">
        <f t="shared" ca="1" si="148"/>
        <v>#N/A</v>
      </c>
      <c r="E132" s="26">
        <f t="array" aca="1" ref="E132" ca="1">AVERAGE(IF(INDIRECT(DatCol&amp;"$"&amp;TEXT(C132,"###")):INDIRECT(DatCol&amp;"$"&amp;TEXT(C132+57,"###"))&gt;0,INDIRECT(DatCol&amp;"$"&amp;TEXT(C132,"###")):INDIRECT(DatCol&amp;"$"&amp;TEXT(C132+57,"###"))))</f>
        <v>272.50857142857149</v>
      </c>
      <c r="F132" s="26" t="str">
        <f t="shared" si="89"/>
        <v>C</v>
      </c>
      <c r="G132" s="8"/>
      <c r="H132" s="8">
        <v>113</v>
      </c>
      <c r="I132" s="8">
        <v>0</v>
      </c>
      <c r="J132" s="8">
        <v>1577</v>
      </c>
      <c r="K132" s="9">
        <f t="shared" si="88"/>
        <v>1690</v>
      </c>
      <c r="M132" s="11">
        <f t="shared" si="130"/>
        <v>0</v>
      </c>
      <c r="N132" s="12">
        <v>1500</v>
      </c>
      <c r="O132" s="11">
        <f t="shared" si="131"/>
        <v>75000</v>
      </c>
      <c r="Q132" s="11">
        <f t="shared" si="132"/>
        <v>0</v>
      </c>
      <c r="X132" s="12">
        <v>200</v>
      </c>
      <c r="Y132" s="11">
        <f t="shared" si="133"/>
        <v>12000</v>
      </c>
      <c r="AG132" s="11">
        <f t="shared" si="134"/>
        <v>0</v>
      </c>
      <c r="AI132" s="11">
        <f t="shared" si="135"/>
        <v>0</v>
      </c>
      <c r="AK132" s="13">
        <f t="shared" si="136"/>
        <v>0</v>
      </c>
      <c r="AM132" s="13">
        <f t="shared" si="137"/>
        <v>0</v>
      </c>
      <c r="AO132" s="11">
        <f t="shared" si="138"/>
        <v>0</v>
      </c>
      <c r="AP132" s="12">
        <v>30</v>
      </c>
      <c r="AQ132" s="11">
        <f t="shared" si="139"/>
        <v>2400</v>
      </c>
      <c r="AS132" s="11">
        <f t="shared" si="140"/>
        <v>0</v>
      </c>
      <c r="AU132" s="11">
        <f t="shared" si="141"/>
        <v>0</v>
      </c>
      <c r="AW132" s="11">
        <f t="shared" si="142"/>
        <v>0</v>
      </c>
      <c r="AY132" s="11">
        <f t="shared" si="143"/>
        <v>0</v>
      </c>
      <c r="BA132" s="11">
        <f t="shared" si="144"/>
        <v>0</v>
      </c>
      <c r="BB132" s="12">
        <v>50</v>
      </c>
      <c r="BC132" s="11">
        <f t="shared" si="145"/>
        <v>2000</v>
      </c>
      <c r="BE132" s="11">
        <f t="shared" si="146"/>
        <v>0</v>
      </c>
      <c r="BG132" s="11">
        <f t="shared" si="147"/>
        <v>0</v>
      </c>
      <c r="BN132" s="8">
        <f t="shared" si="149"/>
        <v>200</v>
      </c>
      <c r="BO132" s="8">
        <f t="shared" ref="BO132:BO196" si="150">(M132+Q132+S132+U132+W132+Y132+AA132+AC132+AG132+AK132+AO132+AS132+AW132+BA132+BE132)</f>
        <v>12000</v>
      </c>
      <c r="BP132" s="8">
        <f t="shared" si="90"/>
        <v>1780</v>
      </c>
      <c r="BQ132" s="12">
        <f t="shared" si="91"/>
        <v>91400</v>
      </c>
    </row>
    <row r="133" spans="1:69">
      <c r="A133" s="28">
        <v>1970</v>
      </c>
      <c r="B133" s="27" t="s">
        <v>17</v>
      </c>
      <c r="C133" s="24">
        <f t="shared" si="129"/>
        <v>118</v>
      </c>
      <c r="D133" s="7" t="e">
        <f t="shared" ca="1" si="148"/>
        <v>#N/A</v>
      </c>
      <c r="E133" s="26">
        <f t="array" aca="1" ref="E133" ca="1">AVERAGE(IF(INDIRECT(DatCol&amp;"$"&amp;TEXT(C133,"###")):INDIRECT(DatCol&amp;"$"&amp;TEXT(C133+57,"###"))&gt;0,INDIRECT(DatCol&amp;"$"&amp;TEXT(C133,"###")):INDIRECT(DatCol&amp;"$"&amp;TEXT(C133+57,"###"))))</f>
        <v>272.50857142857149</v>
      </c>
      <c r="F133" s="26" t="str">
        <f t="shared" si="89"/>
        <v>C</v>
      </c>
      <c r="G133" s="8"/>
      <c r="H133" s="8">
        <v>650</v>
      </c>
      <c r="I133" s="8">
        <v>0</v>
      </c>
      <c r="J133" s="8">
        <v>3100</v>
      </c>
      <c r="K133" s="9">
        <f t="shared" ref="K133:K197" si="151">G133+H133+J133</f>
        <v>3750</v>
      </c>
      <c r="M133" s="11">
        <f t="shared" si="130"/>
        <v>0</v>
      </c>
      <c r="N133" s="12">
        <v>2000</v>
      </c>
      <c r="O133" s="11">
        <f t="shared" si="131"/>
        <v>100000</v>
      </c>
      <c r="Q133" s="11">
        <f t="shared" si="132"/>
        <v>0</v>
      </c>
      <c r="X133" s="12">
        <v>120</v>
      </c>
      <c r="Y133" s="11">
        <f t="shared" si="133"/>
        <v>7200</v>
      </c>
      <c r="AG133" s="11">
        <f t="shared" si="134"/>
        <v>0</v>
      </c>
      <c r="AH133" s="12">
        <v>35</v>
      </c>
      <c r="AI133" s="11">
        <f t="shared" si="135"/>
        <v>2275</v>
      </c>
      <c r="AK133" s="13">
        <f t="shared" si="136"/>
        <v>0</v>
      </c>
      <c r="AM133" s="13">
        <f t="shared" si="137"/>
        <v>0</v>
      </c>
      <c r="AO133" s="11">
        <f t="shared" si="138"/>
        <v>0</v>
      </c>
      <c r="AP133" s="12">
        <v>40</v>
      </c>
      <c r="AQ133" s="11">
        <f t="shared" si="139"/>
        <v>3200</v>
      </c>
      <c r="AS133" s="11">
        <f t="shared" si="140"/>
        <v>0</v>
      </c>
      <c r="AU133" s="11">
        <f t="shared" si="141"/>
        <v>0</v>
      </c>
      <c r="AW133" s="11">
        <f t="shared" si="142"/>
        <v>0</v>
      </c>
      <c r="AY133" s="11">
        <f t="shared" si="143"/>
        <v>0</v>
      </c>
      <c r="BA133" s="11">
        <f t="shared" si="144"/>
        <v>0</v>
      </c>
      <c r="BC133" s="11">
        <f t="shared" si="145"/>
        <v>0</v>
      </c>
      <c r="BE133" s="11">
        <f t="shared" si="146"/>
        <v>0</v>
      </c>
      <c r="BG133" s="11">
        <f t="shared" si="147"/>
        <v>0</v>
      </c>
      <c r="BN133" s="8">
        <f t="shared" si="149"/>
        <v>120</v>
      </c>
      <c r="BO133" s="8">
        <f t="shared" si="150"/>
        <v>7200</v>
      </c>
      <c r="BP133" s="8">
        <f t="shared" si="90"/>
        <v>2195</v>
      </c>
      <c r="BQ133" s="12">
        <f t="shared" si="91"/>
        <v>112675</v>
      </c>
    </row>
    <row r="134" spans="1:69">
      <c r="A134" s="28">
        <v>1971</v>
      </c>
      <c r="B134" s="27" t="s">
        <v>17</v>
      </c>
      <c r="C134" s="24">
        <f t="shared" si="129"/>
        <v>118</v>
      </c>
      <c r="D134" s="7" t="e">
        <f t="shared" ca="1" si="148"/>
        <v>#N/A</v>
      </c>
      <c r="E134" s="26">
        <f t="array" aca="1" ref="E134" ca="1">AVERAGE(IF(INDIRECT(DatCol&amp;"$"&amp;TEXT(C134,"###")):INDIRECT(DatCol&amp;"$"&amp;TEXT(C134+57,"###"))&gt;0,INDIRECT(DatCol&amp;"$"&amp;TEXT(C134,"###")):INDIRECT(DatCol&amp;"$"&amp;TEXT(C134+57,"###"))))</f>
        <v>272.50857142857149</v>
      </c>
      <c r="F134" s="26" t="str">
        <f t="shared" si="89"/>
        <v>C</v>
      </c>
      <c r="G134" s="8"/>
      <c r="H134" s="8">
        <v>472</v>
      </c>
      <c r="I134" s="8">
        <v>0</v>
      </c>
      <c r="J134" s="8">
        <v>2395</v>
      </c>
      <c r="K134" s="9">
        <f t="shared" si="151"/>
        <v>2867</v>
      </c>
      <c r="M134" s="11">
        <f t="shared" si="130"/>
        <v>0</v>
      </c>
      <c r="N134" s="12">
        <v>1000</v>
      </c>
      <c r="O134" s="11">
        <f t="shared" si="131"/>
        <v>50000</v>
      </c>
      <c r="Q134" s="11">
        <f t="shared" si="132"/>
        <v>0</v>
      </c>
      <c r="Y134" s="11">
        <f t="shared" si="133"/>
        <v>0</v>
      </c>
      <c r="AG134" s="11">
        <f t="shared" si="134"/>
        <v>0</v>
      </c>
      <c r="AI134" s="11">
        <f t="shared" si="135"/>
        <v>0</v>
      </c>
      <c r="AK134" s="13">
        <f t="shared" si="136"/>
        <v>0</v>
      </c>
      <c r="AM134" s="13">
        <f t="shared" si="137"/>
        <v>0</v>
      </c>
      <c r="AO134" s="11">
        <f t="shared" si="138"/>
        <v>0</v>
      </c>
      <c r="AQ134" s="11">
        <f t="shared" si="139"/>
        <v>0</v>
      </c>
      <c r="AS134" s="11">
        <f t="shared" si="140"/>
        <v>0</v>
      </c>
      <c r="AU134" s="11">
        <f t="shared" si="141"/>
        <v>0</v>
      </c>
      <c r="AW134" s="11">
        <f t="shared" si="142"/>
        <v>0</v>
      </c>
      <c r="AY134" s="11">
        <f t="shared" si="143"/>
        <v>0</v>
      </c>
      <c r="BA134" s="11">
        <f t="shared" si="144"/>
        <v>0</v>
      </c>
      <c r="BC134" s="11">
        <f t="shared" si="145"/>
        <v>0</v>
      </c>
      <c r="BE134" s="11">
        <f t="shared" si="146"/>
        <v>0</v>
      </c>
      <c r="BG134" s="11">
        <f t="shared" si="147"/>
        <v>0</v>
      </c>
      <c r="BN134" s="8">
        <f t="shared" si="149"/>
        <v>0</v>
      </c>
      <c r="BO134" s="8">
        <f t="shared" si="150"/>
        <v>0</v>
      </c>
      <c r="BP134" s="8">
        <f t="shared" si="90"/>
        <v>1000</v>
      </c>
      <c r="BQ134" s="12">
        <f t="shared" si="91"/>
        <v>50000</v>
      </c>
    </row>
    <row r="135" spans="1:69">
      <c r="A135" s="28">
        <v>1972</v>
      </c>
      <c r="B135" s="27" t="s">
        <v>17</v>
      </c>
      <c r="C135" s="24">
        <f t="shared" si="129"/>
        <v>118</v>
      </c>
      <c r="D135" s="7" t="e">
        <f t="shared" ca="1" si="148"/>
        <v>#N/A</v>
      </c>
      <c r="E135" s="26">
        <f t="array" aca="1" ref="E135" ca="1">AVERAGE(IF(INDIRECT(DatCol&amp;"$"&amp;TEXT(C135,"###")):INDIRECT(DatCol&amp;"$"&amp;TEXT(C135+57,"###"))&gt;0,INDIRECT(DatCol&amp;"$"&amp;TEXT(C135,"###")):INDIRECT(DatCol&amp;"$"&amp;TEXT(C135+57,"###"))))</f>
        <v>272.50857142857149</v>
      </c>
      <c r="F135" s="26" t="str">
        <f t="shared" si="89"/>
        <v>C</v>
      </c>
      <c r="G135" s="8"/>
      <c r="H135" s="8">
        <v>1128</v>
      </c>
      <c r="I135" s="8">
        <v>0</v>
      </c>
      <c r="J135" s="8">
        <v>1133</v>
      </c>
      <c r="K135" s="9">
        <f t="shared" si="151"/>
        <v>2261</v>
      </c>
      <c r="M135" s="11">
        <f t="shared" si="130"/>
        <v>0</v>
      </c>
      <c r="O135" s="11">
        <f t="shared" si="131"/>
        <v>0</v>
      </c>
      <c r="P135" s="12" t="s">
        <v>19</v>
      </c>
      <c r="Q135" s="11">
        <f t="shared" si="132"/>
        <v>0</v>
      </c>
      <c r="Y135" s="11">
        <f t="shared" si="133"/>
        <v>0</v>
      </c>
      <c r="AG135" s="11">
        <f t="shared" si="134"/>
        <v>0</v>
      </c>
      <c r="AI135" s="11">
        <f t="shared" si="135"/>
        <v>0</v>
      </c>
      <c r="AK135" s="13">
        <f t="shared" si="136"/>
        <v>0</v>
      </c>
      <c r="AL135" s="12">
        <v>3000</v>
      </c>
      <c r="AM135" s="13">
        <f t="shared" si="137"/>
        <v>27000</v>
      </c>
      <c r="AO135" s="11">
        <f t="shared" si="138"/>
        <v>0</v>
      </c>
      <c r="AQ135" s="11">
        <f t="shared" si="139"/>
        <v>0</v>
      </c>
      <c r="AS135" s="11">
        <f t="shared" si="140"/>
        <v>0</v>
      </c>
      <c r="AU135" s="11">
        <f t="shared" si="141"/>
        <v>0</v>
      </c>
      <c r="AW135" s="11">
        <f t="shared" si="142"/>
        <v>0</v>
      </c>
      <c r="AY135" s="11">
        <f t="shared" si="143"/>
        <v>0</v>
      </c>
      <c r="BA135" s="11">
        <f t="shared" si="144"/>
        <v>0</v>
      </c>
      <c r="BC135" s="11">
        <f t="shared" si="145"/>
        <v>0</v>
      </c>
      <c r="BE135" s="11">
        <f t="shared" si="146"/>
        <v>0</v>
      </c>
      <c r="BG135" s="11">
        <f t="shared" si="147"/>
        <v>0</v>
      </c>
      <c r="BN135" s="8">
        <f t="shared" si="149"/>
        <v>0</v>
      </c>
      <c r="BO135" s="8">
        <f t="shared" si="150"/>
        <v>0</v>
      </c>
      <c r="BP135" s="8">
        <f t="shared" si="90"/>
        <v>3000</v>
      </c>
      <c r="BQ135" s="12">
        <f t="shared" si="91"/>
        <v>27000</v>
      </c>
    </row>
    <row r="136" spans="1:69">
      <c r="A136" s="28">
        <v>1973</v>
      </c>
      <c r="B136" s="27" t="s">
        <v>17</v>
      </c>
      <c r="C136" s="24">
        <f t="shared" si="129"/>
        <v>118</v>
      </c>
      <c r="D136" s="7" t="e">
        <f t="shared" ca="1" si="148"/>
        <v>#N/A</v>
      </c>
      <c r="E136" s="26">
        <f t="array" aca="1" ref="E136" ca="1">AVERAGE(IF(INDIRECT(DatCol&amp;"$"&amp;TEXT(C136,"###")):INDIRECT(DatCol&amp;"$"&amp;TEXT(C136+57,"###"))&gt;0,INDIRECT(DatCol&amp;"$"&amp;TEXT(C136,"###")):INDIRECT(DatCol&amp;"$"&amp;TEXT(C136+57,"###"))))</f>
        <v>272.50857142857149</v>
      </c>
      <c r="F136" s="26" t="str">
        <f t="shared" ref="F136:F202" si="152">VLOOKUP(B136,town_region,2,FALSE)</f>
        <v>C</v>
      </c>
      <c r="G136" s="8"/>
      <c r="H136" s="8">
        <v>614</v>
      </c>
      <c r="I136" s="8">
        <v>0</v>
      </c>
      <c r="J136" s="8">
        <v>1129</v>
      </c>
      <c r="K136" s="9">
        <f t="shared" si="151"/>
        <v>1743</v>
      </c>
      <c r="M136" s="11">
        <f t="shared" si="130"/>
        <v>0</v>
      </c>
      <c r="O136" s="11">
        <f t="shared" si="131"/>
        <v>0</v>
      </c>
      <c r="Q136" s="11">
        <f t="shared" si="132"/>
        <v>0</v>
      </c>
      <c r="Y136" s="11">
        <f t="shared" si="133"/>
        <v>0</v>
      </c>
      <c r="AG136" s="11">
        <f t="shared" si="134"/>
        <v>0</v>
      </c>
      <c r="AI136" s="11">
        <f t="shared" si="135"/>
        <v>0</v>
      </c>
      <c r="AK136" s="13">
        <f t="shared" si="136"/>
        <v>0</v>
      </c>
      <c r="AM136" s="13">
        <f t="shared" si="137"/>
        <v>0</v>
      </c>
      <c r="AO136" s="11">
        <f t="shared" si="138"/>
        <v>0</v>
      </c>
      <c r="AQ136" s="11">
        <f t="shared" si="139"/>
        <v>0</v>
      </c>
      <c r="AS136" s="11">
        <f t="shared" si="140"/>
        <v>0</v>
      </c>
      <c r="AU136" s="11">
        <f t="shared" si="141"/>
        <v>0</v>
      </c>
      <c r="AW136" s="11">
        <f t="shared" si="142"/>
        <v>0</v>
      </c>
      <c r="AY136" s="11">
        <f t="shared" si="143"/>
        <v>0</v>
      </c>
      <c r="BA136" s="11">
        <f t="shared" si="144"/>
        <v>0</v>
      </c>
      <c r="BC136" s="11">
        <f t="shared" si="145"/>
        <v>0</v>
      </c>
      <c r="BE136" s="11">
        <f t="shared" si="146"/>
        <v>0</v>
      </c>
      <c r="BG136" s="11">
        <f t="shared" si="147"/>
        <v>0</v>
      </c>
      <c r="BN136" s="8">
        <f t="shared" si="149"/>
        <v>0</v>
      </c>
      <c r="BO136" s="8">
        <f t="shared" si="150"/>
        <v>0</v>
      </c>
      <c r="BP136" s="8">
        <f t="shared" si="90"/>
        <v>0</v>
      </c>
      <c r="BQ136" s="12">
        <f t="shared" si="91"/>
        <v>0</v>
      </c>
    </row>
    <row r="137" spans="1:69">
      <c r="A137" s="28">
        <v>1974</v>
      </c>
      <c r="B137" s="27" t="s">
        <v>17</v>
      </c>
      <c r="C137" s="24">
        <f t="shared" si="129"/>
        <v>118</v>
      </c>
      <c r="D137" s="7" t="e">
        <f t="shared" ca="1" si="148"/>
        <v>#N/A</v>
      </c>
      <c r="E137" s="26">
        <f t="array" aca="1" ref="E137" ca="1">AVERAGE(IF(INDIRECT(DatCol&amp;"$"&amp;TEXT(C137,"###")):INDIRECT(DatCol&amp;"$"&amp;TEXT(C137+57,"###"))&gt;0,INDIRECT(DatCol&amp;"$"&amp;TEXT(C137,"###")):INDIRECT(DatCol&amp;"$"&amp;TEXT(C137+57,"###"))))</f>
        <v>272.50857142857149</v>
      </c>
      <c r="F137" s="26" t="str">
        <f t="shared" si="152"/>
        <v>C</v>
      </c>
      <c r="G137" s="8"/>
      <c r="H137" s="8">
        <v>300</v>
      </c>
      <c r="I137" s="8">
        <v>0</v>
      </c>
      <c r="J137" s="8">
        <v>1000</v>
      </c>
      <c r="K137" s="9">
        <f t="shared" si="151"/>
        <v>1300</v>
      </c>
      <c r="M137" s="11">
        <f t="shared" si="130"/>
        <v>0</v>
      </c>
      <c r="O137" s="11">
        <f t="shared" si="131"/>
        <v>0</v>
      </c>
      <c r="Q137" s="11">
        <f t="shared" si="132"/>
        <v>0</v>
      </c>
      <c r="Y137" s="11">
        <f t="shared" si="133"/>
        <v>0</v>
      </c>
      <c r="AG137" s="11">
        <f t="shared" si="134"/>
        <v>0</v>
      </c>
      <c r="AI137" s="11">
        <f t="shared" si="135"/>
        <v>0</v>
      </c>
      <c r="AK137" s="13">
        <f t="shared" si="136"/>
        <v>0</v>
      </c>
      <c r="AM137" s="13">
        <f t="shared" si="137"/>
        <v>0</v>
      </c>
      <c r="AO137" s="11">
        <f t="shared" si="138"/>
        <v>0</v>
      </c>
      <c r="AQ137" s="11">
        <f t="shared" si="139"/>
        <v>0</v>
      </c>
      <c r="AS137" s="11">
        <f t="shared" si="140"/>
        <v>0</v>
      </c>
      <c r="AU137" s="11">
        <f t="shared" si="141"/>
        <v>0</v>
      </c>
      <c r="AW137" s="11">
        <f t="shared" si="142"/>
        <v>0</v>
      </c>
      <c r="AY137" s="11">
        <f t="shared" si="143"/>
        <v>0</v>
      </c>
      <c r="BA137" s="11">
        <f t="shared" si="144"/>
        <v>0</v>
      </c>
      <c r="BC137" s="11">
        <f t="shared" si="145"/>
        <v>0</v>
      </c>
      <c r="BE137" s="11">
        <f t="shared" si="146"/>
        <v>0</v>
      </c>
      <c r="BG137" s="11">
        <f t="shared" si="147"/>
        <v>0</v>
      </c>
      <c r="BN137" s="8">
        <f t="shared" si="149"/>
        <v>0</v>
      </c>
      <c r="BO137" s="8">
        <f t="shared" si="150"/>
        <v>0</v>
      </c>
      <c r="BP137" s="8">
        <f t="shared" si="90"/>
        <v>0</v>
      </c>
      <c r="BQ137" s="12">
        <f t="shared" si="91"/>
        <v>0</v>
      </c>
    </row>
    <row r="138" spans="1:69">
      <c r="A138" s="28">
        <v>1975</v>
      </c>
      <c r="B138" s="27" t="s">
        <v>17</v>
      </c>
      <c r="C138" s="24">
        <f t="shared" si="129"/>
        <v>118</v>
      </c>
      <c r="D138" s="7" t="e">
        <f t="shared" ca="1" si="148"/>
        <v>#N/A</v>
      </c>
      <c r="E138" s="26">
        <f t="array" aca="1" ref="E138" ca="1">AVERAGE(IF(INDIRECT(DatCol&amp;"$"&amp;TEXT(C138,"###")):INDIRECT(DatCol&amp;"$"&amp;TEXT(C138+57,"###"))&gt;0,INDIRECT(DatCol&amp;"$"&amp;TEXT(C138,"###")):INDIRECT(DatCol&amp;"$"&amp;TEXT(C138+57,"###"))))</f>
        <v>272.50857142857149</v>
      </c>
      <c r="F138" s="26" t="str">
        <f t="shared" si="152"/>
        <v>C</v>
      </c>
      <c r="G138" s="8"/>
      <c r="H138" s="8">
        <v>232</v>
      </c>
      <c r="I138" s="8">
        <v>0</v>
      </c>
      <c r="J138" s="8">
        <v>902</v>
      </c>
      <c r="K138" s="9">
        <f t="shared" si="151"/>
        <v>1134</v>
      </c>
      <c r="M138" s="11">
        <f t="shared" si="130"/>
        <v>0</v>
      </c>
      <c r="N138" s="12">
        <v>200</v>
      </c>
      <c r="O138" s="11">
        <f t="shared" si="131"/>
        <v>10000</v>
      </c>
      <c r="Q138" s="11">
        <f t="shared" si="132"/>
        <v>0</v>
      </c>
      <c r="X138" s="12">
        <v>250</v>
      </c>
      <c r="Y138" s="11">
        <f t="shared" si="133"/>
        <v>15000</v>
      </c>
      <c r="AG138" s="11">
        <f t="shared" si="134"/>
        <v>0</v>
      </c>
      <c r="AH138" s="12">
        <v>100</v>
      </c>
      <c r="AI138" s="11">
        <f t="shared" si="135"/>
        <v>6500</v>
      </c>
      <c r="AK138" s="13">
        <f t="shared" si="136"/>
        <v>0</v>
      </c>
      <c r="AM138" s="13">
        <f t="shared" si="137"/>
        <v>0</v>
      </c>
      <c r="AO138" s="11">
        <f t="shared" si="138"/>
        <v>0</v>
      </c>
      <c r="AP138" s="12">
        <v>125</v>
      </c>
      <c r="AQ138" s="11">
        <f t="shared" si="139"/>
        <v>10000</v>
      </c>
      <c r="AS138" s="11">
        <f t="shared" si="140"/>
        <v>0</v>
      </c>
      <c r="AU138" s="11">
        <f t="shared" si="141"/>
        <v>0</v>
      </c>
      <c r="AW138" s="11">
        <f t="shared" si="142"/>
        <v>0</v>
      </c>
      <c r="AY138" s="11">
        <f t="shared" si="143"/>
        <v>0</v>
      </c>
      <c r="BA138" s="11">
        <f t="shared" si="144"/>
        <v>0</v>
      </c>
      <c r="BC138" s="11">
        <f t="shared" si="145"/>
        <v>0</v>
      </c>
      <c r="BE138" s="11">
        <f t="shared" si="146"/>
        <v>0</v>
      </c>
      <c r="BG138" s="11">
        <f t="shared" si="147"/>
        <v>0</v>
      </c>
      <c r="BN138" s="8">
        <f t="shared" si="149"/>
        <v>250</v>
      </c>
      <c r="BO138" s="8">
        <f t="shared" si="150"/>
        <v>15000</v>
      </c>
      <c r="BP138" s="8">
        <f t="shared" si="90"/>
        <v>675</v>
      </c>
      <c r="BQ138" s="12">
        <f t="shared" si="91"/>
        <v>41500</v>
      </c>
    </row>
    <row r="139" spans="1:69">
      <c r="A139" s="28">
        <v>1976</v>
      </c>
      <c r="B139" s="27" t="s">
        <v>17</v>
      </c>
      <c r="C139" s="24">
        <f t="shared" si="129"/>
        <v>118</v>
      </c>
      <c r="D139" s="7" t="e">
        <f t="shared" ca="1" si="148"/>
        <v>#N/A</v>
      </c>
      <c r="E139" s="26">
        <f t="array" aca="1" ref="E139" ca="1">AVERAGE(IF(INDIRECT(DatCol&amp;"$"&amp;TEXT(C139,"###")):INDIRECT(DatCol&amp;"$"&amp;TEXT(C139+57,"###"))&gt;0,INDIRECT(DatCol&amp;"$"&amp;TEXT(C139,"###")):INDIRECT(DatCol&amp;"$"&amp;TEXT(C139+57,"###"))))</f>
        <v>272.50857142857149</v>
      </c>
      <c r="F139" s="26" t="str">
        <f t="shared" si="152"/>
        <v>C</v>
      </c>
      <c r="G139" s="8"/>
      <c r="H139" s="8">
        <v>93</v>
      </c>
      <c r="I139" s="8">
        <v>0</v>
      </c>
      <c r="J139" s="8">
        <v>584</v>
      </c>
      <c r="K139" s="9">
        <f t="shared" si="151"/>
        <v>677</v>
      </c>
      <c r="M139" s="11">
        <f t="shared" si="130"/>
        <v>0</v>
      </c>
      <c r="O139" s="11">
        <f t="shared" si="131"/>
        <v>0</v>
      </c>
      <c r="Q139" s="11">
        <f t="shared" si="132"/>
        <v>0</v>
      </c>
      <c r="Y139" s="11">
        <f t="shared" si="133"/>
        <v>0</v>
      </c>
      <c r="AG139" s="11">
        <f t="shared" si="134"/>
        <v>0</v>
      </c>
      <c r="AI139" s="11">
        <f t="shared" si="135"/>
        <v>0</v>
      </c>
      <c r="AJ139" s="12">
        <v>1400</v>
      </c>
      <c r="AK139" s="13">
        <f t="shared" si="136"/>
        <v>12600</v>
      </c>
      <c r="AL139" s="12">
        <v>10000</v>
      </c>
      <c r="AM139" s="13">
        <f t="shared" si="137"/>
        <v>90000</v>
      </c>
      <c r="AO139" s="11">
        <f t="shared" si="138"/>
        <v>0</v>
      </c>
      <c r="AQ139" s="11">
        <f t="shared" si="139"/>
        <v>0</v>
      </c>
      <c r="AS139" s="11">
        <f t="shared" si="140"/>
        <v>0</v>
      </c>
      <c r="AU139" s="11">
        <f t="shared" si="141"/>
        <v>0</v>
      </c>
      <c r="AW139" s="11">
        <f t="shared" si="142"/>
        <v>0</v>
      </c>
      <c r="AY139" s="11">
        <f t="shared" si="143"/>
        <v>0</v>
      </c>
      <c r="BA139" s="11">
        <f t="shared" si="144"/>
        <v>0</v>
      </c>
      <c r="BC139" s="11">
        <f t="shared" si="145"/>
        <v>0</v>
      </c>
      <c r="BE139" s="11">
        <f t="shared" si="146"/>
        <v>0</v>
      </c>
      <c r="BG139" s="11">
        <f t="shared" si="147"/>
        <v>0</v>
      </c>
      <c r="BN139" s="8">
        <f t="shared" si="149"/>
        <v>1400</v>
      </c>
      <c r="BO139" s="8">
        <f t="shared" si="150"/>
        <v>12600</v>
      </c>
      <c r="BP139" s="8">
        <f t="shared" si="90"/>
        <v>10000</v>
      </c>
      <c r="BQ139" s="12">
        <f t="shared" si="91"/>
        <v>90000</v>
      </c>
    </row>
    <row r="140" spans="1:69">
      <c r="A140" s="28">
        <v>1977</v>
      </c>
      <c r="B140" s="27" t="s">
        <v>17</v>
      </c>
      <c r="C140" s="24">
        <f t="shared" si="129"/>
        <v>118</v>
      </c>
      <c r="D140" s="7" t="e">
        <f t="shared" ca="1" si="148"/>
        <v>#N/A</v>
      </c>
      <c r="E140" s="26">
        <f t="array" aca="1" ref="E140" ca="1">AVERAGE(IF(INDIRECT(DatCol&amp;"$"&amp;TEXT(C140,"###")):INDIRECT(DatCol&amp;"$"&amp;TEXT(C140+57,"###"))&gt;0,INDIRECT(DatCol&amp;"$"&amp;TEXT(C140,"###")):INDIRECT(DatCol&amp;"$"&amp;TEXT(C140+57,"###"))))</f>
        <v>272.50857142857149</v>
      </c>
      <c r="F140" s="26" t="str">
        <f t="shared" si="152"/>
        <v>C</v>
      </c>
      <c r="G140" s="8"/>
      <c r="H140" s="8">
        <v>90</v>
      </c>
      <c r="I140" s="8">
        <v>4</v>
      </c>
      <c r="J140" s="8">
        <v>526</v>
      </c>
      <c r="K140" s="9">
        <f t="shared" si="151"/>
        <v>616</v>
      </c>
      <c r="M140" s="11">
        <f t="shared" si="130"/>
        <v>0</v>
      </c>
      <c r="O140" s="11">
        <f t="shared" si="131"/>
        <v>0</v>
      </c>
      <c r="Q140" s="11">
        <f t="shared" si="132"/>
        <v>0</v>
      </c>
      <c r="X140" s="12">
        <v>750</v>
      </c>
      <c r="Y140" s="11">
        <f t="shared" si="133"/>
        <v>45000</v>
      </c>
      <c r="AG140" s="11">
        <f t="shared" si="134"/>
        <v>0</v>
      </c>
      <c r="AI140" s="11">
        <f t="shared" si="135"/>
        <v>0</v>
      </c>
      <c r="AK140" s="13">
        <f t="shared" si="136"/>
        <v>0</v>
      </c>
      <c r="AM140" s="13">
        <f t="shared" si="137"/>
        <v>0</v>
      </c>
      <c r="AO140" s="11">
        <f t="shared" si="138"/>
        <v>0</v>
      </c>
      <c r="AP140" s="12">
        <v>325</v>
      </c>
      <c r="AQ140" s="11">
        <f t="shared" si="139"/>
        <v>26000</v>
      </c>
      <c r="AS140" s="11">
        <f t="shared" si="140"/>
        <v>0</v>
      </c>
      <c r="AU140" s="11">
        <f t="shared" si="141"/>
        <v>0</v>
      </c>
      <c r="AW140" s="11">
        <f t="shared" si="142"/>
        <v>0</v>
      </c>
      <c r="AY140" s="11">
        <f t="shared" si="143"/>
        <v>0</v>
      </c>
      <c r="BA140" s="11">
        <f t="shared" si="144"/>
        <v>0</v>
      </c>
      <c r="BB140" s="12">
        <v>50</v>
      </c>
      <c r="BC140" s="11">
        <f t="shared" si="145"/>
        <v>2000</v>
      </c>
      <c r="BE140" s="11">
        <f t="shared" si="146"/>
        <v>0</v>
      </c>
      <c r="BF140" s="12">
        <v>150</v>
      </c>
      <c r="BG140" s="11">
        <f t="shared" si="147"/>
        <v>14250</v>
      </c>
      <c r="BN140" s="8">
        <f t="shared" si="149"/>
        <v>750</v>
      </c>
      <c r="BO140" s="8">
        <f t="shared" si="150"/>
        <v>45000</v>
      </c>
      <c r="BP140" s="8">
        <f t="shared" si="90"/>
        <v>1275</v>
      </c>
      <c r="BQ140" s="12">
        <f t="shared" si="91"/>
        <v>87250</v>
      </c>
    </row>
    <row r="141" spans="1:69">
      <c r="A141" s="28">
        <v>1978</v>
      </c>
      <c r="B141" s="27" t="s">
        <v>17</v>
      </c>
      <c r="C141" s="24">
        <f t="shared" si="129"/>
        <v>118</v>
      </c>
      <c r="D141" s="7" t="e">
        <f t="shared" ca="1" si="148"/>
        <v>#N/A</v>
      </c>
      <c r="E141" s="26">
        <f t="array" aca="1" ref="E141" ca="1">AVERAGE(IF(INDIRECT(DatCol&amp;"$"&amp;TEXT(C141,"###")):INDIRECT(DatCol&amp;"$"&amp;TEXT(C141+57,"###"))&gt;0,INDIRECT(DatCol&amp;"$"&amp;TEXT(C141,"###")):INDIRECT(DatCol&amp;"$"&amp;TEXT(C141+57,"###"))))</f>
        <v>272.50857142857149</v>
      </c>
      <c r="F141" s="26" t="str">
        <f t="shared" si="152"/>
        <v>C</v>
      </c>
      <c r="G141" s="8"/>
      <c r="H141" s="8">
        <v>89</v>
      </c>
      <c r="I141" s="8">
        <v>4</v>
      </c>
      <c r="J141" s="8">
        <v>1695</v>
      </c>
      <c r="K141" s="9">
        <f t="shared" si="151"/>
        <v>1784</v>
      </c>
      <c r="M141" s="11">
        <f t="shared" si="130"/>
        <v>0</v>
      </c>
      <c r="O141" s="11">
        <f t="shared" si="131"/>
        <v>0</v>
      </c>
      <c r="Q141" s="11">
        <f t="shared" si="132"/>
        <v>0</v>
      </c>
      <c r="X141" s="12">
        <v>2000</v>
      </c>
      <c r="Y141" s="11">
        <f t="shared" si="133"/>
        <v>120000</v>
      </c>
      <c r="AG141" s="11">
        <f t="shared" si="134"/>
        <v>0</v>
      </c>
      <c r="AI141" s="11">
        <f t="shared" si="135"/>
        <v>0</v>
      </c>
      <c r="AK141" s="13">
        <f t="shared" si="136"/>
        <v>0</v>
      </c>
      <c r="AM141" s="13">
        <f t="shared" si="137"/>
        <v>0</v>
      </c>
      <c r="AO141" s="11">
        <f t="shared" si="138"/>
        <v>0</v>
      </c>
      <c r="AP141" s="12">
        <v>750</v>
      </c>
      <c r="AQ141" s="11">
        <f t="shared" si="139"/>
        <v>60000</v>
      </c>
      <c r="AS141" s="11">
        <f t="shared" si="140"/>
        <v>0</v>
      </c>
      <c r="AU141" s="11">
        <f t="shared" si="141"/>
        <v>0</v>
      </c>
      <c r="AW141" s="11">
        <f t="shared" si="142"/>
        <v>0</v>
      </c>
      <c r="AY141" s="11">
        <f t="shared" si="143"/>
        <v>0</v>
      </c>
      <c r="BA141" s="11">
        <f t="shared" si="144"/>
        <v>0</v>
      </c>
      <c r="BB141" s="12">
        <v>175</v>
      </c>
      <c r="BC141" s="11">
        <f t="shared" si="145"/>
        <v>7000</v>
      </c>
      <c r="BE141" s="11">
        <f t="shared" si="146"/>
        <v>0</v>
      </c>
      <c r="BG141" s="11">
        <f t="shared" si="147"/>
        <v>0</v>
      </c>
      <c r="BN141" s="8">
        <f t="shared" si="149"/>
        <v>2000</v>
      </c>
      <c r="BO141" s="8">
        <f t="shared" si="150"/>
        <v>120000</v>
      </c>
      <c r="BP141" s="8">
        <f t="shared" si="90"/>
        <v>2925</v>
      </c>
      <c r="BQ141" s="12">
        <f t="shared" si="91"/>
        <v>187000</v>
      </c>
    </row>
    <row r="142" spans="1:69">
      <c r="A142" s="28">
        <v>1979</v>
      </c>
      <c r="B142" s="27" t="s">
        <v>17</v>
      </c>
      <c r="C142" s="24">
        <f t="shared" si="129"/>
        <v>118</v>
      </c>
      <c r="D142" s="7" t="e">
        <f t="shared" ca="1" si="148"/>
        <v>#N/A</v>
      </c>
      <c r="E142" s="26">
        <f t="array" aca="1" ref="E142" ca="1">AVERAGE(IF(INDIRECT(DatCol&amp;"$"&amp;TEXT(C142,"###")):INDIRECT(DatCol&amp;"$"&amp;TEXT(C142+57,"###"))&gt;0,INDIRECT(DatCol&amp;"$"&amp;TEXT(C142,"###")):INDIRECT(DatCol&amp;"$"&amp;TEXT(C142+57,"###"))))</f>
        <v>272.50857142857149</v>
      </c>
      <c r="F142" s="26" t="str">
        <f t="shared" si="152"/>
        <v>C</v>
      </c>
      <c r="G142" s="8"/>
      <c r="H142" s="8">
        <v>161</v>
      </c>
      <c r="I142" s="8">
        <v>0</v>
      </c>
      <c r="J142" s="8">
        <v>810</v>
      </c>
      <c r="K142" s="9">
        <f t="shared" si="151"/>
        <v>971</v>
      </c>
      <c r="M142" s="11">
        <f t="shared" si="130"/>
        <v>0</v>
      </c>
      <c r="O142" s="11">
        <f t="shared" si="131"/>
        <v>0</v>
      </c>
      <c r="Q142" s="11">
        <f t="shared" si="132"/>
        <v>0</v>
      </c>
      <c r="X142" s="12">
        <v>1643</v>
      </c>
      <c r="Y142" s="11">
        <f t="shared" si="133"/>
        <v>98580</v>
      </c>
      <c r="AG142" s="11">
        <f t="shared" si="134"/>
        <v>0</v>
      </c>
      <c r="AI142" s="11">
        <f t="shared" si="135"/>
        <v>0</v>
      </c>
      <c r="AK142" s="13">
        <f t="shared" si="136"/>
        <v>0</v>
      </c>
      <c r="AL142" s="12">
        <v>2876</v>
      </c>
      <c r="AM142" s="13">
        <f t="shared" si="137"/>
        <v>25884</v>
      </c>
      <c r="AO142" s="11">
        <f t="shared" si="138"/>
        <v>0</v>
      </c>
      <c r="AP142" s="12">
        <v>723</v>
      </c>
      <c r="AQ142" s="11">
        <f t="shared" si="139"/>
        <v>57840</v>
      </c>
      <c r="AS142" s="11">
        <f t="shared" si="140"/>
        <v>0</v>
      </c>
      <c r="AU142" s="11">
        <f t="shared" si="141"/>
        <v>0</v>
      </c>
      <c r="AW142" s="11">
        <f t="shared" si="142"/>
        <v>0</v>
      </c>
      <c r="AY142" s="11">
        <f t="shared" si="143"/>
        <v>0</v>
      </c>
      <c r="BA142" s="11">
        <f t="shared" si="144"/>
        <v>0</v>
      </c>
      <c r="BB142" s="12">
        <v>232</v>
      </c>
      <c r="BC142" s="11">
        <f t="shared" si="145"/>
        <v>9280</v>
      </c>
      <c r="BE142" s="11">
        <f t="shared" si="146"/>
        <v>0</v>
      </c>
      <c r="BG142" s="11">
        <f t="shared" si="147"/>
        <v>0</v>
      </c>
      <c r="BN142" s="8">
        <f t="shared" si="149"/>
        <v>1643</v>
      </c>
      <c r="BO142" s="8">
        <f t="shared" si="150"/>
        <v>98580</v>
      </c>
      <c r="BP142" s="8">
        <f t="shared" ref="BP142:BP206" si="153">(N142+X142+Z142+AB142+AD142+AH142+AL142+AP142+AT142+AX142+BB142+BF142)</f>
        <v>5474</v>
      </c>
      <c r="BQ142" s="12">
        <f t="shared" ref="BQ142:BQ206" si="154">(O142+Y142+AA142+AC142+AE142+AI142+AM142+AQ142+AU142+AY142+BC142+BG142)</f>
        <v>191584</v>
      </c>
    </row>
    <row r="143" spans="1:69">
      <c r="A143" s="28">
        <v>1980</v>
      </c>
      <c r="B143" s="27" t="s">
        <v>17</v>
      </c>
      <c r="C143" s="24">
        <f t="shared" si="129"/>
        <v>118</v>
      </c>
      <c r="D143" s="7" t="e">
        <f t="shared" ca="1" si="148"/>
        <v>#N/A</v>
      </c>
      <c r="E143" s="26">
        <f t="array" aca="1" ref="E143" ca="1">AVERAGE(IF(INDIRECT(DatCol&amp;"$"&amp;TEXT(C143,"###")):INDIRECT(DatCol&amp;"$"&amp;TEXT(C143+57,"###"))&gt;0,INDIRECT(DatCol&amp;"$"&amp;TEXT(C143,"###")):INDIRECT(DatCol&amp;"$"&amp;TEXT(C143+57,"###"))))</f>
        <v>272.50857142857149</v>
      </c>
      <c r="F143" s="26" t="str">
        <f t="shared" si="152"/>
        <v>C</v>
      </c>
      <c r="G143" s="8"/>
      <c r="H143" s="8">
        <v>225</v>
      </c>
      <c r="I143" s="8">
        <v>0</v>
      </c>
      <c r="J143" s="8">
        <v>1100</v>
      </c>
      <c r="K143" s="9">
        <f t="shared" si="151"/>
        <v>1325</v>
      </c>
      <c r="M143" s="11">
        <f t="shared" si="130"/>
        <v>0</v>
      </c>
      <c r="N143" s="12" t="s">
        <v>0</v>
      </c>
      <c r="O143" s="11">
        <f t="shared" si="131"/>
        <v>0</v>
      </c>
      <c r="Q143" s="11">
        <f t="shared" si="132"/>
        <v>0</v>
      </c>
      <c r="X143" s="12">
        <v>4990</v>
      </c>
      <c r="Y143" s="11">
        <f t="shared" si="133"/>
        <v>299400</v>
      </c>
      <c r="AG143" s="11">
        <f t="shared" si="134"/>
        <v>0</v>
      </c>
      <c r="AI143" s="11">
        <f t="shared" si="135"/>
        <v>0</v>
      </c>
      <c r="AK143" s="13">
        <f t="shared" si="136"/>
        <v>0</v>
      </c>
      <c r="AL143" s="12">
        <v>6000</v>
      </c>
      <c r="AM143" s="13">
        <f t="shared" si="137"/>
        <v>54000</v>
      </c>
      <c r="AO143" s="11">
        <f t="shared" si="138"/>
        <v>0</v>
      </c>
      <c r="AP143" s="12">
        <v>1833</v>
      </c>
      <c r="AQ143" s="11">
        <f t="shared" si="139"/>
        <v>146640</v>
      </c>
      <c r="AS143" s="11">
        <f t="shared" si="140"/>
        <v>0</v>
      </c>
      <c r="AU143" s="11">
        <f t="shared" si="141"/>
        <v>0</v>
      </c>
      <c r="AW143" s="11">
        <f t="shared" si="142"/>
        <v>0</v>
      </c>
      <c r="AY143" s="11">
        <f t="shared" si="143"/>
        <v>0</v>
      </c>
      <c r="BA143" s="11">
        <f t="shared" si="144"/>
        <v>0</v>
      </c>
      <c r="BC143" s="11">
        <f t="shared" si="145"/>
        <v>0</v>
      </c>
      <c r="BE143" s="11">
        <f t="shared" si="146"/>
        <v>0</v>
      </c>
      <c r="BG143" s="11">
        <f t="shared" si="147"/>
        <v>0</v>
      </c>
      <c r="BN143" s="8">
        <f t="shared" si="149"/>
        <v>4990</v>
      </c>
      <c r="BO143" s="8">
        <f t="shared" si="150"/>
        <v>299400</v>
      </c>
      <c r="BP143" s="8">
        <f t="shared" si="153"/>
        <v>12823</v>
      </c>
      <c r="BQ143" s="12">
        <f t="shared" si="154"/>
        <v>500040</v>
      </c>
    </row>
    <row r="144" spans="1:69">
      <c r="A144" s="28">
        <v>1981</v>
      </c>
      <c r="B144" s="27" t="s">
        <v>17</v>
      </c>
      <c r="C144" s="24">
        <f t="shared" si="129"/>
        <v>118</v>
      </c>
      <c r="D144" s="7" t="e">
        <f t="shared" ca="1" si="148"/>
        <v>#N/A</v>
      </c>
      <c r="E144" s="26">
        <f t="array" aca="1" ref="E144" ca="1">AVERAGE(IF(INDIRECT(DatCol&amp;"$"&amp;TEXT(C144,"###")):INDIRECT(DatCol&amp;"$"&amp;TEXT(C144+57,"###"))&gt;0,INDIRECT(DatCol&amp;"$"&amp;TEXT(C144,"###")):INDIRECT(DatCol&amp;"$"&amp;TEXT(C144+57,"###"))))</f>
        <v>272.50857142857149</v>
      </c>
      <c r="F144" s="26" t="str">
        <f t="shared" si="152"/>
        <v>C</v>
      </c>
      <c r="G144" s="8"/>
      <c r="H144" s="8">
        <v>181</v>
      </c>
      <c r="I144" s="8">
        <v>0</v>
      </c>
      <c r="J144" s="8">
        <v>980</v>
      </c>
      <c r="K144" s="9">
        <f t="shared" si="151"/>
        <v>1161</v>
      </c>
      <c r="M144" s="11">
        <f t="shared" si="130"/>
        <v>0</v>
      </c>
      <c r="N144" s="12">
        <v>143</v>
      </c>
      <c r="O144" s="11">
        <f t="shared" si="131"/>
        <v>7150</v>
      </c>
      <c r="Q144" s="11">
        <f t="shared" si="132"/>
        <v>0</v>
      </c>
      <c r="X144" s="12">
        <v>2325</v>
      </c>
      <c r="Y144" s="11">
        <f t="shared" si="133"/>
        <v>139500</v>
      </c>
      <c r="AG144" s="11">
        <f t="shared" si="134"/>
        <v>0</v>
      </c>
      <c r="AI144" s="11">
        <f t="shared" si="135"/>
        <v>0</v>
      </c>
      <c r="AK144" s="13">
        <f t="shared" si="136"/>
        <v>0</v>
      </c>
      <c r="AM144" s="13">
        <f t="shared" si="137"/>
        <v>0</v>
      </c>
      <c r="AO144" s="11">
        <f t="shared" si="138"/>
        <v>0</v>
      </c>
      <c r="AP144" s="12">
        <v>436</v>
      </c>
      <c r="AQ144" s="11">
        <f t="shared" si="139"/>
        <v>34880</v>
      </c>
      <c r="AS144" s="11">
        <f t="shared" si="140"/>
        <v>0</v>
      </c>
      <c r="AU144" s="11">
        <f t="shared" si="141"/>
        <v>0</v>
      </c>
      <c r="AW144" s="11">
        <f t="shared" si="142"/>
        <v>0</v>
      </c>
      <c r="AY144" s="11">
        <f t="shared" si="143"/>
        <v>0</v>
      </c>
      <c r="BA144" s="11">
        <f t="shared" si="144"/>
        <v>0</v>
      </c>
      <c r="BB144" s="12">
        <v>92</v>
      </c>
      <c r="BC144" s="11">
        <f t="shared" si="145"/>
        <v>3680</v>
      </c>
      <c r="BE144" s="11">
        <f t="shared" si="146"/>
        <v>0</v>
      </c>
      <c r="BG144" s="11">
        <f t="shared" si="147"/>
        <v>0</v>
      </c>
      <c r="BN144" s="8">
        <f t="shared" si="149"/>
        <v>2325</v>
      </c>
      <c r="BO144" s="8">
        <f t="shared" si="150"/>
        <v>139500</v>
      </c>
      <c r="BP144" s="8">
        <f t="shared" si="153"/>
        <v>2996</v>
      </c>
      <c r="BQ144" s="12">
        <f t="shared" si="154"/>
        <v>185210</v>
      </c>
    </row>
    <row r="145" spans="1:69">
      <c r="A145" s="28">
        <v>1982</v>
      </c>
      <c r="B145" s="27" t="s">
        <v>17</v>
      </c>
      <c r="C145" s="24">
        <f t="shared" si="129"/>
        <v>118</v>
      </c>
      <c r="D145" s="7" t="e">
        <f t="shared" ca="1" si="148"/>
        <v>#N/A</v>
      </c>
      <c r="E145" s="26">
        <f t="array" aca="1" ref="E145" ca="1">AVERAGE(IF(INDIRECT(DatCol&amp;"$"&amp;TEXT(C145,"###")):INDIRECT(DatCol&amp;"$"&amp;TEXT(C145+57,"###"))&gt;0,INDIRECT(DatCol&amp;"$"&amp;TEXT(C145,"###")):INDIRECT(DatCol&amp;"$"&amp;TEXT(C145+57,"###"))))</f>
        <v>272.50857142857149</v>
      </c>
      <c r="F145" s="26" t="str">
        <f t="shared" si="152"/>
        <v>C</v>
      </c>
      <c r="G145" s="8"/>
      <c r="H145" s="8">
        <v>126</v>
      </c>
      <c r="I145" s="8">
        <v>0</v>
      </c>
      <c r="J145" s="8">
        <v>784</v>
      </c>
      <c r="K145" s="9">
        <f t="shared" si="151"/>
        <v>910</v>
      </c>
      <c r="M145" s="11">
        <f t="shared" ref="M145:M157" si="155">(L145*50)</f>
        <v>0</v>
      </c>
      <c r="N145" s="12">
        <v>276</v>
      </c>
      <c r="O145" s="11">
        <f t="shared" ref="O145:O160" si="156">(N145*50)</f>
        <v>13800</v>
      </c>
      <c r="Q145" s="11">
        <f t="shared" ref="Q145:Q160" si="157">((P145*330)/5.5)</f>
        <v>0</v>
      </c>
      <c r="X145" s="12">
        <v>2812</v>
      </c>
      <c r="Y145" s="11">
        <f t="shared" ref="Y145:Y160" si="158">((X145*330)/5.5)</f>
        <v>168720</v>
      </c>
      <c r="AG145" s="11">
        <f t="shared" ref="AG145:AG160" si="159">(AF145*65)</f>
        <v>0</v>
      </c>
      <c r="AI145" s="11">
        <f t="shared" ref="AI145:AI160" si="160">(AH145*65)</f>
        <v>0</v>
      </c>
      <c r="AK145" s="13">
        <f t="shared" ref="AK145:AK157" si="161">(AJ145*9)</f>
        <v>0</v>
      </c>
      <c r="AL145" s="12">
        <v>0</v>
      </c>
      <c r="AM145" s="13">
        <f t="shared" ref="AM145:AM160" si="162">(AL145*9)</f>
        <v>0</v>
      </c>
      <c r="AO145" s="11">
        <f t="shared" ref="AO145:AO160" si="163">(AN145*80)</f>
        <v>0</v>
      </c>
      <c r="AP145" s="12">
        <v>191</v>
      </c>
      <c r="AQ145" s="11">
        <f t="shared" ref="AQ145:AQ160" si="164">(AP145*80)</f>
        <v>15280</v>
      </c>
      <c r="AS145" s="11">
        <f t="shared" ref="AS145:AS160" si="165">(AR145*50)</f>
        <v>0</v>
      </c>
      <c r="AU145" s="11">
        <f t="shared" ref="AU145:AU160" si="166">(AT145*50)</f>
        <v>0</v>
      </c>
      <c r="AW145" s="11">
        <f t="shared" ref="AW145:AW160" si="167">(AV145*60)</f>
        <v>0</v>
      </c>
      <c r="AY145" s="11">
        <f t="shared" ref="AY145:AY160" si="168">(AX145*60)</f>
        <v>0</v>
      </c>
      <c r="BA145" s="11">
        <f t="shared" ref="BA145:BA160" si="169">(AZ145*40)</f>
        <v>0</v>
      </c>
      <c r="BB145" s="12">
        <v>27</v>
      </c>
      <c r="BC145" s="11">
        <f t="shared" ref="BC145:BC160" si="170">(BB145*40)</f>
        <v>1080</v>
      </c>
      <c r="BE145" s="11">
        <f t="shared" ref="BE145:BE160" si="171">(BD145*95)</f>
        <v>0</v>
      </c>
      <c r="BF145" s="12">
        <v>0</v>
      </c>
      <c r="BG145" s="11">
        <f t="shared" ref="BG145:BG160" si="172">(BF145*95)</f>
        <v>0</v>
      </c>
      <c r="BN145" s="8">
        <f t="shared" si="149"/>
        <v>2812</v>
      </c>
      <c r="BO145" s="8">
        <f t="shared" si="150"/>
        <v>168720</v>
      </c>
      <c r="BP145" s="8">
        <f t="shared" si="153"/>
        <v>3306</v>
      </c>
      <c r="BQ145" s="12">
        <f t="shared" si="154"/>
        <v>198880</v>
      </c>
    </row>
    <row r="146" spans="1:69">
      <c r="A146" s="28">
        <v>1983</v>
      </c>
      <c r="B146" s="27" t="s">
        <v>17</v>
      </c>
      <c r="C146" s="24">
        <f t="shared" si="129"/>
        <v>118</v>
      </c>
      <c r="D146" s="7" t="e">
        <f t="shared" ca="1" si="148"/>
        <v>#N/A</v>
      </c>
      <c r="E146" s="26">
        <f t="array" aca="1" ref="E146" ca="1">AVERAGE(IF(INDIRECT(DatCol&amp;"$"&amp;TEXT(C146,"###")):INDIRECT(DatCol&amp;"$"&amp;TEXT(C146+57,"###"))&gt;0,INDIRECT(DatCol&amp;"$"&amp;TEXT(C146,"###")):INDIRECT(DatCol&amp;"$"&amp;TEXT(C146+57,"###"))))</f>
        <v>272.50857142857149</v>
      </c>
      <c r="F146" s="26" t="str">
        <f t="shared" si="152"/>
        <v>C</v>
      </c>
      <c r="G146" s="8"/>
      <c r="H146" s="8">
        <v>131</v>
      </c>
      <c r="I146" s="8">
        <v>0</v>
      </c>
      <c r="J146" s="8">
        <v>715</v>
      </c>
      <c r="K146" s="9">
        <f t="shared" si="151"/>
        <v>846</v>
      </c>
      <c r="M146" s="11">
        <f t="shared" si="155"/>
        <v>0</v>
      </c>
      <c r="N146" s="12">
        <v>356</v>
      </c>
      <c r="O146" s="11">
        <f t="shared" si="156"/>
        <v>17800</v>
      </c>
      <c r="Q146" s="11">
        <f t="shared" si="157"/>
        <v>0</v>
      </c>
      <c r="X146" s="12">
        <v>2386</v>
      </c>
      <c r="Y146" s="11">
        <f t="shared" si="158"/>
        <v>143160</v>
      </c>
      <c r="AG146" s="11">
        <f t="shared" si="159"/>
        <v>0</v>
      </c>
      <c r="AI146" s="11">
        <f t="shared" si="160"/>
        <v>0</v>
      </c>
      <c r="AK146" s="13">
        <f t="shared" si="161"/>
        <v>0</v>
      </c>
      <c r="AL146" s="12">
        <v>0</v>
      </c>
      <c r="AM146" s="13">
        <f t="shared" si="162"/>
        <v>0</v>
      </c>
      <c r="AO146" s="11">
        <f t="shared" si="163"/>
        <v>0</v>
      </c>
      <c r="AP146" s="12">
        <v>92</v>
      </c>
      <c r="AQ146" s="11">
        <f t="shared" si="164"/>
        <v>7360</v>
      </c>
      <c r="AS146" s="11">
        <f t="shared" si="165"/>
        <v>0</v>
      </c>
      <c r="AU146" s="11">
        <f t="shared" si="166"/>
        <v>0</v>
      </c>
      <c r="AW146" s="11">
        <f t="shared" si="167"/>
        <v>0</v>
      </c>
      <c r="AY146" s="11">
        <f t="shared" si="168"/>
        <v>0</v>
      </c>
      <c r="BA146" s="11">
        <f t="shared" si="169"/>
        <v>0</v>
      </c>
      <c r="BB146" s="12">
        <v>28</v>
      </c>
      <c r="BC146" s="11">
        <f t="shared" si="170"/>
        <v>1120</v>
      </c>
      <c r="BE146" s="11">
        <f t="shared" si="171"/>
        <v>0</v>
      </c>
      <c r="BF146" s="12">
        <v>7</v>
      </c>
      <c r="BG146" s="11">
        <f t="shared" si="172"/>
        <v>665</v>
      </c>
      <c r="BN146" s="8">
        <f t="shared" si="149"/>
        <v>2386</v>
      </c>
      <c r="BO146" s="8">
        <f t="shared" si="150"/>
        <v>143160</v>
      </c>
      <c r="BP146" s="8">
        <f t="shared" si="153"/>
        <v>2869</v>
      </c>
      <c r="BQ146" s="12">
        <f t="shared" si="154"/>
        <v>170105</v>
      </c>
    </row>
    <row r="147" spans="1:69">
      <c r="A147" s="28">
        <v>1984</v>
      </c>
      <c r="B147" s="27" t="s">
        <v>17</v>
      </c>
      <c r="C147" s="24">
        <f t="shared" si="129"/>
        <v>118</v>
      </c>
      <c r="D147" s="7" t="e">
        <f t="shared" ca="1" si="148"/>
        <v>#N/A</v>
      </c>
      <c r="E147" s="26">
        <f t="array" aca="1" ref="E147" ca="1">AVERAGE(IF(INDIRECT(DatCol&amp;"$"&amp;TEXT(C147,"###")):INDIRECT(DatCol&amp;"$"&amp;TEXT(C147+57,"###"))&gt;0,INDIRECT(DatCol&amp;"$"&amp;TEXT(C147,"###")):INDIRECT(DatCol&amp;"$"&amp;TEXT(C147+57,"###"))))</f>
        <v>272.50857142857149</v>
      </c>
      <c r="F147" s="26" t="str">
        <f t="shared" si="152"/>
        <v>C</v>
      </c>
      <c r="G147" s="8"/>
      <c r="H147" s="8">
        <v>0</v>
      </c>
      <c r="I147" s="8" t="s">
        <v>20</v>
      </c>
      <c r="J147" s="8" t="s">
        <v>20</v>
      </c>
      <c r="K147" s="9">
        <f t="shared" si="151"/>
        <v>0</v>
      </c>
      <c r="M147" s="11">
        <f t="shared" si="155"/>
        <v>0</v>
      </c>
      <c r="N147" s="12" t="s">
        <v>20</v>
      </c>
      <c r="O147" s="11">
        <f t="shared" si="156"/>
        <v>0</v>
      </c>
      <c r="Q147" s="11">
        <f t="shared" si="157"/>
        <v>0</v>
      </c>
      <c r="Y147" s="11">
        <f t="shared" si="158"/>
        <v>0</v>
      </c>
      <c r="AG147" s="11">
        <f t="shared" si="159"/>
        <v>0</v>
      </c>
      <c r="AH147" s="12">
        <v>283</v>
      </c>
      <c r="AI147" s="11">
        <f t="shared" si="160"/>
        <v>18395</v>
      </c>
      <c r="AK147" s="13">
        <f t="shared" si="161"/>
        <v>0</v>
      </c>
      <c r="AM147" s="13">
        <f t="shared" si="162"/>
        <v>0</v>
      </c>
      <c r="AO147" s="11">
        <f t="shared" si="163"/>
        <v>0</v>
      </c>
      <c r="AQ147" s="11">
        <f t="shared" si="164"/>
        <v>0</v>
      </c>
      <c r="AS147" s="11">
        <f t="shared" si="165"/>
        <v>0</v>
      </c>
      <c r="AU147" s="11">
        <f t="shared" si="166"/>
        <v>0</v>
      </c>
      <c r="AW147" s="11">
        <f t="shared" si="167"/>
        <v>0</v>
      </c>
      <c r="AY147" s="11">
        <f t="shared" si="168"/>
        <v>0</v>
      </c>
      <c r="BA147" s="11">
        <f t="shared" si="169"/>
        <v>0</v>
      </c>
      <c r="BC147" s="11">
        <f t="shared" si="170"/>
        <v>0</v>
      </c>
      <c r="BE147" s="11">
        <f t="shared" si="171"/>
        <v>0</v>
      </c>
      <c r="BG147" s="11">
        <f t="shared" si="172"/>
        <v>0</v>
      </c>
      <c r="BN147" s="8">
        <f t="shared" si="149"/>
        <v>0</v>
      </c>
      <c r="BO147" s="8">
        <f t="shared" si="150"/>
        <v>0</v>
      </c>
      <c r="BP147" s="8">
        <f t="shared" si="153"/>
        <v>283</v>
      </c>
      <c r="BQ147" s="12">
        <f t="shared" si="154"/>
        <v>18395</v>
      </c>
    </row>
    <row r="148" spans="1:69">
      <c r="A148" s="28">
        <v>1985</v>
      </c>
      <c r="B148" s="27" t="s">
        <v>17</v>
      </c>
      <c r="C148" s="24">
        <f t="shared" si="129"/>
        <v>118</v>
      </c>
      <c r="D148" s="7" t="e">
        <f t="shared" ca="1" si="148"/>
        <v>#N/A</v>
      </c>
      <c r="E148" s="26">
        <f t="array" aca="1" ref="E148" ca="1">AVERAGE(IF(INDIRECT(DatCol&amp;"$"&amp;TEXT(C148,"###")):INDIRECT(DatCol&amp;"$"&amp;TEXT(C148+57,"###"))&gt;0,INDIRECT(DatCol&amp;"$"&amp;TEXT(C148,"###")):INDIRECT(DatCol&amp;"$"&amp;TEXT(C148+57,"###"))))</f>
        <v>272.50857142857149</v>
      </c>
      <c r="F148" s="26" t="str">
        <f t="shared" si="152"/>
        <v>C</v>
      </c>
      <c r="G148" s="8">
        <v>24</v>
      </c>
      <c r="H148" s="8">
        <v>69</v>
      </c>
      <c r="I148" s="8">
        <v>0</v>
      </c>
      <c r="J148" s="8">
        <v>569</v>
      </c>
      <c r="K148" s="9">
        <f t="shared" si="151"/>
        <v>662</v>
      </c>
      <c r="M148" s="11">
        <f t="shared" si="155"/>
        <v>0</v>
      </c>
      <c r="N148" s="12">
        <v>191</v>
      </c>
      <c r="O148" s="11">
        <f t="shared" si="156"/>
        <v>9550</v>
      </c>
      <c r="Q148" s="11">
        <f t="shared" si="157"/>
        <v>0</v>
      </c>
      <c r="X148" s="12">
        <v>1300</v>
      </c>
      <c r="Y148" s="11">
        <f t="shared" si="158"/>
        <v>78000</v>
      </c>
      <c r="AG148" s="11">
        <f t="shared" si="159"/>
        <v>0</v>
      </c>
      <c r="AI148" s="11">
        <f t="shared" si="160"/>
        <v>0</v>
      </c>
      <c r="AK148" s="13">
        <f t="shared" si="161"/>
        <v>0</v>
      </c>
      <c r="AM148" s="13">
        <f t="shared" si="162"/>
        <v>0</v>
      </c>
      <c r="AO148" s="11">
        <f t="shared" si="163"/>
        <v>0</v>
      </c>
      <c r="AP148" s="12">
        <v>89</v>
      </c>
      <c r="AQ148" s="11">
        <f t="shared" si="164"/>
        <v>7120</v>
      </c>
      <c r="AS148" s="11">
        <f t="shared" si="165"/>
        <v>0</v>
      </c>
      <c r="AU148" s="11">
        <f t="shared" si="166"/>
        <v>0</v>
      </c>
      <c r="AW148" s="11">
        <f t="shared" si="167"/>
        <v>0</v>
      </c>
      <c r="AY148" s="11">
        <f t="shared" si="168"/>
        <v>0</v>
      </c>
      <c r="BA148" s="11">
        <f t="shared" si="169"/>
        <v>0</v>
      </c>
      <c r="BC148" s="11">
        <f t="shared" si="170"/>
        <v>0</v>
      </c>
      <c r="BE148" s="11">
        <f t="shared" si="171"/>
        <v>0</v>
      </c>
      <c r="BG148" s="11">
        <f t="shared" si="172"/>
        <v>0</v>
      </c>
      <c r="BN148" s="8">
        <f t="shared" si="149"/>
        <v>1300</v>
      </c>
      <c r="BO148" s="8">
        <f t="shared" si="150"/>
        <v>78000</v>
      </c>
      <c r="BP148" s="8">
        <f t="shared" si="153"/>
        <v>1580</v>
      </c>
      <c r="BQ148" s="12">
        <f t="shared" si="154"/>
        <v>94670</v>
      </c>
    </row>
    <row r="149" spans="1:69">
      <c r="A149" s="28">
        <v>1986</v>
      </c>
      <c r="B149" s="27" t="s">
        <v>17</v>
      </c>
      <c r="C149" s="24">
        <f t="shared" si="129"/>
        <v>118</v>
      </c>
      <c r="D149" s="7" t="e">
        <f t="shared" ca="1" si="148"/>
        <v>#N/A</v>
      </c>
      <c r="E149" s="26">
        <f t="array" aca="1" ref="E149" ca="1">AVERAGE(IF(INDIRECT(DatCol&amp;"$"&amp;TEXT(C149,"###")):INDIRECT(DatCol&amp;"$"&amp;TEXT(C149+57,"###"))&gt;0,INDIRECT(DatCol&amp;"$"&amp;TEXT(C149,"###")):INDIRECT(DatCol&amp;"$"&amp;TEXT(C149+57,"###"))))</f>
        <v>272.50857142857149</v>
      </c>
      <c r="F149" s="26" t="str">
        <f t="shared" si="152"/>
        <v>C</v>
      </c>
      <c r="G149" s="8">
        <v>17</v>
      </c>
      <c r="H149" s="8">
        <v>49</v>
      </c>
      <c r="I149" s="8">
        <v>0</v>
      </c>
      <c r="J149" s="8">
        <v>531</v>
      </c>
      <c r="K149" s="9">
        <f t="shared" si="151"/>
        <v>597</v>
      </c>
      <c r="M149" s="11">
        <f t="shared" si="155"/>
        <v>0</v>
      </c>
      <c r="N149" s="12">
        <v>202</v>
      </c>
      <c r="O149" s="11">
        <f t="shared" si="156"/>
        <v>10100</v>
      </c>
      <c r="Q149" s="11">
        <f t="shared" si="157"/>
        <v>0</v>
      </c>
      <c r="X149" s="12">
        <v>1511</v>
      </c>
      <c r="Y149" s="11">
        <f t="shared" si="158"/>
        <v>90660</v>
      </c>
      <c r="AG149" s="11">
        <f t="shared" si="159"/>
        <v>0</v>
      </c>
      <c r="AH149" s="12">
        <v>0</v>
      </c>
      <c r="AI149" s="11">
        <f t="shared" si="160"/>
        <v>0</v>
      </c>
      <c r="AK149" s="13">
        <f t="shared" si="161"/>
        <v>0</v>
      </c>
      <c r="AL149" s="12">
        <v>0</v>
      </c>
      <c r="AM149" s="13">
        <f t="shared" si="162"/>
        <v>0</v>
      </c>
      <c r="AO149" s="11">
        <f t="shared" si="163"/>
        <v>0</v>
      </c>
      <c r="AP149" s="12">
        <v>105</v>
      </c>
      <c r="AQ149" s="11">
        <f t="shared" si="164"/>
        <v>8400</v>
      </c>
      <c r="AS149" s="11">
        <f t="shared" si="165"/>
        <v>0</v>
      </c>
      <c r="AU149" s="11">
        <f t="shared" si="166"/>
        <v>0</v>
      </c>
      <c r="AW149" s="11">
        <f t="shared" si="167"/>
        <v>0</v>
      </c>
      <c r="AY149" s="11">
        <f t="shared" si="168"/>
        <v>0</v>
      </c>
      <c r="BA149" s="11">
        <f t="shared" si="169"/>
        <v>0</v>
      </c>
      <c r="BB149" s="12">
        <v>15</v>
      </c>
      <c r="BC149" s="11">
        <f t="shared" si="170"/>
        <v>600</v>
      </c>
      <c r="BE149" s="11">
        <f t="shared" si="171"/>
        <v>0</v>
      </c>
      <c r="BG149" s="11">
        <f t="shared" si="172"/>
        <v>0</v>
      </c>
      <c r="BN149" s="8">
        <f t="shared" si="149"/>
        <v>1511</v>
      </c>
      <c r="BO149" s="8">
        <f t="shared" si="150"/>
        <v>90660</v>
      </c>
      <c r="BP149" s="8">
        <f t="shared" si="153"/>
        <v>1833</v>
      </c>
      <c r="BQ149" s="12">
        <f t="shared" si="154"/>
        <v>109760</v>
      </c>
    </row>
    <row r="150" spans="1:69">
      <c r="A150" s="28">
        <v>1987</v>
      </c>
      <c r="B150" s="27" t="s">
        <v>17</v>
      </c>
      <c r="C150" s="24">
        <f t="shared" si="129"/>
        <v>118</v>
      </c>
      <c r="D150" s="7" t="e">
        <f t="shared" ca="1" si="148"/>
        <v>#N/A</v>
      </c>
      <c r="E150" s="26">
        <f t="array" aca="1" ref="E150" ca="1">AVERAGE(IF(INDIRECT(DatCol&amp;"$"&amp;TEXT(C150,"###")):INDIRECT(DatCol&amp;"$"&amp;TEXT(C150+57,"###"))&gt;0,INDIRECT(DatCol&amp;"$"&amp;TEXT(C150,"###")):INDIRECT(DatCol&amp;"$"&amp;TEXT(C150+57,"###"))))</f>
        <v>272.50857142857149</v>
      </c>
      <c r="F150" s="26" t="str">
        <f t="shared" si="152"/>
        <v>C</v>
      </c>
      <c r="G150" s="8">
        <v>28</v>
      </c>
      <c r="H150" s="8">
        <v>68</v>
      </c>
      <c r="I150" s="8">
        <v>0</v>
      </c>
      <c r="J150" s="8">
        <v>529</v>
      </c>
      <c r="K150" s="9">
        <f t="shared" si="151"/>
        <v>625</v>
      </c>
      <c r="M150" s="11">
        <f t="shared" si="155"/>
        <v>0</v>
      </c>
      <c r="N150" s="12">
        <v>176</v>
      </c>
      <c r="O150" s="11">
        <f t="shared" si="156"/>
        <v>8800</v>
      </c>
      <c r="Q150" s="11">
        <f t="shared" si="157"/>
        <v>0</v>
      </c>
      <c r="X150" s="12">
        <v>1552</v>
      </c>
      <c r="Y150" s="11">
        <f t="shared" si="158"/>
        <v>93120</v>
      </c>
      <c r="AG150" s="11">
        <f t="shared" si="159"/>
        <v>0</v>
      </c>
      <c r="AH150" s="12">
        <v>5</v>
      </c>
      <c r="AI150" s="11">
        <f t="shared" si="160"/>
        <v>325</v>
      </c>
      <c r="AK150" s="13">
        <f t="shared" si="161"/>
        <v>0</v>
      </c>
      <c r="AL150" s="12">
        <v>0</v>
      </c>
      <c r="AM150" s="13">
        <f t="shared" si="162"/>
        <v>0</v>
      </c>
      <c r="AO150" s="11">
        <f t="shared" si="163"/>
        <v>0</v>
      </c>
      <c r="AP150" s="12">
        <v>82</v>
      </c>
      <c r="AQ150" s="11">
        <f t="shared" si="164"/>
        <v>6560</v>
      </c>
      <c r="AS150" s="11">
        <f t="shared" si="165"/>
        <v>0</v>
      </c>
      <c r="AU150" s="11">
        <f t="shared" si="166"/>
        <v>0</v>
      </c>
      <c r="AW150" s="11">
        <f t="shared" si="167"/>
        <v>0</v>
      </c>
      <c r="AY150" s="11">
        <f t="shared" si="168"/>
        <v>0</v>
      </c>
      <c r="BA150" s="11">
        <f t="shared" si="169"/>
        <v>0</v>
      </c>
      <c r="BB150" s="12">
        <v>23</v>
      </c>
      <c r="BC150" s="11">
        <f t="shared" si="170"/>
        <v>920</v>
      </c>
      <c r="BE150" s="11">
        <f t="shared" si="171"/>
        <v>0</v>
      </c>
      <c r="BG150" s="11">
        <f t="shared" si="172"/>
        <v>0</v>
      </c>
      <c r="BN150" s="8">
        <f t="shared" si="149"/>
        <v>1552</v>
      </c>
      <c r="BO150" s="8">
        <f t="shared" si="150"/>
        <v>93120</v>
      </c>
      <c r="BP150" s="8">
        <f t="shared" si="153"/>
        <v>1838</v>
      </c>
      <c r="BQ150" s="12">
        <f t="shared" si="154"/>
        <v>109725</v>
      </c>
    </row>
    <row r="151" spans="1:69">
      <c r="A151" s="28">
        <v>1988</v>
      </c>
      <c r="B151" s="27" t="s">
        <v>17</v>
      </c>
      <c r="C151" s="24">
        <f t="shared" si="129"/>
        <v>118</v>
      </c>
      <c r="D151" s="7" t="e">
        <f t="shared" ca="1" si="148"/>
        <v>#N/A</v>
      </c>
      <c r="E151" s="26">
        <f t="array" aca="1" ref="E151" ca="1">AVERAGE(IF(INDIRECT(DatCol&amp;"$"&amp;TEXT(C151,"###")):INDIRECT(DatCol&amp;"$"&amp;TEXT(C151+57,"###"))&gt;0,INDIRECT(DatCol&amp;"$"&amp;TEXT(C151,"###")):INDIRECT(DatCol&amp;"$"&amp;TEXT(C151+57,"###"))))</f>
        <v>272.50857142857149</v>
      </c>
      <c r="F151" s="26" t="str">
        <f t="shared" si="152"/>
        <v>C</v>
      </c>
      <c r="G151" s="8">
        <v>30</v>
      </c>
      <c r="H151" s="8">
        <v>44</v>
      </c>
      <c r="I151" s="8">
        <v>0</v>
      </c>
      <c r="J151" s="8">
        <v>448</v>
      </c>
      <c r="K151" s="9">
        <f t="shared" si="151"/>
        <v>522</v>
      </c>
      <c r="L151" s="12">
        <v>0</v>
      </c>
      <c r="M151" s="11">
        <f t="shared" si="155"/>
        <v>0</v>
      </c>
      <c r="N151" s="12">
        <v>170</v>
      </c>
      <c r="O151" s="11">
        <f t="shared" si="156"/>
        <v>8500</v>
      </c>
      <c r="P151" s="12">
        <v>0</v>
      </c>
      <c r="Q151" s="11">
        <f t="shared" si="157"/>
        <v>0</v>
      </c>
      <c r="X151" s="12">
        <f>1010+58</f>
        <v>1068</v>
      </c>
      <c r="Y151" s="11">
        <f t="shared" si="158"/>
        <v>64080</v>
      </c>
      <c r="AF151" s="12">
        <v>0</v>
      </c>
      <c r="AG151" s="11">
        <f t="shared" si="159"/>
        <v>0</v>
      </c>
      <c r="AH151" s="12">
        <v>3</v>
      </c>
      <c r="AI151" s="11">
        <f t="shared" si="160"/>
        <v>195</v>
      </c>
      <c r="AK151" s="13">
        <f t="shared" si="161"/>
        <v>0</v>
      </c>
      <c r="AL151" s="12">
        <v>0</v>
      </c>
      <c r="AM151" s="13">
        <f t="shared" si="162"/>
        <v>0</v>
      </c>
      <c r="AO151" s="11">
        <f t="shared" si="163"/>
        <v>0</v>
      </c>
      <c r="AP151" s="12">
        <v>150</v>
      </c>
      <c r="AQ151" s="11">
        <f t="shared" si="164"/>
        <v>12000</v>
      </c>
      <c r="AS151" s="11">
        <f t="shared" si="165"/>
        <v>0</v>
      </c>
      <c r="AU151" s="11">
        <f t="shared" si="166"/>
        <v>0</v>
      </c>
      <c r="AW151" s="11">
        <f t="shared" si="167"/>
        <v>0</v>
      </c>
      <c r="AY151" s="11">
        <f t="shared" si="168"/>
        <v>0</v>
      </c>
      <c r="BA151" s="11">
        <f t="shared" si="169"/>
        <v>0</v>
      </c>
      <c r="BB151" s="12">
        <v>15</v>
      </c>
      <c r="BC151" s="11">
        <f t="shared" si="170"/>
        <v>600</v>
      </c>
      <c r="BE151" s="11">
        <f t="shared" si="171"/>
        <v>0</v>
      </c>
      <c r="BG151" s="11">
        <f t="shared" si="172"/>
        <v>0</v>
      </c>
      <c r="BN151" s="8">
        <f t="shared" si="149"/>
        <v>1068</v>
      </c>
      <c r="BO151" s="8">
        <f t="shared" si="150"/>
        <v>64080</v>
      </c>
      <c r="BP151" s="8">
        <f t="shared" si="153"/>
        <v>1406</v>
      </c>
      <c r="BQ151" s="12">
        <f t="shared" si="154"/>
        <v>85375</v>
      </c>
    </row>
    <row r="152" spans="1:69">
      <c r="A152" s="28">
        <v>1989</v>
      </c>
      <c r="B152" s="27" t="s">
        <v>17</v>
      </c>
      <c r="C152" s="24">
        <f t="shared" si="129"/>
        <v>118</v>
      </c>
      <c r="D152" s="7" t="e">
        <f t="shared" ca="1" si="148"/>
        <v>#N/A</v>
      </c>
      <c r="E152" s="26">
        <f t="array" aca="1" ref="E152" ca="1">AVERAGE(IF(INDIRECT(DatCol&amp;"$"&amp;TEXT(C152,"###")):INDIRECT(DatCol&amp;"$"&amp;TEXT(C152+57,"###"))&gt;0,INDIRECT(DatCol&amp;"$"&amp;TEXT(C152,"###")):INDIRECT(DatCol&amp;"$"&amp;TEXT(C152+57,"###"))))</f>
        <v>272.50857142857149</v>
      </c>
      <c r="F152" s="26" t="str">
        <f t="shared" si="152"/>
        <v>C</v>
      </c>
      <c r="G152" s="8">
        <v>21</v>
      </c>
      <c r="H152" s="8">
        <v>40</v>
      </c>
      <c r="I152" s="8">
        <v>0</v>
      </c>
      <c r="J152" s="8">
        <v>462</v>
      </c>
      <c r="K152" s="9">
        <f t="shared" si="151"/>
        <v>523</v>
      </c>
      <c r="L152" s="12">
        <v>0</v>
      </c>
      <c r="M152" s="11">
        <f t="shared" si="155"/>
        <v>0</v>
      </c>
      <c r="N152" s="12">
        <v>211</v>
      </c>
      <c r="O152" s="11">
        <f t="shared" si="156"/>
        <v>10550</v>
      </c>
      <c r="P152" s="12">
        <v>0</v>
      </c>
      <c r="Q152" s="11">
        <f t="shared" si="157"/>
        <v>0</v>
      </c>
      <c r="X152" s="12">
        <v>1429</v>
      </c>
      <c r="Y152" s="11">
        <f t="shared" si="158"/>
        <v>85740</v>
      </c>
      <c r="AF152" s="12">
        <v>0</v>
      </c>
      <c r="AG152" s="11">
        <f t="shared" si="159"/>
        <v>0</v>
      </c>
      <c r="AH152" s="12">
        <v>0</v>
      </c>
      <c r="AI152" s="11">
        <f t="shared" si="160"/>
        <v>0</v>
      </c>
      <c r="AJ152" s="12">
        <v>0</v>
      </c>
      <c r="AK152" s="13">
        <f t="shared" si="161"/>
        <v>0</v>
      </c>
      <c r="AL152" s="12">
        <v>0</v>
      </c>
      <c r="AM152" s="13">
        <f t="shared" si="162"/>
        <v>0</v>
      </c>
      <c r="AN152" s="12">
        <v>0</v>
      </c>
      <c r="AO152" s="11">
        <f t="shared" si="163"/>
        <v>0</v>
      </c>
      <c r="AP152" s="12">
        <v>180</v>
      </c>
      <c r="AQ152" s="11">
        <f t="shared" si="164"/>
        <v>14400</v>
      </c>
      <c r="AR152" s="12">
        <v>0</v>
      </c>
      <c r="AS152" s="11">
        <f t="shared" si="165"/>
        <v>0</v>
      </c>
      <c r="AT152" s="12">
        <v>0</v>
      </c>
      <c r="AU152" s="11">
        <f t="shared" si="166"/>
        <v>0</v>
      </c>
      <c r="AV152" s="12">
        <v>0</v>
      </c>
      <c r="AW152" s="11">
        <f t="shared" si="167"/>
        <v>0</v>
      </c>
      <c r="AX152" s="12">
        <v>0</v>
      </c>
      <c r="AY152" s="11">
        <f t="shared" si="168"/>
        <v>0</v>
      </c>
      <c r="AZ152" s="12">
        <v>0</v>
      </c>
      <c r="BA152" s="11">
        <f t="shared" si="169"/>
        <v>0</v>
      </c>
      <c r="BB152" s="12">
        <v>30</v>
      </c>
      <c r="BC152" s="11">
        <f t="shared" si="170"/>
        <v>1200</v>
      </c>
      <c r="BE152" s="11">
        <f t="shared" si="171"/>
        <v>0</v>
      </c>
      <c r="BG152" s="11">
        <f t="shared" si="172"/>
        <v>0</v>
      </c>
      <c r="BN152" s="8">
        <f t="shared" si="149"/>
        <v>1429</v>
      </c>
      <c r="BO152" s="8">
        <f t="shared" si="150"/>
        <v>85740</v>
      </c>
      <c r="BP152" s="8">
        <f t="shared" si="153"/>
        <v>1850</v>
      </c>
      <c r="BQ152" s="12">
        <f t="shared" si="154"/>
        <v>111890</v>
      </c>
    </row>
    <row r="153" spans="1:69">
      <c r="A153" s="28">
        <v>1990</v>
      </c>
      <c r="B153" s="27" t="s">
        <v>17</v>
      </c>
      <c r="C153" s="24">
        <f t="shared" si="129"/>
        <v>118</v>
      </c>
      <c r="D153" s="7" t="e">
        <f t="shared" ca="1" si="148"/>
        <v>#N/A</v>
      </c>
      <c r="E153" s="26">
        <f t="array" aca="1" ref="E153" ca="1">AVERAGE(IF(INDIRECT(DatCol&amp;"$"&amp;TEXT(C153,"###")):INDIRECT(DatCol&amp;"$"&amp;TEXT(C153+57,"###"))&gt;0,INDIRECT(DatCol&amp;"$"&amp;TEXT(C153,"###")):INDIRECT(DatCol&amp;"$"&amp;TEXT(C153+57,"###"))))</f>
        <v>272.50857142857149</v>
      </c>
      <c r="F153" s="26" t="str">
        <f t="shared" si="152"/>
        <v>C</v>
      </c>
      <c r="G153" s="8">
        <v>25</v>
      </c>
      <c r="H153" s="8">
        <v>37</v>
      </c>
      <c r="I153" s="8">
        <v>0</v>
      </c>
      <c r="J153" s="8">
        <v>645</v>
      </c>
      <c r="K153" s="9">
        <f t="shared" si="151"/>
        <v>707</v>
      </c>
      <c r="L153" s="12">
        <v>0</v>
      </c>
      <c r="M153" s="11">
        <f t="shared" si="155"/>
        <v>0</v>
      </c>
      <c r="N153" s="12">
        <v>211</v>
      </c>
      <c r="O153" s="11">
        <f t="shared" si="156"/>
        <v>10550</v>
      </c>
      <c r="P153" s="12">
        <v>0</v>
      </c>
      <c r="Q153" s="11">
        <f t="shared" si="157"/>
        <v>0</v>
      </c>
      <c r="X153" s="12">
        <v>1429</v>
      </c>
      <c r="Y153" s="11">
        <f t="shared" si="158"/>
        <v>85740</v>
      </c>
      <c r="AF153" s="12">
        <v>0</v>
      </c>
      <c r="AG153" s="11">
        <f t="shared" si="159"/>
        <v>0</v>
      </c>
      <c r="AH153" s="12">
        <v>0</v>
      </c>
      <c r="AI153" s="11">
        <f t="shared" si="160"/>
        <v>0</v>
      </c>
      <c r="AJ153" s="12">
        <v>0</v>
      </c>
      <c r="AK153" s="13">
        <f t="shared" si="161"/>
        <v>0</v>
      </c>
      <c r="AL153" s="12">
        <v>0</v>
      </c>
      <c r="AM153" s="13">
        <f t="shared" si="162"/>
        <v>0</v>
      </c>
      <c r="AN153" s="12">
        <v>0</v>
      </c>
      <c r="AO153" s="11">
        <f t="shared" si="163"/>
        <v>0</v>
      </c>
      <c r="AP153" s="12">
        <v>180</v>
      </c>
      <c r="AQ153" s="11">
        <f t="shared" si="164"/>
        <v>14400</v>
      </c>
      <c r="AR153" s="12">
        <v>0</v>
      </c>
      <c r="AS153" s="11">
        <f t="shared" si="165"/>
        <v>0</v>
      </c>
      <c r="AT153" s="12">
        <v>0</v>
      </c>
      <c r="AU153" s="11">
        <f t="shared" si="166"/>
        <v>0</v>
      </c>
      <c r="AV153" s="12">
        <v>0</v>
      </c>
      <c r="AW153" s="11">
        <f t="shared" si="167"/>
        <v>0</v>
      </c>
      <c r="AX153" s="12">
        <v>0</v>
      </c>
      <c r="AY153" s="11">
        <f t="shared" si="168"/>
        <v>0</v>
      </c>
      <c r="AZ153" s="12">
        <v>0</v>
      </c>
      <c r="BA153" s="11">
        <f t="shared" si="169"/>
        <v>0</v>
      </c>
      <c r="BB153" s="12">
        <v>30</v>
      </c>
      <c r="BC153" s="11">
        <f t="shared" si="170"/>
        <v>1200</v>
      </c>
      <c r="BE153" s="11">
        <f t="shared" si="171"/>
        <v>0</v>
      </c>
      <c r="BG153" s="11">
        <f t="shared" si="172"/>
        <v>0</v>
      </c>
      <c r="BN153" s="8">
        <f t="shared" si="149"/>
        <v>1429</v>
      </c>
      <c r="BO153" s="8">
        <f t="shared" si="150"/>
        <v>85740</v>
      </c>
      <c r="BP153" s="8">
        <f t="shared" si="153"/>
        <v>1850</v>
      </c>
      <c r="BQ153" s="12">
        <f t="shared" si="154"/>
        <v>111890</v>
      </c>
    </row>
    <row r="154" spans="1:69">
      <c r="A154" s="28">
        <v>1991</v>
      </c>
      <c r="B154" s="27" t="s">
        <v>17</v>
      </c>
      <c r="C154" s="24">
        <f t="shared" si="129"/>
        <v>118</v>
      </c>
      <c r="D154" s="7" t="e">
        <f t="shared" ca="1" si="148"/>
        <v>#N/A</v>
      </c>
      <c r="E154" s="26">
        <f t="array" aca="1" ref="E154" ca="1">AVERAGE(IF(INDIRECT(DatCol&amp;"$"&amp;TEXT(C154,"###")):INDIRECT(DatCol&amp;"$"&amp;TEXT(C154+57,"###"))&gt;0,INDIRECT(DatCol&amp;"$"&amp;TEXT(C154,"###")):INDIRECT(DatCol&amp;"$"&amp;TEXT(C154+57,"###"))))</f>
        <v>272.50857142857149</v>
      </c>
      <c r="F154" s="26" t="str">
        <f t="shared" si="152"/>
        <v>C</v>
      </c>
      <c r="G154" s="8">
        <v>23</v>
      </c>
      <c r="H154" s="8">
        <v>30</v>
      </c>
      <c r="I154" s="8">
        <v>32</v>
      </c>
      <c r="J154" s="8">
        <v>741</v>
      </c>
      <c r="K154" s="9">
        <f t="shared" si="151"/>
        <v>794</v>
      </c>
      <c r="L154" s="12">
        <v>0</v>
      </c>
      <c r="M154" s="11">
        <f t="shared" si="155"/>
        <v>0</v>
      </c>
      <c r="N154" s="12">
        <v>192</v>
      </c>
      <c r="O154" s="11">
        <f t="shared" si="156"/>
        <v>9600</v>
      </c>
      <c r="P154" s="12">
        <v>0</v>
      </c>
      <c r="Q154" s="11">
        <f t="shared" si="157"/>
        <v>0</v>
      </c>
      <c r="X154" s="12">
        <v>1042</v>
      </c>
      <c r="Y154" s="11">
        <f t="shared" si="158"/>
        <v>62520</v>
      </c>
      <c r="AF154" s="12">
        <v>0</v>
      </c>
      <c r="AG154" s="11">
        <f t="shared" si="159"/>
        <v>0</v>
      </c>
      <c r="AH154" s="12">
        <v>0</v>
      </c>
      <c r="AI154" s="11">
        <f t="shared" si="160"/>
        <v>0</v>
      </c>
      <c r="AJ154" s="12">
        <v>2000</v>
      </c>
      <c r="AK154" s="13">
        <f t="shared" si="161"/>
        <v>18000</v>
      </c>
      <c r="AL154" s="12">
        <v>1000</v>
      </c>
      <c r="AM154" s="13">
        <f t="shared" si="162"/>
        <v>9000</v>
      </c>
      <c r="AN154" s="12">
        <v>0</v>
      </c>
      <c r="AO154" s="11">
        <f t="shared" si="163"/>
        <v>0</v>
      </c>
      <c r="AP154" s="12">
        <v>142</v>
      </c>
      <c r="AQ154" s="11">
        <f t="shared" si="164"/>
        <v>11360</v>
      </c>
      <c r="AR154" s="12">
        <v>0</v>
      </c>
      <c r="AS154" s="11">
        <f t="shared" si="165"/>
        <v>0</v>
      </c>
      <c r="AT154" s="12">
        <v>0</v>
      </c>
      <c r="AU154" s="11">
        <f t="shared" si="166"/>
        <v>0</v>
      </c>
      <c r="AV154" s="12">
        <v>0</v>
      </c>
      <c r="AW154" s="11">
        <f t="shared" si="167"/>
        <v>0</v>
      </c>
      <c r="AX154" s="12">
        <v>0</v>
      </c>
      <c r="AY154" s="11">
        <f t="shared" si="168"/>
        <v>0</v>
      </c>
      <c r="AZ154" s="12">
        <v>0</v>
      </c>
      <c r="BA154" s="11">
        <f t="shared" si="169"/>
        <v>0</v>
      </c>
      <c r="BB154" s="12">
        <v>26</v>
      </c>
      <c r="BC154" s="11">
        <f t="shared" si="170"/>
        <v>1040</v>
      </c>
      <c r="BE154" s="11">
        <f t="shared" si="171"/>
        <v>0</v>
      </c>
      <c r="BG154" s="11">
        <f t="shared" si="172"/>
        <v>0</v>
      </c>
      <c r="BN154" s="8">
        <f t="shared" si="149"/>
        <v>3042</v>
      </c>
      <c r="BO154" s="8">
        <f t="shared" si="150"/>
        <v>80520</v>
      </c>
      <c r="BP154" s="8">
        <f t="shared" si="153"/>
        <v>2402</v>
      </c>
      <c r="BQ154" s="12">
        <f t="shared" si="154"/>
        <v>93520</v>
      </c>
    </row>
    <row r="155" spans="1:69">
      <c r="A155" s="28">
        <v>1992</v>
      </c>
      <c r="B155" s="27" t="s">
        <v>17</v>
      </c>
      <c r="C155" s="24">
        <f t="shared" si="129"/>
        <v>118</v>
      </c>
      <c r="D155" s="7" t="e">
        <f t="shared" ca="1" si="148"/>
        <v>#N/A</v>
      </c>
      <c r="E155" s="26">
        <f t="array" aca="1" ref="E155" ca="1">AVERAGE(IF(INDIRECT(DatCol&amp;"$"&amp;TEXT(C155,"###")):INDIRECT(DatCol&amp;"$"&amp;TEXT(C155+57,"###"))&gt;0,INDIRECT(DatCol&amp;"$"&amp;TEXT(C155,"###")):INDIRECT(DatCol&amp;"$"&amp;TEXT(C155+57,"###"))))</f>
        <v>272.50857142857149</v>
      </c>
      <c r="F155" s="26" t="str">
        <f t="shared" si="152"/>
        <v>C</v>
      </c>
      <c r="G155" s="8">
        <v>89</v>
      </c>
      <c r="H155" s="9">
        <v>71</v>
      </c>
      <c r="I155" s="9">
        <v>51</v>
      </c>
      <c r="J155" s="9">
        <v>562</v>
      </c>
      <c r="K155" s="9">
        <f t="shared" si="151"/>
        <v>722</v>
      </c>
      <c r="L155" s="10">
        <v>0</v>
      </c>
      <c r="M155" s="11">
        <v>0</v>
      </c>
      <c r="N155" s="10">
        <v>140</v>
      </c>
      <c r="O155" s="11">
        <f t="shared" si="156"/>
        <v>7000</v>
      </c>
      <c r="P155" s="10">
        <v>3000</v>
      </c>
      <c r="Q155" s="11">
        <f t="shared" si="157"/>
        <v>180000</v>
      </c>
      <c r="R155" s="10">
        <v>0</v>
      </c>
      <c r="S155" s="11">
        <v>0</v>
      </c>
      <c r="T155" s="10">
        <v>0</v>
      </c>
      <c r="U155" s="11">
        <v>0</v>
      </c>
      <c r="V155" s="10">
        <v>0</v>
      </c>
      <c r="W155" s="11">
        <v>0</v>
      </c>
      <c r="X155" s="10">
        <v>880</v>
      </c>
      <c r="Y155" s="11">
        <f t="shared" si="158"/>
        <v>52800</v>
      </c>
      <c r="Z155" s="10">
        <v>131</v>
      </c>
      <c r="AA155" s="11">
        <f>Z155*50</f>
        <v>6550</v>
      </c>
      <c r="AB155" s="10">
        <v>0</v>
      </c>
      <c r="AC155" s="11">
        <v>0</v>
      </c>
      <c r="AD155" s="10">
        <v>0</v>
      </c>
      <c r="AE155" s="11">
        <v>0</v>
      </c>
      <c r="AF155" s="10">
        <v>0</v>
      </c>
      <c r="AG155" s="11">
        <v>0</v>
      </c>
      <c r="AH155" s="10">
        <v>0</v>
      </c>
      <c r="AI155" s="11">
        <v>0</v>
      </c>
      <c r="AJ155" s="10">
        <v>0</v>
      </c>
      <c r="AK155" s="13">
        <f t="shared" si="161"/>
        <v>0</v>
      </c>
      <c r="AL155" s="10">
        <v>1000</v>
      </c>
      <c r="AM155" s="13">
        <f t="shared" si="162"/>
        <v>9000</v>
      </c>
      <c r="AN155" s="10">
        <v>0</v>
      </c>
      <c r="AO155" s="11">
        <v>0</v>
      </c>
      <c r="AP155" s="10">
        <v>210</v>
      </c>
      <c r="AQ155" s="11">
        <f t="shared" si="164"/>
        <v>16800</v>
      </c>
      <c r="AR155" s="10">
        <v>0</v>
      </c>
      <c r="AS155" s="11">
        <v>0</v>
      </c>
      <c r="AT155" s="10">
        <v>0</v>
      </c>
      <c r="AU155" s="11">
        <v>0</v>
      </c>
      <c r="AV155" s="10">
        <v>0</v>
      </c>
      <c r="AW155" s="11">
        <v>0</v>
      </c>
      <c r="AX155" s="10">
        <v>0</v>
      </c>
      <c r="AY155" s="11">
        <v>0</v>
      </c>
      <c r="AZ155" s="10">
        <v>0</v>
      </c>
      <c r="BA155" s="11">
        <f t="shared" si="169"/>
        <v>0</v>
      </c>
      <c r="BB155" s="10">
        <v>20</v>
      </c>
      <c r="BC155" s="11">
        <f t="shared" si="170"/>
        <v>800</v>
      </c>
      <c r="BE155" s="11">
        <f t="shared" si="171"/>
        <v>0</v>
      </c>
      <c r="BG155" s="11">
        <f t="shared" si="172"/>
        <v>0</v>
      </c>
      <c r="BN155" s="8">
        <f t="shared" si="149"/>
        <v>4011</v>
      </c>
      <c r="BO155" s="8">
        <f t="shared" si="150"/>
        <v>239350</v>
      </c>
      <c r="BP155" s="8">
        <f t="shared" si="153"/>
        <v>2381</v>
      </c>
      <c r="BQ155" s="12">
        <f t="shared" si="154"/>
        <v>92950</v>
      </c>
    </row>
    <row r="156" spans="1:69">
      <c r="A156" s="28">
        <v>1993</v>
      </c>
      <c r="B156" s="27" t="s">
        <v>17</v>
      </c>
      <c r="C156" s="24">
        <f t="shared" si="129"/>
        <v>118</v>
      </c>
      <c r="D156" s="7" t="e">
        <f t="shared" ca="1" si="148"/>
        <v>#N/A</v>
      </c>
      <c r="E156" s="26">
        <f t="array" aca="1" ref="E156" ca="1">AVERAGE(IF(INDIRECT(DatCol&amp;"$"&amp;TEXT(C156,"###")):INDIRECT(DatCol&amp;"$"&amp;TEXT(C156+57,"###"))&gt;0,INDIRECT(DatCol&amp;"$"&amp;TEXT(C156,"###")):INDIRECT(DatCol&amp;"$"&amp;TEXT(C156+57,"###"))))</f>
        <v>272.50857142857149</v>
      </c>
      <c r="F156" s="26" t="str">
        <f t="shared" si="152"/>
        <v>C</v>
      </c>
      <c r="G156" s="8">
        <v>139</v>
      </c>
      <c r="H156" s="8">
        <v>53</v>
      </c>
      <c r="I156" s="8">
        <v>24</v>
      </c>
      <c r="J156" s="8">
        <v>406</v>
      </c>
      <c r="K156" s="9">
        <f t="shared" si="151"/>
        <v>598</v>
      </c>
      <c r="L156" s="12">
        <v>0</v>
      </c>
      <c r="M156" s="11">
        <f t="shared" si="155"/>
        <v>0</v>
      </c>
      <c r="N156" s="12">
        <v>160</v>
      </c>
      <c r="O156" s="11">
        <f t="shared" si="156"/>
        <v>8000</v>
      </c>
      <c r="P156" s="12">
        <v>0</v>
      </c>
      <c r="Q156" s="11">
        <f t="shared" si="157"/>
        <v>0</v>
      </c>
      <c r="X156" s="12">
        <f>1020+170</f>
        <v>1190</v>
      </c>
      <c r="Y156" s="11">
        <f t="shared" si="158"/>
        <v>71400</v>
      </c>
      <c r="AF156" s="12">
        <v>0</v>
      </c>
      <c r="AG156" s="11">
        <f t="shared" si="159"/>
        <v>0</v>
      </c>
      <c r="AH156" s="12">
        <v>0</v>
      </c>
      <c r="AI156" s="11">
        <f t="shared" si="160"/>
        <v>0</v>
      </c>
      <c r="AJ156" s="12">
        <v>0</v>
      </c>
      <c r="AK156" s="13">
        <f t="shared" si="161"/>
        <v>0</v>
      </c>
      <c r="AL156" s="12">
        <v>150</v>
      </c>
      <c r="AM156" s="13">
        <f t="shared" si="162"/>
        <v>1350</v>
      </c>
      <c r="AN156" s="12">
        <v>0</v>
      </c>
      <c r="AO156" s="11">
        <f t="shared" si="163"/>
        <v>0</v>
      </c>
      <c r="AP156" s="12">
        <v>200</v>
      </c>
      <c r="AQ156" s="11">
        <f t="shared" si="164"/>
        <v>16000</v>
      </c>
      <c r="AR156" s="12">
        <v>0</v>
      </c>
      <c r="AS156" s="11">
        <f t="shared" si="165"/>
        <v>0</v>
      </c>
      <c r="AT156" s="12">
        <v>0</v>
      </c>
      <c r="AU156" s="11">
        <f t="shared" si="166"/>
        <v>0</v>
      </c>
      <c r="AV156" s="12">
        <v>0</v>
      </c>
      <c r="AW156" s="11">
        <f t="shared" si="167"/>
        <v>0</v>
      </c>
      <c r="AX156" s="12">
        <v>0</v>
      </c>
      <c r="AY156" s="11">
        <f t="shared" si="168"/>
        <v>0</v>
      </c>
      <c r="AZ156" s="12">
        <v>0</v>
      </c>
      <c r="BA156" s="11">
        <f t="shared" si="169"/>
        <v>0</v>
      </c>
      <c r="BB156" s="12">
        <v>10</v>
      </c>
      <c r="BC156" s="11">
        <f t="shared" si="170"/>
        <v>400</v>
      </c>
      <c r="BE156" s="11">
        <f t="shared" si="171"/>
        <v>0</v>
      </c>
      <c r="BG156" s="11">
        <f t="shared" si="172"/>
        <v>0</v>
      </c>
      <c r="BN156" s="8">
        <f t="shared" si="149"/>
        <v>1190</v>
      </c>
      <c r="BO156" s="8">
        <f t="shared" si="150"/>
        <v>71400</v>
      </c>
      <c r="BP156" s="8">
        <f t="shared" si="153"/>
        <v>1710</v>
      </c>
      <c r="BQ156" s="12">
        <f t="shared" si="154"/>
        <v>97150</v>
      </c>
    </row>
    <row r="157" spans="1:69">
      <c r="A157" s="28">
        <v>1994</v>
      </c>
      <c r="B157" s="27" t="s">
        <v>17</v>
      </c>
      <c r="C157" s="24">
        <f t="shared" si="129"/>
        <v>118</v>
      </c>
      <c r="D157" s="7" t="e">
        <f t="shared" ca="1" si="148"/>
        <v>#N/A</v>
      </c>
      <c r="E157" s="26">
        <f t="array" aca="1" ref="E157" ca="1">AVERAGE(IF(INDIRECT(DatCol&amp;"$"&amp;TEXT(C157,"###")):INDIRECT(DatCol&amp;"$"&amp;TEXT(C157+57,"###"))&gt;0,INDIRECT(DatCol&amp;"$"&amp;TEXT(C157,"###")):INDIRECT(DatCol&amp;"$"&amp;TEXT(C157+57,"###"))))</f>
        <v>272.50857142857149</v>
      </c>
      <c r="F157" s="26" t="str">
        <f t="shared" si="152"/>
        <v>C</v>
      </c>
      <c r="G157" s="9">
        <v>65</v>
      </c>
      <c r="H157" s="8">
        <v>57</v>
      </c>
      <c r="I157" s="8">
        <v>14</v>
      </c>
      <c r="J157" s="8">
        <v>431</v>
      </c>
      <c r="K157" s="9">
        <f t="shared" si="151"/>
        <v>553</v>
      </c>
      <c r="L157" s="12">
        <v>0</v>
      </c>
      <c r="M157" s="11">
        <f t="shared" si="155"/>
        <v>0</v>
      </c>
      <c r="N157" s="12">
        <v>200</v>
      </c>
      <c r="O157" s="11">
        <f t="shared" si="156"/>
        <v>10000</v>
      </c>
      <c r="P157" s="12">
        <v>1200</v>
      </c>
      <c r="Q157" s="11">
        <f t="shared" si="157"/>
        <v>72000</v>
      </c>
      <c r="X157" s="12">
        <v>1230</v>
      </c>
      <c r="Y157" s="11">
        <f t="shared" si="158"/>
        <v>73800</v>
      </c>
      <c r="AF157" s="12">
        <v>0</v>
      </c>
      <c r="AG157" s="11">
        <f t="shared" si="159"/>
        <v>0</v>
      </c>
      <c r="AH157" s="12">
        <v>0</v>
      </c>
      <c r="AI157" s="11">
        <f t="shared" si="160"/>
        <v>0</v>
      </c>
      <c r="AJ157" s="12">
        <v>100</v>
      </c>
      <c r="AK157" s="13">
        <f t="shared" si="161"/>
        <v>900</v>
      </c>
      <c r="AL157" s="12">
        <v>200</v>
      </c>
      <c r="AM157" s="13">
        <f t="shared" si="162"/>
        <v>1800</v>
      </c>
      <c r="AN157" s="12">
        <v>2000</v>
      </c>
      <c r="AO157" s="11">
        <f t="shared" si="163"/>
        <v>160000</v>
      </c>
      <c r="AP157" s="12">
        <v>200</v>
      </c>
      <c r="AQ157" s="11">
        <f t="shared" si="164"/>
        <v>16000</v>
      </c>
      <c r="AS157" s="11">
        <f t="shared" si="165"/>
        <v>0</v>
      </c>
      <c r="AU157" s="11">
        <f t="shared" si="166"/>
        <v>0</v>
      </c>
      <c r="AW157" s="11">
        <f t="shared" si="167"/>
        <v>0</v>
      </c>
      <c r="AY157" s="11">
        <f t="shared" si="168"/>
        <v>0</v>
      </c>
      <c r="BA157" s="11">
        <f t="shared" si="169"/>
        <v>0</v>
      </c>
      <c r="BC157" s="11">
        <f t="shared" si="170"/>
        <v>0</v>
      </c>
      <c r="BE157" s="11">
        <f t="shared" si="171"/>
        <v>0</v>
      </c>
      <c r="BG157" s="11">
        <f t="shared" si="172"/>
        <v>0</v>
      </c>
      <c r="BN157" s="8">
        <f t="shared" si="149"/>
        <v>4530</v>
      </c>
      <c r="BO157" s="8">
        <f t="shared" si="150"/>
        <v>306700</v>
      </c>
      <c r="BP157" s="8">
        <f t="shared" si="153"/>
        <v>1830</v>
      </c>
      <c r="BQ157" s="12">
        <f t="shared" si="154"/>
        <v>101600</v>
      </c>
    </row>
    <row r="158" spans="1:69">
      <c r="A158" s="28">
        <v>1995</v>
      </c>
      <c r="B158" s="27" t="s">
        <v>17</v>
      </c>
      <c r="C158" s="24">
        <f t="shared" si="129"/>
        <v>118</v>
      </c>
      <c r="D158" s="7" t="e">
        <f t="shared" ca="1" si="148"/>
        <v>#N/A</v>
      </c>
      <c r="E158" s="26">
        <f t="array" aca="1" ref="E158" ca="1">AVERAGE(IF(INDIRECT(DatCol&amp;"$"&amp;TEXT(C158,"###")):INDIRECT(DatCol&amp;"$"&amp;TEXT(C158+57,"###"))&gt;0,INDIRECT(DatCol&amp;"$"&amp;TEXT(C158,"###")):INDIRECT(DatCol&amp;"$"&amp;TEXT(C158+57,"###"))))</f>
        <v>272.50857142857149</v>
      </c>
      <c r="F158" s="26" t="str">
        <f t="shared" si="152"/>
        <v>C</v>
      </c>
      <c r="G158" s="9">
        <v>64</v>
      </c>
      <c r="H158" s="9">
        <v>31</v>
      </c>
      <c r="I158" s="9">
        <v>16</v>
      </c>
      <c r="J158" s="9">
        <v>380</v>
      </c>
      <c r="K158" s="9">
        <f t="shared" si="151"/>
        <v>475</v>
      </c>
      <c r="L158" s="10">
        <v>0</v>
      </c>
      <c r="M158" s="11">
        <v>0</v>
      </c>
      <c r="N158" s="10">
        <v>230</v>
      </c>
      <c r="O158" s="11">
        <f t="shared" si="156"/>
        <v>11500</v>
      </c>
      <c r="P158" s="10">
        <v>1000</v>
      </c>
      <c r="Q158" s="11">
        <f t="shared" si="157"/>
        <v>60000</v>
      </c>
      <c r="X158" s="10">
        <f>240+920</f>
        <v>1160</v>
      </c>
      <c r="Y158" s="11">
        <f t="shared" si="158"/>
        <v>69600</v>
      </c>
      <c r="AF158" s="10">
        <v>0</v>
      </c>
      <c r="AG158" s="11">
        <f t="shared" si="159"/>
        <v>0</v>
      </c>
      <c r="AH158" s="10">
        <v>0</v>
      </c>
      <c r="AI158" s="11">
        <f t="shared" si="160"/>
        <v>0</v>
      </c>
      <c r="AJ158" s="10">
        <v>0</v>
      </c>
      <c r="AK158" s="13">
        <v>0</v>
      </c>
      <c r="AL158" s="10">
        <v>0</v>
      </c>
      <c r="AM158" s="13">
        <f t="shared" si="162"/>
        <v>0</v>
      </c>
      <c r="AN158" s="10">
        <v>0</v>
      </c>
      <c r="AO158" s="11">
        <f t="shared" si="163"/>
        <v>0</v>
      </c>
      <c r="AQ158" s="11">
        <f t="shared" si="164"/>
        <v>0</v>
      </c>
      <c r="AS158" s="11">
        <f t="shared" si="165"/>
        <v>0</v>
      </c>
      <c r="AU158" s="11">
        <f t="shared" si="166"/>
        <v>0</v>
      </c>
      <c r="AW158" s="11">
        <f t="shared" si="167"/>
        <v>0</v>
      </c>
      <c r="AY158" s="11">
        <f t="shared" si="168"/>
        <v>0</v>
      </c>
      <c r="BA158" s="11">
        <f t="shared" si="169"/>
        <v>0</v>
      </c>
      <c r="BB158" s="10">
        <v>15</v>
      </c>
      <c r="BC158" s="11">
        <f t="shared" si="170"/>
        <v>600</v>
      </c>
      <c r="BD158" s="10">
        <v>2000</v>
      </c>
      <c r="BE158" s="11">
        <f t="shared" si="171"/>
        <v>190000</v>
      </c>
      <c r="BG158" s="11">
        <f t="shared" si="172"/>
        <v>0</v>
      </c>
      <c r="BN158" s="8">
        <f t="shared" si="149"/>
        <v>4160</v>
      </c>
      <c r="BO158" s="8">
        <f t="shared" si="150"/>
        <v>319600</v>
      </c>
      <c r="BP158" s="8">
        <f t="shared" si="153"/>
        <v>1405</v>
      </c>
      <c r="BQ158" s="12">
        <f t="shared" si="154"/>
        <v>81700</v>
      </c>
    </row>
    <row r="159" spans="1:69">
      <c r="A159" s="28">
        <v>1996</v>
      </c>
      <c r="B159" s="27" t="s">
        <v>17</v>
      </c>
      <c r="C159" s="24">
        <f t="shared" si="129"/>
        <v>118</v>
      </c>
      <c r="D159" s="7" t="e">
        <f t="shared" ca="1" si="148"/>
        <v>#N/A</v>
      </c>
      <c r="E159" s="26">
        <f t="array" aca="1" ref="E159" ca="1">AVERAGE(IF(INDIRECT(DatCol&amp;"$"&amp;TEXT(C159,"###")):INDIRECT(DatCol&amp;"$"&amp;TEXT(C159+57,"###"))&gt;0,INDIRECT(DatCol&amp;"$"&amp;TEXT(C159,"###")):INDIRECT(DatCol&amp;"$"&amp;TEXT(C159+57,"###"))))</f>
        <v>272.50857142857149</v>
      </c>
      <c r="F159" s="26" t="str">
        <f t="shared" si="152"/>
        <v>C</v>
      </c>
      <c r="G159" s="9">
        <v>32</v>
      </c>
      <c r="H159" s="9">
        <v>93</v>
      </c>
      <c r="I159" s="9">
        <v>21</v>
      </c>
      <c r="J159" s="9">
        <v>420</v>
      </c>
      <c r="K159" s="9">
        <f t="shared" si="151"/>
        <v>545</v>
      </c>
      <c r="L159" s="10">
        <v>0</v>
      </c>
      <c r="M159" s="11">
        <v>0</v>
      </c>
      <c r="N159" s="10">
        <v>260</v>
      </c>
      <c r="O159" s="11">
        <f t="shared" si="156"/>
        <v>13000</v>
      </c>
      <c r="P159" s="10">
        <f>320+410+1150</f>
        <v>1880</v>
      </c>
      <c r="Q159" s="11">
        <f t="shared" si="157"/>
        <v>112800</v>
      </c>
      <c r="X159" s="10">
        <f>1380+520</f>
        <v>1900</v>
      </c>
      <c r="Y159" s="11">
        <f t="shared" si="158"/>
        <v>114000</v>
      </c>
      <c r="AF159" s="10">
        <v>0</v>
      </c>
      <c r="AG159" s="11">
        <f t="shared" si="159"/>
        <v>0</v>
      </c>
      <c r="AH159" s="10">
        <v>70</v>
      </c>
      <c r="AI159" s="11">
        <f t="shared" si="160"/>
        <v>4550</v>
      </c>
      <c r="AJ159" s="10">
        <v>0</v>
      </c>
      <c r="AK159" s="13">
        <v>0</v>
      </c>
      <c r="AL159" s="10">
        <v>20</v>
      </c>
      <c r="AM159" s="13">
        <f t="shared" si="162"/>
        <v>180</v>
      </c>
      <c r="AN159" s="10">
        <v>3000</v>
      </c>
      <c r="AO159" s="11">
        <f t="shared" si="163"/>
        <v>240000</v>
      </c>
      <c r="AP159" s="10">
        <v>60</v>
      </c>
      <c r="AQ159" s="11">
        <f t="shared" si="164"/>
        <v>4800</v>
      </c>
      <c r="AR159" s="10">
        <v>0</v>
      </c>
      <c r="AS159" s="11">
        <f t="shared" si="165"/>
        <v>0</v>
      </c>
      <c r="AT159" s="10">
        <v>0</v>
      </c>
      <c r="AU159" s="11">
        <f t="shared" si="166"/>
        <v>0</v>
      </c>
      <c r="AV159" s="10">
        <v>0</v>
      </c>
      <c r="AW159" s="11">
        <f t="shared" si="167"/>
        <v>0</v>
      </c>
      <c r="AX159" s="10">
        <v>0</v>
      </c>
      <c r="AY159" s="11">
        <f t="shared" si="168"/>
        <v>0</v>
      </c>
      <c r="AZ159" s="10">
        <v>0</v>
      </c>
      <c r="BA159" s="11">
        <f t="shared" si="169"/>
        <v>0</v>
      </c>
      <c r="BB159" s="10">
        <v>9</v>
      </c>
      <c r="BC159" s="11">
        <f t="shared" si="170"/>
        <v>360</v>
      </c>
      <c r="BD159" s="10">
        <v>0</v>
      </c>
      <c r="BE159" s="11">
        <f t="shared" si="171"/>
        <v>0</v>
      </c>
      <c r="BG159" s="11">
        <f t="shared" si="172"/>
        <v>0</v>
      </c>
      <c r="BN159" s="8">
        <f t="shared" si="149"/>
        <v>6780</v>
      </c>
      <c r="BO159" s="8">
        <f t="shared" si="150"/>
        <v>466800</v>
      </c>
      <c r="BP159" s="8">
        <f t="shared" si="153"/>
        <v>2319</v>
      </c>
      <c r="BQ159" s="12">
        <f t="shared" si="154"/>
        <v>136890</v>
      </c>
    </row>
    <row r="160" spans="1:69">
      <c r="A160" s="28">
        <v>1997</v>
      </c>
      <c r="B160" s="27" t="s">
        <v>17</v>
      </c>
      <c r="C160" s="24">
        <f t="shared" si="129"/>
        <v>118</v>
      </c>
      <c r="D160" s="7" t="e">
        <f t="shared" ca="1" si="148"/>
        <v>#N/A</v>
      </c>
      <c r="E160" s="26">
        <f t="array" aca="1" ref="E160" ca="1">AVERAGE(IF(INDIRECT(DatCol&amp;"$"&amp;TEXT(C160,"###")):INDIRECT(DatCol&amp;"$"&amp;TEXT(C160+57,"###"))&gt;0,INDIRECT(DatCol&amp;"$"&amp;TEXT(C160,"###")):INDIRECT(DatCol&amp;"$"&amp;TEXT(C160+57,"###"))))</f>
        <v>272.50857142857149</v>
      </c>
      <c r="F160" s="26" t="str">
        <f t="shared" si="152"/>
        <v>C</v>
      </c>
      <c r="G160" s="9">
        <v>121</v>
      </c>
      <c r="H160" s="9">
        <v>58</v>
      </c>
      <c r="I160" s="9">
        <v>16</v>
      </c>
      <c r="J160" s="9">
        <v>419</v>
      </c>
      <c r="K160" s="9">
        <f t="shared" si="151"/>
        <v>598</v>
      </c>
      <c r="L160" s="10">
        <v>0</v>
      </c>
      <c r="M160" s="11">
        <v>0</v>
      </c>
      <c r="N160" s="10">
        <v>160</v>
      </c>
      <c r="O160" s="11">
        <f t="shared" si="156"/>
        <v>8000</v>
      </c>
      <c r="P160" s="10">
        <f>360+1480</f>
        <v>1840</v>
      </c>
      <c r="Q160" s="11">
        <f t="shared" si="157"/>
        <v>110400</v>
      </c>
      <c r="X160" s="10">
        <f>1730+430</f>
        <v>2160</v>
      </c>
      <c r="Y160" s="11">
        <f t="shared" si="158"/>
        <v>129600</v>
      </c>
      <c r="AF160" s="10">
        <v>0</v>
      </c>
      <c r="AG160" s="11">
        <f t="shared" si="159"/>
        <v>0</v>
      </c>
      <c r="AH160" s="10">
        <v>0</v>
      </c>
      <c r="AI160" s="11">
        <f t="shared" si="160"/>
        <v>0</v>
      </c>
      <c r="AJ160" s="10">
        <v>0</v>
      </c>
      <c r="AK160" s="13">
        <v>0</v>
      </c>
      <c r="AL160" s="10">
        <v>0</v>
      </c>
      <c r="AM160" s="13">
        <f t="shared" si="162"/>
        <v>0</v>
      </c>
      <c r="AN160" s="10">
        <v>3000</v>
      </c>
      <c r="AO160" s="11">
        <f t="shared" si="163"/>
        <v>240000</v>
      </c>
      <c r="AP160" s="10">
        <v>100</v>
      </c>
      <c r="AQ160" s="11">
        <f t="shared" si="164"/>
        <v>8000</v>
      </c>
      <c r="AR160" s="10">
        <v>0</v>
      </c>
      <c r="AS160" s="11">
        <f t="shared" si="165"/>
        <v>0</v>
      </c>
      <c r="AT160" s="10">
        <v>0</v>
      </c>
      <c r="AU160" s="11">
        <f t="shared" si="166"/>
        <v>0</v>
      </c>
      <c r="AV160" s="10">
        <v>0</v>
      </c>
      <c r="AW160" s="11">
        <f t="shared" si="167"/>
        <v>0</v>
      </c>
      <c r="AX160" s="10">
        <v>0</v>
      </c>
      <c r="AY160" s="11">
        <f t="shared" si="168"/>
        <v>0</v>
      </c>
      <c r="AZ160" s="10">
        <v>0</v>
      </c>
      <c r="BA160" s="11">
        <f t="shared" si="169"/>
        <v>0</v>
      </c>
      <c r="BB160" s="10">
        <v>5</v>
      </c>
      <c r="BC160" s="11">
        <f t="shared" si="170"/>
        <v>200</v>
      </c>
      <c r="BD160" s="10">
        <v>0</v>
      </c>
      <c r="BE160" s="11">
        <f t="shared" si="171"/>
        <v>0</v>
      </c>
      <c r="BG160" s="11">
        <f t="shared" si="172"/>
        <v>0</v>
      </c>
      <c r="BN160" s="8">
        <f t="shared" si="149"/>
        <v>7000</v>
      </c>
      <c r="BO160" s="8">
        <f t="shared" si="150"/>
        <v>480000</v>
      </c>
      <c r="BP160" s="8">
        <f t="shared" si="153"/>
        <v>2425</v>
      </c>
      <c r="BQ160" s="12">
        <f t="shared" si="154"/>
        <v>145800</v>
      </c>
    </row>
    <row r="161" spans="1:69">
      <c r="A161" s="28">
        <v>1998</v>
      </c>
      <c r="B161" s="27" t="s">
        <v>17</v>
      </c>
      <c r="C161" s="24">
        <f t="shared" si="129"/>
        <v>118</v>
      </c>
      <c r="D161" s="7" t="e">
        <f t="shared" ca="1" si="148"/>
        <v>#N/A</v>
      </c>
      <c r="E161" s="26">
        <f t="array" aca="1" ref="E161" ca="1">AVERAGE(IF(INDIRECT(DatCol&amp;"$"&amp;TEXT(C161,"###")):INDIRECT(DatCol&amp;"$"&amp;TEXT(C161+57,"###"))&gt;0,INDIRECT(DatCol&amp;"$"&amp;TEXT(C161,"###")):INDIRECT(DatCol&amp;"$"&amp;TEXT(C161+57,"###"))))</f>
        <v>272.50857142857149</v>
      </c>
      <c r="F161" s="26" t="str">
        <f t="shared" si="152"/>
        <v>C</v>
      </c>
      <c r="G161" s="9">
        <v>133</v>
      </c>
      <c r="H161" s="9">
        <v>47</v>
      </c>
      <c r="I161" s="9">
        <v>13</v>
      </c>
      <c r="J161" s="9">
        <v>393</v>
      </c>
      <c r="K161" s="9">
        <f t="shared" si="151"/>
        <v>573</v>
      </c>
      <c r="L161" s="10">
        <f>M161/50</f>
        <v>3150.06</v>
      </c>
      <c r="M161" s="11">
        <v>157503</v>
      </c>
      <c r="N161" s="10">
        <f>O161/50</f>
        <v>180</v>
      </c>
      <c r="O161" s="11">
        <v>9000</v>
      </c>
      <c r="P161" s="10">
        <f>Q161/60</f>
        <v>283.33333333333331</v>
      </c>
      <c r="Q161" s="11">
        <v>17000</v>
      </c>
      <c r="R161" s="10">
        <v>0</v>
      </c>
      <c r="S161" s="11">
        <v>0</v>
      </c>
      <c r="T161" s="10">
        <v>0</v>
      </c>
      <c r="U161" s="11">
        <v>0</v>
      </c>
      <c r="V161" s="10">
        <v>0</v>
      </c>
      <c r="W161" s="11">
        <v>0</v>
      </c>
      <c r="X161" s="10">
        <f>Y161/60</f>
        <v>520</v>
      </c>
      <c r="Y161" s="11">
        <v>31200</v>
      </c>
      <c r="Z161" s="10">
        <v>0</v>
      </c>
      <c r="AA161" s="11">
        <v>0</v>
      </c>
      <c r="AB161" s="10">
        <f>AC161/60</f>
        <v>430</v>
      </c>
      <c r="AC161" s="11">
        <v>25800</v>
      </c>
      <c r="AD161" s="10">
        <v>0</v>
      </c>
      <c r="AE161" s="11">
        <v>0</v>
      </c>
      <c r="AF161" s="10">
        <v>0</v>
      </c>
      <c r="AG161" s="11">
        <v>0</v>
      </c>
      <c r="AH161" s="10">
        <v>0</v>
      </c>
      <c r="AI161" s="11">
        <v>0</v>
      </c>
      <c r="AJ161" s="10">
        <v>0</v>
      </c>
      <c r="AK161" s="13">
        <v>0</v>
      </c>
      <c r="AL161" s="10">
        <v>0</v>
      </c>
      <c r="AM161" s="13">
        <v>0</v>
      </c>
      <c r="AN161" s="10">
        <f>AO161/80</f>
        <v>2000</v>
      </c>
      <c r="AO161" s="11">
        <v>160000</v>
      </c>
      <c r="AP161" s="10">
        <v>100</v>
      </c>
      <c r="AQ161" s="11">
        <v>8000</v>
      </c>
      <c r="AR161" s="10">
        <v>0</v>
      </c>
      <c r="AS161" s="11">
        <v>0</v>
      </c>
      <c r="AT161" s="10">
        <v>0</v>
      </c>
      <c r="AU161" s="11">
        <v>0</v>
      </c>
      <c r="AV161" s="10">
        <v>0</v>
      </c>
      <c r="AW161" s="11">
        <v>0</v>
      </c>
      <c r="AX161" s="10">
        <v>0</v>
      </c>
      <c r="AY161" s="11">
        <v>0</v>
      </c>
      <c r="AZ161" s="10">
        <v>0</v>
      </c>
      <c r="BA161" s="11">
        <v>0</v>
      </c>
      <c r="BB161" s="10">
        <v>0</v>
      </c>
      <c r="BC161" s="11">
        <v>0</v>
      </c>
      <c r="BD161" s="10">
        <v>0</v>
      </c>
      <c r="BE161" s="11">
        <v>0</v>
      </c>
      <c r="BF161" s="10">
        <v>0</v>
      </c>
      <c r="BG161" s="11">
        <v>0</v>
      </c>
      <c r="BH161" s="11">
        <v>0</v>
      </c>
      <c r="BI161" s="11">
        <v>0</v>
      </c>
      <c r="BN161" s="8">
        <f t="shared" si="149"/>
        <v>6383.3933333333334</v>
      </c>
      <c r="BO161" s="8">
        <f t="shared" si="150"/>
        <v>391503</v>
      </c>
      <c r="BP161" s="8">
        <f t="shared" si="153"/>
        <v>1230</v>
      </c>
      <c r="BQ161" s="12">
        <f t="shared" si="154"/>
        <v>74000</v>
      </c>
    </row>
    <row r="162" spans="1:69">
      <c r="A162" s="28">
        <v>1999</v>
      </c>
      <c r="B162" s="27" t="s">
        <v>17</v>
      </c>
      <c r="C162" s="24">
        <f t="shared" si="129"/>
        <v>118</v>
      </c>
      <c r="D162" s="7" t="e">
        <f t="shared" ca="1" si="148"/>
        <v>#N/A</v>
      </c>
      <c r="E162" s="26">
        <f t="array" aca="1" ref="E162" ca="1">AVERAGE(IF(INDIRECT(DatCol&amp;"$"&amp;TEXT(C162,"###")):INDIRECT(DatCol&amp;"$"&amp;TEXT(C162+57,"###"))&gt;0,INDIRECT(DatCol&amp;"$"&amp;TEXT(C162,"###")):INDIRECT(DatCol&amp;"$"&amp;TEXT(C162+57,"###"))))</f>
        <v>272.50857142857149</v>
      </c>
      <c r="F162" s="26" t="str">
        <f t="shared" si="152"/>
        <v>C</v>
      </c>
      <c r="G162" s="9">
        <v>90</v>
      </c>
      <c r="H162" s="9">
        <v>183</v>
      </c>
      <c r="I162" s="9">
        <v>13</v>
      </c>
      <c r="J162" s="9">
        <v>540</v>
      </c>
      <c r="K162" s="9">
        <f t="shared" si="151"/>
        <v>813</v>
      </c>
      <c r="L162" s="10">
        <f>M162/50</f>
        <v>200</v>
      </c>
      <c r="M162" s="11">
        <v>10000</v>
      </c>
      <c r="N162" s="10">
        <f>O162/50</f>
        <v>120</v>
      </c>
      <c r="O162" s="11">
        <v>6000</v>
      </c>
      <c r="P162" s="10">
        <f>Q162/60</f>
        <v>333.33333333333331</v>
      </c>
      <c r="Q162" s="11">
        <v>20000</v>
      </c>
      <c r="R162" s="10">
        <v>0</v>
      </c>
      <c r="S162" s="11">
        <v>0</v>
      </c>
      <c r="T162" s="10">
        <v>0</v>
      </c>
      <c r="U162" s="11">
        <v>0</v>
      </c>
      <c r="V162" s="10">
        <v>0</v>
      </c>
      <c r="W162" s="11">
        <v>0</v>
      </c>
      <c r="X162" s="10">
        <f>Y162/60</f>
        <v>426.66666666666669</v>
      </c>
      <c r="Y162" s="11">
        <v>25600</v>
      </c>
      <c r="Z162" s="10">
        <f>AA162/60</f>
        <v>140</v>
      </c>
      <c r="AA162" s="11">
        <v>8400</v>
      </c>
      <c r="AB162" s="10">
        <v>1750</v>
      </c>
      <c r="AC162" s="11">
        <v>12600</v>
      </c>
      <c r="AD162" s="10">
        <v>0</v>
      </c>
      <c r="AE162" s="11">
        <v>0</v>
      </c>
      <c r="AF162" s="10">
        <v>0</v>
      </c>
      <c r="AG162" s="11">
        <v>0</v>
      </c>
      <c r="AH162" s="10">
        <v>0</v>
      </c>
      <c r="AI162" s="11">
        <v>0</v>
      </c>
      <c r="AJ162" s="10">
        <v>0</v>
      </c>
      <c r="AK162" s="13">
        <v>0</v>
      </c>
      <c r="AL162" s="10">
        <v>0</v>
      </c>
      <c r="AM162" s="13">
        <v>0</v>
      </c>
      <c r="AN162" s="10">
        <f>AO162/80</f>
        <v>1500</v>
      </c>
      <c r="AO162" s="11">
        <v>120000</v>
      </c>
      <c r="AP162" s="10">
        <f>AQ162/80</f>
        <v>75</v>
      </c>
      <c r="AQ162" s="11">
        <v>6000</v>
      </c>
      <c r="AR162" s="10">
        <v>0</v>
      </c>
      <c r="AS162" s="11">
        <v>0</v>
      </c>
      <c r="AT162" s="10">
        <v>0</v>
      </c>
      <c r="AU162" s="11">
        <v>0</v>
      </c>
      <c r="AV162" s="10">
        <v>0</v>
      </c>
      <c r="AW162" s="11">
        <v>0</v>
      </c>
      <c r="AX162" s="10">
        <v>0</v>
      </c>
      <c r="AY162" s="11">
        <v>0</v>
      </c>
      <c r="AZ162" s="10">
        <v>0</v>
      </c>
      <c r="BA162" s="11">
        <v>0</v>
      </c>
      <c r="BB162" s="10">
        <v>0</v>
      </c>
      <c r="BC162" s="11">
        <v>0</v>
      </c>
      <c r="BD162" s="10">
        <v>0</v>
      </c>
      <c r="BE162" s="11">
        <v>0</v>
      </c>
      <c r="BF162" s="10">
        <v>0</v>
      </c>
      <c r="BG162" s="11">
        <v>0</v>
      </c>
      <c r="BH162" s="11">
        <v>0</v>
      </c>
      <c r="BN162" s="8">
        <f t="shared" si="149"/>
        <v>4350</v>
      </c>
      <c r="BO162" s="8">
        <f t="shared" si="150"/>
        <v>196600</v>
      </c>
      <c r="BP162" s="8">
        <f t="shared" si="153"/>
        <v>2511.666666666667</v>
      </c>
      <c r="BQ162" s="12">
        <f t="shared" si="154"/>
        <v>58600</v>
      </c>
    </row>
    <row r="163" spans="1:69">
      <c r="A163" s="28">
        <v>2000</v>
      </c>
      <c r="B163" s="27" t="s">
        <v>17</v>
      </c>
      <c r="C163" s="24">
        <f t="shared" si="129"/>
        <v>118</v>
      </c>
      <c r="D163" s="7" t="e">
        <f t="shared" ca="1" si="148"/>
        <v>#N/A</v>
      </c>
      <c r="E163" s="26">
        <f t="array" aca="1" ref="E163" ca="1">AVERAGE(IF(INDIRECT(DatCol&amp;"$"&amp;TEXT(C163,"###")):INDIRECT(DatCol&amp;"$"&amp;TEXT(C163+57,"###"))&gt;0,INDIRECT(DatCol&amp;"$"&amp;TEXT(C163,"###")):INDIRECT(DatCol&amp;"$"&amp;TEXT(C163+57,"###"))))</f>
        <v>272.50857142857149</v>
      </c>
      <c r="F163" s="26" t="str">
        <f t="shared" si="152"/>
        <v>C</v>
      </c>
      <c r="G163" s="9">
        <v>14</v>
      </c>
      <c r="H163" s="9">
        <v>31</v>
      </c>
      <c r="I163" s="9">
        <v>14</v>
      </c>
      <c r="J163" s="9">
        <v>427</v>
      </c>
      <c r="K163" s="9">
        <f t="shared" si="151"/>
        <v>472</v>
      </c>
      <c r="L163" s="10">
        <f>M163/50</f>
        <v>144</v>
      </c>
      <c r="M163" s="11">
        <v>7200</v>
      </c>
      <c r="N163" s="10">
        <f>O163/50</f>
        <v>168</v>
      </c>
      <c r="O163" s="11">
        <v>8400</v>
      </c>
      <c r="P163" s="10">
        <f>Q163/49.5</f>
        <v>464.64646464646466</v>
      </c>
      <c r="Q163" s="11">
        <v>23000</v>
      </c>
      <c r="R163" s="10">
        <v>0</v>
      </c>
      <c r="S163" s="11">
        <v>0</v>
      </c>
      <c r="T163" s="10">
        <v>0</v>
      </c>
      <c r="U163" s="11">
        <v>0</v>
      </c>
      <c r="V163" s="10">
        <v>0</v>
      </c>
      <c r="W163" s="11">
        <v>0</v>
      </c>
      <c r="X163" s="10">
        <f>Y163/49.5</f>
        <v>444.44444444444446</v>
      </c>
      <c r="Y163" s="11">
        <v>22000</v>
      </c>
      <c r="Z163" s="10">
        <f>AA163/49.5</f>
        <v>505.05050505050502</v>
      </c>
      <c r="AA163" s="11">
        <v>25000</v>
      </c>
      <c r="AB163" s="10">
        <v>0</v>
      </c>
      <c r="AC163" s="11">
        <v>0</v>
      </c>
      <c r="AD163" s="10">
        <v>0</v>
      </c>
      <c r="AE163" s="11">
        <v>0</v>
      </c>
      <c r="AF163" s="10">
        <v>0</v>
      </c>
      <c r="AG163" s="11">
        <v>0</v>
      </c>
      <c r="AH163" s="10">
        <v>0</v>
      </c>
      <c r="AI163" s="11">
        <v>0</v>
      </c>
      <c r="AK163" s="13">
        <v>0</v>
      </c>
      <c r="AL163" s="10">
        <v>0</v>
      </c>
      <c r="AM163" s="13">
        <v>0</v>
      </c>
      <c r="AN163" s="10">
        <f>AO163/80</f>
        <v>1200</v>
      </c>
      <c r="AO163" s="11">
        <v>96000</v>
      </c>
      <c r="AP163" s="10">
        <f>AQ163/80</f>
        <v>100</v>
      </c>
      <c r="AQ163" s="11">
        <v>8000</v>
      </c>
      <c r="BN163" s="8">
        <f t="shared" si="149"/>
        <v>2758.1414141414143</v>
      </c>
      <c r="BO163" s="8">
        <f t="shared" si="150"/>
        <v>173200</v>
      </c>
      <c r="BP163" s="8">
        <f t="shared" si="153"/>
        <v>1217.4949494949494</v>
      </c>
      <c r="BQ163" s="12">
        <f t="shared" si="154"/>
        <v>63400</v>
      </c>
    </row>
    <row r="164" spans="1:69">
      <c r="A164" s="28">
        <v>2001</v>
      </c>
      <c r="B164" s="27" t="s">
        <v>17</v>
      </c>
      <c r="C164" s="24">
        <f t="shared" si="129"/>
        <v>118</v>
      </c>
      <c r="D164" s="7" t="e">
        <f t="shared" ca="1" si="148"/>
        <v>#N/A</v>
      </c>
      <c r="E164" s="26">
        <f t="array" aca="1" ref="E164" ca="1">AVERAGE(IF(INDIRECT(DatCol&amp;"$"&amp;TEXT(C164,"###")):INDIRECT(DatCol&amp;"$"&amp;TEXT(C164+57,"###"))&gt;0,INDIRECT(DatCol&amp;"$"&amp;TEXT(C164,"###")):INDIRECT(DatCol&amp;"$"&amp;TEXT(C164+57,"###"))))</f>
        <v>272.50857142857149</v>
      </c>
      <c r="F164" s="26" t="str">
        <f t="shared" si="152"/>
        <v>C</v>
      </c>
      <c r="K164" s="9">
        <f t="shared" si="151"/>
        <v>0</v>
      </c>
      <c r="AK164" s="13"/>
      <c r="AM164" s="13"/>
      <c r="BN164" s="8">
        <f t="shared" si="149"/>
        <v>0</v>
      </c>
      <c r="BO164" s="8">
        <f t="shared" si="150"/>
        <v>0</v>
      </c>
      <c r="BP164" s="8">
        <f t="shared" si="153"/>
        <v>0</v>
      </c>
      <c r="BQ164" s="12">
        <f t="shared" si="154"/>
        <v>0</v>
      </c>
    </row>
    <row r="165" spans="1:69">
      <c r="A165" s="28">
        <v>2002</v>
      </c>
      <c r="B165" s="27" t="s">
        <v>17</v>
      </c>
      <c r="C165" s="24">
        <f t="shared" si="129"/>
        <v>118</v>
      </c>
      <c r="D165" s="7" t="e">
        <f t="shared" ca="1" si="148"/>
        <v>#N/A</v>
      </c>
      <c r="E165" s="26">
        <f t="array" aca="1" ref="E165" ca="1">AVERAGE(IF(INDIRECT(DatCol&amp;"$"&amp;TEXT(C165,"###")):INDIRECT(DatCol&amp;"$"&amp;TEXT(C165+57,"###"))&gt;0,INDIRECT(DatCol&amp;"$"&amp;TEXT(C165,"###")):INDIRECT(DatCol&amp;"$"&amp;TEXT(C165+57,"###"))))</f>
        <v>272.50857142857149</v>
      </c>
      <c r="F165" s="26" t="str">
        <f t="shared" si="152"/>
        <v>C</v>
      </c>
      <c r="G165" s="9">
        <v>53</v>
      </c>
      <c r="H165" s="9">
        <v>209</v>
      </c>
      <c r="I165" s="9">
        <v>20</v>
      </c>
      <c r="J165" s="9">
        <v>582</v>
      </c>
      <c r="K165" s="9">
        <f t="shared" si="151"/>
        <v>844</v>
      </c>
      <c r="L165" s="10">
        <f>M165/50</f>
        <v>170</v>
      </c>
      <c r="M165" s="11">
        <v>8500</v>
      </c>
      <c r="N165" s="10">
        <f>O165/50</f>
        <v>188</v>
      </c>
      <c r="O165" s="11">
        <v>9400</v>
      </c>
      <c r="P165" s="10">
        <f>Q165/75</f>
        <v>520</v>
      </c>
      <c r="Q165" s="11">
        <v>39000</v>
      </c>
      <c r="R165" s="10">
        <v>0</v>
      </c>
      <c r="S165" s="11">
        <v>0</v>
      </c>
      <c r="T165" s="10">
        <v>0</v>
      </c>
      <c r="U165" s="11">
        <v>0</v>
      </c>
      <c r="V165" s="10">
        <v>0</v>
      </c>
      <c r="W165" s="11">
        <v>0</v>
      </c>
      <c r="X165" s="10">
        <f>Y165/75</f>
        <v>546.66666666666663</v>
      </c>
      <c r="Y165" s="11">
        <v>41000</v>
      </c>
      <c r="Z165" s="10">
        <v>0</v>
      </c>
      <c r="AA165" s="11">
        <v>0</v>
      </c>
      <c r="AB165" s="10">
        <v>0</v>
      </c>
      <c r="AC165" s="11">
        <v>0</v>
      </c>
      <c r="AD165" s="10">
        <v>0</v>
      </c>
      <c r="AE165" s="11">
        <v>0</v>
      </c>
      <c r="AF165" s="10">
        <v>0</v>
      </c>
      <c r="AG165" s="11">
        <v>0</v>
      </c>
      <c r="AH165" s="10">
        <v>0</v>
      </c>
      <c r="AI165" s="11">
        <v>0</v>
      </c>
      <c r="AJ165" s="10">
        <v>0</v>
      </c>
      <c r="AK165" s="13">
        <v>0</v>
      </c>
      <c r="AL165" s="10">
        <v>0</v>
      </c>
      <c r="AM165" s="13">
        <v>0</v>
      </c>
      <c r="AN165" s="10">
        <v>0</v>
      </c>
      <c r="AO165" s="11">
        <v>0</v>
      </c>
      <c r="AP165" s="10">
        <f>AQ165/80</f>
        <v>87.5</v>
      </c>
      <c r="AQ165" s="11">
        <v>7000</v>
      </c>
      <c r="BN165" s="8">
        <f t="shared" si="149"/>
        <v>1236.6666666666665</v>
      </c>
      <c r="BO165" s="8">
        <f t="shared" si="150"/>
        <v>88500</v>
      </c>
      <c r="BP165" s="8">
        <f t="shared" si="153"/>
        <v>822.16666666666663</v>
      </c>
      <c r="BQ165" s="12">
        <f t="shared" si="154"/>
        <v>57400</v>
      </c>
    </row>
    <row r="166" spans="1:69">
      <c r="A166" s="28">
        <v>2003</v>
      </c>
      <c r="B166" s="27" t="s">
        <v>17</v>
      </c>
      <c r="C166" s="24">
        <f t="shared" si="129"/>
        <v>118</v>
      </c>
      <c r="D166" s="7" t="e">
        <f t="shared" ca="1" si="148"/>
        <v>#N/A</v>
      </c>
      <c r="E166" s="26">
        <f t="array" aca="1" ref="E166" ca="1">AVERAGE(IF(INDIRECT(DatCol&amp;"$"&amp;TEXT(C166,"###")):INDIRECT(DatCol&amp;"$"&amp;TEXT(C166+57,"###"))&gt;0,INDIRECT(DatCol&amp;"$"&amp;TEXT(C166,"###")):INDIRECT(DatCol&amp;"$"&amp;TEXT(C166+57,"###"))))</f>
        <v>272.50857142857149</v>
      </c>
      <c r="F166" s="26" t="str">
        <f t="shared" si="152"/>
        <v>C</v>
      </c>
      <c r="H166" s="9">
        <v>113</v>
      </c>
      <c r="I166" s="9">
        <v>22</v>
      </c>
      <c r="J166" s="9">
        <v>499</v>
      </c>
      <c r="K166" s="9">
        <f t="shared" si="151"/>
        <v>612</v>
      </c>
      <c r="L166" s="10">
        <f>M166/50</f>
        <v>170</v>
      </c>
      <c r="M166" s="11">
        <v>8500</v>
      </c>
      <c r="N166" s="10">
        <f>O166/50</f>
        <v>188</v>
      </c>
      <c r="O166" s="11">
        <v>9400</v>
      </c>
      <c r="P166" s="10">
        <f>Q166/75</f>
        <v>520</v>
      </c>
      <c r="Q166" s="11">
        <v>39000</v>
      </c>
      <c r="R166" s="10">
        <v>0</v>
      </c>
      <c r="S166" s="11">
        <v>0</v>
      </c>
      <c r="T166" s="10">
        <v>0</v>
      </c>
      <c r="U166" s="11">
        <v>0</v>
      </c>
      <c r="V166" s="10">
        <v>0</v>
      </c>
      <c r="W166" s="11">
        <v>0</v>
      </c>
      <c r="X166" s="10">
        <f>Y166/75</f>
        <v>546.66666666666663</v>
      </c>
      <c r="Y166" s="11">
        <v>41000</v>
      </c>
      <c r="Z166" s="10">
        <v>0</v>
      </c>
      <c r="AA166" s="11">
        <v>0</v>
      </c>
      <c r="AB166" s="10">
        <v>0</v>
      </c>
      <c r="AC166" s="11">
        <v>0</v>
      </c>
      <c r="AD166" s="10">
        <v>0</v>
      </c>
      <c r="AE166" s="11">
        <v>0</v>
      </c>
      <c r="AF166" s="10">
        <v>0</v>
      </c>
      <c r="AG166" s="11">
        <v>0</v>
      </c>
      <c r="AH166" s="10">
        <v>0</v>
      </c>
      <c r="AI166" s="11">
        <v>0</v>
      </c>
      <c r="AJ166" s="10">
        <v>0</v>
      </c>
      <c r="AK166" s="13">
        <v>0</v>
      </c>
      <c r="AL166" s="10">
        <v>0</v>
      </c>
      <c r="AM166" s="13">
        <v>0</v>
      </c>
      <c r="AN166" s="10">
        <f>AO166/80</f>
        <v>1312.5</v>
      </c>
      <c r="AO166" s="11">
        <v>105000</v>
      </c>
      <c r="AP166" s="10">
        <f>AQ166/80</f>
        <v>87.5</v>
      </c>
      <c r="AQ166" s="11">
        <v>7000</v>
      </c>
      <c r="BN166" s="8">
        <f t="shared" si="149"/>
        <v>2549.1666666666665</v>
      </c>
      <c r="BO166" s="8">
        <f t="shared" si="150"/>
        <v>193500</v>
      </c>
      <c r="BP166" s="8">
        <f t="shared" si="153"/>
        <v>822.16666666666663</v>
      </c>
      <c r="BQ166" s="12">
        <f t="shared" si="154"/>
        <v>57400</v>
      </c>
    </row>
    <row r="167" spans="1:69">
      <c r="A167" s="28">
        <v>2004</v>
      </c>
      <c r="B167" s="27" t="s">
        <v>17</v>
      </c>
      <c r="C167" s="24">
        <f t="shared" si="129"/>
        <v>118</v>
      </c>
      <c r="D167" s="7" t="e">
        <f t="shared" ca="1" si="148"/>
        <v>#N/A</v>
      </c>
      <c r="E167" s="26">
        <f t="array" aca="1" ref="E167" ca="1">AVERAGE(IF(INDIRECT(DatCol&amp;"$"&amp;TEXT(C167,"###")):INDIRECT(DatCol&amp;"$"&amp;TEXT(C167+57,"###"))&gt;0,INDIRECT(DatCol&amp;"$"&amp;TEXT(C167,"###")):INDIRECT(DatCol&amp;"$"&amp;TEXT(C167+57,"###"))))</f>
        <v>272.50857142857149</v>
      </c>
      <c r="F167" s="26" t="str">
        <f t="shared" si="152"/>
        <v>C</v>
      </c>
      <c r="H167" s="9">
        <v>82</v>
      </c>
      <c r="I167" s="9">
        <v>21</v>
      </c>
      <c r="J167" s="9">
        <v>429</v>
      </c>
      <c r="K167" s="9">
        <f t="shared" si="151"/>
        <v>511</v>
      </c>
      <c r="L167" s="10">
        <f>M167/50</f>
        <v>180</v>
      </c>
      <c r="M167" s="11">
        <v>9000</v>
      </c>
      <c r="N167" s="10">
        <f>O167/50</f>
        <v>220</v>
      </c>
      <c r="O167" s="11">
        <v>11000</v>
      </c>
      <c r="P167" s="10">
        <f>Q167/75</f>
        <v>573.33333333333337</v>
      </c>
      <c r="Q167" s="11">
        <v>43000</v>
      </c>
      <c r="R167" s="10">
        <v>0</v>
      </c>
      <c r="S167" s="11">
        <v>0</v>
      </c>
      <c r="T167" s="10">
        <v>0</v>
      </c>
      <c r="U167" s="11">
        <v>0</v>
      </c>
      <c r="V167" s="10">
        <v>0</v>
      </c>
      <c r="W167" s="11">
        <v>0</v>
      </c>
      <c r="X167" s="10">
        <f>Y167/75</f>
        <v>506.66666666666669</v>
      </c>
      <c r="Y167" s="11">
        <v>38000</v>
      </c>
      <c r="Z167" s="10">
        <v>0</v>
      </c>
      <c r="AA167" s="11">
        <v>0</v>
      </c>
      <c r="AB167" s="10">
        <v>0</v>
      </c>
      <c r="AC167" s="11">
        <v>0</v>
      </c>
      <c r="AD167" s="10">
        <v>0</v>
      </c>
      <c r="AE167" s="11">
        <v>0</v>
      </c>
      <c r="AF167" s="10">
        <v>0</v>
      </c>
      <c r="AG167" s="11">
        <v>0</v>
      </c>
      <c r="AH167" s="10">
        <v>0</v>
      </c>
      <c r="AI167" s="11">
        <v>0</v>
      </c>
      <c r="AJ167" s="10">
        <v>0</v>
      </c>
      <c r="AK167" s="13">
        <v>0</v>
      </c>
      <c r="AL167" s="10">
        <v>0</v>
      </c>
      <c r="AM167" s="13">
        <v>0</v>
      </c>
      <c r="AN167" s="10">
        <f>AO167/80</f>
        <v>1200</v>
      </c>
      <c r="AO167" s="11">
        <v>96000</v>
      </c>
      <c r="AP167" s="10">
        <f>AQ167/80</f>
        <v>62.5</v>
      </c>
      <c r="AQ167" s="11">
        <v>5000</v>
      </c>
      <c r="BN167" s="8">
        <f t="shared" si="149"/>
        <v>2460</v>
      </c>
      <c r="BO167" s="8">
        <f t="shared" si="150"/>
        <v>186000</v>
      </c>
      <c r="BP167" s="8">
        <f t="shared" si="153"/>
        <v>789.16666666666674</v>
      </c>
      <c r="BQ167" s="12">
        <f t="shared" si="154"/>
        <v>54000</v>
      </c>
    </row>
    <row r="168" spans="1:69">
      <c r="A168" s="28">
        <v>2005</v>
      </c>
      <c r="B168" s="27" t="s">
        <v>17</v>
      </c>
      <c r="C168" s="24">
        <f t="shared" si="129"/>
        <v>118</v>
      </c>
      <c r="D168" s="7" t="e">
        <f t="shared" ca="1" si="148"/>
        <v>#N/A</v>
      </c>
      <c r="E168" s="26">
        <f t="array" aca="1" ref="E168" ca="1">AVERAGE(IF(INDIRECT(DatCol&amp;"$"&amp;TEXT(C168,"###")):INDIRECT(DatCol&amp;"$"&amp;TEXT(C168+57,"###"))&gt;0,INDIRECT(DatCol&amp;"$"&amp;TEXT(C168,"###")):INDIRECT(DatCol&amp;"$"&amp;TEXT(C168+57,"###"))))</f>
        <v>272.50857142857149</v>
      </c>
      <c r="F168" s="26" t="str">
        <f t="shared" si="152"/>
        <v>C</v>
      </c>
      <c r="H168" s="9">
        <v>61</v>
      </c>
      <c r="I168" s="9">
        <v>15</v>
      </c>
      <c r="J168" s="9">
        <v>323</v>
      </c>
      <c r="K168" s="9">
        <f t="shared" si="151"/>
        <v>384</v>
      </c>
      <c r="L168" s="10">
        <f>M168/50</f>
        <v>90</v>
      </c>
      <c r="M168" s="11">
        <v>4500</v>
      </c>
      <c r="N168" s="10">
        <f>O168/50</f>
        <v>130</v>
      </c>
      <c r="O168" s="11">
        <v>6500</v>
      </c>
      <c r="P168" s="10">
        <f>Q168/75</f>
        <v>626.66666666666663</v>
      </c>
      <c r="Q168" s="11">
        <v>47000</v>
      </c>
      <c r="R168" s="10">
        <v>0</v>
      </c>
      <c r="S168" s="11">
        <v>0</v>
      </c>
      <c r="T168" s="10">
        <v>0</v>
      </c>
      <c r="U168" s="11">
        <v>0</v>
      </c>
      <c r="V168" s="10">
        <v>0</v>
      </c>
      <c r="W168" s="11">
        <v>0</v>
      </c>
      <c r="X168" s="10">
        <f>Y168/75</f>
        <v>456</v>
      </c>
      <c r="Y168" s="11">
        <v>34200</v>
      </c>
      <c r="Z168" s="10">
        <v>0</v>
      </c>
      <c r="AA168" s="11">
        <v>0</v>
      </c>
      <c r="AB168" s="10">
        <v>0</v>
      </c>
      <c r="AC168" s="11">
        <v>0</v>
      </c>
      <c r="AD168" s="10">
        <v>0</v>
      </c>
      <c r="AK168" s="13"/>
      <c r="AM168" s="13"/>
      <c r="BN168" s="8">
        <f t="shared" si="149"/>
        <v>1172.6666666666665</v>
      </c>
      <c r="BO168" s="8">
        <f t="shared" si="150"/>
        <v>85700</v>
      </c>
      <c r="BP168" s="8">
        <f t="shared" si="153"/>
        <v>586</v>
      </c>
      <c r="BQ168" s="12">
        <f t="shared" si="154"/>
        <v>40700</v>
      </c>
    </row>
    <row r="169" spans="1:69">
      <c r="A169" s="28">
        <v>2006</v>
      </c>
      <c r="B169" s="27" t="s">
        <v>17</v>
      </c>
      <c r="C169" s="24">
        <f t="shared" si="129"/>
        <v>118</v>
      </c>
      <c r="D169" s="7" t="e">
        <f t="shared" ca="1" si="148"/>
        <v>#N/A</v>
      </c>
      <c r="E169" s="26">
        <f t="array" aca="1" ref="E169" ca="1">AVERAGE(IF(INDIRECT(DatCol&amp;"$"&amp;TEXT(C169,"###")):INDIRECT(DatCol&amp;"$"&amp;TEXT(C169+57,"###"))&gt;0,INDIRECT(DatCol&amp;"$"&amp;TEXT(C169,"###")):INDIRECT(DatCol&amp;"$"&amp;TEXT(C169+57,"###"))))</f>
        <v>272.50857142857149</v>
      </c>
      <c r="F169" s="26" t="str">
        <f t="shared" si="152"/>
        <v>C</v>
      </c>
      <c r="H169" s="9">
        <f>7+812</f>
        <v>819</v>
      </c>
      <c r="I169" s="9">
        <v>14</v>
      </c>
      <c r="J169" s="9">
        <v>393</v>
      </c>
      <c r="K169" s="9">
        <f t="shared" si="151"/>
        <v>1212</v>
      </c>
      <c r="L169" s="10">
        <f>M169/50</f>
        <v>158</v>
      </c>
      <c r="M169" s="11">
        <v>7900</v>
      </c>
      <c r="N169" s="10">
        <f>O169/50</f>
        <v>182</v>
      </c>
      <c r="O169" s="11">
        <v>9100</v>
      </c>
      <c r="P169" s="10">
        <f>Q169/75</f>
        <v>466.66666666666669</v>
      </c>
      <c r="Q169" s="11">
        <v>35000</v>
      </c>
      <c r="R169" s="10">
        <v>0</v>
      </c>
      <c r="S169" s="11">
        <v>0</v>
      </c>
      <c r="T169" s="10">
        <v>0</v>
      </c>
      <c r="U169" s="11">
        <v>0</v>
      </c>
      <c r="V169" s="10">
        <v>0</v>
      </c>
      <c r="W169" s="11">
        <v>0</v>
      </c>
      <c r="X169" s="10">
        <f>Y169/75</f>
        <v>600</v>
      </c>
      <c r="Y169" s="11">
        <v>45000</v>
      </c>
      <c r="Z169" s="10">
        <v>0</v>
      </c>
      <c r="AA169" s="11">
        <v>0</v>
      </c>
      <c r="AB169" s="10">
        <v>0</v>
      </c>
      <c r="AC169" s="11">
        <v>0</v>
      </c>
      <c r="AD169" s="10">
        <v>0</v>
      </c>
      <c r="AE169" s="11">
        <v>0</v>
      </c>
      <c r="AF169" s="10">
        <v>0</v>
      </c>
      <c r="AG169" s="11">
        <v>0</v>
      </c>
      <c r="AH169" s="10">
        <v>0</v>
      </c>
      <c r="AI169" s="11">
        <v>0</v>
      </c>
      <c r="AJ169" s="10">
        <v>0</v>
      </c>
      <c r="AK169" s="13">
        <v>0</v>
      </c>
      <c r="AL169" s="10">
        <v>0</v>
      </c>
      <c r="AM169" s="13">
        <v>0</v>
      </c>
      <c r="AN169" s="10">
        <f>AO169/80</f>
        <v>1150</v>
      </c>
      <c r="AO169" s="11">
        <v>92000</v>
      </c>
      <c r="AP169" s="10">
        <f>AQ169/80</f>
        <v>18.75</v>
      </c>
      <c r="AQ169" s="11">
        <v>1500</v>
      </c>
      <c r="BN169" s="8">
        <f t="shared" si="149"/>
        <v>2374.666666666667</v>
      </c>
      <c r="BO169" s="8">
        <f t="shared" si="150"/>
        <v>179900</v>
      </c>
      <c r="BP169" s="8">
        <f t="shared" si="153"/>
        <v>800.75</v>
      </c>
      <c r="BQ169" s="12">
        <f t="shared" si="154"/>
        <v>55600</v>
      </c>
    </row>
    <row r="170" spans="1:69">
      <c r="A170" s="28">
        <v>2007</v>
      </c>
      <c r="B170" s="27" t="s">
        <v>17</v>
      </c>
      <c r="C170" s="24">
        <f t="shared" si="129"/>
        <v>118</v>
      </c>
      <c r="D170" s="7" t="e">
        <f t="shared" ca="1" si="148"/>
        <v>#N/A</v>
      </c>
      <c r="E170" s="26">
        <f t="array" aca="1" ref="E170" ca="1">AVERAGE(IF(INDIRECT(DatCol&amp;"$"&amp;TEXT(C170,"###")):INDIRECT(DatCol&amp;"$"&amp;TEXT(C170+57,"###"))&gt;0,INDIRECT(DatCol&amp;"$"&amp;TEXT(C170,"###")):INDIRECT(DatCol&amp;"$"&amp;TEXT(C170+57,"###"))))</f>
        <v>272.50857142857149</v>
      </c>
      <c r="F170" s="26" t="str">
        <f t="shared" si="152"/>
        <v>C</v>
      </c>
      <c r="H170" s="9">
        <f>99+344</f>
        <v>443</v>
      </c>
      <c r="I170" s="9">
        <v>16</v>
      </c>
      <c r="J170" s="9">
        <v>336</v>
      </c>
      <c r="K170" s="9">
        <f t="shared" si="151"/>
        <v>779</v>
      </c>
      <c r="L170" s="10">
        <v>3</v>
      </c>
      <c r="M170" s="11">
        <f>L170*50</f>
        <v>150</v>
      </c>
      <c r="N170" s="10">
        <v>5</v>
      </c>
      <c r="O170" s="11">
        <v>250</v>
      </c>
      <c r="P170" s="10">
        <v>0</v>
      </c>
      <c r="Q170" s="11">
        <v>0</v>
      </c>
      <c r="R170" s="10">
        <f>1545/882</f>
        <v>1.7517006802721089</v>
      </c>
      <c r="S170" s="11">
        <f>R170*75</f>
        <v>131.37755102040816</v>
      </c>
      <c r="T170" s="10">
        <f>6086/233</f>
        <v>26.120171673819744</v>
      </c>
      <c r="U170" s="11">
        <f>T170*75</f>
        <v>1959.0128755364808</v>
      </c>
      <c r="V170" s="10">
        <f>720/151</f>
        <v>4.7682119205298017</v>
      </c>
      <c r="W170" s="11">
        <f>V170*75</f>
        <v>357.61589403973511</v>
      </c>
      <c r="X170" s="10">
        <v>71</v>
      </c>
      <c r="Y170" s="11">
        <f>X170*75</f>
        <v>5325</v>
      </c>
      <c r="Z170" s="10">
        <v>11</v>
      </c>
      <c r="AA170" s="11">
        <f>Z170*75</f>
        <v>825</v>
      </c>
      <c r="AB170" s="10">
        <v>0</v>
      </c>
      <c r="AC170" s="11">
        <v>0</v>
      </c>
      <c r="AD170" s="10">
        <v>0</v>
      </c>
      <c r="AE170" s="11">
        <v>0</v>
      </c>
      <c r="AF170" s="10">
        <v>0</v>
      </c>
      <c r="AG170" s="11">
        <v>0</v>
      </c>
      <c r="AH170" s="10">
        <v>17</v>
      </c>
      <c r="AI170" s="11">
        <f>AH170*47.5</f>
        <v>807.5</v>
      </c>
      <c r="AK170" s="13">
        <v>0</v>
      </c>
      <c r="AL170" s="10">
        <v>0</v>
      </c>
      <c r="AM170" s="13">
        <v>0</v>
      </c>
      <c r="AN170" s="10">
        <v>0</v>
      </c>
      <c r="AO170" s="11">
        <v>0</v>
      </c>
      <c r="AP170" s="10">
        <v>0</v>
      </c>
      <c r="AQ170" s="11">
        <v>0</v>
      </c>
      <c r="AR170" s="10">
        <v>0</v>
      </c>
      <c r="AS170" s="11">
        <v>0</v>
      </c>
      <c r="AT170" s="10">
        <v>0</v>
      </c>
      <c r="AU170" s="11">
        <v>0</v>
      </c>
      <c r="AV170" s="10">
        <v>0</v>
      </c>
      <c r="AW170" s="11">
        <v>0</v>
      </c>
      <c r="AX170" s="10">
        <v>0</v>
      </c>
      <c r="AY170" s="11">
        <v>0</v>
      </c>
      <c r="AZ170" s="10">
        <v>0</v>
      </c>
      <c r="BA170" s="11">
        <v>0</v>
      </c>
      <c r="BB170" s="10">
        <v>0</v>
      </c>
      <c r="BC170" s="11">
        <v>0</v>
      </c>
      <c r="BN170" s="8">
        <f t="shared" si="149"/>
        <v>117.64008427462166</v>
      </c>
      <c r="BO170" s="8">
        <f t="shared" si="150"/>
        <v>8748.0063205966235</v>
      </c>
      <c r="BP170" s="8">
        <f t="shared" si="153"/>
        <v>104</v>
      </c>
      <c r="BQ170" s="12">
        <f t="shared" si="154"/>
        <v>7207.5</v>
      </c>
    </row>
    <row r="171" spans="1:69">
      <c r="A171" s="28">
        <v>2008</v>
      </c>
      <c r="B171" s="27" t="s">
        <v>17</v>
      </c>
      <c r="C171" s="24">
        <f t="shared" si="129"/>
        <v>118</v>
      </c>
      <c r="D171" s="7" t="e">
        <f t="shared" ca="1" si="148"/>
        <v>#N/A</v>
      </c>
      <c r="E171" s="26">
        <f t="array" aca="1" ref="E171" ca="1">AVERAGE(IF(INDIRECT(DatCol&amp;"$"&amp;TEXT(C171,"###")):INDIRECT(DatCol&amp;"$"&amp;TEXT(C171+57,"###"))&gt;0,INDIRECT(DatCol&amp;"$"&amp;TEXT(C171,"###")):INDIRECT(DatCol&amp;"$"&amp;TEXT(C171+57,"###"))))</f>
        <v>272.50857142857149</v>
      </c>
      <c r="F171" s="26" t="str">
        <f t="shared" si="152"/>
        <v>C</v>
      </c>
      <c r="H171" s="9">
        <v>5</v>
      </c>
      <c r="I171" s="9">
        <v>17</v>
      </c>
      <c r="J171" s="9">
        <f>372+32</f>
        <v>404</v>
      </c>
      <c r="K171" s="9">
        <f t="shared" si="151"/>
        <v>409</v>
      </c>
      <c r="L171" s="10" t="s">
        <v>52</v>
      </c>
      <c r="M171" s="11" t="s">
        <v>52</v>
      </c>
      <c r="N171" s="10">
        <v>3.6</v>
      </c>
      <c r="O171" s="11">
        <f>N171*50</f>
        <v>180</v>
      </c>
      <c r="P171" s="10">
        <f>Q171*75</f>
        <v>155.440414507772</v>
      </c>
      <c r="Q171" s="11">
        <f>1200/579</f>
        <v>2.0725388601036268</v>
      </c>
      <c r="R171" s="10">
        <v>0</v>
      </c>
      <c r="S171" s="11">
        <v>0</v>
      </c>
      <c r="T171" s="10">
        <v>0</v>
      </c>
      <c r="U171" s="11">
        <v>0</v>
      </c>
      <c r="V171" s="10">
        <v>0</v>
      </c>
      <c r="W171" s="11">
        <v>0</v>
      </c>
      <c r="X171" s="10">
        <f>Y171/75</f>
        <v>2.0733333333333333</v>
      </c>
      <c r="Y171" s="11">
        <v>155.5</v>
      </c>
      <c r="Z171" s="10">
        <v>0</v>
      </c>
      <c r="AA171" s="11">
        <v>0</v>
      </c>
      <c r="AB171" s="10">
        <v>0</v>
      </c>
      <c r="AC171" s="11">
        <v>0</v>
      </c>
      <c r="AD171" s="10">
        <v>0</v>
      </c>
      <c r="AE171" s="11">
        <v>0</v>
      </c>
      <c r="AF171" s="10">
        <v>0</v>
      </c>
      <c r="AG171" s="11">
        <f>AH171/47.5</f>
        <v>0.58947368421052626</v>
      </c>
      <c r="AH171" s="10">
        <v>28</v>
      </c>
      <c r="AI171" s="11">
        <v>0</v>
      </c>
      <c r="AJ171" s="10">
        <v>0</v>
      </c>
      <c r="AK171" s="13">
        <v>0</v>
      </c>
      <c r="AL171" s="10">
        <v>0</v>
      </c>
      <c r="AM171" s="13">
        <v>0</v>
      </c>
      <c r="AN171" s="10">
        <v>0</v>
      </c>
      <c r="AO171" s="11">
        <v>0</v>
      </c>
      <c r="AP171" s="10">
        <v>0</v>
      </c>
      <c r="AQ171" s="11">
        <v>0</v>
      </c>
      <c r="AR171" s="10">
        <v>0</v>
      </c>
      <c r="AS171" s="11">
        <v>0</v>
      </c>
      <c r="AT171" s="10">
        <v>0</v>
      </c>
      <c r="AU171" s="11">
        <v>0</v>
      </c>
      <c r="AV171" s="10">
        <v>0</v>
      </c>
      <c r="AW171" s="11">
        <v>0</v>
      </c>
      <c r="AX171" s="10">
        <v>0</v>
      </c>
      <c r="AY171" s="11">
        <v>0</v>
      </c>
      <c r="AZ171" s="10">
        <v>0</v>
      </c>
      <c r="BA171" s="11">
        <v>0</v>
      </c>
      <c r="BB171" s="10">
        <v>0</v>
      </c>
      <c r="BC171" s="11">
        <v>0</v>
      </c>
      <c r="BD171" s="10">
        <v>0</v>
      </c>
      <c r="BE171" s="11">
        <v>0</v>
      </c>
      <c r="BF171" s="10">
        <v>0</v>
      </c>
      <c r="BG171" s="11">
        <v>0</v>
      </c>
      <c r="BH171" s="11">
        <v>0</v>
      </c>
      <c r="BI171" s="11">
        <v>0</v>
      </c>
      <c r="BN171" s="8">
        <f t="shared" si="149"/>
        <v>157.51374784110533</v>
      </c>
      <c r="BO171" s="8">
        <f t="shared" si="150"/>
        <v>158.16201254431417</v>
      </c>
      <c r="BP171" s="8">
        <f t="shared" si="153"/>
        <v>33.673333333333332</v>
      </c>
      <c r="BQ171" s="12">
        <f t="shared" si="154"/>
        <v>335.5</v>
      </c>
    </row>
    <row r="172" spans="1:69">
      <c r="A172" s="28">
        <v>2009</v>
      </c>
      <c r="B172" s="27" t="s">
        <v>17</v>
      </c>
      <c r="C172" s="24">
        <f t="shared" si="129"/>
        <v>118</v>
      </c>
      <c r="D172" s="7" t="e">
        <f t="shared" ca="1" si="148"/>
        <v>#N/A</v>
      </c>
      <c r="E172" s="26">
        <f t="array" aca="1" ref="E172" ca="1">AVERAGE(IF(INDIRECT(DatCol&amp;"$"&amp;TEXT(C172,"###")):INDIRECT(DatCol&amp;"$"&amp;TEXT(C172+57,"###"))&gt;0,INDIRECT(DatCol&amp;"$"&amp;TEXT(C172,"###")):INDIRECT(DatCol&amp;"$"&amp;TEXT(C172+57,"###"))))</f>
        <v>272.50857142857149</v>
      </c>
      <c r="F172" s="26" t="str">
        <f t="shared" si="152"/>
        <v>C</v>
      </c>
      <c r="H172" s="9">
        <f>6+113</f>
        <v>119</v>
      </c>
      <c r="I172" s="9">
        <v>18</v>
      </c>
      <c r="J172" s="9">
        <f>410+25</f>
        <v>435</v>
      </c>
      <c r="K172" s="9">
        <f t="shared" si="151"/>
        <v>554</v>
      </c>
      <c r="L172" s="10">
        <v>0</v>
      </c>
      <c r="M172" s="11">
        <v>0</v>
      </c>
      <c r="N172" s="10">
        <v>7.2</v>
      </c>
      <c r="O172" s="11">
        <f>N172*50</f>
        <v>360</v>
      </c>
      <c r="P172" s="10">
        <v>0</v>
      </c>
      <c r="Q172" s="11">
        <v>0</v>
      </c>
      <c r="R172" s="10">
        <v>0</v>
      </c>
      <c r="S172" s="11">
        <v>0</v>
      </c>
      <c r="T172" s="10">
        <v>0</v>
      </c>
      <c r="U172" s="11">
        <v>0</v>
      </c>
      <c r="V172" s="10">
        <v>0</v>
      </c>
      <c r="W172" s="11">
        <v>0</v>
      </c>
      <c r="X172" s="10">
        <v>198.49</v>
      </c>
      <c r="Y172" s="11">
        <f>X172*75</f>
        <v>14886.75</v>
      </c>
      <c r="Z172" s="10">
        <v>25.51</v>
      </c>
      <c r="AA172" s="11">
        <f>Z172*75</f>
        <v>1913.2500000000002</v>
      </c>
      <c r="AB172" s="10">
        <v>0</v>
      </c>
      <c r="AC172" s="11">
        <v>0</v>
      </c>
      <c r="AD172" s="10">
        <v>0</v>
      </c>
      <c r="AE172" s="11">
        <v>0</v>
      </c>
      <c r="AF172" s="10">
        <v>0</v>
      </c>
      <c r="AG172" s="11">
        <v>0</v>
      </c>
      <c r="AH172" s="10">
        <v>31.15</v>
      </c>
      <c r="AI172" s="11">
        <f>AH172*47.5</f>
        <v>1479.625</v>
      </c>
      <c r="AJ172" s="10">
        <v>0</v>
      </c>
      <c r="AK172" s="13">
        <v>0</v>
      </c>
      <c r="AL172" s="10">
        <v>0</v>
      </c>
      <c r="AM172" s="13">
        <v>0</v>
      </c>
      <c r="AN172" s="10">
        <v>0</v>
      </c>
      <c r="AO172" s="11">
        <v>0</v>
      </c>
      <c r="AP172" s="10">
        <v>0</v>
      </c>
      <c r="AQ172" s="11">
        <v>0</v>
      </c>
      <c r="AR172" s="10">
        <v>0</v>
      </c>
      <c r="AS172" s="11">
        <v>0</v>
      </c>
      <c r="AT172" s="10">
        <v>0</v>
      </c>
      <c r="AU172" s="11">
        <v>0</v>
      </c>
      <c r="AV172" s="10">
        <v>0</v>
      </c>
      <c r="AW172" s="11">
        <v>0</v>
      </c>
      <c r="AX172" s="10">
        <v>0</v>
      </c>
      <c r="AY172" s="11">
        <v>0</v>
      </c>
      <c r="AZ172" s="10">
        <v>0</v>
      </c>
      <c r="BA172" s="11">
        <v>0</v>
      </c>
      <c r="BB172" s="10">
        <v>0</v>
      </c>
      <c r="BC172" s="11">
        <v>0</v>
      </c>
      <c r="BD172" s="10">
        <v>0</v>
      </c>
      <c r="BE172" s="11">
        <v>0</v>
      </c>
      <c r="BF172" s="10">
        <v>0</v>
      </c>
      <c r="BG172" s="11">
        <v>0</v>
      </c>
      <c r="BH172" s="11">
        <v>0</v>
      </c>
      <c r="BI172" s="11">
        <v>0</v>
      </c>
      <c r="BN172" s="8">
        <f t="shared" si="149"/>
        <v>224</v>
      </c>
      <c r="BO172" s="8">
        <f t="shared" si="150"/>
        <v>16800</v>
      </c>
      <c r="BP172" s="8">
        <f t="shared" si="153"/>
        <v>262.34999999999997</v>
      </c>
      <c r="BQ172" s="12">
        <f t="shared" si="154"/>
        <v>18639.625</v>
      </c>
    </row>
    <row r="173" spans="1:69">
      <c r="A173" s="28">
        <v>2010</v>
      </c>
      <c r="B173" s="27" t="s">
        <v>17</v>
      </c>
      <c r="C173" s="24">
        <f t="shared" si="129"/>
        <v>118</v>
      </c>
      <c r="D173" s="7" t="e">
        <f t="shared" ca="1" si="148"/>
        <v>#N/A</v>
      </c>
      <c r="E173" s="26">
        <f t="array" aca="1" ref="E173" ca="1">AVERAGE(IF(INDIRECT(DatCol&amp;"$"&amp;TEXT(C173,"###")):INDIRECT(DatCol&amp;"$"&amp;TEXT(C173+57,"###"))&gt;0,INDIRECT(DatCol&amp;"$"&amp;TEXT(C173,"###")):INDIRECT(DatCol&amp;"$"&amp;TEXT(C173+57,"###"))))</f>
        <v>272.50857142857149</v>
      </c>
      <c r="F173" s="26" t="str">
        <f t="shared" ref="F173:F175" si="173">VLOOKUP(B173,town_region,2,FALSE)</f>
        <v>C</v>
      </c>
      <c r="AK173" s="13"/>
      <c r="AM173" s="13"/>
      <c r="BN173" s="8"/>
      <c r="BO173" s="8"/>
      <c r="BP173" s="8"/>
      <c r="BQ173" s="12"/>
    </row>
    <row r="174" spans="1:69">
      <c r="A174" s="28">
        <v>2011</v>
      </c>
      <c r="B174" s="27" t="s">
        <v>17</v>
      </c>
      <c r="C174" s="24">
        <f t="shared" si="129"/>
        <v>118</v>
      </c>
      <c r="D174" s="7" t="e">
        <f t="shared" ca="1" si="148"/>
        <v>#N/A</v>
      </c>
      <c r="E174" s="26">
        <f t="array" aca="1" ref="E174" ca="1">AVERAGE(IF(INDIRECT(DatCol&amp;"$"&amp;TEXT(C174,"###")):INDIRECT(DatCol&amp;"$"&amp;TEXT(C174+57,"###"))&gt;0,INDIRECT(DatCol&amp;"$"&amp;TEXT(C174,"###")):INDIRECT(DatCol&amp;"$"&amp;TEXT(C174+57,"###"))))</f>
        <v>272.50857142857149</v>
      </c>
      <c r="F174" s="26" t="str">
        <f t="shared" si="173"/>
        <v>C</v>
      </c>
      <c r="AK174" s="13"/>
      <c r="AM174" s="13"/>
      <c r="BN174" s="8"/>
      <c r="BO174" s="8"/>
      <c r="BP174" s="8"/>
      <c r="BQ174" s="12"/>
    </row>
    <row r="175" spans="1:69">
      <c r="A175" s="28">
        <v>2012</v>
      </c>
      <c r="B175" s="27" t="s">
        <v>17</v>
      </c>
      <c r="C175" s="24">
        <f t="shared" si="129"/>
        <v>118</v>
      </c>
      <c r="D175" s="7" t="e">
        <f t="shared" ca="1" si="148"/>
        <v>#N/A</v>
      </c>
      <c r="E175" s="26">
        <f t="array" aca="1" ref="E175" ca="1">AVERAGE(IF(INDIRECT(DatCol&amp;"$"&amp;TEXT(C175,"###")):INDIRECT(DatCol&amp;"$"&amp;TEXT(C175+57,"###"))&gt;0,INDIRECT(DatCol&amp;"$"&amp;TEXT(C175,"###")):INDIRECT(DatCol&amp;"$"&amp;TEXT(C175+57,"###"))))</f>
        <v>272.50857142857149</v>
      </c>
      <c r="F175" s="26" t="str">
        <f t="shared" si="173"/>
        <v>C</v>
      </c>
      <c r="AK175" s="13"/>
      <c r="AM175" s="13"/>
      <c r="BN175" s="8"/>
      <c r="BO175" s="8"/>
      <c r="BP175" s="8"/>
      <c r="BQ175" s="12"/>
    </row>
    <row r="176" spans="1:69">
      <c r="A176" s="28">
        <v>1955</v>
      </c>
      <c r="B176" s="27" t="s">
        <v>22</v>
      </c>
      <c r="C176" s="24">
        <f>ROW()</f>
        <v>176</v>
      </c>
      <c r="D176" s="7" t="e">
        <f t="shared" ca="1" si="148"/>
        <v>#N/A</v>
      </c>
      <c r="E176" s="26">
        <f t="array" aca="1" ref="E176" ca="1">AVERAGE(IF(INDIRECT(DatCol&amp;"$"&amp;TEXT(C176,"###")):INDIRECT(DatCol&amp;"$"&amp;TEXT(C176+57,"###"))&gt;0,INDIRECT(DatCol&amp;"$"&amp;TEXT(C176,"###")):INDIRECT(DatCol&amp;"$"&amp;TEXT(C176+57,"###"))))</f>
        <v>1119.8333333333333</v>
      </c>
      <c r="F176" s="26" t="str">
        <f t="shared" si="152"/>
        <v>C</v>
      </c>
      <c r="G176" s="8"/>
      <c r="K176" s="9">
        <f t="shared" si="151"/>
        <v>0</v>
      </c>
      <c r="M176" s="11">
        <f t="shared" ref="M176:M191" si="174">(L176*50)</f>
        <v>0</v>
      </c>
      <c r="O176" s="11">
        <f t="shared" ref="O176:O191" si="175">(N176*50)</f>
        <v>0</v>
      </c>
      <c r="Q176" s="11">
        <f t="shared" ref="Q176:Q191" si="176">((P176*330)/5.5)</f>
        <v>0</v>
      </c>
      <c r="Y176" s="11">
        <f t="shared" ref="Y176:Y191" si="177">((X176*330)/5.5)</f>
        <v>0</v>
      </c>
      <c r="AG176" s="11">
        <f t="shared" ref="AG176:AG191" si="178">(AF176*65)</f>
        <v>0</v>
      </c>
      <c r="AI176" s="11">
        <f t="shared" ref="AI176:AI191" si="179">(AH176*65)</f>
        <v>0</v>
      </c>
      <c r="AK176" s="13">
        <f t="shared" ref="AK176:AK191" si="180">(AJ176*9)</f>
        <v>0</v>
      </c>
      <c r="AM176" s="13">
        <f t="shared" ref="AM176:AM191" si="181">(AL176*9)</f>
        <v>0</v>
      </c>
      <c r="AO176" s="11">
        <f t="shared" ref="AO176:AO191" si="182">(AN176*80)</f>
        <v>0</v>
      </c>
      <c r="AQ176" s="11">
        <f t="shared" ref="AQ176:AQ191" si="183">(AP176*80)</f>
        <v>0</v>
      </c>
      <c r="AS176" s="11">
        <f t="shared" ref="AS176:AS191" si="184">(AR176*50)</f>
        <v>0</v>
      </c>
      <c r="AU176" s="11">
        <f t="shared" ref="AU176:AU191" si="185">(AT176*50)</f>
        <v>0</v>
      </c>
      <c r="AW176" s="11">
        <f t="shared" ref="AW176:AW191" si="186">(AV176*60)</f>
        <v>0</v>
      </c>
      <c r="AY176" s="11">
        <f t="shared" ref="AY176:AY191" si="187">(AX176*60)</f>
        <v>0</v>
      </c>
      <c r="BA176" s="11">
        <f t="shared" ref="BA176:BA191" si="188">(AZ176*40)</f>
        <v>0</v>
      </c>
      <c r="BC176" s="11">
        <f t="shared" ref="BC176:BC191" si="189">(BB176*40)</f>
        <v>0</v>
      </c>
      <c r="BE176" s="11">
        <f t="shared" ref="BE176:BE191" si="190">(BD176*95)</f>
        <v>0</v>
      </c>
      <c r="BG176" s="11">
        <f t="shared" ref="BG176:BG191" si="191">(BF176*95)</f>
        <v>0</v>
      </c>
      <c r="BN176" s="8">
        <f t="shared" si="149"/>
        <v>0</v>
      </c>
      <c r="BO176" s="8">
        <f t="shared" si="150"/>
        <v>0</v>
      </c>
      <c r="BP176" s="8">
        <f t="shared" si="153"/>
        <v>0</v>
      </c>
      <c r="BQ176" s="12">
        <f t="shared" si="154"/>
        <v>0</v>
      </c>
    </row>
    <row r="177" spans="1:69">
      <c r="A177" s="28">
        <v>1956</v>
      </c>
      <c r="B177" s="27" t="s">
        <v>22</v>
      </c>
      <c r="C177" s="24">
        <f t="shared" ref="C177:C233" si="192">C176</f>
        <v>176</v>
      </c>
      <c r="D177" s="7" t="e">
        <f t="shared" ca="1" si="148"/>
        <v>#N/A</v>
      </c>
      <c r="E177" s="26">
        <f t="array" aca="1" ref="E177" ca="1">AVERAGE(IF(INDIRECT(DatCol&amp;"$"&amp;TEXT(C177,"###")):INDIRECT(DatCol&amp;"$"&amp;TEXT(C177+57,"###"))&gt;0,INDIRECT(DatCol&amp;"$"&amp;TEXT(C177,"###")):INDIRECT(DatCol&amp;"$"&amp;TEXT(C177+57,"###"))))</f>
        <v>1119.8333333333333</v>
      </c>
      <c r="F177" s="26" t="str">
        <f t="shared" si="152"/>
        <v>C</v>
      </c>
      <c r="G177" s="8"/>
      <c r="K177" s="9">
        <f t="shared" si="151"/>
        <v>0</v>
      </c>
      <c r="M177" s="11">
        <f t="shared" si="174"/>
        <v>0</v>
      </c>
      <c r="O177" s="11">
        <f t="shared" si="175"/>
        <v>0</v>
      </c>
      <c r="Q177" s="11">
        <f t="shared" si="176"/>
        <v>0</v>
      </c>
      <c r="Y177" s="11">
        <f t="shared" si="177"/>
        <v>0</v>
      </c>
      <c r="AG177" s="11">
        <f t="shared" si="178"/>
        <v>0</v>
      </c>
      <c r="AI177" s="11">
        <f t="shared" si="179"/>
        <v>0</v>
      </c>
      <c r="AK177" s="13">
        <f t="shared" si="180"/>
        <v>0</v>
      </c>
      <c r="AM177" s="13">
        <f t="shared" si="181"/>
        <v>0</v>
      </c>
      <c r="AO177" s="11">
        <f t="shared" si="182"/>
        <v>0</v>
      </c>
      <c r="AQ177" s="11">
        <f t="shared" si="183"/>
        <v>0</v>
      </c>
      <c r="AS177" s="11">
        <f t="shared" si="184"/>
        <v>0</v>
      </c>
      <c r="AU177" s="11">
        <f t="shared" si="185"/>
        <v>0</v>
      </c>
      <c r="AW177" s="11">
        <f t="shared" si="186"/>
        <v>0</v>
      </c>
      <c r="AY177" s="11">
        <f t="shared" si="187"/>
        <v>0</v>
      </c>
      <c r="BA177" s="11">
        <f t="shared" si="188"/>
        <v>0</v>
      </c>
      <c r="BC177" s="11">
        <f t="shared" si="189"/>
        <v>0</v>
      </c>
      <c r="BE177" s="11">
        <f t="shared" si="190"/>
        <v>0</v>
      </c>
      <c r="BG177" s="11">
        <f t="shared" si="191"/>
        <v>0</v>
      </c>
      <c r="BN177" s="8">
        <f t="shared" si="149"/>
        <v>0</v>
      </c>
      <c r="BO177" s="8">
        <f t="shared" si="150"/>
        <v>0</v>
      </c>
      <c r="BP177" s="8">
        <f t="shared" si="153"/>
        <v>0</v>
      </c>
      <c r="BQ177" s="12">
        <f t="shared" si="154"/>
        <v>0</v>
      </c>
    </row>
    <row r="178" spans="1:69">
      <c r="A178" s="28">
        <v>1957</v>
      </c>
      <c r="B178" s="27" t="s">
        <v>22</v>
      </c>
      <c r="C178" s="24">
        <f t="shared" si="192"/>
        <v>176</v>
      </c>
      <c r="D178" s="7" t="e">
        <f t="shared" ca="1" si="148"/>
        <v>#N/A</v>
      </c>
      <c r="E178" s="26">
        <f t="array" aca="1" ref="E178" ca="1">AVERAGE(IF(INDIRECT(DatCol&amp;"$"&amp;TEXT(C178,"###")):INDIRECT(DatCol&amp;"$"&amp;TEXT(C178+57,"###"))&gt;0,INDIRECT(DatCol&amp;"$"&amp;TEXT(C178,"###")):INDIRECT(DatCol&amp;"$"&amp;TEXT(C178+57,"###"))))</f>
        <v>1119.8333333333333</v>
      </c>
      <c r="F178" s="26" t="str">
        <f t="shared" si="152"/>
        <v>C</v>
      </c>
      <c r="G178" s="8"/>
      <c r="K178" s="9">
        <f t="shared" si="151"/>
        <v>0</v>
      </c>
      <c r="M178" s="11">
        <f t="shared" si="174"/>
        <v>0</v>
      </c>
      <c r="O178" s="11">
        <f t="shared" si="175"/>
        <v>0</v>
      </c>
      <c r="Q178" s="11">
        <f t="shared" si="176"/>
        <v>0</v>
      </c>
      <c r="Y178" s="11">
        <f t="shared" si="177"/>
        <v>0</v>
      </c>
      <c r="AG178" s="11">
        <f t="shared" si="178"/>
        <v>0</v>
      </c>
      <c r="AI178" s="11">
        <f t="shared" si="179"/>
        <v>0</v>
      </c>
      <c r="AK178" s="13">
        <f t="shared" si="180"/>
        <v>0</v>
      </c>
      <c r="AM178" s="13">
        <f t="shared" si="181"/>
        <v>0</v>
      </c>
      <c r="AO178" s="11">
        <f t="shared" si="182"/>
        <v>0</v>
      </c>
      <c r="AQ178" s="11">
        <f t="shared" si="183"/>
        <v>0</v>
      </c>
      <c r="AS178" s="11">
        <f t="shared" si="184"/>
        <v>0</v>
      </c>
      <c r="AU178" s="11">
        <f t="shared" si="185"/>
        <v>0</v>
      </c>
      <c r="AW178" s="11">
        <f t="shared" si="186"/>
        <v>0</v>
      </c>
      <c r="AY178" s="11">
        <f t="shared" si="187"/>
        <v>0</v>
      </c>
      <c r="BA178" s="11">
        <f t="shared" si="188"/>
        <v>0</v>
      </c>
      <c r="BC178" s="11">
        <f t="shared" si="189"/>
        <v>0</v>
      </c>
      <c r="BE178" s="11">
        <f t="shared" si="190"/>
        <v>0</v>
      </c>
      <c r="BG178" s="11">
        <f t="shared" si="191"/>
        <v>0</v>
      </c>
      <c r="BN178" s="8">
        <f t="shared" si="149"/>
        <v>0</v>
      </c>
      <c r="BO178" s="8">
        <f t="shared" si="150"/>
        <v>0</v>
      </c>
      <c r="BP178" s="8">
        <f t="shared" si="153"/>
        <v>0</v>
      </c>
      <c r="BQ178" s="12">
        <f t="shared" si="154"/>
        <v>0</v>
      </c>
    </row>
    <row r="179" spans="1:69">
      <c r="A179" s="28">
        <v>1958</v>
      </c>
      <c r="B179" s="27" t="s">
        <v>22</v>
      </c>
      <c r="C179" s="24">
        <f t="shared" si="192"/>
        <v>176</v>
      </c>
      <c r="D179" s="7" t="e">
        <f t="shared" ca="1" si="148"/>
        <v>#N/A</v>
      </c>
      <c r="E179" s="26">
        <f t="array" aca="1" ref="E179" ca="1">AVERAGE(IF(INDIRECT(DatCol&amp;"$"&amp;TEXT(C179,"###")):INDIRECT(DatCol&amp;"$"&amp;TEXT(C179+57,"###"))&gt;0,INDIRECT(DatCol&amp;"$"&amp;TEXT(C179,"###")):INDIRECT(DatCol&amp;"$"&amp;TEXT(C179+57,"###"))))</f>
        <v>1119.8333333333333</v>
      </c>
      <c r="F179" s="26" t="str">
        <f t="shared" si="152"/>
        <v>C</v>
      </c>
      <c r="G179" s="8"/>
      <c r="K179" s="9">
        <f t="shared" si="151"/>
        <v>0</v>
      </c>
      <c r="M179" s="11">
        <f t="shared" si="174"/>
        <v>0</v>
      </c>
      <c r="O179" s="11">
        <f t="shared" si="175"/>
        <v>0</v>
      </c>
      <c r="Q179" s="11">
        <f t="shared" si="176"/>
        <v>0</v>
      </c>
      <c r="Y179" s="11">
        <f t="shared" si="177"/>
        <v>0</v>
      </c>
      <c r="AG179" s="11">
        <f t="shared" si="178"/>
        <v>0</v>
      </c>
      <c r="AI179" s="11">
        <f t="shared" si="179"/>
        <v>0</v>
      </c>
      <c r="AK179" s="13">
        <f t="shared" si="180"/>
        <v>0</v>
      </c>
      <c r="AM179" s="13">
        <f t="shared" si="181"/>
        <v>0</v>
      </c>
      <c r="AO179" s="11">
        <f t="shared" si="182"/>
        <v>0</v>
      </c>
      <c r="AQ179" s="11">
        <f t="shared" si="183"/>
        <v>0</v>
      </c>
      <c r="AS179" s="11">
        <f t="shared" si="184"/>
        <v>0</v>
      </c>
      <c r="AU179" s="11">
        <f t="shared" si="185"/>
        <v>0</v>
      </c>
      <c r="AW179" s="11">
        <f t="shared" si="186"/>
        <v>0</v>
      </c>
      <c r="AY179" s="11">
        <f t="shared" si="187"/>
        <v>0</v>
      </c>
      <c r="BA179" s="11">
        <f t="shared" si="188"/>
        <v>0</v>
      </c>
      <c r="BC179" s="11">
        <f t="shared" si="189"/>
        <v>0</v>
      </c>
      <c r="BE179" s="11">
        <f t="shared" si="190"/>
        <v>0</v>
      </c>
      <c r="BG179" s="11">
        <f t="shared" si="191"/>
        <v>0</v>
      </c>
      <c r="BN179" s="8">
        <f t="shared" si="149"/>
        <v>0</v>
      </c>
      <c r="BO179" s="8">
        <f t="shared" si="150"/>
        <v>0</v>
      </c>
      <c r="BP179" s="8">
        <f t="shared" si="153"/>
        <v>0</v>
      </c>
      <c r="BQ179" s="12">
        <f t="shared" si="154"/>
        <v>0</v>
      </c>
    </row>
    <row r="180" spans="1:69">
      <c r="A180" s="28">
        <v>1959</v>
      </c>
      <c r="B180" s="27" t="s">
        <v>22</v>
      </c>
      <c r="C180" s="24">
        <f t="shared" si="192"/>
        <v>176</v>
      </c>
      <c r="D180" s="7" t="e">
        <f t="shared" ca="1" si="148"/>
        <v>#N/A</v>
      </c>
      <c r="E180" s="26">
        <f t="array" aca="1" ref="E180" ca="1">AVERAGE(IF(INDIRECT(DatCol&amp;"$"&amp;TEXT(C180,"###")):INDIRECT(DatCol&amp;"$"&amp;TEXT(C180+57,"###"))&gt;0,INDIRECT(DatCol&amp;"$"&amp;TEXT(C180,"###")):INDIRECT(DatCol&amp;"$"&amp;TEXT(C180+57,"###"))))</f>
        <v>1119.8333333333333</v>
      </c>
      <c r="F180" s="26" t="str">
        <f t="shared" si="152"/>
        <v>C</v>
      </c>
      <c r="G180" s="8"/>
      <c r="K180" s="9">
        <f t="shared" si="151"/>
        <v>0</v>
      </c>
      <c r="M180" s="11">
        <f t="shared" si="174"/>
        <v>0</v>
      </c>
      <c r="O180" s="11">
        <f t="shared" si="175"/>
        <v>0</v>
      </c>
      <c r="Q180" s="11">
        <f t="shared" si="176"/>
        <v>0</v>
      </c>
      <c r="Y180" s="11">
        <f t="shared" si="177"/>
        <v>0</v>
      </c>
      <c r="AG180" s="11">
        <f t="shared" si="178"/>
        <v>0</v>
      </c>
      <c r="AI180" s="11">
        <f t="shared" si="179"/>
        <v>0</v>
      </c>
      <c r="AK180" s="13">
        <f t="shared" si="180"/>
        <v>0</v>
      </c>
      <c r="AM180" s="13">
        <f t="shared" si="181"/>
        <v>0</v>
      </c>
      <c r="AO180" s="11">
        <f t="shared" si="182"/>
        <v>0</v>
      </c>
      <c r="AQ180" s="11">
        <f t="shared" si="183"/>
        <v>0</v>
      </c>
      <c r="AS180" s="11">
        <f t="shared" si="184"/>
        <v>0</v>
      </c>
      <c r="AU180" s="11">
        <f t="shared" si="185"/>
        <v>0</v>
      </c>
      <c r="AW180" s="11">
        <f t="shared" si="186"/>
        <v>0</v>
      </c>
      <c r="AY180" s="11">
        <f t="shared" si="187"/>
        <v>0</v>
      </c>
      <c r="BA180" s="11">
        <f t="shared" si="188"/>
        <v>0</v>
      </c>
      <c r="BC180" s="11">
        <f t="shared" si="189"/>
        <v>0</v>
      </c>
      <c r="BE180" s="11">
        <f t="shared" si="190"/>
        <v>0</v>
      </c>
      <c r="BG180" s="11">
        <f t="shared" si="191"/>
        <v>0</v>
      </c>
      <c r="BN180" s="8">
        <f t="shared" si="149"/>
        <v>0</v>
      </c>
      <c r="BO180" s="8">
        <f t="shared" si="150"/>
        <v>0</v>
      </c>
      <c r="BP180" s="8">
        <f t="shared" si="153"/>
        <v>0</v>
      </c>
      <c r="BQ180" s="12">
        <f t="shared" si="154"/>
        <v>0</v>
      </c>
    </row>
    <row r="181" spans="1:69">
      <c r="A181" s="28">
        <v>1960</v>
      </c>
      <c r="B181" s="27" t="s">
        <v>22</v>
      </c>
      <c r="C181" s="24">
        <f t="shared" si="192"/>
        <v>176</v>
      </c>
      <c r="D181" s="7" t="e">
        <f t="shared" ca="1" si="148"/>
        <v>#N/A</v>
      </c>
      <c r="E181" s="26">
        <f t="array" aca="1" ref="E181" ca="1">AVERAGE(IF(INDIRECT(DatCol&amp;"$"&amp;TEXT(C181,"###")):INDIRECT(DatCol&amp;"$"&amp;TEXT(C181+57,"###"))&gt;0,INDIRECT(DatCol&amp;"$"&amp;TEXT(C181,"###")):INDIRECT(DatCol&amp;"$"&amp;TEXT(C181+57,"###"))))</f>
        <v>1119.8333333333333</v>
      </c>
      <c r="F181" s="26" t="str">
        <f t="shared" si="152"/>
        <v>C</v>
      </c>
      <c r="G181" s="8"/>
      <c r="I181" s="8">
        <v>371</v>
      </c>
      <c r="J181" s="8">
        <v>995</v>
      </c>
      <c r="K181" s="9">
        <f t="shared" si="151"/>
        <v>995</v>
      </c>
      <c r="M181" s="11">
        <f t="shared" si="174"/>
        <v>0</v>
      </c>
      <c r="O181" s="11">
        <f t="shared" si="175"/>
        <v>0</v>
      </c>
      <c r="Q181" s="11">
        <f t="shared" si="176"/>
        <v>0</v>
      </c>
      <c r="Y181" s="11">
        <f t="shared" si="177"/>
        <v>0</v>
      </c>
      <c r="AG181" s="11">
        <f t="shared" si="178"/>
        <v>0</v>
      </c>
      <c r="AI181" s="11">
        <f t="shared" si="179"/>
        <v>0</v>
      </c>
      <c r="AJ181" s="12">
        <v>25000</v>
      </c>
      <c r="AK181" s="13">
        <f t="shared" si="180"/>
        <v>225000</v>
      </c>
      <c r="AM181" s="13">
        <f t="shared" si="181"/>
        <v>0</v>
      </c>
      <c r="AO181" s="11">
        <f t="shared" si="182"/>
        <v>0</v>
      </c>
      <c r="AQ181" s="11">
        <f t="shared" si="183"/>
        <v>0</v>
      </c>
      <c r="AS181" s="11">
        <f t="shared" si="184"/>
        <v>0</v>
      </c>
      <c r="AU181" s="11">
        <f t="shared" si="185"/>
        <v>0</v>
      </c>
      <c r="AW181" s="11">
        <f t="shared" si="186"/>
        <v>0</v>
      </c>
      <c r="AY181" s="11">
        <f t="shared" si="187"/>
        <v>0</v>
      </c>
      <c r="BA181" s="11">
        <f t="shared" si="188"/>
        <v>0</v>
      </c>
      <c r="BC181" s="11">
        <f t="shared" si="189"/>
        <v>0</v>
      </c>
      <c r="BE181" s="11">
        <f t="shared" si="190"/>
        <v>0</v>
      </c>
      <c r="BG181" s="11">
        <f t="shared" si="191"/>
        <v>0</v>
      </c>
      <c r="BN181" s="8">
        <f t="shared" si="149"/>
        <v>25000</v>
      </c>
      <c r="BO181" s="8">
        <f t="shared" si="150"/>
        <v>225000</v>
      </c>
      <c r="BP181" s="8">
        <f t="shared" si="153"/>
        <v>0</v>
      </c>
      <c r="BQ181" s="12">
        <f t="shared" si="154"/>
        <v>0</v>
      </c>
    </row>
    <row r="182" spans="1:69">
      <c r="A182" s="28">
        <v>1961</v>
      </c>
      <c r="B182" s="27" t="s">
        <v>22</v>
      </c>
      <c r="C182" s="24">
        <f t="shared" si="192"/>
        <v>176</v>
      </c>
      <c r="D182" s="7" t="e">
        <f t="shared" ca="1" si="148"/>
        <v>#N/A</v>
      </c>
      <c r="E182" s="26">
        <f t="array" aca="1" ref="E182" ca="1">AVERAGE(IF(INDIRECT(DatCol&amp;"$"&amp;TEXT(C182,"###")):INDIRECT(DatCol&amp;"$"&amp;TEXT(C182+57,"###"))&gt;0,INDIRECT(DatCol&amp;"$"&amp;TEXT(C182,"###")):INDIRECT(DatCol&amp;"$"&amp;TEXT(C182+57,"###"))))</f>
        <v>1119.8333333333333</v>
      </c>
      <c r="F182" s="26" t="str">
        <f t="shared" si="152"/>
        <v>C</v>
      </c>
      <c r="G182" s="8"/>
      <c r="K182" s="9">
        <f t="shared" si="151"/>
        <v>0</v>
      </c>
      <c r="M182" s="11">
        <f t="shared" si="174"/>
        <v>0</v>
      </c>
      <c r="O182" s="11">
        <f t="shared" si="175"/>
        <v>0</v>
      </c>
      <c r="Q182" s="11">
        <f t="shared" si="176"/>
        <v>0</v>
      </c>
      <c r="Y182" s="11">
        <f t="shared" si="177"/>
        <v>0</v>
      </c>
      <c r="AG182" s="11">
        <f t="shared" si="178"/>
        <v>0</v>
      </c>
      <c r="AI182" s="11">
        <f t="shared" si="179"/>
        <v>0</v>
      </c>
      <c r="AK182" s="13">
        <f t="shared" si="180"/>
        <v>0</v>
      </c>
      <c r="AM182" s="13">
        <f t="shared" si="181"/>
        <v>0</v>
      </c>
      <c r="AO182" s="11">
        <f t="shared" si="182"/>
        <v>0</v>
      </c>
      <c r="AQ182" s="11">
        <f t="shared" si="183"/>
        <v>0</v>
      </c>
      <c r="AS182" s="11">
        <f t="shared" si="184"/>
        <v>0</v>
      </c>
      <c r="AU182" s="11">
        <f t="shared" si="185"/>
        <v>0</v>
      </c>
      <c r="AW182" s="11">
        <f t="shared" si="186"/>
        <v>0</v>
      </c>
      <c r="AY182" s="11">
        <f t="shared" si="187"/>
        <v>0</v>
      </c>
      <c r="BA182" s="11">
        <f t="shared" si="188"/>
        <v>0</v>
      </c>
      <c r="BC182" s="11">
        <f t="shared" si="189"/>
        <v>0</v>
      </c>
      <c r="BE182" s="11">
        <f t="shared" si="190"/>
        <v>0</v>
      </c>
      <c r="BG182" s="11">
        <f t="shared" si="191"/>
        <v>0</v>
      </c>
      <c r="BN182" s="8">
        <f t="shared" si="149"/>
        <v>0</v>
      </c>
      <c r="BO182" s="8">
        <f t="shared" si="150"/>
        <v>0</v>
      </c>
      <c r="BP182" s="8">
        <f t="shared" si="153"/>
        <v>0</v>
      </c>
      <c r="BQ182" s="12">
        <f t="shared" si="154"/>
        <v>0</v>
      </c>
    </row>
    <row r="183" spans="1:69">
      <c r="A183" s="28">
        <v>1962</v>
      </c>
      <c r="B183" s="27" t="s">
        <v>22</v>
      </c>
      <c r="C183" s="24">
        <f t="shared" si="192"/>
        <v>176</v>
      </c>
      <c r="D183" s="7" t="e">
        <f t="shared" ca="1" si="148"/>
        <v>#N/A</v>
      </c>
      <c r="E183" s="26">
        <f t="array" aca="1" ref="E183" ca="1">AVERAGE(IF(INDIRECT(DatCol&amp;"$"&amp;TEXT(C183,"###")):INDIRECT(DatCol&amp;"$"&amp;TEXT(C183+57,"###"))&gt;0,INDIRECT(DatCol&amp;"$"&amp;TEXT(C183,"###")):INDIRECT(DatCol&amp;"$"&amp;TEXT(C183+57,"###"))))</f>
        <v>1119.8333333333333</v>
      </c>
      <c r="F183" s="26" t="str">
        <f t="shared" si="152"/>
        <v>C</v>
      </c>
      <c r="G183" s="8"/>
      <c r="I183" s="8">
        <v>272</v>
      </c>
      <c r="J183" s="8">
        <v>930</v>
      </c>
      <c r="K183" s="9">
        <f t="shared" si="151"/>
        <v>930</v>
      </c>
      <c r="M183" s="11">
        <f t="shared" si="174"/>
        <v>0</v>
      </c>
      <c r="O183" s="11">
        <f t="shared" si="175"/>
        <v>0</v>
      </c>
      <c r="Q183" s="11">
        <f t="shared" si="176"/>
        <v>0</v>
      </c>
      <c r="Y183" s="11">
        <f t="shared" si="177"/>
        <v>0</v>
      </c>
      <c r="AG183" s="11">
        <f t="shared" si="178"/>
        <v>0</v>
      </c>
      <c r="AI183" s="11">
        <f t="shared" si="179"/>
        <v>0</v>
      </c>
      <c r="AJ183" s="12">
        <v>40000</v>
      </c>
      <c r="AK183" s="13">
        <f t="shared" si="180"/>
        <v>360000</v>
      </c>
      <c r="AM183" s="13">
        <f t="shared" si="181"/>
        <v>0</v>
      </c>
      <c r="AO183" s="11">
        <f t="shared" si="182"/>
        <v>0</v>
      </c>
      <c r="AQ183" s="11">
        <f t="shared" si="183"/>
        <v>0</v>
      </c>
      <c r="AS183" s="11">
        <f t="shared" si="184"/>
        <v>0</v>
      </c>
      <c r="AU183" s="11">
        <f t="shared" si="185"/>
        <v>0</v>
      </c>
      <c r="AW183" s="11">
        <f t="shared" si="186"/>
        <v>0</v>
      </c>
      <c r="AY183" s="11">
        <f t="shared" si="187"/>
        <v>0</v>
      </c>
      <c r="BA183" s="11">
        <f t="shared" si="188"/>
        <v>0</v>
      </c>
      <c r="BC183" s="11">
        <f t="shared" si="189"/>
        <v>0</v>
      </c>
      <c r="BE183" s="11">
        <f t="shared" si="190"/>
        <v>0</v>
      </c>
      <c r="BG183" s="11">
        <f t="shared" si="191"/>
        <v>0</v>
      </c>
      <c r="BN183" s="8">
        <f t="shared" si="149"/>
        <v>40000</v>
      </c>
      <c r="BO183" s="8">
        <f t="shared" si="150"/>
        <v>360000</v>
      </c>
      <c r="BP183" s="8">
        <f t="shared" si="153"/>
        <v>0</v>
      </c>
      <c r="BQ183" s="12">
        <f t="shared" si="154"/>
        <v>0</v>
      </c>
    </row>
    <row r="184" spans="1:69">
      <c r="A184" s="28">
        <v>1963</v>
      </c>
      <c r="B184" s="27" t="s">
        <v>22</v>
      </c>
      <c r="C184" s="24">
        <f t="shared" si="192"/>
        <v>176</v>
      </c>
      <c r="D184" s="7" t="e">
        <f t="shared" ca="1" si="148"/>
        <v>#N/A</v>
      </c>
      <c r="E184" s="26">
        <f t="array" aca="1" ref="E184" ca="1">AVERAGE(IF(INDIRECT(DatCol&amp;"$"&amp;TEXT(C184,"###")):INDIRECT(DatCol&amp;"$"&amp;TEXT(C184+57,"###"))&gt;0,INDIRECT(DatCol&amp;"$"&amp;TEXT(C184,"###")):INDIRECT(DatCol&amp;"$"&amp;TEXT(C184+57,"###"))))</f>
        <v>1119.8333333333333</v>
      </c>
      <c r="F184" s="26" t="str">
        <f t="shared" si="152"/>
        <v>C</v>
      </c>
      <c r="G184" s="8"/>
      <c r="H184" s="8">
        <v>0</v>
      </c>
      <c r="I184" s="8">
        <v>201</v>
      </c>
      <c r="J184" s="8">
        <v>937</v>
      </c>
      <c r="K184" s="9">
        <f t="shared" si="151"/>
        <v>937</v>
      </c>
      <c r="L184" s="12">
        <v>500</v>
      </c>
      <c r="M184" s="11">
        <f t="shared" si="174"/>
        <v>25000</v>
      </c>
      <c r="N184" s="12">
        <v>500</v>
      </c>
      <c r="O184" s="11">
        <f t="shared" si="175"/>
        <v>25000</v>
      </c>
      <c r="P184" s="12">
        <v>12200</v>
      </c>
      <c r="Q184" s="11">
        <f t="shared" si="176"/>
        <v>732000</v>
      </c>
      <c r="X184" s="12">
        <v>1000</v>
      </c>
      <c r="Y184" s="11">
        <f t="shared" si="177"/>
        <v>60000</v>
      </c>
      <c r="AG184" s="11">
        <f t="shared" si="178"/>
        <v>0</v>
      </c>
      <c r="AI184" s="11">
        <f t="shared" si="179"/>
        <v>0</v>
      </c>
      <c r="AJ184" s="12">
        <v>2500</v>
      </c>
      <c r="AK184" s="13">
        <f t="shared" si="180"/>
        <v>22500</v>
      </c>
      <c r="AL184" s="12">
        <v>300</v>
      </c>
      <c r="AM184" s="13">
        <f t="shared" si="181"/>
        <v>2700</v>
      </c>
      <c r="AO184" s="11">
        <f t="shared" si="182"/>
        <v>0</v>
      </c>
      <c r="AQ184" s="11">
        <f t="shared" si="183"/>
        <v>0</v>
      </c>
      <c r="AS184" s="11">
        <f t="shared" si="184"/>
        <v>0</v>
      </c>
      <c r="AU184" s="11">
        <f t="shared" si="185"/>
        <v>0</v>
      </c>
      <c r="AW184" s="11">
        <f t="shared" si="186"/>
        <v>0</v>
      </c>
      <c r="AY184" s="11">
        <f t="shared" si="187"/>
        <v>0</v>
      </c>
      <c r="BA184" s="11">
        <f t="shared" si="188"/>
        <v>0</v>
      </c>
      <c r="BC184" s="11">
        <f t="shared" si="189"/>
        <v>0</v>
      </c>
      <c r="BE184" s="11">
        <f t="shared" si="190"/>
        <v>0</v>
      </c>
      <c r="BG184" s="11">
        <f t="shared" si="191"/>
        <v>0</v>
      </c>
      <c r="BN184" s="8">
        <f t="shared" si="149"/>
        <v>16200</v>
      </c>
      <c r="BO184" s="8">
        <f t="shared" si="150"/>
        <v>839500</v>
      </c>
      <c r="BP184" s="8">
        <f t="shared" si="153"/>
        <v>1800</v>
      </c>
      <c r="BQ184" s="12">
        <f t="shared" si="154"/>
        <v>87700</v>
      </c>
    </row>
    <row r="185" spans="1:69">
      <c r="A185" s="28">
        <v>1964</v>
      </c>
      <c r="B185" s="27" t="s">
        <v>22</v>
      </c>
      <c r="C185" s="24">
        <f t="shared" si="192"/>
        <v>176</v>
      </c>
      <c r="D185" s="7" t="e">
        <f t="shared" ca="1" si="148"/>
        <v>#N/A</v>
      </c>
      <c r="E185" s="26">
        <f t="array" aca="1" ref="E185" ca="1">AVERAGE(IF(INDIRECT(DatCol&amp;"$"&amp;TEXT(C185,"###")):INDIRECT(DatCol&amp;"$"&amp;TEXT(C185+57,"###"))&gt;0,INDIRECT(DatCol&amp;"$"&amp;TEXT(C185,"###")):INDIRECT(DatCol&amp;"$"&amp;TEXT(C185+57,"###"))))</f>
        <v>1119.8333333333333</v>
      </c>
      <c r="F185" s="26" t="str">
        <f t="shared" si="152"/>
        <v>C</v>
      </c>
      <c r="G185" s="8"/>
      <c r="H185" s="8">
        <v>0</v>
      </c>
      <c r="I185" s="8">
        <v>236</v>
      </c>
      <c r="J185" s="8">
        <v>963</v>
      </c>
      <c r="K185" s="9">
        <f t="shared" si="151"/>
        <v>963</v>
      </c>
      <c r="L185" s="12">
        <v>250</v>
      </c>
      <c r="M185" s="11">
        <f t="shared" si="174"/>
        <v>12500</v>
      </c>
      <c r="O185" s="11">
        <f t="shared" si="175"/>
        <v>0</v>
      </c>
      <c r="P185" s="12">
        <v>17962</v>
      </c>
      <c r="Q185" s="11">
        <f t="shared" si="176"/>
        <v>1077720</v>
      </c>
      <c r="Y185" s="11">
        <f t="shared" si="177"/>
        <v>0</v>
      </c>
      <c r="AG185" s="11">
        <f t="shared" si="178"/>
        <v>0</v>
      </c>
      <c r="AI185" s="11">
        <f t="shared" si="179"/>
        <v>0</v>
      </c>
      <c r="AJ185" s="12">
        <v>4000</v>
      </c>
      <c r="AK185" s="13">
        <f t="shared" si="180"/>
        <v>36000</v>
      </c>
      <c r="AM185" s="13">
        <f t="shared" si="181"/>
        <v>0</v>
      </c>
      <c r="AO185" s="11">
        <f t="shared" si="182"/>
        <v>0</v>
      </c>
      <c r="AQ185" s="11">
        <f t="shared" si="183"/>
        <v>0</v>
      </c>
      <c r="AS185" s="11">
        <f t="shared" si="184"/>
        <v>0</v>
      </c>
      <c r="AU185" s="11">
        <f t="shared" si="185"/>
        <v>0</v>
      </c>
      <c r="AW185" s="11">
        <f t="shared" si="186"/>
        <v>0</v>
      </c>
      <c r="AY185" s="11">
        <f t="shared" si="187"/>
        <v>0</v>
      </c>
      <c r="BA185" s="11">
        <f t="shared" si="188"/>
        <v>0</v>
      </c>
      <c r="BC185" s="11">
        <f t="shared" si="189"/>
        <v>0</v>
      </c>
      <c r="BE185" s="11">
        <f t="shared" si="190"/>
        <v>0</v>
      </c>
      <c r="BG185" s="11">
        <f t="shared" si="191"/>
        <v>0</v>
      </c>
      <c r="BN185" s="8">
        <f t="shared" si="149"/>
        <v>22212</v>
      </c>
      <c r="BO185" s="8">
        <f t="shared" si="150"/>
        <v>1126220</v>
      </c>
      <c r="BP185" s="8">
        <f t="shared" si="153"/>
        <v>0</v>
      </c>
      <c r="BQ185" s="12">
        <f t="shared" si="154"/>
        <v>0</v>
      </c>
    </row>
    <row r="186" spans="1:69">
      <c r="A186" s="28">
        <v>1965</v>
      </c>
      <c r="B186" s="27" t="s">
        <v>22</v>
      </c>
      <c r="C186" s="24">
        <f t="shared" si="192"/>
        <v>176</v>
      </c>
      <c r="D186" s="7" t="e">
        <f t="shared" ca="1" si="148"/>
        <v>#N/A</v>
      </c>
      <c r="E186" s="26">
        <f t="array" aca="1" ref="E186" ca="1">AVERAGE(IF(INDIRECT(DatCol&amp;"$"&amp;TEXT(C186,"###")):INDIRECT(DatCol&amp;"$"&amp;TEXT(C186+57,"###"))&gt;0,INDIRECT(DatCol&amp;"$"&amp;TEXT(C186,"###")):INDIRECT(DatCol&amp;"$"&amp;TEXT(C186+57,"###"))))</f>
        <v>1119.8333333333333</v>
      </c>
      <c r="F186" s="26" t="str">
        <f t="shared" si="152"/>
        <v>C</v>
      </c>
      <c r="G186" s="8"/>
      <c r="H186" s="8">
        <v>0</v>
      </c>
      <c r="K186" s="9">
        <f t="shared" si="151"/>
        <v>0</v>
      </c>
      <c r="M186" s="11">
        <f t="shared" si="174"/>
        <v>0</v>
      </c>
      <c r="O186" s="11">
        <f t="shared" si="175"/>
        <v>0</v>
      </c>
      <c r="Q186" s="11">
        <f t="shared" si="176"/>
        <v>0</v>
      </c>
      <c r="Y186" s="11">
        <f t="shared" si="177"/>
        <v>0</v>
      </c>
      <c r="AG186" s="11">
        <f t="shared" si="178"/>
        <v>0</v>
      </c>
      <c r="AI186" s="11">
        <f t="shared" si="179"/>
        <v>0</v>
      </c>
      <c r="AJ186" s="12">
        <v>10000</v>
      </c>
      <c r="AK186" s="13">
        <f t="shared" si="180"/>
        <v>90000</v>
      </c>
      <c r="AM186" s="13">
        <f t="shared" si="181"/>
        <v>0</v>
      </c>
      <c r="AO186" s="11">
        <f t="shared" si="182"/>
        <v>0</v>
      </c>
      <c r="AQ186" s="11">
        <f t="shared" si="183"/>
        <v>0</v>
      </c>
      <c r="AS186" s="11">
        <f t="shared" si="184"/>
        <v>0</v>
      </c>
      <c r="AU186" s="11">
        <f t="shared" si="185"/>
        <v>0</v>
      </c>
      <c r="AW186" s="11">
        <f t="shared" si="186"/>
        <v>0</v>
      </c>
      <c r="AY186" s="11">
        <f t="shared" si="187"/>
        <v>0</v>
      </c>
      <c r="BA186" s="11">
        <f t="shared" si="188"/>
        <v>0</v>
      </c>
      <c r="BC186" s="11">
        <f t="shared" si="189"/>
        <v>0</v>
      </c>
      <c r="BE186" s="11">
        <f t="shared" si="190"/>
        <v>0</v>
      </c>
      <c r="BG186" s="11">
        <f t="shared" si="191"/>
        <v>0</v>
      </c>
      <c r="BN186" s="8">
        <f t="shared" si="149"/>
        <v>10000</v>
      </c>
      <c r="BO186" s="8">
        <f t="shared" si="150"/>
        <v>90000</v>
      </c>
      <c r="BP186" s="8">
        <f t="shared" si="153"/>
        <v>0</v>
      </c>
      <c r="BQ186" s="12">
        <f t="shared" si="154"/>
        <v>0</v>
      </c>
    </row>
    <row r="187" spans="1:69">
      <c r="A187" s="28">
        <v>1966</v>
      </c>
      <c r="B187" s="27" t="s">
        <v>22</v>
      </c>
      <c r="C187" s="24">
        <f t="shared" si="192"/>
        <v>176</v>
      </c>
      <c r="D187" s="7" t="e">
        <f t="shared" ca="1" si="148"/>
        <v>#N/A</v>
      </c>
      <c r="E187" s="26">
        <f t="array" aca="1" ref="E187" ca="1">AVERAGE(IF(INDIRECT(DatCol&amp;"$"&amp;TEXT(C187,"###")):INDIRECT(DatCol&amp;"$"&amp;TEXT(C187+57,"###"))&gt;0,INDIRECT(DatCol&amp;"$"&amp;TEXT(C187,"###")):INDIRECT(DatCol&amp;"$"&amp;TEXT(C187+57,"###"))))</f>
        <v>1119.8333333333333</v>
      </c>
      <c r="F187" s="26" t="str">
        <f t="shared" si="152"/>
        <v>C</v>
      </c>
      <c r="G187" s="8"/>
      <c r="H187" s="8">
        <v>410</v>
      </c>
      <c r="I187" s="8">
        <v>387</v>
      </c>
      <c r="J187" s="8">
        <v>1200</v>
      </c>
      <c r="K187" s="9">
        <f t="shared" si="151"/>
        <v>1610</v>
      </c>
      <c r="L187" s="12">
        <v>500</v>
      </c>
      <c r="M187" s="11">
        <f t="shared" si="174"/>
        <v>25000</v>
      </c>
      <c r="N187" s="12">
        <v>1000</v>
      </c>
      <c r="O187" s="11">
        <f t="shared" si="175"/>
        <v>50000</v>
      </c>
      <c r="P187" s="12">
        <v>11000</v>
      </c>
      <c r="Q187" s="11">
        <f t="shared" si="176"/>
        <v>660000</v>
      </c>
      <c r="X187" s="12">
        <v>700</v>
      </c>
      <c r="Y187" s="11">
        <f t="shared" si="177"/>
        <v>42000</v>
      </c>
      <c r="AG187" s="11">
        <f t="shared" si="178"/>
        <v>0</v>
      </c>
      <c r="AI187" s="11">
        <f t="shared" si="179"/>
        <v>0</v>
      </c>
      <c r="AJ187" s="12">
        <v>35857</v>
      </c>
      <c r="AK187" s="13">
        <f t="shared" si="180"/>
        <v>322713</v>
      </c>
      <c r="AL187" s="12">
        <v>8000</v>
      </c>
      <c r="AM187" s="13">
        <f t="shared" si="181"/>
        <v>72000</v>
      </c>
      <c r="AO187" s="11">
        <f t="shared" si="182"/>
        <v>0</v>
      </c>
      <c r="AQ187" s="11">
        <f t="shared" si="183"/>
        <v>0</v>
      </c>
      <c r="AR187" s="12">
        <v>500</v>
      </c>
      <c r="AS187" s="11">
        <f t="shared" si="184"/>
        <v>25000</v>
      </c>
      <c r="AU187" s="11">
        <f t="shared" si="185"/>
        <v>0</v>
      </c>
      <c r="AV187" s="12">
        <v>1000</v>
      </c>
      <c r="AW187" s="11">
        <f t="shared" si="186"/>
        <v>60000</v>
      </c>
      <c r="AY187" s="11">
        <f t="shared" si="187"/>
        <v>0</v>
      </c>
      <c r="BA187" s="11">
        <f t="shared" si="188"/>
        <v>0</v>
      </c>
      <c r="BC187" s="11">
        <f t="shared" si="189"/>
        <v>0</v>
      </c>
      <c r="BE187" s="11">
        <f t="shared" si="190"/>
        <v>0</v>
      </c>
      <c r="BG187" s="11">
        <f t="shared" si="191"/>
        <v>0</v>
      </c>
      <c r="BN187" s="8">
        <f t="shared" si="149"/>
        <v>49557</v>
      </c>
      <c r="BO187" s="8">
        <f t="shared" si="150"/>
        <v>1134713</v>
      </c>
      <c r="BP187" s="8">
        <f t="shared" si="153"/>
        <v>9700</v>
      </c>
      <c r="BQ187" s="12">
        <f t="shared" si="154"/>
        <v>164000</v>
      </c>
    </row>
    <row r="188" spans="1:69">
      <c r="A188" s="28">
        <v>1967</v>
      </c>
      <c r="B188" s="27" t="s">
        <v>22</v>
      </c>
      <c r="C188" s="24">
        <f t="shared" si="192"/>
        <v>176</v>
      </c>
      <c r="D188" s="7" t="e">
        <f t="shared" ca="1" si="148"/>
        <v>#N/A</v>
      </c>
      <c r="E188" s="26">
        <f t="array" aca="1" ref="E188" ca="1">AVERAGE(IF(INDIRECT(DatCol&amp;"$"&amp;TEXT(C188,"###")):INDIRECT(DatCol&amp;"$"&amp;TEXT(C188+57,"###"))&gt;0,INDIRECT(DatCol&amp;"$"&amp;TEXT(C188,"###")):INDIRECT(DatCol&amp;"$"&amp;TEXT(C188+57,"###"))))</f>
        <v>1119.8333333333333</v>
      </c>
      <c r="F188" s="26" t="str">
        <f t="shared" si="152"/>
        <v>C</v>
      </c>
      <c r="G188" s="8"/>
      <c r="H188" s="8">
        <v>288</v>
      </c>
      <c r="I188" s="8">
        <v>575</v>
      </c>
      <c r="J188" s="8">
        <v>1222</v>
      </c>
      <c r="K188" s="9">
        <f t="shared" si="151"/>
        <v>1510</v>
      </c>
      <c r="L188" s="12">
        <v>700</v>
      </c>
      <c r="M188" s="11">
        <f t="shared" si="174"/>
        <v>35000</v>
      </c>
      <c r="N188" s="12">
        <v>1200</v>
      </c>
      <c r="O188" s="11">
        <f t="shared" si="175"/>
        <v>60000</v>
      </c>
      <c r="P188" s="12">
        <v>7955</v>
      </c>
      <c r="Q188" s="11">
        <f t="shared" si="176"/>
        <v>477300</v>
      </c>
      <c r="X188" s="12">
        <v>900</v>
      </c>
      <c r="Y188" s="11">
        <f t="shared" si="177"/>
        <v>54000</v>
      </c>
      <c r="AF188" s="12">
        <v>1500</v>
      </c>
      <c r="AG188" s="11">
        <f t="shared" si="178"/>
        <v>97500</v>
      </c>
      <c r="AI188" s="11">
        <f t="shared" si="179"/>
        <v>0</v>
      </c>
      <c r="AJ188" s="12">
        <v>30000</v>
      </c>
      <c r="AK188" s="13">
        <f t="shared" si="180"/>
        <v>270000</v>
      </c>
      <c r="AL188" s="12">
        <v>1500</v>
      </c>
      <c r="AM188" s="13">
        <f t="shared" si="181"/>
        <v>13500</v>
      </c>
      <c r="AO188" s="11">
        <f t="shared" si="182"/>
        <v>0</v>
      </c>
      <c r="AQ188" s="11">
        <f t="shared" si="183"/>
        <v>0</v>
      </c>
      <c r="AR188" s="12">
        <v>20000</v>
      </c>
      <c r="AS188" s="11">
        <f t="shared" si="184"/>
        <v>1000000</v>
      </c>
      <c r="AT188" s="12">
        <v>25</v>
      </c>
      <c r="AU188" s="11">
        <f t="shared" si="185"/>
        <v>1250</v>
      </c>
      <c r="AV188" s="12">
        <v>1200</v>
      </c>
      <c r="AW188" s="11">
        <f t="shared" si="186"/>
        <v>72000</v>
      </c>
      <c r="AY188" s="11">
        <f t="shared" si="187"/>
        <v>0</v>
      </c>
      <c r="BA188" s="11">
        <f t="shared" si="188"/>
        <v>0</v>
      </c>
      <c r="BC188" s="11">
        <f t="shared" si="189"/>
        <v>0</v>
      </c>
      <c r="BE188" s="11">
        <f t="shared" si="190"/>
        <v>0</v>
      </c>
      <c r="BG188" s="11">
        <f t="shared" si="191"/>
        <v>0</v>
      </c>
      <c r="BN188" s="8">
        <f t="shared" si="149"/>
        <v>62255</v>
      </c>
      <c r="BO188" s="8">
        <f t="shared" si="150"/>
        <v>2005800</v>
      </c>
      <c r="BP188" s="8">
        <f t="shared" si="153"/>
        <v>3625</v>
      </c>
      <c r="BQ188" s="12">
        <f t="shared" si="154"/>
        <v>128750</v>
      </c>
    </row>
    <row r="189" spans="1:69">
      <c r="A189" s="28">
        <v>1968</v>
      </c>
      <c r="B189" s="27" t="s">
        <v>22</v>
      </c>
      <c r="C189" s="24">
        <f t="shared" si="192"/>
        <v>176</v>
      </c>
      <c r="D189" s="7" t="e">
        <f t="shared" ca="1" si="148"/>
        <v>#N/A</v>
      </c>
      <c r="E189" s="26">
        <f t="array" aca="1" ref="E189" ca="1">AVERAGE(IF(INDIRECT(DatCol&amp;"$"&amp;TEXT(C189,"###")):INDIRECT(DatCol&amp;"$"&amp;TEXT(C189+57,"###"))&gt;0,INDIRECT(DatCol&amp;"$"&amp;TEXT(C189,"###")):INDIRECT(DatCol&amp;"$"&amp;TEXT(C189+57,"###"))))</f>
        <v>1119.8333333333333</v>
      </c>
      <c r="F189" s="26" t="str">
        <f t="shared" si="152"/>
        <v>C</v>
      </c>
      <c r="G189" s="8"/>
      <c r="H189" s="8">
        <v>635</v>
      </c>
      <c r="I189" s="8">
        <v>299</v>
      </c>
      <c r="J189" s="8">
        <v>1388</v>
      </c>
      <c r="K189" s="9">
        <f t="shared" si="151"/>
        <v>2023</v>
      </c>
      <c r="L189" s="12">
        <v>800</v>
      </c>
      <c r="M189" s="11">
        <f t="shared" si="174"/>
        <v>40000</v>
      </c>
      <c r="N189" s="12">
        <v>1500</v>
      </c>
      <c r="O189" s="11">
        <f t="shared" si="175"/>
        <v>75000</v>
      </c>
      <c r="P189" s="12">
        <v>17353</v>
      </c>
      <c r="Q189" s="11">
        <f t="shared" si="176"/>
        <v>1041180</v>
      </c>
      <c r="X189" s="12">
        <v>600</v>
      </c>
      <c r="Y189" s="11">
        <f t="shared" si="177"/>
        <v>36000</v>
      </c>
      <c r="AF189" s="12">
        <v>1500</v>
      </c>
      <c r="AG189" s="11">
        <f t="shared" si="178"/>
        <v>97500</v>
      </c>
      <c r="AH189" s="12">
        <v>100</v>
      </c>
      <c r="AI189" s="11">
        <f t="shared" si="179"/>
        <v>6500</v>
      </c>
      <c r="AJ189" s="12">
        <v>15250</v>
      </c>
      <c r="AK189" s="13">
        <f t="shared" si="180"/>
        <v>137250</v>
      </c>
      <c r="AL189" s="12">
        <v>525</v>
      </c>
      <c r="AM189" s="13">
        <f t="shared" si="181"/>
        <v>4725</v>
      </c>
      <c r="AO189" s="11">
        <f t="shared" si="182"/>
        <v>0</v>
      </c>
      <c r="AQ189" s="11">
        <f t="shared" si="183"/>
        <v>0</v>
      </c>
      <c r="AR189" s="12">
        <v>2635</v>
      </c>
      <c r="AS189" s="11">
        <f t="shared" si="184"/>
        <v>131750</v>
      </c>
      <c r="AT189" s="12">
        <v>25</v>
      </c>
      <c r="AU189" s="11">
        <f t="shared" si="185"/>
        <v>1250</v>
      </c>
      <c r="AV189" s="12">
        <v>1400</v>
      </c>
      <c r="AW189" s="11">
        <f t="shared" si="186"/>
        <v>84000</v>
      </c>
      <c r="AY189" s="11">
        <f t="shared" si="187"/>
        <v>0</v>
      </c>
      <c r="BA189" s="11">
        <f t="shared" si="188"/>
        <v>0</v>
      </c>
      <c r="BC189" s="11">
        <f t="shared" si="189"/>
        <v>0</v>
      </c>
      <c r="BE189" s="11">
        <f t="shared" si="190"/>
        <v>0</v>
      </c>
      <c r="BG189" s="11">
        <f t="shared" si="191"/>
        <v>0</v>
      </c>
      <c r="BN189" s="8">
        <f t="shared" si="149"/>
        <v>39538</v>
      </c>
      <c r="BO189" s="8">
        <f t="shared" si="150"/>
        <v>1567680</v>
      </c>
      <c r="BP189" s="8">
        <f t="shared" si="153"/>
        <v>2750</v>
      </c>
      <c r="BQ189" s="12">
        <f t="shared" si="154"/>
        <v>123475</v>
      </c>
    </row>
    <row r="190" spans="1:69">
      <c r="A190" s="28">
        <v>1969</v>
      </c>
      <c r="B190" s="27" t="s">
        <v>22</v>
      </c>
      <c r="C190" s="24">
        <f t="shared" si="192"/>
        <v>176</v>
      </c>
      <c r="D190" s="7" t="e">
        <f t="shared" ca="1" si="148"/>
        <v>#N/A</v>
      </c>
      <c r="E190" s="26">
        <f t="array" aca="1" ref="E190" ca="1">AVERAGE(IF(INDIRECT(DatCol&amp;"$"&amp;TEXT(C190,"###")):INDIRECT(DatCol&amp;"$"&amp;TEXT(C190+57,"###"))&gt;0,INDIRECT(DatCol&amp;"$"&amp;TEXT(C190,"###")):INDIRECT(DatCol&amp;"$"&amp;TEXT(C190+57,"###"))))</f>
        <v>1119.8333333333333</v>
      </c>
      <c r="F190" s="26" t="str">
        <f t="shared" si="152"/>
        <v>C</v>
      </c>
      <c r="G190" s="8"/>
      <c r="H190" s="8">
        <v>531</v>
      </c>
      <c r="I190" s="8">
        <v>333</v>
      </c>
      <c r="J190" s="8">
        <v>1480</v>
      </c>
      <c r="K190" s="9">
        <f t="shared" si="151"/>
        <v>2011</v>
      </c>
      <c r="L190" s="12">
        <v>500</v>
      </c>
      <c r="M190" s="11">
        <f t="shared" si="174"/>
        <v>25000</v>
      </c>
      <c r="N190" s="12">
        <v>2200</v>
      </c>
      <c r="O190" s="11">
        <f t="shared" si="175"/>
        <v>110000</v>
      </c>
      <c r="P190" s="12">
        <v>9800</v>
      </c>
      <c r="Q190" s="11">
        <f t="shared" si="176"/>
        <v>588000</v>
      </c>
      <c r="X190" s="12">
        <v>500</v>
      </c>
      <c r="Y190" s="11">
        <f t="shared" si="177"/>
        <v>30000</v>
      </c>
      <c r="AF190" s="12">
        <v>1500</v>
      </c>
      <c r="AG190" s="11">
        <f t="shared" si="178"/>
        <v>97500</v>
      </c>
      <c r="AH190" s="12">
        <v>75</v>
      </c>
      <c r="AI190" s="11">
        <f t="shared" si="179"/>
        <v>4875</v>
      </c>
      <c r="AJ190" s="12">
        <v>25000</v>
      </c>
      <c r="AK190" s="13">
        <f t="shared" si="180"/>
        <v>225000</v>
      </c>
      <c r="AL190" s="12">
        <v>1000</v>
      </c>
      <c r="AM190" s="13">
        <f t="shared" si="181"/>
        <v>9000</v>
      </c>
      <c r="AO190" s="11">
        <f t="shared" si="182"/>
        <v>0</v>
      </c>
      <c r="AQ190" s="11">
        <f t="shared" si="183"/>
        <v>0</v>
      </c>
      <c r="AR190" s="12">
        <v>2000</v>
      </c>
      <c r="AS190" s="11">
        <f t="shared" si="184"/>
        <v>100000</v>
      </c>
      <c r="AT190" s="12">
        <v>20</v>
      </c>
      <c r="AU190" s="11">
        <f t="shared" si="185"/>
        <v>1000</v>
      </c>
      <c r="AV190" s="12">
        <v>1500</v>
      </c>
      <c r="AW190" s="11">
        <f t="shared" si="186"/>
        <v>90000</v>
      </c>
      <c r="AY190" s="11">
        <f t="shared" si="187"/>
        <v>0</v>
      </c>
      <c r="BA190" s="11">
        <f t="shared" si="188"/>
        <v>0</v>
      </c>
      <c r="BC190" s="11">
        <f t="shared" si="189"/>
        <v>0</v>
      </c>
      <c r="BE190" s="11">
        <f t="shared" si="190"/>
        <v>0</v>
      </c>
      <c r="BG190" s="11">
        <f t="shared" si="191"/>
        <v>0</v>
      </c>
      <c r="BN190" s="8">
        <f t="shared" si="149"/>
        <v>40800</v>
      </c>
      <c r="BO190" s="8">
        <f t="shared" si="150"/>
        <v>1155500</v>
      </c>
      <c r="BP190" s="8">
        <f t="shared" si="153"/>
        <v>3795</v>
      </c>
      <c r="BQ190" s="12">
        <f t="shared" si="154"/>
        <v>154875</v>
      </c>
    </row>
    <row r="191" spans="1:69">
      <c r="A191" s="28">
        <v>1970</v>
      </c>
      <c r="B191" s="27" t="s">
        <v>22</v>
      </c>
      <c r="C191" s="24">
        <f t="shared" si="192"/>
        <v>176</v>
      </c>
      <c r="D191" s="7" t="e">
        <f t="shared" ca="1" si="148"/>
        <v>#N/A</v>
      </c>
      <c r="E191" s="26">
        <f t="array" aca="1" ref="E191" ca="1">AVERAGE(IF(INDIRECT(DatCol&amp;"$"&amp;TEXT(C191,"###")):INDIRECT(DatCol&amp;"$"&amp;TEXT(C191+57,"###"))&gt;0,INDIRECT(DatCol&amp;"$"&amp;TEXT(C191,"###")):INDIRECT(DatCol&amp;"$"&amp;TEXT(C191+57,"###"))))</f>
        <v>1119.8333333333333</v>
      </c>
      <c r="F191" s="26" t="str">
        <f t="shared" si="152"/>
        <v>C</v>
      </c>
      <c r="G191" s="8"/>
      <c r="H191" s="8">
        <v>503</v>
      </c>
      <c r="I191" s="8">
        <v>368</v>
      </c>
      <c r="J191" s="8">
        <v>1517</v>
      </c>
      <c r="K191" s="9">
        <f t="shared" si="151"/>
        <v>2020</v>
      </c>
      <c r="M191" s="11">
        <f t="shared" si="174"/>
        <v>0</v>
      </c>
      <c r="O191" s="11">
        <f t="shared" si="175"/>
        <v>0</v>
      </c>
      <c r="Q191" s="11">
        <f t="shared" si="176"/>
        <v>0</v>
      </c>
      <c r="Y191" s="11">
        <f t="shared" si="177"/>
        <v>0</v>
      </c>
      <c r="AG191" s="11">
        <f t="shared" si="178"/>
        <v>0</v>
      </c>
      <c r="AI191" s="11">
        <f t="shared" si="179"/>
        <v>0</v>
      </c>
      <c r="AK191" s="13">
        <f t="shared" si="180"/>
        <v>0</v>
      </c>
      <c r="AM191" s="13">
        <f t="shared" si="181"/>
        <v>0</v>
      </c>
      <c r="AO191" s="11">
        <f t="shared" si="182"/>
        <v>0</v>
      </c>
      <c r="AQ191" s="11">
        <f t="shared" si="183"/>
        <v>0</v>
      </c>
      <c r="AS191" s="11">
        <f t="shared" si="184"/>
        <v>0</v>
      </c>
      <c r="AU191" s="11">
        <f t="shared" si="185"/>
        <v>0</v>
      </c>
      <c r="AW191" s="11">
        <f t="shared" si="186"/>
        <v>0</v>
      </c>
      <c r="AY191" s="11">
        <f t="shared" si="187"/>
        <v>0</v>
      </c>
      <c r="BA191" s="11">
        <f t="shared" si="188"/>
        <v>0</v>
      </c>
      <c r="BC191" s="11">
        <f t="shared" si="189"/>
        <v>0</v>
      </c>
      <c r="BE191" s="11">
        <f t="shared" si="190"/>
        <v>0</v>
      </c>
      <c r="BG191" s="11">
        <f t="shared" si="191"/>
        <v>0</v>
      </c>
      <c r="BN191" s="8">
        <f t="shared" si="149"/>
        <v>0</v>
      </c>
      <c r="BO191" s="8">
        <f t="shared" si="150"/>
        <v>0</v>
      </c>
      <c r="BP191" s="8">
        <f t="shared" si="153"/>
        <v>0</v>
      </c>
      <c r="BQ191" s="12">
        <f t="shared" si="154"/>
        <v>0</v>
      </c>
    </row>
    <row r="192" spans="1:69">
      <c r="A192" s="28">
        <v>1971</v>
      </c>
      <c r="B192" s="27" t="s">
        <v>22</v>
      </c>
      <c r="C192" s="24">
        <f t="shared" si="192"/>
        <v>176</v>
      </c>
      <c r="D192" s="7" t="e">
        <f t="shared" ca="1" si="148"/>
        <v>#N/A</v>
      </c>
      <c r="E192" s="26">
        <f t="array" aca="1" ref="E192" ca="1">AVERAGE(IF(INDIRECT(DatCol&amp;"$"&amp;TEXT(C192,"###")):INDIRECT(DatCol&amp;"$"&amp;TEXT(C192+57,"###"))&gt;0,INDIRECT(DatCol&amp;"$"&amp;TEXT(C192,"###")):INDIRECT(DatCol&amp;"$"&amp;TEXT(C192+57,"###"))))</f>
        <v>1119.8333333333333</v>
      </c>
      <c r="F192" s="26" t="str">
        <f t="shared" si="152"/>
        <v>C</v>
      </c>
      <c r="G192" s="8"/>
      <c r="K192" s="9">
        <f t="shared" si="151"/>
        <v>0</v>
      </c>
      <c r="M192" s="11">
        <f t="shared" ref="M192:M207" si="193">(L192*50)</f>
        <v>0</v>
      </c>
      <c r="O192" s="11">
        <f t="shared" ref="O192:O207" si="194">(N192*50)</f>
        <v>0</v>
      </c>
      <c r="Q192" s="11">
        <f t="shared" ref="Q192:Q207" si="195">((P192*330)/5.5)</f>
        <v>0</v>
      </c>
      <c r="Y192" s="11">
        <f t="shared" ref="Y192:Y207" si="196">((X192*330)/5.5)</f>
        <v>0</v>
      </c>
      <c r="AG192" s="11">
        <f t="shared" ref="AG192:AG207" si="197">(AF192*65)</f>
        <v>0</v>
      </c>
      <c r="AI192" s="11">
        <f t="shared" ref="AI192:AI207" si="198">(AH192*65)</f>
        <v>0</v>
      </c>
      <c r="AK192" s="13">
        <f t="shared" ref="AK192:AK207" si="199">(AJ192*9)</f>
        <v>0</v>
      </c>
      <c r="AM192" s="13">
        <f t="shared" ref="AM192:AM207" si="200">(AL192*9)</f>
        <v>0</v>
      </c>
      <c r="AO192" s="11">
        <f t="shared" ref="AO192:AO207" si="201">(AN192*80)</f>
        <v>0</v>
      </c>
      <c r="AQ192" s="11">
        <f t="shared" ref="AQ192:AQ207" si="202">(AP192*80)</f>
        <v>0</v>
      </c>
      <c r="AS192" s="11">
        <f t="shared" ref="AS192:AS207" si="203">(AR192*50)</f>
        <v>0</v>
      </c>
      <c r="AU192" s="11">
        <f t="shared" ref="AU192:AU207" si="204">(AT192*50)</f>
        <v>0</v>
      </c>
      <c r="AW192" s="11">
        <f t="shared" ref="AW192:AW207" si="205">(AV192*60)</f>
        <v>0</v>
      </c>
      <c r="AY192" s="11">
        <f t="shared" ref="AY192:AY207" si="206">(AX192*60)</f>
        <v>0</v>
      </c>
      <c r="BA192" s="11">
        <f t="shared" ref="BA192:BA207" si="207">(AZ192*40)</f>
        <v>0</v>
      </c>
      <c r="BC192" s="11">
        <f t="shared" ref="BC192:BC207" si="208">(BB192*40)</f>
        <v>0</v>
      </c>
      <c r="BE192" s="11">
        <f t="shared" ref="BE192:BE207" si="209">(BD192*95)</f>
        <v>0</v>
      </c>
      <c r="BG192" s="11">
        <f t="shared" ref="BG192:BG207" si="210">(BF192*95)</f>
        <v>0</v>
      </c>
      <c r="BN192" s="8">
        <f t="shared" si="149"/>
        <v>0</v>
      </c>
      <c r="BO192" s="8">
        <f t="shared" si="150"/>
        <v>0</v>
      </c>
      <c r="BP192" s="8">
        <f t="shared" si="153"/>
        <v>0</v>
      </c>
      <c r="BQ192" s="12">
        <f t="shared" si="154"/>
        <v>0</v>
      </c>
    </row>
    <row r="193" spans="1:69">
      <c r="A193" s="28">
        <v>1972</v>
      </c>
      <c r="B193" s="27" t="s">
        <v>22</v>
      </c>
      <c r="C193" s="24">
        <f t="shared" si="192"/>
        <v>176</v>
      </c>
      <c r="D193" s="7" t="e">
        <f t="shared" ca="1" si="148"/>
        <v>#N/A</v>
      </c>
      <c r="E193" s="26">
        <f t="array" aca="1" ref="E193" ca="1">AVERAGE(IF(INDIRECT(DatCol&amp;"$"&amp;TEXT(C193,"###")):INDIRECT(DatCol&amp;"$"&amp;TEXT(C193+57,"###"))&gt;0,INDIRECT(DatCol&amp;"$"&amp;TEXT(C193,"###")):INDIRECT(DatCol&amp;"$"&amp;TEXT(C193+57,"###"))))</f>
        <v>1119.8333333333333</v>
      </c>
      <c r="F193" s="26" t="str">
        <f t="shared" si="152"/>
        <v>C</v>
      </c>
      <c r="G193" s="8"/>
      <c r="K193" s="9">
        <f t="shared" si="151"/>
        <v>0</v>
      </c>
      <c r="M193" s="11">
        <f t="shared" si="193"/>
        <v>0</v>
      </c>
      <c r="O193" s="11">
        <f t="shared" si="194"/>
        <v>0</v>
      </c>
      <c r="Q193" s="11">
        <f t="shared" si="195"/>
        <v>0</v>
      </c>
      <c r="Y193" s="11">
        <f t="shared" si="196"/>
        <v>0</v>
      </c>
      <c r="AG193" s="11">
        <f t="shared" si="197"/>
        <v>0</v>
      </c>
      <c r="AI193" s="11">
        <f t="shared" si="198"/>
        <v>0</v>
      </c>
      <c r="AK193" s="13">
        <f t="shared" si="199"/>
        <v>0</v>
      </c>
      <c r="AM193" s="13">
        <f t="shared" si="200"/>
        <v>0</v>
      </c>
      <c r="AO193" s="11">
        <f t="shared" si="201"/>
        <v>0</v>
      </c>
      <c r="AQ193" s="11">
        <f t="shared" si="202"/>
        <v>0</v>
      </c>
      <c r="AS193" s="11">
        <f t="shared" si="203"/>
        <v>0</v>
      </c>
      <c r="AU193" s="11">
        <f t="shared" si="204"/>
        <v>0</v>
      </c>
      <c r="AW193" s="11">
        <f t="shared" si="205"/>
        <v>0</v>
      </c>
      <c r="AY193" s="11">
        <f t="shared" si="206"/>
        <v>0</v>
      </c>
      <c r="BA193" s="11">
        <f t="shared" si="207"/>
        <v>0</v>
      </c>
      <c r="BC193" s="11">
        <f t="shared" si="208"/>
        <v>0</v>
      </c>
      <c r="BE193" s="11">
        <f t="shared" si="209"/>
        <v>0</v>
      </c>
      <c r="BG193" s="11">
        <f t="shared" si="210"/>
        <v>0</v>
      </c>
      <c r="BN193" s="8">
        <f t="shared" si="149"/>
        <v>0</v>
      </c>
      <c r="BO193" s="8">
        <f t="shared" si="150"/>
        <v>0</v>
      </c>
      <c r="BP193" s="8">
        <f t="shared" si="153"/>
        <v>0</v>
      </c>
      <c r="BQ193" s="12">
        <f t="shared" si="154"/>
        <v>0</v>
      </c>
    </row>
    <row r="194" spans="1:69">
      <c r="A194" s="28">
        <v>1973</v>
      </c>
      <c r="B194" s="27" t="s">
        <v>22</v>
      </c>
      <c r="C194" s="24">
        <f t="shared" si="192"/>
        <v>176</v>
      </c>
      <c r="D194" s="7" t="e">
        <f t="shared" ref="D194:D257" ca="1" si="211">IF(AND((INDIRECT(DatCol&amp;TEXT(ROW(),"###"))&gt;0),((F194=RegionSelect)+(RegionSelect="A"))),INDIRECT(DatCol&amp;TEXT(ROW(),"###"))/E194,NA())</f>
        <v>#N/A</v>
      </c>
      <c r="E194" s="26">
        <f t="array" aca="1" ref="E194" ca="1">AVERAGE(IF(INDIRECT(DatCol&amp;"$"&amp;TEXT(C194,"###")):INDIRECT(DatCol&amp;"$"&amp;TEXT(C194+57,"###"))&gt;0,INDIRECT(DatCol&amp;"$"&amp;TEXT(C194,"###")):INDIRECT(DatCol&amp;"$"&amp;TEXT(C194+57,"###"))))</f>
        <v>1119.8333333333333</v>
      </c>
      <c r="F194" s="26" t="str">
        <f t="shared" si="152"/>
        <v>C</v>
      </c>
      <c r="G194" s="8"/>
      <c r="K194" s="9">
        <f t="shared" si="151"/>
        <v>0</v>
      </c>
      <c r="M194" s="11">
        <f t="shared" si="193"/>
        <v>0</v>
      </c>
      <c r="O194" s="11">
        <f t="shared" si="194"/>
        <v>0</v>
      </c>
      <c r="Q194" s="11">
        <f t="shared" si="195"/>
        <v>0</v>
      </c>
      <c r="Y194" s="11">
        <f t="shared" si="196"/>
        <v>0</v>
      </c>
      <c r="AG194" s="11">
        <f t="shared" si="197"/>
        <v>0</v>
      </c>
      <c r="AI194" s="11">
        <f t="shared" si="198"/>
        <v>0</v>
      </c>
      <c r="AK194" s="13">
        <f t="shared" si="199"/>
        <v>0</v>
      </c>
      <c r="AM194" s="13">
        <f t="shared" si="200"/>
        <v>0</v>
      </c>
      <c r="AO194" s="11">
        <f t="shared" si="201"/>
        <v>0</v>
      </c>
      <c r="AQ194" s="11">
        <f t="shared" si="202"/>
        <v>0</v>
      </c>
      <c r="AS194" s="11">
        <f t="shared" si="203"/>
        <v>0</v>
      </c>
      <c r="AU194" s="11">
        <f t="shared" si="204"/>
        <v>0</v>
      </c>
      <c r="AW194" s="11">
        <f t="shared" si="205"/>
        <v>0</v>
      </c>
      <c r="AY194" s="11">
        <f t="shared" si="206"/>
        <v>0</v>
      </c>
      <c r="BA194" s="11">
        <f t="shared" si="207"/>
        <v>0</v>
      </c>
      <c r="BC194" s="11">
        <f t="shared" si="208"/>
        <v>0</v>
      </c>
      <c r="BE194" s="11">
        <f t="shared" si="209"/>
        <v>0</v>
      </c>
      <c r="BG194" s="11">
        <f t="shared" si="210"/>
        <v>0</v>
      </c>
      <c r="BN194" s="8">
        <f t="shared" si="149"/>
        <v>0</v>
      </c>
      <c r="BO194" s="8">
        <f t="shared" si="150"/>
        <v>0</v>
      </c>
      <c r="BP194" s="8">
        <f t="shared" si="153"/>
        <v>0</v>
      </c>
      <c r="BQ194" s="12">
        <f t="shared" si="154"/>
        <v>0</v>
      </c>
    </row>
    <row r="195" spans="1:69">
      <c r="A195" s="28">
        <v>1974</v>
      </c>
      <c r="B195" s="27" t="s">
        <v>22</v>
      </c>
      <c r="C195" s="24">
        <f t="shared" si="192"/>
        <v>176</v>
      </c>
      <c r="D195" s="7" t="e">
        <f t="shared" ca="1" si="211"/>
        <v>#N/A</v>
      </c>
      <c r="E195" s="26">
        <f t="array" aca="1" ref="E195" ca="1">AVERAGE(IF(INDIRECT(DatCol&amp;"$"&amp;TEXT(C195,"###")):INDIRECT(DatCol&amp;"$"&amp;TEXT(C195+57,"###"))&gt;0,INDIRECT(DatCol&amp;"$"&amp;TEXT(C195,"###")):INDIRECT(DatCol&amp;"$"&amp;TEXT(C195+57,"###"))))</f>
        <v>1119.8333333333333</v>
      </c>
      <c r="F195" s="26" t="str">
        <f t="shared" si="152"/>
        <v>C</v>
      </c>
      <c r="G195" s="8"/>
      <c r="H195" s="8">
        <v>281</v>
      </c>
      <c r="I195" s="8">
        <v>454</v>
      </c>
      <c r="J195" s="8">
        <v>1569</v>
      </c>
      <c r="K195" s="9">
        <f t="shared" si="151"/>
        <v>1850</v>
      </c>
      <c r="L195" s="12">
        <v>100</v>
      </c>
      <c r="M195" s="11">
        <f t="shared" si="193"/>
        <v>5000</v>
      </c>
      <c r="N195" s="12">
        <v>150</v>
      </c>
      <c r="O195" s="11">
        <f t="shared" si="194"/>
        <v>7500</v>
      </c>
      <c r="P195" s="12">
        <v>10585</v>
      </c>
      <c r="Q195" s="11">
        <f t="shared" si="195"/>
        <v>635100</v>
      </c>
      <c r="X195" s="12">
        <v>500</v>
      </c>
      <c r="Y195" s="11">
        <f t="shared" si="196"/>
        <v>30000</v>
      </c>
      <c r="AF195" s="12">
        <v>875</v>
      </c>
      <c r="AG195" s="11">
        <f t="shared" si="197"/>
        <v>56875</v>
      </c>
      <c r="AH195" s="12">
        <v>20</v>
      </c>
      <c r="AI195" s="11">
        <f t="shared" si="198"/>
        <v>1300</v>
      </c>
      <c r="AJ195" s="12">
        <v>750</v>
      </c>
      <c r="AK195" s="13">
        <f t="shared" si="199"/>
        <v>6750</v>
      </c>
      <c r="AL195" s="12">
        <v>750</v>
      </c>
      <c r="AM195" s="13">
        <f t="shared" si="200"/>
        <v>6750</v>
      </c>
      <c r="AO195" s="11">
        <f t="shared" si="201"/>
        <v>0</v>
      </c>
      <c r="AQ195" s="11">
        <f t="shared" si="202"/>
        <v>0</v>
      </c>
      <c r="AS195" s="11">
        <f t="shared" si="203"/>
        <v>0</v>
      </c>
      <c r="AU195" s="11">
        <f t="shared" si="204"/>
        <v>0</v>
      </c>
      <c r="AV195" s="12">
        <v>2250</v>
      </c>
      <c r="AW195" s="11">
        <f t="shared" si="205"/>
        <v>135000</v>
      </c>
      <c r="AY195" s="11">
        <f t="shared" si="206"/>
        <v>0</v>
      </c>
      <c r="BA195" s="11">
        <f t="shared" si="207"/>
        <v>0</v>
      </c>
      <c r="BC195" s="11">
        <f t="shared" si="208"/>
        <v>0</v>
      </c>
      <c r="BE195" s="11">
        <f t="shared" si="209"/>
        <v>0</v>
      </c>
      <c r="BG195" s="11">
        <f t="shared" si="210"/>
        <v>0</v>
      </c>
      <c r="BN195" s="8">
        <f t="shared" si="149"/>
        <v>15060</v>
      </c>
      <c r="BO195" s="8">
        <f t="shared" si="150"/>
        <v>868725</v>
      </c>
      <c r="BP195" s="8">
        <f t="shared" si="153"/>
        <v>1420</v>
      </c>
      <c r="BQ195" s="12">
        <f t="shared" si="154"/>
        <v>45550</v>
      </c>
    </row>
    <row r="196" spans="1:69">
      <c r="A196" s="28">
        <v>1975</v>
      </c>
      <c r="B196" s="27" t="s">
        <v>22</v>
      </c>
      <c r="C196" s="24">
        <f t="shared" si="192"/>
        <v>176</v>
      </c>
      <c r="D196" s="7" t="e">
        <f t="shared" ca="1" si="211"/>
        <v>#N/A</v>
      </c>
      <c r="E196" s="26">
        <f t="array" aca="1" ref="E196" ca="1">AVERAGE(IF(INDIRECT(DatCol&amp;"$"&amp;TEXT(C196,"###")):INDIRECT(DatCol&amp;"$"&amp;TEXT(C196+57,"###"))&gt;0,INDIRECT(DatCol&amp;"$"&amp;TEXT(C196,"###")):INDIRECT(DatCol&amp;"$"&amp;TEXT(C196+57,"###"))))</f>
        <v>1119.8333333333333</v>
      </c>
      <c r="F196" s="26" t="str">
        <f t="shared" si="152"/>
        <v>C</v>
      </c>
      <c r="G196" s="8"/>
      <c r="H196" s="8">
        <v>290</v>
      </c>
      <c r="I196" s="8">
        <v>380</v>
      </c>
      <c r="J196" s="8">
        <v>1581</v>
      </c>
      <c r="K196" s="9">
        <f t="shared" si="151"/>
        <v>1871</v>
      </c>
      <c r="L196" s="12">
        <v>214</v>
      </c>
      <c r="M196" s="11">
        <f t="shared" si="193"/>
        <v>10700</v>
      </c>
      <c r="N196" s="12">
        <v>300</v>
      </c>
      <c r="O196" s="11">
        <f t="shared" si="194"/>
        <v>15000</v>
      </c>
      <c r="P196" s="12">
        <v>5684</v>
      </c>
      <c r="Q196" s="11">
        <f t="shared" si="195"/>
        <v>341040</v>
      </c>
      <c r="X196" s="12">
        <v>500</v>
      </c>
      <c r="Y196" s="11">
        <f t="shared" si="196"/>
        <v>30000</v>
      </c>
      <c r="AG196" s="11">
        <f t="shared" si="197"/>
        <v>0</v>
      </c>
      <c r="AH196" s="12">
        <v>20</v>
      </c>
      <c r="AI196" s="11">
        <f t="shared" si="198"/>
        <v>1300</v>
      </c>
      <c r="AJ196" s="12">
        <v>8250</v>
      </c>
      <c r="AK196" s="13">
        <f t="shared" si="199"/>
        <v>74250</v>
      </c>
      <c r="AL196" s="12">
        <v>800</v>
      </c>
      <c r="AM196" s="13">
        <f t="shared" si="200"/>
        <v>7200</v>
      </c>
      <c r="AO196" s="11">
        <f t="shared" si="201"/>
        <v>0</v>
      </c>
      <c r="AQ196" s="11">
        <f t="shared" si="202"/>
        <v>0</v>
      </c>
      <c r="AS196" s="11">
        <f t="shared" si="203"/>
        <v>0</v>
      </c>
      <c r="AT196" s="12">
        <v>10</v>
      </c>
      <c r="AU196" s="11">
        <f t="shared" si="204"/>
        <v>500</v>
      </c>
      <c r="AV196" s="12">
        <v>2833</v>
      </c>
      <c r="AW196" s="11">
        <f t="shared" si="205"/>
        <v>169980</v>
      </c>
      <c r="AY196" s="11">
        <f t="shared" si="206"/>
        <v>0</v>
      </c>
      <c r="BA196" s="11">
        <f t="shared" si="207"/>
        <v>0</v>
      </c>
      <c r="BB196" s="12">
        <v>10</v>
      </c>
      <c r="BC196" s="11">
        <f t="shared" si="208"/>
        <v>400</v>
      </c>
      <c r="BE196" s="11">
        <f t="shared" si="209"/>
        <v>0</v>
      </c>
      <c r="BG196" s="11">
        <f t="shared" si="210"/>
        <v>0</v>
      </c>
      <c r="BN196" s="8">
        <f t="shared" ref="BN196:BN260" si="212">(L196+P196+R196+T196+V196+X196+Z196+AB196+AD196+AF196+AJ196+AN196+AR196+AV196+AZ196+BD196)</f>
        <v>17481</v>
      </c>
      <c r="BO196" s="8">
        <f t="shared" si="150"/>
        <v>625970</v>
      </c>
      <c r="BP196" s="8">
        <f t="shared" si="153"/>
        <v>1640</v>
      </c>
      <c r="BQ196" s="12">
        <f t="shared" si="154"/>
        <v>54400</v>
      </c>
    </row>
    <row r="197" spans="1:69">
      <c r="A197" s="28">
        <v>1976</v>
      </c>
      <c r="B197" s="27" t="s">
        <v>22</v>
      </c>
      <c r="C197" s="24">
        <f t="shared" si="192"/>
        <v>176</v>
      </c>
      <c r="D197" s="7" t="e">
        <f t="shared" ca="1" si="211"/>
        <v>#N/A</v>
      </c>
      <c r="E197" s="26">
        <f t="array" aca="1" ref="E197" ca="1">AVERAGE(IF(INDIRECT(DatCol&amp;"$"&amp;TEXT(C197,"###")):INDIRECT(DatCol&amp;"$"&amp;TEXT(C197+57,"###"))&gt;0,INDIRECT(DatCol&amp;"$"&amp;TEXT(C197,"###")):INDIRECT(DatCol&amp;"$"&amp;TEXT(C197+57,"###"))))</f>
        <v>1119.8333333333333</v>
      </c>
      <c r="F197" s="26" t="str">
        <f t="shared" si="152"/>
        <v>C</v>
      </c>
      <c r="G197" s="8"/>
      <c r="H197" s="8">
        <v>377</v>
      </c>
      <c r="I197" s="8">
        <v>306</v>
      </c>
      <c r="J197" s="8">
        <v>1668</v>
      </c>
      <c r="K197" s="9">
        <f t="shared" si="151"/>
        <v>2045</v>
      </c>
      <c r="L197" s="12">
        <v>648</v>
      </c>
      <c r="M197" s="11">
        <f t="shared" si="193"/>
        <v>32400</v>
      </c>
      <c r="N197" s="12">
        <v>668</v>
      </c>
      <c r="O197" s="11">
        <f t="shared" si="194"/>
        <v>33400</v>
      </c>
      <c r="P197" s="12">
        <v>5538</v>
      </c>
      <c r="Q197" s="11">
        <f t="shared" si="195"/>
        <v>332280</v>
      </c>
      <c r="X197" s="12">
        <v>858</v>
      </c>
      <c r="Y197" s="11">
        <f t="shared" si="196"/>
        <v>51480</v>
      </c>
      <c r="AG197" s="11">
        <f t="shared" si="197"/>
        <v>0</v>
      </c>
      <c r="AH197" s="12">
        <v>13</v>
      </c>
      <c r="AI197" s="11">
        <f t="shared" si="198"/>
        <v>845</v>
      </c>
      <c r="AJ197" s="12">
        <v>9461</v>
      </c>
      <c r="AK197" s="13">
        <f t="shared" si="199"/>
        <v>85149</v>
      </c>
      <c r="AL197" s="12">
        <v>485</v>
      </c>
      <c r="AM197" s="13">
        <f t="shared" si="200"/>
        <v>4365</v>
      </c>
      <c r="AO197" s="11">
        <f t="shared" si="201"/>
        <v>0</v>
      </c>
      <c r="AQ197" s="11">
        <f t="shared" si="202"/>
        <v>0</v>
      </c>
      <c r="AS197" s="11">
        <f t="shared" si="203"/>
        <v>0</v>
      </c>
      <c r="AU197" s="11">
        <f t="shared" si="204"/>
        <v>0</v>
      </c>
      <c r="AW197" s="11">
        <f t="shared" si="205"/>
        <v>0</v>
      </c>
      <c r="AY197" s="11">
        <f t="shared" si="206"/>
        <v>0</v>
      </c>
      <c r="BA197" s="11">
        <f t="shared" si="207"/>
        <v>0</v>
      </c>
      <c r="BC197" s="11">
        <f t="shared" si="208"/>
        <v>0</v>
      </c>
      <c r="BE197" s="11">
        <f t="shared" si="209"/>
        <v>0</v>
      </c>
      <c r="BG197" s="11">
        <f t="shared" si="210"/>
        <v>0</v>
      </c>
      <c r="BN197" s="8">
        <f t="shared" si="212"/>
        <v>16505</v>
      </c>
      <c r="BO197" s="8">
        <f t="shared" ref="BO197:BO261" si="213">(M197+Q197+S197+U197+W197+Y197+AA197+AC197+AG197+AK197+AO197+AS197+AW197+BA197+BE197)</f>
        <v>501309</v>
      </c>
      <c r="BP197" s="8">
        <f t="shared" si="153"/>
        <v>2024</v>
      </c>
      <c r="BQ197" s="12">
        <f t="shared" si="154"/>
        <v>90090</v>
      </c>
    </row>
    <row r="198" spans="1:69">
      <c r="A198" s="28">
        <v>1977</v>
      </c>
      <c r="B198" s="27" t="s">
        <v>22</v>
      </c>
      <c r="C198" s="24">
        <f t="shared" si="192"/>
        <v>176</v>
      </c>
      <c r="D198" s="7" t="e">
        <f t="shared" ca="1" si="211"/>
        <v>#N/A</v>
      </c>
      <c r="E198" s="26">
        <f t="array" aca="1" ref="E198" ca="1">AVERAGE(IF(INDIRECT(DatCol&amp;"$"&amp;TEXT(C198,"###")):INDIRECT(DatCol&amp;"$"&amp;TEXT(C198+57,"###"))&gt;0,INDIRECT(DatCol&amp;"$"&amp;TEXT(C198,"###")):INDIRECT(DatCol&amp;"$"&amp;TEXT(C198+57,"###"))))</f>
        <v>1119.8333333333333</v>
      </c>
      <c r="F198" s="26" t="str">
        <f t="shared" si="152"/>
        <v>C</v>
      </c>
      <c r="G198" s="8"/>
      <c r="H198" s="8">
        <v>436</v>
      </c>
      <c r="I198" s="8">
        <v>407</v>
      </c>
      <c r="J198" s="8">
        <v>1548</v>
      </c>
      <c r="K198" s="9">
        <f t="shared" ref="K198:K262" si="214">G198+H198+J198</f>
        <v>1984</v>
      </c>
      <c r="L198" s="12">
        <v>178</v>
      </c>
      <c r="M198" s="11">
        <f t="shared" si="193"/>
        <v>8900</v>
      </c>
      <c r="N198" s="12">
        <v>997</v>
      </c>
      <c r="O198" s="11">
        <f t="shared" si="194"/>
        <v>49850</v>
      </c>
      <c r="P198" s="12">
        <v>5861</v>
      </c>
      <c r="Q198" s="11">
        <f t="shared" si="195"/>
        <v>351660</v>
      </c>
      <c r="X198" s="12">
        <v>1229</v>
      </c>
      <c r="Y198" s="11">
        <f t="shared" si="196"/>
        <v>73740</v>
      </c>
      <c r="AG198" s="11">
        <f t="shared" si="197"/>
        <v>0</v>
      </c>
      <c r="AH198" s="12">
        <v>50</v>
      </c>
      <c r="AI198" s="11">
        <f t="shared" si="198"/>
        <v>3250</v>
      </c>
      <c r="AJ198" s="12">
        <v>19655</v>
      </c>
      <c r="AK198" s="13">
        <f t="shared" si="199"/>
        <v>176895</v>
      </c>
      <c r="AL198" s="12">
        <v>938</v>
      </c>
      <c r="AM198" s="13">
        <f t="shared" si="200"/>
        <v>8442</v>
      </c>
      <c r="AO198" s="11">
        <f t="shared" si="201"/>
        <v>0</v>
      </c>
      <c r="AQ198" s="11">
        <f t="shared" si="202"/>
        <v>0</v>
      </c>
      <c r="AS198" s="11">
        <f t="shared" si="203"/>
        <v>0</v>
      </c>
      <c r="AU198" s="11">
        <f t="shared" si="204"/>
        <v>0</v>
      </c>
      <c r="AV198" s="12">
        <v>511</v>
      </c>
      <c r="AW198" s="11">
        <f t="shared" si="205"/>
        <v>30660</v>
      </c>
      <c r="AY198" s="11">
        <f t="shared" si="206"/>
        <v>0</v>
      </c>
      <c r="BA198" s="11">
        <f t="shared" si="207"/>
        <v>0</v>
      </c>
      <c r="BC198" s="11">
        <f t="shared" si="208"/>
        <v>0</v>
      </c>
      <c r="BE198" s="11">
        <f t="shared" si="209"/>
        <v>0</v>
      </c>
      <c r="BG198" s="11">
        <f t="shared" si="210"/>
        <v>0</v>
      </c>
      <c r="BN198" s="8">
        <f t="shared" si="212"/>
        <v>27434</v>
      </c>
      <c r="BO198" s="8">
        <f t="shared" si="213"/>
        <v>641855</v>
      </c>
      <c r="BP198" s="8">
        <f t="shared" si="153"/>
        <v>3214</v>
      </c>
      <c r="BQ198" s="12">
        <f t="shared" si="154"/>
        <v>135282</v>
      </c>
    </row>
    <row r="199" spans="1:69">
      <c r="A199" s="28">
        <v>1978</v>
      </c>
      <c r="B199" s="27" t="s">
        <v>22</v>
      </c>
      <c r="C199" s="24">
        <f t="shared" si="192"/>
        <v>176</v>
      </c>
      <c r="D199" s="7" t="e">
        <f t="shared" ca="1" si="211"/>
        <v>#N/A</v>
      </c>
      <c r="E199" s="26">
        <f t="array" aca="1" ref="E199" ca="1">AVERAGE(IF(INDIRECT(DatCol&amp;"$"&amp;TEXT(C199,"###")):INDIRECT(DatCol&amp;"$"&amp;TEXT(C199+57,"###"))&gt;0,INDIRECT(DatCol&amp;"$"&amp;TEXT(C199,"###")):INDIRECT(DatCol&amp;"$"&amp;TEXT(C199+57,"###"))))</f>
        <v>1119.8333333333333</v>
      </c>
      <c r="F199" s="26" t="str">
        <f t="shared" si="152"/>
        <v>C</v>
      </c>
      <c r="G199" s="8"/>
      <c r="H199" s="8">
        <v>452</v>
      </c>
      <c r="I199" s="8">
        <v>381</v>
      </c>
      <c r="J199" s="8">
        <v>1446</v>
      </c>
      <c r="K199" s="9">
        <f t="shared" si="214"/>
        <v>1898</v>
      </c>
      <c r="L199" s="12">
        <v>724</v>
      </c>
      <c r="M199" s="11">
        <f t="shared" si="193"/>
        <v>36200</v>
      </c>
      <c r="N199" s="12">
        <v>813</v>
      </c>
      <c r="O199" s="11">
        <f t="shared" si="194"/>
        <v>40650</v>
      </c>
      <c r="P199" s="12">
        <v>8095</v>
      </c>
      <c r="Q199" s="11">
        <f t="shared" si="195"/>
        <v>485700</v>
      </c>
      <c r="X199" s="12">
        <v>1167</v>
      </c>
      <c r="Y199" s="11">
        <f t="shared" si="196"/>
        <v>70020</v>
      </c>
      <c r="AG199" s="11">
        <f t="shared" si="197"/>
        <v>0</v>
      </c>
      <c r="AH199" s="12">
        <v>69</v>
      </c>
      <c r="AI199" s="11">
        <f t="shared" si="198"/>
        <v>4485</v>
      </c>
      <c r="AJ199" s="12">
        <v>113</v>
      </c>
      <c r="AK199" s="13">
        <f t="shared" si="199"/>
        <v>1017</v>
      </c>
      <c r="AL199" s="12">
        <v>1021</v>
      </c>
      <c r="AM199" s="13">
        <f t="shared" si="200"/>
        <v>9189</v>
      </c>
      <c r="AO199" s="11">
        <f t="shared" si="201"/>
        <v>0</v>
      </c>
      <c r="AQ199" s="11">
        <f t="shared" si="202"/>
        <v>0</v>
      </c>
      <c r="AS199" s="11">
        <f t="shared" si="203"/>
        <v>0</v>
      </c>
      <c r="AU199" s="11">
        <f t="shared" si="204"/>
        <v>0</v>
      </c>
      <c r="AV199" s="12">
        <v>1093</v>
      </c>
      <c r="AW199" s="11">
        <f t="shared" si="205"/>
        <v>65580</v>
      </c>
      <c r="AY199" s="11">
        <f t="shared" si="206"/>
        <v>0</v>
      </c>
      <c r="BA199" s="11">
        <f t="shared" si="207"/>
        <v>0</v>
      </c>
      <c r="BC199" s="11">
        <f t="shared" si="208"/>
        <v>0</v>
      </c>
      <c r="BE199" s="11">
        <f t="shared" si="209"/>
        <v>0</v>
      </c>
      <c r="BG199" s="11">
        <f t="shared" si="210"/>
        <v>0</v>
      </c>
      <c r="BN199" s="8">
        <f t="shared" si="212"/>
        <v>11192</v>
      </c>
      <c r="BO199" s="8">
        <f t="shared" si="213"/>
        <v>658517</v>
      </c>
      <c r="BP199" s="8">
        <f t="shared" si="153"/>
        <v>3070</v>
      </c>
      <c r="BQ199" s="12">
        <f t="shared" si="154"/>
        <v>124344</v>
      </c>
    </row>
    <row r="200" spans="1:69">
      <c r="A200" s="28">
        <v>1979</v>
      </c>
      <c r="B200" s="27" t="s">
        <v>22</v>
      </c>
      <c r="C200" s="24">
        <f t="shared" si="192"/>
        <v>176</v>
      </c>
      <c r="D200" s="7" t="e">
        <f t="shared" ca="1" si="211"/>
        <v>#N/A</v>
      </c>
      <c r="E200" s="26">
        <f t="array" aca="1" ref="E200" ca="1">AVERAGE(IF(INDIRECT(DatCol&amp;"$"&amp;TEXT(C200,"###")):INDIRECT(DatCol&amp;"$"&amp;TEXT(C200+57,"###"))&gt;0,INDIRECT(DatCol&amp;"$"&amp;TEXT(C200,"###")):INDIRECT(DatCol&amp;"$"&amp;TEXT(C200+57,"###"))))</f>
        <v>1119.8333333333333</v>
      </c>
      <c r="F200" s="26" t="str">
        <f t="shared" si="152"/>
        <v>C</v>
      </c>
      <c r="G200" s="8"/>
      <c r="H200" s="8">
        <v>389</v>
      </c>
      <c r="I200" s="8">
        <v>378</v>
      </c>
      <c r="J200" s="8">
        <v>1642</v>
      </c>
      <c r="K200" s="9">
        <f t="shared" si="214"/>
        <v>2031</v>
      </c>
      <c r="L200" s="12">
        <v>443</v>
      </c>
      <c r="M200" s="11">
        <f t="shared" si="193"/>
        <v>22150</v>
      </c>
      <c r="N200" s="12">
        <v>840</v>
      </c>
      <c r="O200" s="11">
        <f t="shared" si="194"/>
        <v>42000</v>
      </c>
      <c r="P200" s="12">
        <v>8242</v>
      </c>
      <c r="Q200" s="11">
        <f t="shared" si="195"/>
        <v>494520</v>
      </c>
      <c r="X200" s="12">
        <v>1391</v>
      </c>
      <c r="Y200" s="11">
        <f t="shared" si="196"/>
        <v>83460</v>
      </c>
      <c r="AG200" s="11">
        <f t="shared" si="197"/>
        <v>0</v>
      </c>
      <c r="AH200" s="12">
        <v>91</v>
      </c>
      <c r="AI200" s="11">
        <f t="shared" si="198"/>
        <v>5915</v>
      </c>
      <c r="AJ200" s="12">
        <v>1982</v>
      </c>
      <c r="AK200" s="13">
        <f t="shared" si="199"/>
        <v>17838</v>
      </c>
      <c r="AL200" s="12">
        <v>217</v>
      </c>
      <c r="AM200" s="13">
        <f t="shared" si="200"/>
        <v>1953</v>
      </c>
      <c r="AO200" s="11">
        <f t="shared" si="201"/>
        <v>0</v>
      </c>
      <c r="AQ200" s="11">
        <f t="shared" si="202"/>
        <v>0</v>
      </c>
      <c r="AS200" s="11">
        <f t="shared" si="203"/>
        <v>0</v>
      </c>
      <c r="AU200" s="11">
        <f t="shared" si="204"/>
        <v>0</v>
      </c>
      <c r="AV200" s="12">
        <v>450</v>
      </c>
      <c r="AW200" s="11">
        <f t="shared" si="205"/>
        <v>27000</v>
      </c>
      <c r="AY200" s="11">
        <f t="shared" si="206"/>
        <v>0</v>
      </c>
      <c r="BA200" s="11">
        <f t="shared" si="207"/>
        <v>0</v>
      </c>
      <c r="BC200" s="11">
        <f t="shared" si="208"/>
        <v>0</v>
      </c>
      <c r="BE200" s="11">
        <f t="shared" si="209"/>
        <v>0</v>
      </c>
      <c r="BG200" s="11">
        <f t="shared" si="210"/>
        <v>0</v>
      </c>
      <c r="BN200" s="8">
        <f t="shared" si="212"/>
        <v>12508</v>
      </c>
      <c r="BO200" s="8">
        <f t="shared" si="213"/>
        <v>644968</v>
      </c>
      <c r="BP200" s="8">
        <f t="shared" si="153"/>
        <v>2539</v>
      </c>
      <c r="BQ200" s="12">
        <f t="shared" si="154"/>
        <v>133328</v>
      </c>
    </row>
    <row r="201" spans="1:69">
      <c r="A201" s="28">
        <v>1980</v>
      </c>
      <c r="B201" s="27" t="s">
        <v>22</v>
      </c>
      <c r="C201" s="24">
        <f t="shared" si="192"/>
        <v>176</v>
      </c>
      <c r="D201" s="7" t="e">
        <f t="shared" ca="1" si="211"/>
        <v>#N/A</v>
      </c>
      <c r="E201" s="26">
        <f t="array" aca="1" ref="E201" ca="1">AVERAGE(IF(INDIRECT(DatCol&amp;"$"&amp;TEXT(C201,"###")):INDIRECT(DatCol&amp;"$"&amp;TEXT(C201+57,"###"))&gt;0,INDIRECT(DatCol&amp;"$"&amp;TEXT(C201,"###")):INDIRECT(DatCol&amp;"$"&amp;TEXT(C201+57,"###"))))</f>
        <v>1119.8333333333333</v>
      </c>
      <c r="F201" s="26" t="str">
        <f t="shared" si="152"/>
        <v>C</v>
      </c>
      <c r="G201" s="8"/>
      <c r="H201" s="8">
        <v>529</v>
      </c>
      <c r="I201" s="8">
        <v>772</v>
      </c>
      <c r="J201" s="8">
        <v>1950</v>
      </c>
      <c r="K201" s="9">
        <f t="shared" si="214"/>
        <v>2479</v>
      </c>
      <c r="L201" s="12">
        <v>558</v>
      </c>
      <c r="M201" s="11">
        <f t="shared" si="193"/>
        <v>27900</v>
      </c>
      <c r="N201" s="12">
        <v>957</v>
      </c>
      <c r="O201" s="11">
        <f t="shared" si="194"/>
        <v>47850</v>
      </c>
      <c r="P201" s="12">
        <v>8324</v>
      </c>
      <c r="Q201" s="11">
        <f t="shared" si="195"/>
        <v>499440</v>
      </c>
      <c r="X201" s="12">
        <v>1343</v>
      </c>
      <c r="Y201" s="11">
        <f t="shared" si="196"/>
        <v>80580</v>
      </c>
      <c r="AG201" s="11">
        <f t="shared" si="197"/>
        <v>0</v>
      </c>
      <c r="AH201" s="12">
        <v>77</v>
      </c>
      <c r="AI201" s="11">
        <f t="shared" si="198"/>
        <v>5005</v>
      </c>
      <c r="AJ201" s="12">
        <v>46000</v>
      </c>
      <c r="AK201" s="13">
        <f t="shared" si="199"/>
        <v>414000</v>
      </c>
      <c r="AL201" s="12">
        <v>2788</v>
      </c>
      <c r="AM201" s="13">
        <f t="shared" si="200"/>
        <v>25092</v>
      </c>
      <c r="AO201" s="11">
        <f t="shared" si="201"/>
        <v>0</v>
      </c>
      <c r="AQ201" s="11">
        <f t="shared" si="202"/>
        <v>0</v>
      </c>
      <c r="AS201" s="11">
        <f t="shared" si="203"/>
        <v>0</v>
      </c>
      <c r="AU201" s="11">
        <f t="shared" si="204"/>
        <v>0</v>
      </c>
      <c r="AV201" s="12">
        <v>1250</v>
      </c>
      <c r="AW201" s="11">
        <f t="shared" si="205"/>
        <v>75000</v>
      </c>
      <c r="AY201" s="11">
        <f t="shared" si="206"/>
        <v>0</v>
      </c>
      <c r="BA201" s="11">
        <f t="shared" si="207"/>
        <v>0</v>
      </c>
      <c r="BC201" s="11">
        <f t="shared" si="208"/>
        <v>0</v>
      </c>
      <c r="BE201" s="11">
        <f t="shared" si="209"/>
        <v>0</v>
      </c>
      <c r="BG201" s="11">
        <f t="shared" si="210"/>
        <v>0</v>
      </c>
      <c r="BN201" s="8">
        <f t="shared" si="212"/>
        <v>57475</v>
      </c>
      <c r="BO201" s="8">
        <f t="shared" si="213"/>
        <v>1096920</v>
      </c>
      <c r="BP201" s="8">
        <f t="shared" si="153"/>
        <v>5165</v>
      </c>
      <c r="BQ201" s="12">
        <f t="shared" si="154"/>
        <v>158527</v>
      </c>
    </row>
    <row r="202" spans="1:69">
      <c r="A202" s="28">
        <v>1981</v>
      </c>
      <c r="B202" s="27" t="s">
        <v>22</v>
      </c>
      <c r="C202" s="24">
        <f t="shared" si="192"/>
        <v>176</v>
      </c>
      <c r="D202" s="7" t="e">
        <f t="shared" ca="1" si="211"/>
        <v>#N/A</v>
      </c>
      <c r="E202" s="26">
        <f t="array" aca="1" ref="E202" ca="1">AVERAGE(IF(INDIRECT(DatCol&amp;"$"&amp;TEXT(C202,"###")):INDIRECT(DatCol&amp;"$"&amp;TEXT(C202+57,"###"))&gt;0,INDIRECT(DatCol&amp;"$"&amp;TEXT(C202,"###")):INDIRECT(DatCol&amp;"$"&amp;TEXT(C202+57,"###"))))</f>
        <v>1119.8333333333333</v>
      </c>
      <c r="F202" s="26" t="str">
        <f t="shared" si="152"/>
        <v>C</v>
      </c>
      <c r="G202" s="8"/>
      <c r="H202" s="8">
        <v>591</v>
      </c>
      <c r="I202" s="8">
        <v>622</v>
      </c>
      <c r="J202" s="8">
        <v>1872</v>
      </c>
      <c r="K202" s="9">
        <f t="shared" si="214"/>
        <v>2463</v>
      </c>
      <c r="L202" s="12">
        <v>3515</v>
      </c>
      <c r="M202" s="11">
        <f t="shared" si="193"/>
        <v>175750</v>
      </c>
      <c r="N202" s="12">
        <v>1371</v>
      </c>
      <c r="O202" s="11">
        <f t="shared" si="194"/>
        <v>68550</v>
      </c>
      <c r="P202" s="12">
        <v>9399</v>
      </c>
      <c r="Q202" s="11">
        <f t="shared" si="195"/>
        <v>563940</v>
      </c>
      <c r="X202" s="12">
        <v>1509</v>
      </c>
      <c r="Y202" s="11">
        <f t="shared" si="196"/>
        <v>90540</v>
      </c>
      <c r="AG202" s="11">
        <f t="shared" si="197"/>
        <v>0</v>
      </c>
      <c r="AH202" s="12">
        <v>131</v>
      </c>
      <c r="AI202" s="11">
        <f t="shared" si="198"/>
        <v>8515</v>
      </c>
      <c r="AJ202" s="12">
        <v>6000</v>
      </c>
      <c r="AK202" s="13">
        <f t="shared" si="199"/>
        <v>54000</v>
      </c>
      <c r="AL202" s="12">
        <v>307</v>
      </c>
      <c r="AM202" s="13">
        <f t="shared" si="200"/>
        <v>2763</v>
      </c>
      <c r="AO202" s="11">
        <f t="shared" si="201"/>
        <v>0</v>
      </c>
      <c r="AQ202" s="11">
        <f t="shared" si="202"/>
        <v>0</v>
      </c>
      <c r="AS202" s="11">
        <f t="shared" si="203"/>
        <v>0</v>
      </c>
      <c r="AU202" s="11">
        <f t="shared" si="204"/>
        <v>0</v>
      </c>
      <c r="AV202" s="12">
        <v>1300</v>
      </c>
      <c r="AW202" s="11">
        <f t="shared" si="205"/>
        <v>78000</v>
      </c>
      <c r="AY202" s="11">
        <f t="shared" si="206"/>
        <v>0</v>
      </c>
      <c r="BA202" s="11">
        <f t="shared" si="207"/>
        <v>0</v>
      </c>
      <c r="BC202" s="11">
        <f t="shared" si="208"/>
        <v>0</v>
      </c>
      <c r="BE202" s="11">
        <f t="shared" si="209"/>
        <v>0</v>
      </c>
      <c r="BG202" s="11">
        <f t="shared" si="210"/>
        <v>0</v>
      </c>
      <c r="BN202" s="8">
        <f t="shared" si="212"/>
        <v>21723</v>
      </c>
      <c r="BO202" s="8">
        <f t="shared" si="213"/>
        <v>962230</v>
      </c>
      <c r="BP202" s="8">
        <f t="shared" si="153"/>
        <v>3318</v>
      </c>
      <c r="BQ202" s="12">
        <f t="shared" si="154"/>
        <v>170368</v>
      </c>
    </row>
    <row r="203" spans="1:69">
      <c r="A203" s="28">
        <v>1982</v>
      </c>
      <c r="B203" s="27" t="s">
        <v>22</v>
      </c>
      <c r="C203" s="24">
        <f t="shared" si="192"/>
        <v>176</v>
      </c>
      <c r="D203" s="7" t="e">
        <f t="shared" ca="1" si="211"/>
        <v>#N/A</v>
      </c>
      <c r="E203" s="26">
        <f t="array" aca="1" ref="E203" ca="1">AVERAGE(IF(INDIRECT(DatCol&amp;"$"&amp;TEXT(C203,"###")):INDIRECT(DatCol&amp;"$"&amp;TEXT(C203+57,"###"))&gt;0,INDIRECT(DatCol&amp;"$"&amp;TEXT(C203,"###")):INDIRECT(DatCol&amp;"$"&amp;TEXT(C203+57,"###"))))</f>
        <v>1119.8333333333333</v>
      </c>
      <c r="F203" s="26" t="str">
        <f t="shared" ref="F203:F269" si="215">VLOOKUP(B203,town_region,2,FALSE)</f>
        <v>C</v>
      </c>
      <c r="G203" s="8"/>
      <c r="H203" s="8">
        <v>580</v>
      </c>
      <c r="I203" s="8">
        <v>842</v>
      </c>
      <c r="J203" s="8">
        <v>1754</v>
      </c>
      <c r="K203" s="9">
        <f t="shared" si="214"/>
        <v>2334</v>
      </c>
      <c r="L203" s="12">
        <v>5621</v>
      </c>
      <c r="M203" s="11">
        <f t="shared" si="193"/>
        <v>281050</v>
      </c>
      <c r="N203" s="12">
        <v>1659</v>
      </c>
      <c r="O203" s="11">
        <f t="shared" si="194"/>
        <v>82950</v>
      </c>
      <c r="P203" s="12">
        <v>10266</v>
      </c>
      <c r="Q203" s="11">
        <f t="shared" si="195"/>
        <v>615960</v>
      </c>
      <c r="X203" s="12">
        <v>1734</v>
      </c>
      <c r="Y203" s="11">
        <f t="shared" si="196"/>
        <v>104040</v>
      </c>
      <c r="AG203" s="11">
        <f t="shared" si="197"/>
        <v>0</v>
      </c>
      <c r="AH203" s="12">
        <v>76</v>
      </c>
      <c r="AI203" s="11">
        <f t="shared" si="198"/>
        <v>4940</v>
      </c>
      <c r="AJ203" s="12">
        <v>51000</v>
      </c>
      <c r="AK203" s="13">
        <f t="shared" si="199"/>
        <v>459000</v>
      </c>
      <c r="AL203" s="12">
        <v>3405</v>
      </c>
      <c r="AM203" s="13">
        <f t="shared" si="200"/>
        <v>30645</v>
      </c>
      <c r="AO203" s="11">
        <f t="shared" si="201"/>
        <v>0</v>
      </c>
      <c r="AQ203" s="11">
        <f t="shared" si="202"/>
        <v>0</v>
      </c>
      <c r="AR203" s="12">
        <v>16000</v>
      </c>
      <c r="AS203" s="11">
        <f t="shared" si="203"/>
        <v>800000</v>
      </c>
      <c r="AT203" s="12">
        <v>67</v>
      </c>
      <c r="AU203" s="11">
        <f t="shared" si="204"/>
        <v>3350</v>
      </c>
      <c r="AV203" s="12">
        <v>1500</v>
      </c>
      <c r="AW203" s="11">
        <f t="shared" si="205"/>
        <v>90000</v>
      </c>
      <c r="AY203" s="11">
        <f t="shared" si="206"/>
        <v>0</v>
      </c>
      <c r="BA203" s="11">
        <f t="shared" si="207"/>
        <v>0</v>
      </c>
      <c r="BC203" s="11">
        <f t="shared" si="208"/>
        <v>0</v>
      </c>
      <c r="BE203" s="11">
        <f t="shared" si="209"/>
        <v>0</v>
      </c>
      <c r="BG203" s="11">
        <f t="shared" si="210"/>
        <v>0</v>
      </c>
      <c r="BH203" s="13">
        <v>12000</v>
      </c>
      <c r="BN203" s="8">
        <f t="shared" si="212"/>
        <v>86121</v>
      </c>
      <c r="BO203" s="8">
        <f t="shared" si="213"/>
        <v>2350050</v>
      </c>
      <c r="BP203" s="8">
        <f t="shared" si="153"/>
        <v>6941</v>
      </c>
      <c r="BQ203" s="12">
        <f t="shared" si="154"/>
        <v>225925</v>
      </c>
    </row>
    <row r="204" spans="1:69">
      <c r="A204" s="28">
        <v>1983</v>
      </c>
      <c r="B204" s="27" t="s">
        <v>22</v>
      </c>
      <c r="C204" s="24">
        <f t="shared" si="192"/>
        <v>176</v>
      </c>
      <c r="D204" s="7" t="e">
        <f t="shared" ca="1" si="211"/>
        <v>#N/A</v>
      </c>
      <c r="E204" s="26">
        <f t="array" aca="1" ref="E204" ca="1">AVERAGE(IF(INDIRECT(DatCol&amp;"$"&amp;TEXT(C204,"###")):INDIRECT(DatCol&amp;"$"&amp;TEXT(C204+57,"###"))&gt;0,INDIRECT(DatCol&amp;"$"&amp;TEXT(C204,"###")):INDIRECT(DatCol&amp;"$"&amp;TEXT(C204+57,"###"))))</f>
        <v>1119.8333333333333</v>
      </c>
      <c r="F204" s="26" t="str">
        <f t="shared" si="215"/>
        <v>C</v>
      </c>
      <c r="G204" s="8"/>
      <c r="H204" s="8">
        <v>321</v>
      </c>
      <c r="I204" s="8">
        <v>385</v>
      </c>
      <c r="J204" s="8">
        <v>1908</v>
      </c>
      <c r="K204" s="9">
        <f t="shared" si="214"/>
        <v>2229</v>
      </c>
      <c r="L204" s="12">
        <v>7688</v>
      </c>
      <c r="M204" s="11">
        <f t="shared" si="193"/>
        <v>384400</v>
      </c>
      <c r="N204" s="12">
        <v>1958</v>
      </c>
      <c r="O204" s="11">
        <f t="shared" si="194"/>
        <v>97900</v>
      </c>
      <c r="P204" s="12">
        <v>8498</v>
      </c>
      <c r="Q204" s="11">
        <f t="shared" si="195"/>
        <v>509880</v>
      </c>
      <c r="X204" s="12">
        <v>1635</v>
      </c>
      <c r="Y204" s="11">
        <f t="shared" si="196"/>
        <v>98100</v>
      </c>
      <c r="AG204" s="11">
        <f t="shared" si="197"/>
        <v>0</v>
      </c>
      <c r="AH204" s="12">
        <v>177</v>
      </c>
      <c r="AI204" s="11">
        <f t="shared" si="198"/>
        <v>11505</v>
      </c>
      <c r="AJ204" s="12">
        <v>30268</v>
      </c>
      <c r="AK204" s="13">
        <f t="shared" si="199"/>
        <v>272412</v>
      </c>
      <c r="AL204" s="12">
        <v>1021</v>
      </c>
      <c r="AM204" s="13">
        <f t="shared" si="200"/>
        <v>9189</v>
      </c>
      <c r="AO204" s="11">
        <f t="shared" si="201"/>
        <v>0</v>
      </c>
      <c r="AQ204" s="11">
        <f t="shared" si="202"/>
        <v>0</v>
      </c>
      <c r="AR204" s="12">
        <v>23000</v>
      </c>
      <c r="AS204" s="11">
        <f t="shared" si="203"/>
        <v>1150000</v>
      </c>
      <c r="AT204" s="12">
        <v>130</v>
      </c>
      <c r="AU204" s="11">
        <f t="shared" si="204"/>
        <v>6500</v>
      </c>
      <c r="AV204" s="12">
        <v>2000</v>
      </c>
      <c r="AW204" s="11">
        <f t="shared" si="205"/>
        <v>120000</v>
      </c>
      <c r="AY204" s="11">
        <f t="shared" si="206"/>
        <v>0</v>
      </c>
      <c r="BA204" s="11">
        <f t="shared" si="207"/>
        <v>0</v>
      </c>
      <c r="BC204" s="11">
        <f t="shared" si="208"/>
        <v>0</v>
      </c>
      <c r="BE204" s="11">
        <f t="shared" si="209"/>
        <v>0</v>
      </c>
      <c r="BG204" s="11">
        <f t="shared" si="210"/>
        <v>0</v>
      </c>
      <c r="BH204" s="13">
        <v>900</v>
      </c>
      <c r="BN204" s="8">
        <f t="shared" si="212"/>
        <v>73089</v>
      </c>
      <c r="BO204" s="8">
        <f t="shared" si="213"/>
        <v>2534792</v>
      </c>
      <c r="BP204" s="8">
        <f t="shared" si="153"/>
        <v>4921</v>
      </c>
      <c r="BQ204" s="12">
        <f t="shared" si="154"/>
        <v>223194</v>
      </c>
    </row>
    <row r="205" spans="1:69">
      <c r="A205" s="28">
        <v>1984</v>
      </c>
      <c r="B205" s="27" t="s">
        <v>22</v>
      </c>
      <c r="C205" s="24">
        <f t="shared" si="192"/>
        <v>176</v>
      </c>
      <c r="D205" s="7" t="e">
        <f t="shared" ca="1" si="211"/>
        <v>#N/A</v>
      </c>
      <c r="E205" s="26">
        <f t="array" aca="1" ref="E205" ca="1">AVERAGE(IF(INDIRECT(DatCol&amp;"$"&amp;TEXT(C205,"###")):INDIRECT(DatCol&amp;"$"&amp;TEXT(C205+57,"###"))&gt;0,INDIRECT(DatCol&amp;"$"&amp;TEXT(C205,"###")):INDIRECT(DatCol&amp;"$"&amp;TEXT(C205+57,"###"))))</f>
        <v>1119.8333333333333</v>
      </c>
      <c r="F205" s="26" t="str">
        <f t="shared" si="215"/>
        <v>C</v>
      </c>
      <c r="G205" s="8"/>
      <c r="H205" s="8">
        <v>380</v>
      </c>
      <c r="I205" s="8">
        <v>516</v>
      </c>
      <c r="J205" s="8">
        <v>1400</v>
      </c>
      <c r="K205" s="9">
        <f t="shared" si="214"/>
        <v>1780</v>
      </c>
      <c r="L205" s="12">
        <v>5699</v>
      </c>
      <c r="M205" s="11">
        <f t="shared" si="193"/>
        <v>284950</v>
      </c>
      <c r="N205" s="12">
        <v>1474</v>
      </c>
      <c r="O205" s="11">
        <f t="shared" si="194"/>
        <v>73700</v>
      </c>
      <c r="P205" s="12">
        <v>3765</v>
      </c>
      <c r="Q205" s="11">
        <f t="shared" si="195"/>
        <v>225900</v>
      </c>
      <c r="X205" s="12">
        <v>1326</v>
      </c>
      <c r="Y205" s="11">
        <f t="shared" si="196"/>
        <v>79560</v>
      </c>
      <c r="AG205" s="11">
        <f t="shared" si="197"/>
        <v>0</v>
      </c>
      <c r="AH205" s="12">
        <v>283</v>
      </c>
      <c r="AI205" s="11">
        <f t="shared" si="198"/>
        <v>18395</v>
      </c>
      <c r="AJ205" s="12">
        <v>28160</v>
      </c>
      <c r="AK205" s="13">
        <f t="shared" si="199"/>
        <v>253440</v>
      </c>
      <c r="AL205" s="12">
        <v>1243</v>
      </c>
      <c r="AM205" s="13">
        <f t="shared" si="200"/>
        <v>11187</v>
      </c>
      <c r="AO205" s="11">
        <f t="shared" si="201"/>
        <v>0</v>
      </c>
      <c r="AQ205" s="11">
        <f t="shared" si="202"/>
        <v>0</v>
      </c>
      <c r="AS205" s="11">
        <f t="shared" si="203"/>
        <v>0</v>
      </c>
      <c r="AT205" s="12">
        <v>5</v>
      </c>
      <c r="AU205" s="11">
        <f t="shared" si="204"/>
        <v>250</v>
      </c>
      <c r="AV205" s="12">
        <v>2000</v>
      </c>
      <c r="AW205" s="11">
        <f t="shared" si="205"/>
        <v>120000</v>
      </c>
      <c r="AY205" s="11">
        <f t="shared" si="206"/>
        <v>0</v>
      </c>
      <c r="BA205" s="11">
        <f t="shared" si="207"/>
        <v>0</v>
      </c>
      <c r="BC205" s="11">
        <f t="shared" si="208"/>
        <v>0</v>
      </c>
      <c r="BE205" s="11">
        <f t="shared" si="209"/>
        <v>0</v>
      </c>
      <c r="BG205" s="11">
        <f t="shared" si="210"/>
        <v>0</v>
      </c>
      <c r="BN205" s="8">
        <f t="shared" si="212"/>
        <v>40950</v>
      </c>
      <c r="BO205" s="8">
        <f t="shared" si="213"/>
        <v>963850</v>
      </c>
      <c r="BP205" s="8">
        <f t="shared" si="153"/>
        <v>4331</v>
      </c>
      <c r="BQ205" s="12">
        <f t="shared" si="154"/>
        <v>183092</v>
      </c>
    </row>
    <row r="206" spans="1:69">
      <c r="A206" s="28">
        <v>1985</v>
      </c>
      <c r="B206" s="27" t="s">
        <v>22</v>
      </c>
      <c r="C206" s="24">
        <f t="shared" si="192"/>
        <v>176</v>
      </c>
      <c r="D206" s="7" t="e">
        <f t="shared" ca="1" si="211"/>
        <v>#N/A</v>
      </c>
      <c r="E206" s="26">
        <f t="array" aca="1" ref="E206" ca="1">AVERAGE(IF(INDIRECT(DatCol&amp;"$"&amp;TEXT(C206,"###")):INDIRECT(DatCol&amp;"$"&amp;TEXT(C206+57,"###"))&gt;0,INDIRECT(DatCol&amp;"$"&amp;TEXT(C206,"###")):INDIRECT(DatCol&amp;"$"&amp;TEXT(C206+57,"###"))))</f>
        <v>1119.8333333333333</v>
      </c>
      <c r="F206" s="26" t="str">
        <f t="shared" si="215"/>
        <v>C</v>
      </c>
      <c r="G206" s="8"/>
      <c r="H206" s="8">
        <v>418</v>
      </c>
      <c r="I206" s="8">
        <v>312</v>
      </c>
      <c r="J206" s="8">
        <v>1358</v>
      </c>
      <c r="K206" s="9">
        <f t="shared" si="214"/>
        <v>1776</v>
      </c>
      <c r="L206" s="12">
        <v>2388</v>
      </c>
      <c r="M206" s="11">
        <f t="shared" si="193"/>
        <v>119400</v>
      </c>
      <c r="N206" s="12">
        <v>1942</v>
      </c>
      <c r="O206" s="11">
        <f t="shared" si="194"/>
        <v>97100</v>
      </c>
      <c r="P206" s="12">
        <v>9291</v>
      </c>
      <c r="Q206" s="11">
        <f t="shared" si="195"/>
        <v>557460</v>
      </c>
      <c r="X206" s="12">
        <v>1461</v>
      </c>
      <c r="Y206" s="11">
        <f t="shared" si="196"/>
        <v>87660</v>
      </c>
      <c r="AG206" s="11">
        <f t="shared" si="197"/>
        <v>0</v>
      </c>
      <c r="AH206" s="12">
        <v>139</v>
      </c>
      <c r="AI206" s="11">
        <f t="shared" si="198"/>
        <v>9035</v>
      </c>
      <c r="AJ206" s="12">
        <v>11857</v>
      </c>
      <c r="AK206" s="13">
        <f t="shared" si="199"/>
        <v>106713</v>
      </c>
      <c r="AL206" s="12">
        <v>627</v>
      </c>
      <c r="AM206" s="13">
        <f t="shared" si="200"/>
        <v>5643</v>
      </c>
      <c r="AO206" s="11">
        <f t="shared" si="201"/>
        <v>0</v>
      </c>
      <c r="AQ206" s="11">
        <f t="shared" si="202"/>
        <v>0</v>
      </c>
      <c r="AR206" s="12">
        <v>530</v>
      </c>
      <c r="AS206" s="11">
        <f t="shared" si="203"/>
        <v>26500</v>
      </c>
      <c r="AT206" s="12">
        <v>87</v>
      </c>
      <c r="AU206" s="11">
        <f t="shared" si="204"/>
        <v>4350</v>
      </c>
      <c r="AW206" s="11">
        <f t="shared" si="205"/>
        <v>0</v>
      </c>
      <c r="AY206" s="11">
        <f t="shared" si="206"/>
        <v>0</v>
      </c>
      <c r="BA206" s="11">
        <f t="shared" si="207"/>
        <v>0</v>
      </c>
      <c r="BC206" s="11">
        <f t="shared" si="208"/>
        <v>0</v>
      </c>
      <c r="BE206" s="11">
        <f t="shared" si="209"/>
        <v>0</v>
      </c>
      <c r="BG206" s="11">
        <f t="shared" si="210"/>
        <v>0</v>
      </c>
      <c r="BN206" s="8">
        <f t="shared" si="212"/>
        <v>25527</v>
      </c>
      <c r="BO206" s="8">
        <f t="shared" si="213"/>
        <v>897733</v>
      </c>
      <c r="BP206" s="8">
        <f t="shared" si="153"/>
        <v>4256</v>
      </c>
      <c r="BQ206" s="12">
        <f t="shared" si="154"/>
        <v>203788</v>
      </c>
    </row>
    <row r="207" spans="1:69">
      <c r="A207" s="28">
        <v>1986</v>
      </c>
      <c r="B207" s="27" t="s">
        <v>22</v>
      </c>
      <c r="C207" s="24">
        <f t="shared" si="192"/>
        <v>176</v>
      </c>
      <c r="D207" s="7" t="e">
        <f t="shared" ca="1" si="211"/>
        <v>#N/A</v>
      </c>
      <c r="E207" s="26">
        <f t="array" aca="1" ref="E207" ca="1">AVERAGE(IF(INDIRECT(DatCol&amp;"$"&amp;TEXT(C207,"###")):INDIRECT(DatCol&amp;"$"&amp;TEXT(C207+57,"###"))&gt;0,INDIRECT(DatCol&amp;"$"&amp;TEXT(C207,"###")):INDIRECT(DatCol&amp;"$"&amp;TEXT(C207+57,"###"))))</f>
        <v>1119.8333333333333</v>
      </c>
      <c r="F207" s="26" t="str">
        <f t="shared" si="215"/>
        <v>C</v>
      </c>
      <c r="G207" s="8">
        <v>135</v>
      </c>
      <c r="H207" s="8">
        <v>410</v>
      </c>
      <c r="I207" s="8">
        <v>246</v>
      </c>
      <c r="J207" s="8">
        <v>1226</v>
      </c>
      <c r="K207" s="9">
        <f t="shared" si="214"/>
        <v>1771</v>
      </c>
      <c r="L207" s="12">
        <v>2033</v>
      </c>
      <c r="M207" s="11">
        <f t="shared" si="193"/>
        <v>101650</v>
      </c>
      <c r="N207" s="12">
        <v>1405</v>
      </c>
      <c r="O207" s="11">
        <f t="shared" si="194"/>
        <v>70250</v>
      </c>
      <c r="P207" s="12">
        <v>9685</v>
      </c>
      <c r="Q207" s="11">
        <f t="shared" si="195"/>
        <v>581100</v>
      </c>
      <c r="X207" s="12">
        <v>1272</v>
      </c>
      <c r="Y207" s="11">
        <f t="shared" si="196"/>
        <v>76320</v>
      </c>
      <c r="AG207" s="11">
        <f t="shared" si="197"/>
        <v>0</v>
      </c>
      <c r="AH207" s="12">
        <v>78</v>
      </c>
      <c r="AI207" s="11">
        <f t="shared" si="198"/>
        <v>5070</v>
      </c>
      <c r="AJ207" s="12">
        <v>672</v>
      </c>
      <c r="AK207" s="13">
        <f t="shared" si="199"/>
        <v>6048</v>
      </c>
      <c r="AL207" s="12">
        <v>124</v>
      </c>
      <c r="AM207" s="13">
        <f t="shared" si="200"/>
        <v>1116</v>
      </c>
      <c r="AO207" s="11">
        <f t="shared" si="201"/>
        <v>0</v>
      </c>
      <c r="AQ207" s="11">
        <f t="shared" si="202"/>
        <v>0</v>
      </c>
      <c r="AR207" s="12">
        <v>91070</v>
      </c>
      <c r="AS207" s="11">
        <f t="shared" si="203"/>
        <v>4553500</v>
      </c>
      <c r="AT207" s="12">
        <v>136</v>
      </c>
      <c r="AU207" s="11">
        <f t="shared" si="204"/>
        <v>6800</v>
      </c>
      <c r="AV207" s="12">
        <v>3000</v>
      </c>
      <c r="AW207" s="11">
        <f t="shared" si="205"/>
        <v>180000</v>
      </c>
      <c r="AY207" s="11">
        <f t="shared" si="206"/>
        <v>0</v>
      </c>
      <c r="AZ207" s="12">
        <v>700</v>
      </c>
      <c r="BA207" s="11">
        <f t="shared" si="207"/>
        <v>28000</v>
      </c>
      <c r="BC207" s="11">
        <f t="shared" si="208"/>
        <v>0</v>
      </c>
      <c r="BE207" s="11">
        <f t="shared" si="209"/>
        <v>0</v>
      </c>
      <c r="BG207" s="11">
        <f t="shared" si="210"/>
        <v>0</v>
      </c>
      <c r="BN207" s="8">
        <f t="shared" si="212"/>
        <v>108432</v>
      </c>
      <c r="BO207" s="8">
        <f t="shared" si="213"/>
        <v>5526618</v>
      </c>
      <c r="BP207" s="8">
        <f t="shared" ref="BP207:BP271" si="216">(N207+X207+Z207+AB207+AD207+AH207+AL207+AP207+AT207+AX207+BB207+BF207)</f>
        <v>3015</v>
      </c>
      <c r="BQ207" s="12">
        <f t="shared" ref="BQ207:BQ271" si="217">(O207+Y207+AA207+AC207+AE207+AI207+AM207+AQ207+AU207+AY207+BC207+BG207)</f>
        <v>159556</v>
      </c>
    </row>
    <row r="208" spans="1:69">
      <c r="A208" s="28">
        <v>1987</v>
      </c>
      <c r="B208" s="27" t="s">
        <v>22</v>
      </c>
      <c r="C208" s="24">
        <f t="shared" si="192"/>
        <v>176</v>
      </c>
      <c r="D208" s="7" t="e">
        <f t="shared" ca="1" si="211"/>
        <v>#N/A</v>
      </c>
      <c r="E208" s="26">
        <f t="array" aca="1" ref="E208" ca="1">AVERAGE(IF(INDIRECT(DatCol&amp;"$"&amp;TEXT(C208,"###")):INDIRECT(DatCol&amp;"$"&amp;TEXT(C208+57,"###"))&gt;0,INDIRECT(DatCol&amp;"$"&amp;TEXT(C208,"###")):INDIRECT(DatCol&amp;"$"&amp;TEXT(C208+57,"###"))))</f>
        <v>1119.8333333333333</v>
      </c>
      <c r="F208" s="26" t="str">
        <f t="shared" si="215"/>
        <v>C</v>
      </c>
      <c r="G208" s="8">
        <v>152</v>
      </c>
      <c r="H208" s="8">
        <v>368</v>
      </c>
      <c r="I208" s="8">
        <v>269</v>
      </c>
      <c r="J208" s="8">
        <v>1435</v>
      </c>
      <c r="K208" s="9">
        <f t="shared" si="214"/>
        <v>1955</v>
      </c>
      <c r="L208" s="12">
        <v>2298</v>
      </c>
      <c r="M208" s="11">
        <f t="shared" ref="M208:M238" si="218">(L208*50)</f>
        <v>114900</v>
      </c>
      <c r="N208" s="12">
        <v>1038</v>
      </c>
      <c r="O208" s="11">
        <f t="shared" ref="O208:O238" si="219">(N208*50)</f>
        <v>51900</v>
      </c>
      <c r="P208" s="12">
        <v>9219</v>
      </c>
      <c r="Q208" s="11">
        <f t="shared" ref="Q208:Q238" si="220">((P208*330)/5.5)</f>
        <v>553140</v>
      </c>
      <c r="X208" s="12">
        <v>1331</v>
      </c>
      <c r="Y208" s="11">
        <f t="shared" ref="Y208:Y238" si="221">((X208*330)/5.5)</f>
        <v>79860</v>
      </c>
      <c r="AG208" s="11">
        <f t="shared" ref="AG208:AG215" si="222">(AF208*65)</f>
        <v>0</v>
      </c>
      <c r="AH208" s="12">
        <v>74</v>
      </c>
      <c r="AI208" s="11">
        <f t="shared" ref="AI208:AI238" si="223">(AH208*65)</f>
        <v>4810</v>
      </c>
      <c r="AJ208" s="12">
        <v>102</v>
      </c>
      <c r="AK208" s="13">
        <f t="shared" ref="AK208:AK238" si="224">(AJ208*9)</f>
        <v>918</v>
      </c>
      <c r="AL208" s="12">
        <v>74</v>
      </c>
      <c r="AM208" s="13">
        <f t="shared" ref="AM208:AM238" si="225">(AL208*9)</f>
        <v>666</v>
      </c>
      <c r="AO208" s="11">
        <f t="shared" ref="AO208:AO238" si="226">(AN208*80)</f>
        <v>0</v>
      </c>
      <c r="AQ208" s="11">
        <f t="shared" ref="AQ208:AQ238" si="227">(AP208*80)</f>
        <v>0</v>
      </c>
      <c r="AR208" s="12">
        <v>95316</v>
      </c>
      <c r="AS208" s="11">
        <f t="shared" ref="AS208:AS238" si="228">(AR208*50)</f>
        <v>4765800</v>
      </c>
      <c r="AT208" s="12">
        <v>116</v>
      </c>
      <c r="AU208" s="11">
        <f t="shared" ref="AU208:AU238" si="229">(AT208*50)</f>
        <v>5800</v>
      </c>
      <c r="AW208" s="11">
        <f t="shared" ref="AW208:AW238" si="230">(AV208*60)</f>
        <v>0</v>
      </c>
      <c r="AY208" s="11">
        <f t="shared" ref="AY208:AY238" si="231">(AX208*60)</f>
        <v>0</v>
      </c>
      <c r="BA208" s="11">
        <f t="shared" ref="BA208:BA238" si="232">(AZ208*40)</f>
        <v>0</v>
      </c>
      <c r="BC208" s="11">
        <f t="shared" ref="BC208:BC238" si="233">(BB208*40)</f>
        <v>0</v>
      </c>
      <c r="BE208" s="11">
        <f t="shared" ref="BE208:BE238" si="234">(BD208*95)</f>
        <v>0</v>
      </c>
      <c r="BG208" s="11">
        <f t="shared" ref="BG208:BG238" si="235">(BF208*95)</f>
        <v>0</v>
      </c>
      <c r="BN208" s="8">
        <f t="shared" si="212"/>
        <v>108266</v>
      </c>
      <c r="BO208" s="8">
        <f t="shared" si="213"/>
        <v>5514618</v>
      </c>
      <c r="BP208" s="8">
        <f t="shared" si="216"/>
        <v>2633</v>
      </c>
      <c r="BQ208" s="12">
        <f t="shared" si="217"/>
        <v>143036</v>
      </c>
    </row>
    <row r="209" spans="1:69">
      <c r="A209" s="28">
        <v>1988</v>
      </c>
      <c r="B209" s="27" t="s">
        <v>22</v>
      </c>
      <c r="C209" s="24">
        <f t="shared" si="192"/>
        <v>176</v>
      </c>
      <c r="D209" s="7" t="e">
        <f t="shared" ca="1" si="211"/>
        <v>#N/A</v>
      </c>
      <c r="E209" s="26">
        <f t="array" aca="1" ref="E209" ca="1">AVERAGE(IF(INDIRECT(DatCol&amp;"$"&amp;TEXT(C209,"###")):INDIRECT(DatCol&amp;"$"&amp;TEXT(C209+57,"###"))&gt;0,INDIRECT(DatCol&amp;"$"&amp;TEXT(C209,"###")):INDIRECT(DatCol&amp;"$"&amp;TEXT(C209+57,"###"))))</f>
        <v>1119.8333333333333</v>
      </c>
      <c r="F209" s="26" t="str">
        <f t="shared" si="215"/>
        <v>C</v>
      </c>
      <c r="G209" s="8">
        <v>146</v>
      </c>
      <c r="H209" s="8">
        <v>356</v>
      </c>
      <c r="I209" s="8">
        <v>277</v>
      </c>
      <c r="J209" s="8">
        <v>1166</v>
      </c>
      <c r="K209" s="9">
        <f t="shared" si="214"/>
        <v>1668</v>
      </c>
      <c r="L209" s="12">
        <v>2007</v>
      </c>
      <c r="M209" s="11">
        <f t="shared" si="218"/>
        <v>100350</v>
      </c>
      <c r="N209" s="12">
        <v>943</v>
      </c>
      <c r="O209" s="11">
        <f t="shared" si="219"/>
        <v>47150</v>
      </c>
      <c r="P209" s="12">
        <v>11924</v>
      </c>
      <c r="Q209" s="11">
        <f t="shared" si="220"/>
        <v>715440</v>
      </c>
      <c r="X209" s="12">
        <v>1568</v>
      </c>
      <c r="Y209" s="11">
        <f t="shared" si="221"/>
        <v>94080</v>
      </c>
      <c r="AG209" s="11">
        <f t="shared" si="222"/>
        <v>0</v>
      </c>
      <c r="AH209" s="12">
        <v>69</v>
      </c>
      <c r="AI209" s="11">
        <f t="shared" si="223"/>
        <v>4485</v>
      </c>
      <c r="AJ209" s="12">
        <v>52</v>
      </c>
      <c r="AK209" s="13">
        <f t="shared" si="224"/>
        <v>468</v>
      </c>
      <c r="AL209" s="12">
        <v>0</v>
      </c>
      <c r="AM209" s="13">
        <f t="shared" si="225"/>
        <v>0</v>
      </c>
      <c r="AN209" s="12">
        <v>0</v>
      </c>
      <c r="AO209" s="11">
        <f t="shared" si="226"/>
        <v>0</v>
      </c>
      <c r="AP209" s="12">
        <v>0</v>
      </c>
      <c r="AQ209" s="11">
        <f t="shared" si="227"/>
        <v>0</v>
      </c>
      <c r="AR209" s="12">
        <v>0</v>
      </c>
      <c r="AS209" s="11">
        <f t="shared" si="228"/>
        <v>0</v>
      </c>
      <c r="AT209" s="12">
        <v>103</v>
      </c>
      <c r="AU209" s="11">
        <f t="shared" si="229"/>
        <v>5150</v>
      </c>
      <c r="AV209" s="12">
        <v>0</v>
      </c>
      <c r="AW209" s="11">
        <f t="shared" si="230"/>
        <v>0</v>
      </c>
      <c r="AX209" s="12">
        <v>0</v>
      </c>
      <c r="AY209" s="11">
        <f t="shared" si="231"/>
        <v>0</v>
      </c>
      <c r="AZ209" s="12">
        <v>0</v>
      </c>
      <c r="BA209" s="11">
        <f t="shared" si="232"/>
        <v>0</v>
      </c>
      <c r="BB209" s="12">
        <v>0</v>
      </c>
      <c r="BC209" s="11">
        <f t="shared" si="233"/>
        <v>0</v>
      </c>
      <c r="BD209" s="12">
        <v>0</v>
      </c>
      <c r="BE209" s="11">
        <f t="shared" si="234"/>
        <v>0</v>
      </c>
      <c r="BF209" s="12">
        <v>0</v>
      </c>
      <c r="BG209" s="11">
        <f t="shared" si="235"/>
        <v>0</v>
      </c>
      <c r="BH209" s="13">
        <v>0</v>
      </c>
      <c r="BN209" s="8">
        <f t="shared" si="212"/>
        <v>15551</v>
      </c>
      <c r="BO209" s="8">
        <f t="shared" si="213"/>
        <v>910338</v>
      </c>
      <c r="BP209" s="8">
        <f t="shared" si="216"/>
        <v>2683</v>
      </c>
      <c r="BQ209" s="12">
        <f t="shared" si="217"/>
        <v>150865</v>
      </c>
    </row>
    <row r="210" spans="1:69">
      <c r="A210" s="28">
        <v>1989</v>
      </c>
      <c r="B210" s="27" t="s">
        <v>22</v>
      </c>
      <c r="C210" s="24">
        <f t="shared" si="192"/>
        <v>176</v>
      </c>
      <c r="D210" s="7" t="e">
        <f t="shared" ca="1" si="211"/>
        <v>#N/A</v>
      </c>
      <c r="E210" s="26">
        <f t="array" aca="1" ref="E210" ca="1">AVERAGE(IF(INDIRECT(DatCol&amp;"$"&amp;TEXT(C210,"###")):INDIRECT(DatCol&amp;"$"&amp;TEXT(C210+57,"###"))&gt;0,INDIRECT(DatCol&amp;"$"&amp;TEXT(C210,"###")):INDIRECT(DatCol&amp;"$"&amp;TEXT(C210+57,"###"))))</f>
        <v>1119.8333333333333</v>
      </c>
      <c r="F210" s="26" t="str">
        <f t="shared" si="215"/>
        <v>C</v>
      </c>
      <c r="G210" s="8">
        <v>138</v>
      </c>
      <c r="H210" s="8">
        <v>335</v>
      </c>
      <c r="I210" s="8">
        <v>259</v>
      </c>
      <c r="J210" s="8">
        <v>1236</v>
      </c>
      <c r="K210" s="9">
        <f t="shared" si="214"/>
        <v>1709</v>
      </c>
      <c r="L210" s="12">
        <v>2000</v>
      </c>
      <c r="M210" s="11">
        <f t="shared" si="218"/>
        <v>100000</v>
      </c>
      <c r="N210" s="12">
        <v>946</v>
      </c>
      <c r="O210" s="11">
        <f t="shared" si="219"/>
        <v>47300</v>
      </c>
      <c r="P210" s="12">
        <v>9625</v>
      </c>
      <c r="Q210" s="11">
        <f t="shared" si="220"/>
        <v>577500</v>
      </c>
      <c r="X210" s="12">
        <v>800</v>
      </c>
      <c r="Y210" s="11">
        <f t="shared" si="221"/>
        <v>48000</v>
      </c>
      <c r="AF210" s="12">
        <v>0</v>
      </c>
      <c r="AG210" s="11">
        <f t="shared" si="222"/>
        <v>0</v>
      </c>
      <c r="AH210" s="12">
        <v>86</v>
      </c>
      <c r="AI210" s="11">
        <f t="shared" si="223"/>
        <v>5590</v>
      </c>
      <c r="AJ210" s="12">
        <v>1774</v>
      </c>
      <c r="AK210" s="13">
        <f t="shared" si="224"/>
        <v>15966</v>
      </c>
      <c r="AL210" s="12">
        <v>30</v>
      </c>
      <c r="AM210" s="13">
        <f t="shared" si="225"/>
        <v>270</v>
      </c>
      <c r="AN210" s="12">
        <v>0</v>
      </c>
      <c r="AO210" s="11">
        <f t="shared" si="226"/>
        <v>0</v>
      </c>
      <c r="AP210" s="12">
        <v>0</v>
      </c>
      <c r="AQ210" s="11">
        <f t="shared" si="227"/>
        <v>0</v>
      </c>
      <c r="AR210" s="12">
        <v>10200</v>
      </c>
      <c r="AS210" s="11">
        <f t="shared" si="228"/>
        <v>510000</v>
      </c>
      <c r="AT210" s="12">
        <v>0</v>
      </c>
      <c r="AU210" s="11">
        <f t="shared" si="229"/>
        <v>0</v>
      </c>
      <c r="AV210" s="12">
        <v>0</v>
      </c>
      <c r="AW210" s="11">
        <f t="shared" si="230"/>
        <v>0</v>
      </c>
      <c r="AY210" s="11">
        <f t="shared" si="231"/>
        <v>0</v>
      </c>
      <c r="BA210" s="11">
        <f t="shared" si="232"/>
        <v>0</v>
      </c>
      <c r="BC210" s="11">
        <f t="shared" si="233"/>
        <v>0</v>
      </c>
      <c r="BE210" s="11">
        <f t="shared" si="234"/>
        <v>0</v>
      </c>
      <c r="BG210" s="11">
        <f t="shared" si="235"/>
        <v>0</v>
      </c>
      <c r="BN210" s="8">
        <f t="shared" si="212"/>
        <v>24399</v>
      </c>
      <c r="BO210" s="8">
        <f t="shared" si="213"/>
        <v>1251466</v>
      </c>
      <c r="BP210" s="8">
        <f t="shared" si="216"/>
        <v>1862</v>
      </c>
      <c r="BQ210" s="12">
        <f t="shared" si="217"/>
        <v>101160</v>
      </c>
    </row>
    <row r="211" spans="1:69">
      <c r="A211" s="28">
        <v>1990</v>
      </c>
      <c r="B211" s="27" t="s">
        <v>22</v>
      </c>
      <c r="C211" s="24">
        <f t="shared" si="192"/>
        <v>176</v>
      </c>
      <c r="D211" s="7" t="e">
        <f t="shared" ca="1" si="211"/>
        <v>#N/A</v>
      </c>
      <c r="E211" s="26">
        <f t="array" aca="1" ref="E211" ca="1">AVERAGE(IF(INDIRECT(DatCol&amp;"$"&amp;TEXT(C211,"###")):INDIRECT(DatCol&amp;"$"&amp;TEXT(C211+57,"###"))&gt;0,INDIRECT(DatCol&amp;"$"&amp;TEXT(C211,"###")):INDIRECT(DatCol&amp;"$"&amp;TEXT(C211+57,"###"))))</f>
        <v>1119.8333333333333</v>
      </c>
      <c r="F211" s="26" t="str">
        <f t="shared" si="215"/>
        <v>C</v>
      </c>
      <c r="G211" s="8">
        <v>152</v>
      </c>
      <c r="H211" s="8">
        <v>315</v>
      </c>
      <c r="I211" s="8">
        <v>279</v>
      </c>
      <c r="J211" s="8">
        <v>1004</v>
      </c>
      <c r="K211" s="9">
        <f t="shared" si="214"/>
        <v>1471</v>
      </c>
      <c r="L211" s="12">
        <v>3950</v>
      </c>
      <c r="M211" s="11">
        <f t="shared" si="218"/>
        <v>197500</v>
      </c>
      <c r="N211" s="12">
        <v>913</v>
      </c>
      <c r="O211" s="11">
        <f t="shared" si="219"/>
        <v>45650</v>
      </c>
      <c r="P211" s="12">
        <v>8900</v>
      </c>
      <c r="Q211" s="11">
        <f t="shared" si="220"/>
        <v>534000</v>
      </c>
      <c r="X211" s="12">
        <v>698</v>
      </c>
      <c r="Y211" s="11">
        <f t="shared" si="221"/>
        <v>41880</v>
      </c>
      <c r="AF211" s="12">
        <v>0</v>
      </c>
      <c r="AG211" s="11">
        <f t="shared" si="222"/>
        <v>0</v>
      </c>
      <c r="AH211" s="12">
        <v>102</v>
      </c>
      <c r="AI211" s="11">
        <f t="shared" si="223"/>
        <v>6630</v>
      </c>
      <c r="AJ211" s="12">
        <v>900</v>
      </c>
      <c r="AK211" s="13">
        <f t="shared" si="224"/>
        <v>8100</v>
      </c>
      <c r="AL211" s="12">
        <v>173</v>
      </c>
      <c r="AM211" s="13">
        <f t="shared" si="225"/>
        <v>1557</v>
      </c>
      <c r="AN211" s="12">
        <v>0</v>
      </c>
      <c r="AO211" s="11">
        <f t="shared" si="226"/>
        <v>0</v>
      </c>
      <c r="AP211" s="12">
        <v>0</v>
      </c>
      <c r="AQ211" s="11">
        <f t="shared" si="227"/>
        <v>0</v>
      </c>
      <c r="AR211" s="12">
        <v>110000</v>
      </c>
      <c r="AS211" s="11">
        <f t="shared" si="228"/>
        <v>5500000</v>
      </c>
      <c r="AT211" s="12">
        <v>0</v>
      </c>
      <c r="AU211" s="11">
        <f t="shared" si="229"/>
        <v>0</v>
      </c>
      <c r="AV211" s="12">
        <v>0</v>
      </c>
      <c r="AW211" s="11">
        <f t="shared" si="230"/>
        <v>0</v>
      </c>
      <c r="AY211" s="11">
        <f t="shared" si="231"/>
        <v>0</v>
      </c>
      <c r="BA211" s="11">
        <f t="shared" si="232"/>
        <v>0</v>
      </c>
      <c r="BC211" s="11">
        <f t="shared" si="233"/>
        <v>0</v>
      </c>
      <c r="BE211" s="11">
        <f t="shared" si="234"/>
        <v>0</v>
      </c>
      <c r="BG211" s="11">
        <f t="shared" si="235"/>
        <v>0</v>
      </c>
      <c r="BN211" s="8">
        <f t="shared" si="212"/>
        <v>124448</v>
      </c>
      <c r="BO211" s="8">
        <f t="shared" si="213"/>
        <v>6281480</v>
      </c>
      <c r="BP211" s="8">
        <f t="shared" si="216"/>
        <v>1886</v>
      </c>
      <c r="BQ211" s="12">
        <f t="shared" si="217"/>
        <v>95717</v>
      </c>
    </row>
    <row r="212" spans="1:69">
      <c r="A212" s="28">
        <v>1991</v>
      </c>
      <c r="B212" s="27" t="s">
        <v>22</v>
      </c>
      <c r="C212" s="24">
        <f t="shared" si="192"/>
        <v>176</v>
      </c>
      <c r="D212" s="7" t="e">
        <f t="shared" ca="1" si="211"/>
        <v>#N/A</v>
      </c>
      <c r="E212" s="26">
        <f t="array" aca="1" ref="E212" ca="1">AVERAGE(IF(INDIRECT(DatCol&amp;"$"&amp;TEXT(C212,"###")):INDIRECT(DatCol&amp;"$"&amp;TEXT(C212+57,"###"))&gt;0,INDIRECT(DatCol&amp;"$"&amp;TEXT(C212,"###")):INDIRECT(DatCol&amp;"$"&amp;TEXT(C212+57,"###"))))</f>
        <v>1119.8333333333333</v>
      </c>
      <c r="F212" s="26" t="str">
        <f t="shared" si="215"/>
        <v>C</v>
      </c>
      <c r="G212" s="8">
        <v>172</v>
      </c>
      <c r="H212" s="8">
        <v>360</v>
      </c>
      <c r="I212" s="8">
        <v>309</v>
      </c>
      <c r="J212" s="8">
        <v>1021</v>
      </c>
      <c r="K212" s="9">
        <f t="shared" si="214"/>
        <v>1553</v>
      </c>
      <c r="L212" s="12">
        <v>12200</v>
      </c>
      <c r="M212" s="11">
        <f t="shared" si="218"/>
        <v>610000</v>
      </c>
      <c r="N212" s="12">
        <v>795</v>
      </c>
      <c r="O212" s="11">
        <f t="shared" si="219"/>
        <v>39750</v>
      </c>
      <c r="P212" s="12">
        <v>6300</v>
      </c>
      <c r="Q212" s="11">
        <f t="shared" si="220"/>
        <v>378000</v>
      </c>
      <c r="X212" s="12">
        <v>620</v>
      </c>
      <c r="Y212" s="11">
        <f t="shared" si="221"/>
        <v>37200</v>
      </c>
      <c r="AF212" s="12">
        <v>0</v>
      </c>
      <c r="AG212" s="11">
        <f t="shared" si="222"/>
        <v>0</v>
      </c>
      <c r="AH212" s="12">
        <v>88</v>
      </c>
      <c r="AI212" s="11">
        <f t="shared" si="223"/>
        <v>5720</v>
      </c>
      <c r="AJ212" s="12">
        <v>900</v>
      </c>
      <c r="AK212" s="13">
        <f t="shared" si="224"/>
        <v>8100</v>
      </c>
      <c r="AL212" s="12">
        <v>100</v>
      </c>
      <c r="AM212" s="13">
        <f t="shared" si="225"/>
        <v>900</v>
      </c>
      <c r="AN212" s="12">
        <v>0</v>
      </c>
      <c r="AO212" s="11">
        <f t="shared" si="226"/>
        <v>0</v>
      </c>
      <c r="AP212" s="12">
        <v>0</v>
      </c>
      <c r="AQ212" s="11">
        <f t="shared" si="227"/>
        <v>0</v>
      </c>
      <c r="AR212" s="12">
        <v>62000</v>
      </c>
      <c r="AS212" s="11">
        <f t="shared" si="228"/>
        <v>3100000</v>
      </c>
      <c r="AT212" s="12">
        <v>63</v>
      </c>
      <c r="AU212" s="11">
        <f t="shared" si="229"/>
        <v>3150</v>
      </c>
      <c r="AV212" s="12">
        <v>0</v>
      </c>
      <c r="AW212" s="11">
        <f t="shared" si="230"/>
        <v>0</v>
      </c>
      <c r="AX212" s="12">
        <v>0</v>
      </c>
      <c r="AY212" s="11">
        <f t="shared" si="231"/>
        <v>0</v>
      </c>
      <c r="BA212" s="11">
        <f t="shared" si="232"/>
        <v>0</v>
      </c>
      <c r="BC212" s="11">
        <f t="shared" si="233"/>
        <v>0</v>
      </c>
      <c r="BE212" s="11">
        <f t="shared" si="234"/>
        <v>0</v>
      </c>
      <c r="BG212" s="11">
        <f t="shared" si="235"/>
        <v>0</v>
      </c>
      <c r="BN212" s="8">
        <f t="shared" si="212"/>
        <v>82020</v>
      </c>
      <c r="BO212" s="8">
        <f t="shared" si="213"/>
        <v>4133300</v>
      </c>
      <c r="BP212" s="8">
        <f t="shared" si="216"/>
        <v>1666</v>
      </c>
      <c r="BQ212" s="12">
        <f t="shared" si="217"/>
        <v>86720</v>
      </c>
    </row>
    <row r="213" spans="1:69">
      <c r="A213" s="28">
        <v>1992</v>
      </c>
      <c r="B213" s="27" t="s">
        <v>22</v>
      </c>
      <c r="C213" s="24">
        <f t="shared" si="192"/>
        <v>176</v>
      </c>
      <c r="D213" s="7" t="e">
        <f t="shared" ca="1" si="211"/>
        <v>#N/A</v>
      </c>
      <c r="E213" s="26">
        <f t="array" aca="1" ref="E213" ca="1">AVERAGE(IF(INDIRECT(DatCol&amp;"$"&amp;TEXT(C213,"###")):INDIRECT(DatCol&amp;"$"&amp;TEXT(C213+57,"###"))&gt;0,INDIRECT(DatCol&amp;"$"&amp;TEXT(C213,"###")):INDIRECT(DatCol&amp;"$"&amp;TEXT(C213+57,"###"))))</f>
        <v>1119.8333333333333</v>
      </c>
      <c r="F213" s="26" t="str">
        <f t="shared" si="215"/>
        <v>C</v>
      </c>
      <c r="G213" s="8"/>
      <c r="H213" s="8">
        <v>382</v>
      </c>
      <c r="I213" s="8">
        <v>392</v>
      </c>
      <c r="J213" s="8">
        <v>1216</v>
      </c>
      <c r="K213" s="9">
        <f t="shared" si="214"/>
        <v>1598</v>
      </c>
      <c r="L213" s="12">
        <v>42000</v>
      </c>
      <c r="M213" s="11">
        <f t="shared" si="218"/>
        <v>2100000</v>
      </c>
      <c r="N213" s="12">
        <v>0</v>
      </c>
      <c r="O213" s="11">
        <f t="shared" si="219"/>
        <v>0</v>
      </c>
      <c r="P213" s="12">
        <v>6500</v>
      </c>
      <c r="Q213" s="11">
        <f t="shared" si="220"/>
        <v>390000</v>
      </c>
      <c r="X213" s="12">
        <v>0</v>
      </c>
      <c r="Y213" s="11">
        <f t="shared" si="221"/>
        <v>0</v>
      </c>
      <c r="AF213" s="12">
        <v>0</v>
      </c>
      <c r="AG213" s="11">
        <f t="shared" si="222"/>
        <v>0</v>
      </c>
      <c r="AH213" s="12">
        <v>0</v>
      </c>
      <c r="AI213" s="11">
        <f t="shared" si="223"/>
        <v>0</v>
      </c>
      <c r="AJ213" s="12">
        <v>1100</v>
      </c>
      <c r="AK213" s="13">
        <f t="shared" si="224"/>
        <v>9900</v>
      </c>
      <c r="AM213" s="13">
        <f t="shared" si="225"/>
        <v>0</v>
      </c>
      <c r="AO213" s="11">
        <f t="shared" si="226"/>
        <v>0</v>
      </c>
      <c r="AQ213" s="11">
        <f t="shared" si="227"/>
        <v>0</v>
      </c>
      <c r="AS213" s="11">
        <f t="shared" si="228"/>
        <v>0</v>
      </c>
      <c r="AU213" s="11">
        <f t="shared" si="229"/>
        <v>0</v>
      </c>
      <c r="AW213" s="11">
        <f t="shared" si="230"/>
        <v>0</v>
      </c>
      <c r="AY213" s="11">
        <f t="shared" si="231"/>
        <v>0</v>
      </c>
      <c r="BA213" s="11">
        <f t="shared" si="232"/>
        <v>0</v>
      </c>
      <c r="BC213" s="11">
        <f t="shared" si="233"/>
        <v>0</v>
      </c>
      <c r="BE213" s="11">
        <f t="shared" si="234"/>
        <v>0</v>
      </c>
      <c r="BG213" s="11">
        <f t="shared" si="235"/>
        <v>0</v>
      </c>
      <c r="BN213" s="8">
        <f t="shared" si="212"/>
        <v>49600</v>
      </c>
      <c r="BO213" s="8">
        <f t="shared" si="213"/>
        <v>2499900</v>
      </c>
      <c r="BP213" s="8">
        <f t="shared" si="216"/>
        <v>0</v>
      </c>
      <c r="BQ213" s="12">
        <f t="shared" si="217"/>
        <v>0</v>
      </c>
    </row>
    <row r="214" spans="1:69">
      <c r="A214" s="28">
        <v>1993</v>
      </c>
      <c r="B214" s="27" t="s">
        <v>22</v>
      </c>
      <c r="C214" s="24">
        <f t="shared" si="192"/>
        <v>176</v>
      </c>
      <c r="D214" s="7" t="e">
        <f t="shared" ca="1" si="211"/>
        <v>#N/A</v>
      </c>
      <c r="E214" s="26">
        <f t="array" aca="1" ref="E214" ca="1">AVERAGE(IF(INDIRECT(DatCol&amp;"$"&amp;TEXT(C214,"###")):INDIRECT(DatCol&amp;"$"&amp;TEXT(C214+57,"###"))&gt;0,INDIRECT(DatCol&amp;"$"&amp;TEXT(C214,"###")):INDIRECT(DatCol&amp;"$"&amp;TEXT(C214+57,"###"))))</f>
        <v>1119.8333333333333</v>
      </c>
      <c r="F214" s="26" t="str">
        <f t="shared" si="215"/>
        <v>C</v>
      </c>
      <c r="G214" s="8">
        <v>200</v>
      </c>
      <c r="H214" s="8">
        <v>389</v>
      </c>
      <c r="I214" s="8">
        <v>546</v>
      </c>
      <c r="J214" s="8">
        <v>1178</v>
      </c>
      <c r="K214" s="9">
        <f t="shared" si="214"/>
        <v>1767</v>
      </c>
      <c r="L214" s="12">
        <v>28000</v>
      </c>
      <c r="M214" s="11">
        <f t="shared" si="218"/>
        <v>1400000</v>
      </c>
      <c r="N214" s="12">
        <v>910</v>
      </c>
      <c r="O214" s="11">
        <f t="shared" si="219"/>
        <v>45500</v>
      </c>
      <c r="P214" s="12">
        <v>26700</v>
      </c>
      <c r="Q214" s="11">
        <f t="shared" si="220"/>
        <v>1602000</v>
      </c>
      <c r="X214" s="12">
        <v>1260</v>
      </c>
      <c r="Y214" s="11">
        <f t="shared" si="221"/>
        <v>75600</v>
      </c>
      <c r="AF214" s="12">
        <v>0</v>
      </c>
      <c r="AG214" s="11">
        <f t="shared" si="222"/>
        <v>0</v>
      </c>
      <c r="AH214" s="12">
        <v>55</v>
      </c>
      <c r="AI214" s="11">
        <f t="shared" si="223"/>
        <v>3575</v>
      </c>
      <c r="AJ214" s="12">
        <v>140</v>
      </c>
      <c r="AK214" s="13">
        <f t="shared" si="224"/>
        <v>1260</v>
      </c>
      <c r="AL214" s="12">
        <v>50</v>
      </c>
      <c r="AM214" s="13">
        <f t="shared" si="225"/>
        <v>450</v>
      </c>
      <c r="AN214" s="12">
        <v>0</v>
      </c>
      <c r="AO214" s="11">
        <f t="shared" si="226"/>
        <v>0</v>
      </c>
      <c r="AP214" s="12">
        <v>0</v>
      </c>
      <c r="AQ214" s="11">
        <f t="shared" si="227"/>
        <v>0</v>
      </c>
      <c r="AR214" s="12">
        <v>12000</v>
      </c>
      <c r="AS214" s="11">
        <f t="shared" si="228"/>
        <v>600000</v>
      </c>
      <c r="AT214" s="12">
        <v>0</v>
      </c>
      <c r="AU214" s="11">
        <f t="shared" si="229"/>
        <v>0</v>
      </c>
      <c r="AV214" s="12">
        <v>0</v>
      </c>
      <c r="AW214" s="11">
        <f t="shared" si="230"/>
        <v>0</v>
      </c>
      <c r="AX214" s="12">
        <v>0</v>
      </c>
      <c r="AY214" s="11">
        <f t="shared" si="231"/>
        <v>0</v>
      </c>
      <c r="AZ214" s="12">
        <v>0</v>
      </c>
      <c r="BA214" s="11">
        <f t="shared" si="232"/>
        <v>0</v>
      </c>
      <c r="BB214" s="12">
        <v>0</v>
      </c>
      <c r="BC214" s="11">
        <f t="shared" si="233"/>
        <v>0</v>
      </c>
      <c r="BE214" s="11">
        <f t="shared" si="234"/>
        <v>0</v>
      </c>
      <c r="BG214" s="11">
        <f t="shared" si="235"/>
        <v>0</v>
      </c>
      <c r="BN214" s="8">
        <f t="shared" si="212"/>
        <v>68100</v>
      </c>
      <c r="BO214" s="8">
        <f t="shared" si="213"/>
        <v>3678860</v>
      </c>
      <c r="BP214" s="8">
        <f t="shared" si="216"/>
        <v>2275</v>
      </c>
      <c r="BQ214" s="12">
        <f t="shared" si="217"/>
        <v>125125</v>
      </c>
    </row>
    <row r="215" spans="1:69">
      <c r="A215" s="28">
        <v>1994</v>
      </c>
      <c r="B215" s="27" t="s">
        <v>22</v>
      </c>
      <c r="C215" s="24">
        <f t="shared" si="192"/>
        <v>176</v>
      </c>
      <c r="D215" s="7" t="e">
        <f t="shared" ca="1" si="211"/>
        <v>#N/A</v>
      </c>
      <c r="E215" s="26">
        <f t="array" aca="1" ref="E215" ca="1">AVERAGE(IF(INDIRECT(DatCol&amp;"$"&amp;TEXT(C215,"###")):INDIRECT(DatCol&amp;"$"&amp;TEXT(C215+57,"###"))&gt;0,INDIRECT(DatCol&amp;"$"&amp;TEXT(C215,"###")):INDIRECT(DatCol&amp;"$"&amp;TEXT(C215+57,"###"))))</f>
        <v>1119.8333333333333</v>
      </c>
      <c r="F215" s="26" t="str">
        <f t="shared" si="215"/>
        <v>C</v>
      </c>
      <c r="G215" s="8">
        <v>150</v>
      </c>
      <c r="H215" s="8">
        <v>420</v>
      </c>
      <c r="I215" s="8">
        <v>532</v>
      </c>
      <c r="J215" s="8">
        <v>1178</v>
      </c>
      <c r="K215" s="9">
        <f t="shared" si="214"/>
        <v>1748</v>
      </c>
      <c r="L215" s="12">
        <v>36000</v>
      </c>
      <c r="M215" s="11">
        <f t="shared" si="218"/>
        <v>1800000</v>
      </c>
      <c r="N215" s="12">
        <v>1876</v>
      </c>
      <c r="O215" s="11">
        <f t="shared" si="219"/>
        <v>93800</v>
      </c>
      <c r="P215" s="12">
        <f>1240+8900</f>
        <v>10140</v>
      </c>
      <c r="Q215" s="11">
        <f t="shared" si="220"/>
        <v>608400</v>
      </c>
      <c r="X215" s="12">
        <f>94+1000</f>
        <v>1094</v>
      </c>
      <c r="Y215" s="11">
        <f t="shared" si="221"/>
        <v>65640</v>
      </c>
      <c r="AF215" s="12">
        <v>0</v>
      </c>
      <c r="AG215" s="11">
        <f t="shared" si="222"/>
        <v>0</v>
      </c>
      <c r="AH215" s="12">
        <v>48</v>
      </c>
      <c r="AI215" s="11">
        <f t="shared" si="223"/>
        <v>3120</v>
      </c>
      <c r="AJ215" s="12">
        <v>280</v>
      </c>
      <c r="AK215" s="13">
        <f t="shared" si="224"/>
        <v>2520</v>
      </c>
      <c r="AL215" s="12">
        <v>74</v>
      </c>
      <c r="AM215" s="13">
        <f t="shared" si="225"/>
        <v>666</v>
      </c>
      <c r="AN215" s="12">
        <v>0</v>
      </c>
      <c r="AO215" s="11">
        <f t="shared" si="226"/>
        <v>0</v>
      </c>
      <c r="AP215" s="12">
        <v>0</v>
      </c>
      <c r="AQ215" s="11">
        <f t="shared" si="227"/>
        <v>0</v>
      </c>
      <c r="AR215" s="12">
        <v>178</v>
      </c>
      <c r="AS215" s="11">
        <f t="shared" si="228"/>
        <v>8900</v>
      </c>
      <c r="AU215" s="11">
        <f t="shared" si="229"/>
        <v>0</v>
      </c>
      <c r="AW215" s="11">
        <f t="shared" si="230"/>
        <v>0</v>
      </c>
      <c r="AY215" s="11">
        <f t="shared" si="231"/>
        <v>0</v>
      </c>
      <c r="AZ215" s="10">
        <v>720</v>
      </c>
      <c r="BA215" s="11">
        <f t="shared" si="232"/>
        <v>28800</v>
      </c>
      <c r="BC215" s="11">
        <f t="shared" si="233"/>
        <v>0</v>
      </c>
      <c r="BE215" s="11">
        <f t="shared" si="234"/>
        <v>0</v>
      </c>
      <c r="BG215" s="11">
        <f t="shared" si="235"/>
        <v>0</v>
      </c>
      <c r="BN215" s="8">
        <f t="shared" si="212"/>
        <v>48412</v>
      </c>
      <c r="BO215" s="8">
        <f t="shared" si="213"/>
        <v>2514260</v>
      </c>
      <c r="BP215" s="8">
        <f t="shared" si="216"/>
        <v>3092</v>
      </c>
      <c r="BQ215" s="12">
        <f t="shared" si="217"/>
        <v>163226</v>
      </c>
    </row>
    <row r="216" spans="1:69">
      <c r="A216" s="28">
        <v>1995</v>
      </c>
      <c r="B216" s="27" t="s">
        <v>22</v>
      </c>
      <c r="C216" s="24">
        <f t="shared" si="192"/>
        <v>176</v>
      </c>
      <c r="D216" s="7" t="e">
        <f t="shared" ca="1" si="211"/>
        <v>#N/A</v>
      </c>
      <c r="E216" s="26">
        <f t="array" aca="1" ref="E216" ca="1">AVERAGE(IF(INDIRECT(DatCol&amp;"$"&amp;TEXT(C216,"###")):INDIRECT(DatCol&amp;"$"&amp;TEXT(C216+57,"###"))&gt;0,INDIRECT(DatCol&amp;"$"&amp;TEXT(C216,"###")):INDIRECT(DatCol&amp;"$"&amp;TEXT(C216+57,"###"))))</f>
        <v>1119.8333333333333</v>
      </c>
      <c r="F216" s="26" t="str">
        <f t="shared" si="215"/>
        <v>C</v>
      </c>
      <c r="G216" s="9">
        <v>65</v>
      </c>
      <c r="H216" s="9">
        <v>467</v>
      </c>
      <c r="I216" s="9">
        <v>530</v>
      </c>
      <c r="J216" s="9">
        <v>1089</v>
      </c>
      <c r="K216" s="9">
        <f t="shared" si="214"/>
        <v>1621</v>
      </c>
      <c r="L216" s="10">
        <v>63000</v>
      </c>
      <c r="M216" s="11">
        <f t="shared" si="218"/>
        <v>3150000</v>
      </c>
      <c r="N216" s="10">
        <v>1100</v>
      </c>
      <c r="O216" s="11">
        <f t="shared" si="219"/>
        <v>55000</v>
      </c>
      <c r="P216" s="10">
        <f>7200+6600+400+200</f>
        <v>14400</v>
      </c>
      <c r="Q216" s="11">
        <f t="shared" si="220"/>
        <v>864000</v>
      </c>
      <c r="X216" s="10">
        <f>700+600+50+50</f>
        <v>1400</v>
      </c>
      <c r="Y216" s="11">
        <f t="shared" si="221"/>
        <v>84000</v>
      </c>
      <c r="AF216" s="10">
        <v>0</v>
      </c>
      <c r="AG216" s="11">
        <v>0</v>
      </c>
      <c r="AH216" s="10">
        <v>80</v>
      </c>
      <c r="AI216" s="11">
        <f t="shared" si="223"/>
        <v>5200</v>
      </c>
      <c r="AJ216" s="10">
        <v>250</v>
      </c>
      <c r="AK216" s="13">
        <f t="shared" si="224"/>
        <v>2250</v>
      </c>
      <c r="AL216" s="10">
        <v>70</v>
      </c>
      <c r="AM216" s="13">
        <f t="shared" si="225"/>
        <v>630</v>
      </c>
      <c r="AN216" s="10">
        <v>0</v>
      </c>
      <c r="AO216" s="11">
        <f t="shared" si="226"/>
        <v>0</v>
      </c>
      <c r="AP216" s="10">
        <v>0</v>
      </c>
      <c r="AQ216" s="11">
        <f t="shared" si="227"/>
        <v>0</v>
      </c>
      <c r="AR216" s="10">
        <v>0</v>
      </c>
      <c r="AS216" s="11">
        <f t="shared" si="228"/>
        <v>0</v>
      </c>
      <c r="AT216" s="10">
        <v>0</v>
      </c>
      <c r="AU216" s="11">
        <f t="shared" si="229"/>
        <v>0</v>
      </c>
      <c r="AV216" s="10">
        <v>0</v>
      </c>
      <c r="AW216" s="11">
        <f t="shared" si="230"/>
        <v>0</v>
      </c>
      <c r="AX216" s="10">
        <v>0</v>
      </c>
      <c r="AY216" s="11">
        <f t="shared" si="231"/>
        <v>0</v>
      </c>
      <c r="AZ216" s="10">
        <v>800</v>
      </c>
      <c r="BA216" s="11">
        <f t="shared" si="232"/>
        <v>32000</v>
      </c>
      <c r="BB216" s="10">
        <v>0</v>
      </c>
      <c r="BC216" s="11">
        <f t="shared" si="233"/>
        <v>0</v>
      </c>
      <c r="BE216" s="11">
        <f t="shared" si="234"/>
        <v>0</v>
      </c>
      <c r="BG216" s="11">
        <f t="shared" si="235"/>
        <v>0</v>
      </c>
      <c r="BN216" s="8">
        <f t="shared" si="212"/>
        <v>79850</v>
      </c>
      <c r="BO216" s="8">
        <f t="shared" si="213"/>
        <v>4132250</v>
      </c>
      <c r="BP216" s="8">
        <f t="shared" si="216"/>
        <v>2650</v>
      </c>
      <c r="BQ216" s="12">
        <f t="shared" si="217"/>
        <v>144830</v>
      </c>
    </row>
    <row r="217" spans="1:69">
      <c r="A217" s="28">
        <v>1996</v>
      </c>
      <c r="B217" s="27" t="s">
        <v>22</v>
      </c>
      <c r="C217" s="24">
        <f t="shared" si="192"/>
        <v>176</v>
      </c>
      <c r="D217" s="7" t="e">
        <f t="shared" ca="1" si="211"/>
        <v>#N/A</v>
      </c>
      <c r="E217" s="26">
        <f t="array" aca="1" ref="E217" ca="1">AVERAGE(IF(INDIRECT(DatCol&amp;"$"&amp;TEXT(C217,"###")):INDIRECT(DatCol&amp;"$"&amp;TEXT(C217+57,"###"))&gt;0,INDIRECT(DatCol&amp;"$"&amp;TEXT(C217,"###")):INDIRECT(DatCol&amp;"$"&amp;TEXT(C217+57,"###"))))</f>
        <v>1119.8333333333333</v>
      </c>
      <c r="F217" s="26" t="str">
        <f t="shared" si="215"/>
        <v>C</v>
      </c>
      <c r="G217" s="9">
        <v>163</v>
      </c>
      <c r="H217" s="9">
        <v>555</v>
      </c>
      <c r="I217" s="9">
        <v>567</v>
      </c>
      <c r="J217" s="9">
        <v>1163</v>
      </c>
      <c r="K217" s="9">
        <f t="shared" si="214"/>
        <v>1881</v>
      </c>
      <c r="L217" s="10">
        <v>43000</v>
      </c>
      <c r="M217" s="11">
        <f t="shared" si="218"/>
        <v>2150000</v>
      </c>
      <c r="N217" s="10">
        <v>1310</v>
      </c>
      <c r="O217" s="11">
        <f t="shared" si="219"/>
        <v>65500</v>
      </c>
      <c r="P217" s="10">
        <f>7140+410+350</f>
        <v>7900</v>
      </c>
      <c r="Q217" s="11">
        <f t="shared" si="220"/>
        <v>474000</v>
      </c>
      <c r="X217" s="10">
        <f>680+600+20+60</f>
        <v>1360</v>
      </c>
      <c r="Y217" s="11">
        <f t="shared" si="221"/>
        <v>81600</v>
      </c>
      <c r="AF217" s="10">
        <v>0</v>
      </c>
      <c r="AG217" s="11">
        <v>0</v>
      </c>
      <c r="AH217" s="10">
        <v>81</v>
      </c>
      <c r="AI217" s="11">
        <f t="shared" si="223"/>
        <v>5265</v>
      </c>
      <c r="AJ217" s="10">
        <v>900</v>
      </c>
      <c r="AK217" s="13">
        <f t="shared" si="224"/>
        <v>8100</v>
      </c>
      <c r="AL217" s="10">
        <v>56</v>
      </c>
      <c r="AM217" s="13">
        <f t="shared" si="225"/>
        <v>504</v>
      </c>
      <c r="AN217" s="10">
        <v>0</v>
      </c>
      <c r="AO217" s="11">
        <f t="shared" si="226"/>
        <v>0</v>
      </c>
      <c r="AP217" s="10">
        <v>0</v>
      </c>
      <c r="AQ217" s="11">
        <f t="shared" si="227"/>
        <v>0</v>
      </c>
      <c r="AR217" s="10">
        <v>0</v>
      </c>
      <c r="AS217" s="11">
        <f t="shared" si="228"/>
        <v>0</v>
      </c>
      <c r="AT217" s="10">
        <v>25</v>
      </c>
      <c r="AU217" s="11">
        <f t="shared" si="229"/>
        <v>1250</v>
      </c>
      <c r="AV217" s="10">
        <v>0</v>
      </c>
      <c r="AW217" s="11">
        <f t="shared" si="230"/>
        <v>0</v>
      </c>
      <c r="AX217" s="10">
        <v>0</v>
      </c>
      <c r="AY217" s="11">
        <f t="shared" si="231"/>
        <v>0</v>
      </c>
      <c r="AZ217" s="10">
        <v>4300</v>
      </c>
      <c r="BA217" s="11">
        <f t="shared" si="232"/>
        <v>172000</v>
      </c>
      <c r="BB217" s="10">
        <v>0</v>
      </c>
      <c r="BC217" s="11">
        <f t="shared" si="233"/>
        <v>0</v>
      </c>
      <c r="BE217" s="11">
        <f t="shared" si="234"/>
        <v>0</v>
      </c>
      <c r="BG217" s="11">
        <f t="shared" si="235"/>
        <v>0</v>
      </c>
      <c r="BN217" s="8">
        <f t="shared" si="212"/>
        <v>57460</v>
      </c>
      <c r="BO217" s="8">
        <f t="shared" si="213"/>
        <v>2885700</v>
      </c>
      <c r="BP217" s="8">
        <f t="shared" si="216"/>
        <v>2832</v>
      </c>
      <c r="BQ217" s="12">
        <f t="shared" si="217"/>
        <v>154119</v>
      </c>
    </row>
    <row r="218" spans="1:69">
      <c r="A218" s="28">
        <v>1997</v>
      </c>
      <c r="B218" s="27" t="s">
        <v>22</v>
      </c>
      <c r="C218" s="24">
        <f t="shared" si="192"/>
        <v>176</v>
      </c>
      <c r="D218" s="7" t="e">
        <f t="shared" ca="1" si="211"/>
        <v>#N/A</v>
      </c>
      <c r="E218" s="26">
        <f t="array" aca="1" ref="E218" ca="1">AVERAGE(IF(INDIRECT(DatCol&amp;"$"&amp;TEXT(C218,"###")):INDIRECT(DatCol&amp;"$"&amp;TEXT(C218+57,"###"))&gt;0,INDIRECT(DatCol&amp;"$"&amp;TEXT(C218,"###")):INDIRECT(DatCol&amp;"$"&amp;TEXT(C218+57,"###"))))</f>
        <v>1119.8333333333333</v>
      </c>
      <c r="F218" s="26" t="str">
        <f t="shared" si="215"/>
        <v>C</v>
      </c>
      <c r="G218" s="9">
        <v>160</v>
      </c>
      <c r="H218" s="9">
        <v>568</v>
      </c>
      <c r="I218" s="9">
        <v>568</v>
      </c>
      <c r="J218" s="9">
        <v>1121</v>
      </c>
      <c r="K218" s="9">
        <f t="shared" si="214"/>
        <v>1849</v>
      </c>
      <c r="L218" s="10">
        <v>34000</v>
      </c>
      <c r="M218" s="11">
        <f t="shared" si="218"/>
        <v>1700000</v>
      </c>
      <c r="N218" s="10">
        <v>1000</v>
      </c>
      <c r="O218" s="11">
        <f t="shared" si="219"/>
        <v>50000</v>
      </c>
      <c r="P218" s="10">
        <v>14800</v>
      </c>
      <c r="Q218" s="11">
        <f t="shared" si="220"/>
        <v>888000</v>
      </c>
      <c r="X218" s="10">
        <f>850+700+150</f>
        <v>1700</v>
      </c>
      <c r="Y218" s="11">
        <f t="shared" si="221"/>
        <v>102000</v>
      </c>
      <c r="AF218" s="10">
        <v>0</v>
      </c>
      <c r="AG218" s="11">
        <v>0</v>
      </c>
      <c r="AH218" s="10">
        <v>85</v>
      </c>
      <c r="AI218" s="11">
        <f t="shared" si="223"/>
        <v>5525</v>
      </c>
      <c r="AJ218" s="10">
        <v>150</v>
      </c>
      <c r="AK218" s="13">
        <f t="shared" si="224"/>
        <v>1350</v>
      </c>
      <c r="AL218" s="10">
        <v>40</v>
      </c>
      <c r="AM218" s="13">
        <f t="shared" si="225"/>
        <v>360</v>
      </c>
      <c r="AN218" s="10">
        <v>0</v>
      </c>
      <c r="AO218" s="11">
        <f t="shared" si="226"/>
        <v>0</v>
      </c>
      <c r="AP218" s="10">
        <v>0</v>
      </c>
      <c r="AQ218" s="11">
        <f t="shared" si="227"/>
        <v>0</v>
      </c>
      <c r="AR218" s="10">
        <v>0</v>
      </c>
      <c r="AS218" s="11">
        <f t="shared" si="228"/>
        <v>0</v>
      </c>
      <c r="AT218" s="10">
        <v>0</v>
      </c>
      <c r="AU218" s="11">
        <f t="shared" si="229"/>
        <v>0</v>
      </c>
      <c r="AV218" s="10">
        <v>0</v>
      </c>
      <c r="AW218" s="11">
        <f t="shared" si="230"/>
        <v>0</v>
      </c>
      <c r="AX218" s="10">
        <v>0</v>
      </c>
      <c r="AY218" s="11">
        <f t="shared" si="231"/>
        <v>0</v>
      </c>
      <c r="AZ218" s="10">
        <v>2400</v>
      </c>
      <c r="BA218" s="11">
        <f t="shared" si="232"/>
        <v>96000</v>
      </c>
      <c r="BB218" s="10">
        <v>0</v>
      </c>
      <c r="BC218" s="11">
        <f t="shared" si="233"/>
        <v>0</v>
      </c>
      <c r="BE218" s="11">
        <f t="shared" si="234"/>
        <v>0</v>
      </c>
      <c r="BG218" s="11">
        <f t="shared" si="235"/>
        <v>0</v>
      </c>
      <c r="BN218" s="8">
        <f t="shared" si="212"/>
        <v>53050</v>
      </c>
      <c r="BO218" s="8">
        <f t="shared" si="213"/>
        <v>2787350</v>
      </c>
      <c r="BP218" s="8">
        <f t="shared" si="216"/>
        <v>2825</v>
      </c>
      <c r="BQ218" s="12">
        <f t="shared" si="217"/>
        <v>157885</v>
      </c>
    </row>
    <row r="219" spans="1:69">
      <c r="A219" s="28">
        <v>1998</v>
      </c>
      <c r="B219" s="27" t="s">
        <v>22</v>
      </c>
      <c r="C219" s="24">
        <f t="shared" si="192"/>
        <v>176</v>
      </c>
      <c r="D219" s="7" t="e">
        <f t="shared" ca="1" si="211"/>
        <v>#N/A</v>
      </c>
      <c r="E219" s="26">
        <f t="array" aca="1" ref="E219" ca="1">AVERAGE(IF(INDIRECT(DatCol&amp;"$"&amp;TEXT(C219,"###")):INDIRECT(DatCol&amp;"$"&amp;TEXT(C219+57,"###"))&gt;0,INDIRECT(DatCol&amp;"$"&amp;TEXT(C219,"###")):INDIRECT(DatCol&amp;"$"&amp;TEXT(C219+57,"###"))))</f>
        <v>1119.8333333333333</v>
      </c>
      <c r="F219" s="26" t="str">
        <f t="shared" si="215"/>
        <v>C</v>
      </c>
      <c r="G219" s="9">
        <v>122</v>
      </c>
      <c r="H219" s="9">
        <v>547</v>
      </c>
      <c r="I219" s="9">
        <v>547</v>
      </c>
      <c r="J219" s="9">
        <v>1344</v>
      </c>
      <c r="K219" s="9">
        <f t="shared" si="214"/>
        <v>2013</v>
      </c>
      <c r="L219" s="10">
        <v>64222</v>
      </c>
      <c r="M219" s="11">
        <f>L219*50</f>
        <v>3211100</v>
      </c>
      <c r="N219" s="10">
        <v>950</v>
      </c>
      <c r="O219" s="11">
        <f>N219*50</f>
        <v>47500</v>
      </c>
      <c r="P219" s="10">
        <v>0</v>
      </c>
      <c r="Q219" s="11">
        <v>0</v>
      </c>
      <c r="R219" s="10">
        <v>12000</v>
      </c>
      <c r="S219" s="11">
        <f>R219*60</f>
        <v>720000</v>
      </c>
      <c r="T219" s="10">
        <v>824</v>
      </c>
      <c r="U219" s="11">
        <f>T219*60</f>
        <v>49440</v>
      </c>
      <c r="V219" s="10">
        <v>300</v>
      </c>
      <c r="W219" s="11">
        <f>V219*60</f>
        <v>18000</v>
      </c>
      <c r="X219" s="10">
        <v>1100</v>
      </c>
      <c r="Y219" s="11">
        <f>X219*60</f>
        <v>66000</v>
      </c>
      <c r="Z219" s="10">
        <v>0</v>
      </c>
      <c r="AA219" s="11">
        <v>0</v>
      </c>
      <c r="AB219" s="10">
        <v>0</v>
      </c>
      <c r="AC219" s="11">
        <v>0</v>
      </c>
      <c r="AD219" s="10">
        <v>0</v>
      </c>
      <c r="AE219" s="11">
        <v>0</v>
      </c>
      <c r="AF219" s="10">
        <v>0</v>
      </c>
      <c r="AG219" s="11">
        <v>0</v>
      </c>
      <c r="AH219" s="10">
        <v>65</v>
      </c>
      <c r="AI219" s="11">
        <f>AH219*50</f>
        <v>3250</v>
      </c>
      <c r="AJ219" s="10">
        <v>180</v>
      </c>
      <c r="AK219" s="13">
        <f>AJ219*9</f>
        <v>1620</v>
      </c>
      <c r="AL219" s="10">
        <v>45</v>
      </c>
      <c r="AM219" s="13">
        <f>AL219*9</f>
        <v>405</v>
      </c>
      <c r="AN219" s="10">
        <v>0</v>
      </c>
      <c r="AO219" s="11">
        <v>0</v>
      </c>
      <c r="AP219" s="10">
        <v>0</v>
      </c>
      <c r="AQ219" s="11">
        <v>0</v>
      </c>
      <c r="AR219" s="10">
        <v>15000</v>
      </c>
      <c r="AS219" s="11">
        <f>AR219*55</f>
        <v>825000</v>
      </c>
      <c r="AT219" s="10">
        <v>65</v>
      </c>
      <c r="AU219" s="11">
        <f>AT219*55</f>
        <v>3575</v>
      </c>
      <c r="AV219" s="10">
        <v>0</v>
      </c>
      <c r="AW219" s="11">
        <v>0</v>
      </c>
      <c r="AX219" s="10">
        <v>0</v>
      </c>
      <c r="AY219" s="11">
        <v>0</v>
      </c>
      <c r="AZ219" s="10">
        <v>700</v>
      </c>
      <c r="BA219" s="11">
        <f>AZ219*40</f>
        <v>28000</v>
      </c>
      <c r="BB219" s="10">
        <v>5</v>
      </c>
      <c r="BC219" s="11">
        <f>BB219*40</f>
        <v>200</v>
      </c>
      <c r="BD219" s="10">
        <v>0</v>
      </c>
      <c r="BE219" s="11">
        <v>0</v>
      </c>
      <c r="BF219" s="10">
        <v>0</v>
      </c>
      <c r="BG219" s="11">
        <v>0</v>
      </c>
      <c r="BH219" s="11">
        <v>0</v>
      </c>
      <c r="BI219" s="11">
        <v>0</v>
      </c>
      <c r="BJ219" s="10">
        <v>0</v>
      </c>
      <c r="BK219" s="11">
        <v>0</v>
      </c>
      <c r="BL219" s="10">
        <v>0</v>
      </c>
      <c r="BM219" s="11">
        <v>0</v>
      </c>
      <c r="BN219" s="8">
        <f t="shared" si="212"/>
        <v>94326</v>
      </c>
      <c r="BO219" s="8">
        <f t="shared" si="213"/>
        <v>4919160</v>
      </c>
      <c r="BP219" s="8">
        <f t="shared" si="216"/>
        <v>2230</v>
      </c>
      <c r="BQ219" s="12">
        <f t="shared" si="217"/>
        <v>120930</v>
      </c>
    </row>
    <row r="220" spans="1:69">
      <c r="A220" s="28">
        <v>1999</v>
      </c>
      <c r="B220" s="27" t="s">
        <v>22</v>
      </c>
      <c r="C220" s="24">
        <f t="shared" si="192"/>
        <v>176</v>
      </c>
      <c r="D220" s="7" t="e">
        <f t="shared" ca="1" si="211"/>
        <v>#N/A</v>
      </c>
      <c r="E220" s="26">
        <f t="array" aca="1" ref="E220" ca="1">AVERAGE(IF(INDIRECT(DatCol&amp;"$"&amp;TEXT(C220,"###")):INDIRECT(DatCol&amp;"$"&amp;TEXT(C220+57,"###"))&gt;0,INDIRECT(DatCol&amp;"$"&amp;TEXT(C220,"###")):INDIRECT(DatCol&amp;"$"&amp;TEXT(C220+57,"###"))))</f>
        <v>1119.8333333333333</v>
      </c>
      <c r="F220" s="26" t="str">
        <f t="shared" si="215"/>
        <v>C</v>
      </c>
      <c r="G220" s="9">
        <v>205</v>
      </c>
      <c r="H220" s="9">
        <v>732</v>
      </c>
      <c r="I220" s="9">
        <f>481+67</f>
        <v>548</v>
      </c>
      <c r="J220" s="9">
        <v>1294</v>
      </c>
      <c r="K220" s="9">
        <f t="shared" si="214"/>
        <v>2231</v>
      </c>
      <c r="L220" s="10">
        <f>M220/50</f>
        <v>36500</v>
      </c>
      <c r="M220" s="11">
        <v>1825000</v>
      </c>
      <c r="N220" s="10">
        <f>O220/50</f>
        <v>880</v>
      </c>
      <c r="O220" s="11">
        <v>44000</v>
      </c>
      <c r="P220" s="10">
        <f>Q220/60</f>
        <v>1450</v>
      </c>
      <c r="Q220" s="11">
        <v>87000</v>
      </c>
      <c r="R220" s="10">
        <f>S220/60</f>
        <v>11000</v>
      </c>
      <c r="S220" s="11">
        <v>660000</v>
      </c>
      <c r="T220" s="10">
        <f>U220/60</f>
        <v>2500</v>
      </c>
      <c r="U220" s="11">
        <v>150000</v>
      </c>
      <c r="V220" s="10">
        <f>W220/60</f>
        <v>1000</v>
      </c>
      <c r="W220" s="11">
        <v>60000</v>
      </c>
      <c r="X220" s="10">
        <f>Y220/60</f>
        <v>720</v>
      </c>
      <c r="Y220" s="11">
        <v>43200</v>
      </c>
      <c r="Z220" s="10">
        <f>AA220/60</f>
        <v>500</v>
      </c>
      <c r="AA220" s="11">
        <v>30000</v>
      </c>
      <c r="AB220" s="10">
        <f>AC220/60</f>
        <v>150</v>
      </c>
      <c r="AC220" s="11">
        <v>9000</v>
      </c>
      <c r="AD220" s="10">
        <f>AE220/60</f>
        <v>71.333333333333329</v>
      </c>
      <c r="AE220" s="11">
        <v>4280</v>
      </c>
      <c r="AF220" s="10">
        <v>0</v>
      </c>
      <c r="AG220" s="11">
        <v>0</v>
      </c>
      <c r="AH220" s="10">
        <f>AI220/50</f>
        <v>150</v>
      </c>
      <c r="AI220" s="11">
        <v>7500</v>
      </c>
      <c r="AJ220" s="10">
        <f>AK220/9</f>
        <v>777.77777777777783</v>
      </c>
      <c r="AK220" s="13">
        <v>7000</v>
      </c>
      <c r="AL220" s="10">
        <f>AM220/9</f>
        <v>222.22222222222223</v>
      </c>
      <c r="AM220" s="13">
        <v>2000</v>
      </c>
      <c r="AN220" s="10">
        <f>AO220/80</f>
        <v>50</v>
      </c>
      <c r="AO220" s="11">
        <v>4000</v>
      </c>
      <c r="AP220" s="10">
        <v>0</v>
      </c>
      <c r="AQ220" s="11">
        <v>0</v>
      </c>
      <c r="AR220" s="10">
        <f>AS220/55</f>
        <v>33000</v>
      </c>
      <c r="AS220" s="11">
        <v>1815000</v>
      </c>
      <c r="AT220" s="10">
        <f>AU220/55</f>
        <v>100</v>
      </c>
      <c r="AU220" s="11">
        <v>5500</v>
      </c>
      <c r="AV220" s="10">
        <v>0</v>
      </c>
      <c r="AW220" s="11">
        <v>0</v>
      </c>
      <c r="AX220" s="10">
        <v>0</v>
      </c>
      <c r="AY220" s="11">
        <v>0</v>
      </c>
      <c r="AZ220" s="10">
        <f>BA220/40</f>
        <v>100</v>
      </c>
      <c r="BA220" s="11">
        <v>4000</v>
      </c>
      <c r="BB220" s="10">
        <v>10</v>
      </c>
      <c r="BC220" s="11">
        <v>400</v>
      </c>
      <c r="BD220" s="10">
        <v>0</v>
      </c>
      <c r="BE220" s="11">
        <v>0</v>
      </c>
      <c r="BF220" s="10">
        <v>0</v>
      </c>
      <c r="BG220" s="11">
        <v>0</v>
      </c>
      <c r="BH220" s="11">
        <v>0</v>
      </c>
      <c r="BI220" s="11">
        <v>0</v>
      </c>
      <c r="BJ220" s="10">
        <v>0</v>
      </c>
      <c r="BK220" s="11">
        <v>0</v>
      </c>
      <c r="BL220" s="10">
        <v>0</v>
      </c>
      <c r="BM220" s="11">
        <v>0</v>
      </c>
      <c r="BN220" s="8">
        <f t="shared" si="212"/>
        <v>87819.111111111124</v>
      </c>
      <c r="BO220" s="8">
        <f t="shared" si="213"/>
        <v>4694200</v>
      </c>
      <c r="BP220" s="8">
        <f t="shared" si="216"/>
        <v>2803.5555555555557</v>
      </c>
      <c r="BQ220" s="12">
        <f t="shared" si="217"/>
        <v>145880</v>
      </c>
    </row>
    <row r="221" spans="1:69">
      <c r="A221" s="28">
        <v>2000</v>
      </c>
      <c r="B221" s="27" t="s">
        <v>22</v>
      </c>
      <c r="C221" s="24">
        <f t="shared" si="192"/>
        <v>176</v>
      </c>
      <c r="D221" s="7" t="e">
        <f t="shared" ca="1" si="211"/>
        <v>#N/A</v>
      </c>
      <c r="E221" s="26">
        <f t="array" aca="1" ref="E221" ca="1">AVERAGE(IF(INDIRECT(DatCol&amp;"$"&amp;TEXT(C221,"###")):INDIRECT(DatCol&amp;"$"&amp;TEXT(C221+57,"###"))&gt;0,INDIRECT(DatCol&amp;"$"&amp;TEXT(C221,"###")):INDIRECT(DatCol&amp;"$"&amp;TEXT(C221+57,"###"))))</f>
        <v>1119.8333333333333</v>
      </c>
      <c r="F221" s="26" t="str">
        <f t="shared" si="215"/>
        <v>C</v>
      </c>
      <c r="G221" s="9">
        <v>0</v>
      </c>
      <c r="H221" s="9">
        <v>864</v>
      </c>
      <c r="I221" s="9">
        <f>441+61+63</f>
        <v>565</v>
      </c>
      <c r="J221" s="9">
        <f>1355+174</f>
        <v>1529</v>
      </c>
      <c r="K221" s="9">
        <f t="shared" si="214"/>
        <v>2393</v>
      </c>
      <c r="L221" s="10">
        <v>52000</v>
      </c>
      <c r="M221" s="11">
        <f>L221*50</f>
        <v>2600000</v>
      </c>
      <c r="N221" s="14" t="s">
        <v>52</v>
      </c>
      <c r="O221" s="15" t="s">
        <v>52</v>
      </c>
      <c r="P221" s="10">
        <v>12500</v>
      </c>
      <c r="Q221" s="11">
        <f>P221*75</f>
        <v>937500</v>
      </c>
      <c r="R221" s="10">
        <v>0</v>
      </c>
      <c r="S221" s="11">
        <v>0</v>
      </c>
      <c r="T221" s="10">
        <v>0</v>
      </c>
      <c r="U221" s="11">
        <v>0</v>
      </c>
      <c r="V221" s="10">
        <v>0</v>
      </c>
      <c r="W221" s="11">
        <v>0</v>
      </c>
      <c r="X221" s="14" t="s">
        <v>52</v>
      </c>
      <c r="Y221" s="15" t="s">
        <v>52</v>
      </c>
      <c r="Z221" s="10">
        <v>0</v>
      </c>
      <c r="AA221" s="11">
        <v>0</v>
      </c>
      <c r="AB221" s="10">
        <v>0</v>
      </c>
      <c r="AC221" s="11">
        <v>0</v>
      </c>
      <c r="AD221" s="10">
        <v>0</v>
      </c>
      <c r="AE221" s="11">
        <v>0</v>
      </c>
      <c r="AF221" s="10">
        <v>0</v>
      </c>
      <c r="AG221" s="11">
        <v>0</v>
      </c>
      <c r="AH221" s="14" t="s">
        <v>52</v>
      </c>
      <c r="AI221" s="15" t="s">
        <v>52</v>
      </c>
      <c r="AJ221" s="10">
        <v>280</v>
      </c>
      <c r="AK221" s="13">
        <f>AJ221*9</f>
        <v>2520</v>
      </c>
      <c r="AL221" s="14" t="s">
        <v>52</v>
      </c>
      <c r="AM221" s="18" t="s">
        <v>52</v>
      </c>
      <c r="AN221" s="10">
        <v>0</v>
      </c>
      <c r="AO221" s="11">
        <v>0</v>
      </c>
      <c r="AP221" s="10">
        <v>0</v>
      </c>
      <c r="AQ221" s="11">
        <v>0</v>
      </c>
      <c r="AR221" s="10">
        <v>1280</v>
      </c>
      <c r="AS221" s="11">
        <f>AR221*55</f>
        <v>70400</v>
      </c>
      <c r="AT221" s="14" t="s">
        <v>52</v>
      </c>
      <c r="AU221" s="15" t="s">
        <v>52</v>
      </c>
      <c r="AV221" s="10">
        <v>0</v>
      </c>
      <c r="AW221" s="11">
        <v>0</v>
      </c>
      <c r="AX221" s="10">
        <v>0</v>
      </c>
      <c r="AY221" s="11">
        <v>0</v>
      </c>
      <c r="AZ221" s="10">
        <v>0</v>
      </c>
      <c r="BA221" s="11">
        <v>0</v>
      </c>
      <c r="BB221" s="10">
        <v>0</v>
      </c>
      <c r="BC221" s="11">
        <v>0</v>
      </c>
      <c r="BD221" s="10">
        <v>0</v>
      </c>
      <c r="BE221" s="11">
        <v>0</v>
      </c>
      <c r="BF221" s="10">
        <v>0</v>
      </c>
      <c r="BG221" s="11">
        <v>0</v>
      </c>
      <c r="BH221" s="11">
        <v>0</v>
      </c>
      <c r="BI221" s="11">
        <v>0</v>
      </c>
      <c r="BJ221" s="10">
        <v>0</v>
      </c>
      <c r="BK221" s="11">
        <v>0</v>
      </c>
      <c r="BL221" s="10">
        <v>0</v>
      </c>
      <c r="BM221" s="11">
        <v>0</v>
      </c>
      <c r="BN221" s="8">
        <f t="shared" si="212"/>
        <v>66060</v>
      </c>
      <c r="BO221" s="8">
        <f t="shared" si="213"/>
        <v>3610420</v>
      </c>
      <c r="BP221" s="8">
        <f t="shared" si="216"/>
        <v>0</v>
      </c>
      <c r="BQ221" s="12">
        <f t="shared" si="217"/>
        <v>0</v>
      </c>
    </row>
    <row r="222" spans="1:69">
      <c r="A222" s="28">
        <v>2001</v>
      </c>
      <c r="B222" s="27" t="s">
        <v>22</v>
      </c>
      <c r="C222" s="24">
        <f t="shared" si="192"/>
        <v>176</v>
      </c>
      <c r="D222" s="7" t="e">
        <f t="shared" ca="1" si="211"/>
        <v>#N/A</v>
      </c>
      <c r="E222" s="26">
        <f t="array" aca="1" ref="E222" ca="1">AVERAGE(IF(INDIRECT(DatCol&amp;"$"&amp;TEXT(C222,"###")):INDIRECT(DatCol&amp;"$"&amp;TEXT(C222+57,"###"))&gt;0,INDIRECT(DatCol&amp;"$"&amp;TEXT(C222,"###")):INDIRECT(DatCol&amp;"$"&amp;TEXT(C222+57,"###"))))</f>
        <v>1119.8333333333333</v>
      </c>
      <c r="F222" s="26" t="str">
        <f t="shared" si="215"/>
        <v>C</v>
      </c>
      <c r="G222" s="9">
        <v>0</v>
      </c>
      <c r="H222" s="9">
        <v>1012</v>
      </c>
      <c r="I222" s="9">
        <f>464+62+69</f>
        <v>595</v>
      </c>
      <c r="J222" s="9">
        <f>1465</f>
        <v>1465</v>
      </c>
      <c r="K222" s="9">
        <f t="shared" si="214"/>
        <v>2477</v>
      </c>
      <c r="L222" s="10">
        <v>68000</v>
      </c>
      <c r="M222" s="11">
        <f>L222*50</f>
        <v>3400000</v>
      </c>
      <c r="N222" s="14" t="s">
        <v>52</v>
      </c>
      <c r="O222" s="15" t="s">
        <v>52</v>
      </c>
      <c r="P222" s="10">
        <v>9800</v>
      </c>
      <c r="Q222" s="11">
        <f>P222*75</f>
        <v>735000</v>
      </c>
      <c r="R222" s="10">
        <v>0</v>
      </c>
      <c r="S222" s="11">
        <v>0</v>
      </c>
      <c r="T222" s="10">
        <v>0</v>
      </c>
      <c r="U222" s="11">
        <v>0</v>
      </c>
      <c r="V222" s="10">
        <v>0</v>
      </c>
      <c r="W222" s="11">
        <v>0</v>
      </c>
      <c r="X222" s="14" t="s">
        <v>52</v>
      </c>
      <c r="Y222" s="15" t="s">
        <v>52</v>
      </c>
      <c r="Z222" s="10">
        <v>0</v>
      </c>
      <c r="AA222" s="11">
        <v>0</v>
      </c>
      <c r="AB222" s="10">
        <v>0</v>
      </c>
      <c r="AC222" s="11">
        <v>0</v>
      </c>
      <c r="AD222" s="10">
        <v>0</v>
      </c>
      <c r="AE222" s="11">
        <v>0</v>
      </c>
      <c r="AF222" s="10">
        <v>0</v>
      </c>
      <c r="AG222" s="11">
        <v>0</v>
      </c>
      <c r="AH222" s="14" t="s">
        <v>52</v>
      </c>
      <c r="AI222" s="15" t="s">
        <v>52</v>
      </c>
      <c r="AJ222" s="10">
        <v>1200</v>
      </c>
      <c r="AK222" s="13">
        <f>AJ222*9</f>
        <v>10800</v>
      </c>
      <c r="AL222" s="14" t="s">
        <v>52</v>
      </c>
      <c r="AM222" s="18" t="s">
        <v>52</v>
      </c>
      <c r="AN222" s="10">
        <v>0</v>
      </c>
      <c r="AO222" s="11">
        <v>0</v>
      </c>
      <c r="AP222" s="10">
        <v>0</v>
      </c>
      <c r="AQ222" s="11">
        <v>0</v>
      </c>
      <c r="AR222" s="10">
        <v>0</v>
      </c>
      <c r="AS222" s="11">
        <v>0</v>
      </c>
      <c r="AT222" s="14" t="s">
        <v>52</v>
      </c>
      <c r="AU222" s="15" t="s">
        <v>52</v>
      </c>
      <c r="AV222" s="10">
        <v>0</v>
      </c>
      <c r="AW222" s="11">
        <v>0</v>
      </c>
      <c r="AX222" s="10">
        <v>0</v>
      </c>
      <c r="AY222" s="11">
        <v>0</v>
      </c>
      <c r="AZ222" s="10">
        <v>0</v>
      </c>
      <c r="BA222" s="11">
        <v>0</v>
      </c>
      <c r="BB222" s="10">
        <v>0</v>
      </c>
      <c r="BC222" s="11">
        <v>0</v>
      </c>
      <c r="BD222" s="10">
        <v>0</v>
      </c>
      <c r="BE222" s="11">
        <v>0</v>
      </c>
      <c r="BF222" s="10">
        <v>0</v>
      </c>
      <c r="BG222" s="11">
        <v>0</v>
      </c>
      <c r="BH222" s="11">
        <v>0</v>
      </c>
      <c r="BI222" s="11">
        <v>0</v>
      </c>
      <c r="BJ222" s="10">
        <v>0</v>
      </c>
      <c r="BK222" s="11">
        <v>0</v>
      </c>
      <c r="BL222" s="10">
        <v>0</v>
      </c>
      <c r="BM222" s="11">
        <v>0</v>
      </c>
      <c r="BN222" s="8">
        <f t="shared" si="212"/>
        <v>79000</v>
      </c>
      <c r="BO222" s="8">
        <f t="shared" si="213"/>
        <v>4145800</v>
      </c>
      <c r="BP222" s="8">
        <f t="shared" si="216"/>
        <v>0</v>
      </c>
      <c r="BQ222" s="12">
        <f t="shared" si="217"/>
        <v>0</v>
      </c>
    </row>
    <row r="223" spans="1:69">
      <c r="A223" s="28">
        <v>2002</v>
      </c>
      <c r="B223" s="27" t="s">
        <v>22</v>
      </c>
      <c r="C223" s="24">
        <f t="shared" si="192"/>
        <v>176</v>
      </c>
      <c r="D223" s="7" t="e">
        <f t="shared" ca="1" si="211"/>
        <v>#N/A</v>
      </c>
      <c r="E223" s="26">
        <f t="array" aca="1" ref="E223" ca="1">AVERAGE(IF(INDIRECT(DatCol&amp;"$"&amp;TEXT(C223,"###")):INDIRECT(DatCol&amp;"$"&amp;TEXT(C223+57,"###"))&gt;0,INDIRECT(DatCol&amp;"$"&amp;TEXT(C223,"###")):INDIRECT(DatCol&amp;"$"&amp;TEXT(C223+57,"###"))))</f>
        <v>1119.8333333333333</v>
      </c>
      <c r="F223" s="26" t="str">
        <f t="shared" si="215"/>
        <v>C</v>
      </c>
      <c r="G223" s="9">
        <v>0</v>
      </c>
      <c r="H223" s="9">
        <v>1184</v>
      </c>
      <c r="I223" s="9">
        <f>532+82+69</f>
        <v>683</v>
      </c>
      <c r="J223" s="9">
        <f>1591+224</f>
        <v>1815</v>
      </c>
      <c r="K223" s="9">
        <f t="shared" si="214"/>
        <v>2999</v>
      </c>
      <c r="L223" s="10">
        <v>78000</v>
      </c>
      <c r="M223" s="11">
        <f>L223*50</f>
        <v>3900000</v>
      </c>
      <c r="N223" s="14" t="s">
        <v>52</v>
      </c>
      <c r="O223" s="15" t="s">
        <v>52</v>
      </c>
      <c r="P223" s="10">
        <v>18000</v>
      </c>
      <c r="Q223" s="11">
        <f>P223*75</f>
        <v>1350000</v>
      </c>
      <c r="R223" s="10">
        <v>0</v>
      </c>
      <c r="S223" s="11">
        <v>0</v>
      </c>
      <c r="T223" s="10">
        <v>0</v>
      </c>
      <c r="U223" s="11">
        <v>0</v>
      </c>
      <c r="V223" s="10">
        <v>0</v>
      </c>
      <c r="W223" s="11">
        <v>0</v>
      </c>
      <c r="X223" s="14" t="s">
        <v>52</v>
      </c>
      <c r="Y223" s="15" t="s">
        <v>52</v>
      </c>
      <c r="Z223" s="10">
        <v>0</v>
      </c>
      <c r="AA223" s="11">
        <v>0</v>
      </c>
      <c r="AB223" s="10">
        <v>0</v>
      </c>
      <c r="AC223" s="11">
        <v>0</v>
      </c>
      <c r="AD223" s="10">
        <v>0</v>
      </c>
      <c r="AE223" s="11">
        <v>0</v>
      </c>
      <c r="AF223" s="10">
        <v>0</v>
      </c>
      <c r="AG223" s="11">
        <v>0</v>
      </c>
      <c r="AH223" s="14" t="s">
        <v>52</v>
      </c>
      <c r="AI223" s="15" t="s">
        <v>52</v>
      </c>
      <c r="AJ223" s="10">
        <v>250</v>
      </c>
      <c r="AK223" s="13">
        <f>AJ223*9</f>
        <v>2250</v>
      </c>
      <c r="AL223" s="14" t="s">
        <v>52</v>
      </c>
      <c r="AM223" s="18" t="s">
        <v>52</v>
      </c>
      <c r="AN223" s="10">
        <v>0</v>
      </c>
      <c r="AO223" s="11">
        <v>0</v>
      </c>
      <c r="AP223" s="10">
        <v>0</v>
      </c>
      <c r="AQ223" s="11">
        <v>0</v>
      </c>
      <c r="AR223" s="10">
        <v>600</v>
      </c>
      <c r="AS223" s="11">
        <f>AR223*55</f>
        <v>33000</v>
      </c>
      <c r="AT223" s="14" t="s">
        <v>52</v>
      </c>
      <c r="AU223" s="15" t="s">
        <v>52</v>
      </c>
      <c r="AV223" s="10">
        <v>0</v>
      </c>
      <c r="AW223" s="11">
        <v>0</v>
      </c>
      <c r="AX223" s="10">
        <v>0</v>
      </c>
      <c r="AY223" s="11">
        <v>0</v>
      </c>
      <c r="AZ223" s="10">
        <v>300</v>
      </c>
      <c r="BA223" s="11">
        <f>AZ223*40</f>
        <v>12000</v>
      </c>
      <c r="BB223" s="10">
        <v>0</v>
      </c>
      <c r="BC223" s="11">
        <v>0</v>
      </c>
      <c r="BD223" s="10">
        <v>0</v>
      </c>
      <c r="BE223" s="11">
        <v>0</v>
      </c>
      <c r="BF223" s="10">
        <v>0</v>
      </c>
      <c r="BG223" s="11">
        <v>0</v>
      </c>
      <c r="BH223" s="11">
        <v>0</v>
      </c>
      <c r="BI223" s="11">
        <v>0</v>
      </c>
      <c r="BJ223" s="10">
        <v>0</v>
      </c>
      <c r="BK223" s="11">
        <v>0</v>
      </c>
      <c r="BL223" s="10">
        <v>0</v>
      </c>
      <c r="BM223" s="11">
        <v>0</v>
      </c>
      <c r="BN223" s="8">
        <f t="shared" si="212"/>
        <v>97150</v>
      </c>
      <c r="BO223" s="8">
        <f t="shared" si="213"/>
        <v>5297250</v>
      </c>
      <c r="BP223" s="8">
        <f t="shared" si="216"/>
        <v>0</v>
      </c>
      <c r="BQ223" s="12">
        <f t="shared" si="217"/>
        <v>0</v>
      </c>
    </row>
    <row r="224" spans="1:69">
      <c r="A224" s="28">
        <v>2003</v>
      </c>
      <c r="B224" s="27" t="s">
        <v>22</v>
      </c>
      <c r="C224" s="24">
        <f t="shared" si="192"/>
        <v>176</v>
      </c>
      <c r="D224" s="7" t="e">
        <f t="shared" ca="1" si="211"/>
        <v>#N/A</v>
      </c>
      <c r="E224" s="26">
        <f t="array" aca="1" ref="E224" ca="1">AVERAGE(IF(INDIRECT(DatCol&amp;"$"&amp;TEXT(C224,"###")):INDIRECT(DatCol&amp;"$"&amp;TEXT(C224+57,"###"))&gt;0,INDIRECT(DatCol&amp;"$"&amp;TEXT(C224,"###")):INDIRECT(DatCol&amp;"$"&amp;TEXT(C224+57,"###"))))</f>
        <v>1119.8333333333333</v>
      </c>
      <c r="F224" s="26" t="str">
        <f t="shared" si="215"/>
        <v>C</v>
      </c>
      <c r="G224" s="9">
        <v>0</v>
      </c>
      <c r="H224" s="9">
        <v>1036</v>
      </c>
      <c r="I224" s="9">
        <f>549+78+73</f>
        <v>700</v>
      </c>
      <c r="J224" s="9">
        <f>197+1440</f>
        <v>1637</v>
      </c>
      <c r="K224" s="9">
        <f t="shared" si="214"/>
        <v>2673</v>
      </c>
      <c r="L224" s="10">
        <v>58000</v>
      </c>
      <c r="M224" s="11">
        <f>L224*50</f>
        <v>2900000</v>
      </c>
      <c r="N224" s="14" t="s">
        <v>52</v>
      </c>
      <c r="O224" s="15" t="s">
        <v>52</v>
      </c>
      <c r="P224" s="10">
        <v>17500</v>
      </c>
      <c r="Q224" s="11">
        <f>P224*75</f>
        <v>1312500</v>
      </c>
      <c r="R224" s="10">
        <v>0</v>
      </c>
      <c r="S224" s="11">
        <v>0</v>
      </c>
      <c r="T224" s="10">
        <v>0</v>
      </c>
      <c r="U224" s="11">
        <v>0</v>
      </c>
      <c r="V224" s="10">
        <v>0</v>
      </c>
      <c r="W224" s="11">
        <v>0</v>
      </c>
      <c r="X224" s="14" t="s">
        <v>52</v>
      </c>
      <c r="Y224" s="15" t="s">
        <v>52</v>
      </c>
      <c r="Z224" s="10">
        <v>0</v>
      </c>
      <c r="AA224" s="11">
        <v>0</v>
      </c>
      <c r="AB224" s="10">
        <v>0</v>
      </c>
      <c r="AC224" s="11">
        <v>0</v>
      </c>
      <c r="AD224" s="10">
        <v>0</v>
      </c>
      <c r="AE224" s="11">
        <v>0</v>
      </c>
      <c r="AF224" s="10">
        <v>0</v>
      </c>
      <c r="AG224" s="11">
        <v>0</v>
      </c>
      <c r="AH224" s="14" t="s">
        <v>52</v>
      </c>
      <c r="AI224" s="15" t="s">
        <v>52</v>
      </c>
      <c r="AJ224" s="10">
        <v>150</v>
      </c>
      <c r="AK224" s="13">
        <f>AJ224*9</f>
        <v>1350</v>
      </c>
      <c r="AL224" s="14" t="s">
        <v>52</v>
      </c>
      <c r="AM224" s="18" t="s">
        <v>52</v>
      </c>
      <c r="AN224" s="10">
        <v>0</v>
      </c>
      <c r="AO224" s="11">
        <v>0</v>
      </c>
      <c r="AP224" s="10">
        <v>0</v>
      </c>
      <c r="AQ224" s="11">
        <v>0</v>
      </c>
      <c r="AR224" s="10">
        <v>200</v>
      </c>
      <c r="AS224" s="11">
        <f>AR224*55</f>
        <v>11000</v>
      </c>
      <c r="AT224" s="14" t="s">
        <v>52</v>
      </c>
      <c r="AU224" s="15" t="s">
        <v>52</v>
      </c>
      <c r="AV224" s="10">
        <v>0</v>
      </c>
      <c r="AW224" s="11">
        <v>0</v>
      </c>
      <c r="AX224" s="10">
        <v>0</v>
      </c>
      <c r="AY224" s="11">
        <v>0</v>
      </c>
      <c r="AZ224" s="10">
        <v>550</v>
      </c>
      <c r="BA224" s="11">
        <f>AZ224*40</f>
        <v>22000</v>
      </c>
      <c r="BB224" s="10">
        <v>0</v>
      </c>
      <c r="BC224" s="11">
        <v>0</v>
      </c>
      <c r="BD224" s="10">
        <v>0</v>
      </c>
      <c r="BE224" s="11">
        <v>0</v>
      </c>
      <c r="BF224" s="10">
        <v>0</v>
      </c>
      <c r="BG224" s="11">
        <v>0</v>
      </c>
      <c r="BH224" s="11">
        <v>0</v>
      </c>
      <c r="BI224" s="11">
        <v>0</v>
      </c>
      <c r="BJ224" s="10">
        <v>0</v>
      </c>
      <c r="BK224" s="11">
        <v>0</v>
      </c>
      <c r="BL224" s="10">
        <v>0</v>
      </c>
      <c r="BM224" s="11">
        <v>0</v>
      </c>
      <c r="BN224" s="8">
        <f t="shared" si="212"/>
        <v>76400</v>
      </c>
      <c r="BO224" s="8">
        <f t="shared" si="213"/>
        <v>4246850</v>
      </c>
      <c r="BP224" s="8">
        <f t="shared" si="216"/>
        <v>0</v>
      </c>
      <c r="BQ224" s="12">
        <f t="shared" si="217"/>
        <v>0</v>
      </c>
    </row>
    <row r="225" spans="1:69">
      <c r="A225" s="28">
        <v>2004</v>
      </c>
      <c r="B225" s="27" t="s">
        <v>22</v>
      </c>
      <c r="C225" s="24">
        <f t="shared" si="192"/>
        <v>176</v>
      </c>
      <c r="D225" s="7" t="e">
        <f t="shared" ca="1" si="211"/>
        <v>#N/A</v>
      </c>
      <c r="E225" s="26">
        <f t="array" aca="1" ref="E225" ca="1">AVERAGE(IF(INDIRECT(DatCol&amp;"$"&amp;TEXT(C225,"###")):INDIRECT(DatCol&amp;"$"&amp;TEXT(C225+57,"###"))&gt;0,INDIRECT(DatCol&amp;"$"&amp;TEXT(C225,"###")):INDIRECT(DatCol&amp;"$"&amp;TEXT(C225+57,"###"))))</f>
        <v>1119.8333333333333</v>
      </c>
      <c r="F225" s="26" t="str">
        <f t="shared" si="215"/>
        <v>C</v>
      </c>
      <c r="I225" s="9">
        <v>660</v>
      </c>
      <c r="K225" s="9">
        <f t="shared" si="214"/>
        <v>0</v>
      </c>
      <c r="L225" s="10">
        <v>31400</v>
      </c>
      <c r="M225" s="11">
        <f>L225*50</f>
        <v>1570000</v>
      </c>
      <c r="N225" s="14" t="s">
        <v>52</v>
      </c>
      <c r="O225" s="15" t="s">
        <v>52</v>
      </c>
      <c r="P225" s="10">
        <v>18250</v>
      </c>
      <c r="Q225" s="11">
        <f>P225*75</f>
        <v>1368750</v>
      </c>
      <c r="R225" s="10">
        <v>0</v>
      </c>
      <c r="S225" s="11">
        <v>0</v>
      </c>
      <c r="T225" s="10">
        <v>0</v>
      </c>
      <c r="U225" s="11">
        <v>0</v>
      </c>
      <c r="V225" s="10">
        <v>0</v>
      </c>
      <c r="W225" s="11">
        <v>0</v>
      </c>
      <c r="X225" s="14"/>
      <c r="Y225" s="15"/>
      <c r="AF225" s="10">
        <v>0</v>
      </c>
      <c r="AG225" s="11">
        <v>0</v>
      </c>
      <c r="AH225" s="14"/>
      <c r="AI225" s="15"/>
      <c r="AJ225" s="10">
        <v>300</v>
      </c>
      <c r="AK225" s="13">
        <f>AJ225*9</f>
        <v>2700</v>
      </c>
      <c r="AL225" s="14"/>
      <c r="AM225" s="18"/>
      <c r="AR225" s="10">
        <v>19000</v>
      </c>
      <c r="AS225" s="11">
        <f>AR225*55</f>
        <v>1045000</v>
      </c>
      <c r="AT225" s="14"/>
      <c r="AU225" s="15"/>
      <c r="AZ225" s="10">
        <v>1400</v>
      </c>
      <c r="BA225" s="11">
        <f>AZ225*40</f>
        <v>56000</v>
      </c>
      <c r="BN225" s="8">
        <f t="shared" si="212"/>
        <v>70350</v>
      </c>
      <c r="BO225" s="8">
        <f t="shared" si="213"/>
        <v>4042450</v>
      </c>
      <c r="BP225" s="8">
        <f t="shared" si="216"/>
        <v>0</v>
      </c>
      <c r="BQ225" s="12">
        <f t="shared" si="217"/>
        <v>0</v>
      </c>
    </row>
    <row r="226" spans="1:69">
      <c r="A226" s="28">
        <v>2005</v>
      </c>
      <c r="B226" s="27" t="s">
        <v>22</v>
      </c>
      <c r="C226" s="24">
        <f t="shared" si="192"/>
        <v>176</v>
      </c>
      <c r="D226" s="7" t="e">
        <f t="shared" ca="1" si="211"/>
        <v>#N/A</v>
      </c>
      <c r="E226" s="26">
        <f t="array" aca="1" ref="E226" ca="1">AVERAGE(IF(INDIRECT(DatCol&amp;"$"&amp;TEXT(C226,"###")):INDIRECT(DatCol&amp;"$"&amp;TEXT(C226+57,"###"))&gt;0,INDIRECT(DatCol&amp;"$"&amp;TEXT(C226,"###")):INDIRECT(DatCol&amp;"$"&amp;TEXT(C226+57,"###"))))</f>
        <v>1119.8333333333333</v>
      </c>
      <c r="F226" s="26" t="str">
        <f t="shared" si="215"/>
        <v>C</v>
      </c>
      <c r="K226" s="9">
        <f t="shared" si="214"/>
        <v>0</v>
      </c>
      <c r="N226" s="14"/>
      <c r="O226" s="15"/>
      <c r="X226" s="14"/>
      <c r="Y226" s="15"/>
      <c r="AH226" s="14"/>
      <c r="AI226" s="15"/>
      <c r="AK226" s="13"/>
      <c r="AL226" s="14"/>
      <c r="AM226" s="18"/>
      <c r="AT226" s="14"/>
      <c r="AU226" s="15"/>
      <c r="BN226" s="8">
        <f t="shared" si="212"/>
        <v>0</v>
      </c>
      <c r="BO226" s="8">
        <f t="shared" si="213"/>
        <v>0</v>
      </c>
      <c r="BP226" s="8">
        <f t="shared" si="216"/>
        <v>0</v>
      </c>
      <c r="BQ226" s="12">
        <f t="shared" si="217"/>
        <v>0</v>
      </c>
    </row>
    <row r="227" spans="1:69">
      <c r="A227" s="28">
        <v>2006</v>
      </c>
      <c r="B227" s="27" t="s">
        <v>22</v>
      </c>
      <c r="C227" s="24">
        <f t="shared" si="192"/>
        <v>176</v>
      </c>
      <c r="D227" s="7" t="e">
        <f t="shared" ca="1" si="211"/>
        <v>#N/A</v>
      </c>
      <c r="E227" s="26">
        <f t="array" aca="1" ref="E227" ca="1">AVERAGE(IF(INDIRECT(DatCol&amp;"$"&amp;TEXT(C227,"###")):INDIRECT(DatCol&amp;"$"&amp;TEXT(C227+57,"###"))&gt;0,INDIRECT(DatCol&amp;"$"&amp;TEXT(C227,"###")):INDIRECT(DatCol&amp;"$"&amp;TEXT(C227+57,"###"))))</f>
        <v>1119.8333333333333</v>
      </c>
      <c r="F227" s="26" t="str">
        <f t="shared" si="215"/>
        <v>C</v>
      </c>
      <c r="K227" s="9">
        <f t="shared" si="214"/>
        <v>0</v>
      </c>
      <c r="N227" s="14"/>
      <c r="O227" s="15"/>
      <c r="X227" s="14"/>
      <c r="Y227" s="15"/>
      <c r="AH227" s="14"/>
      <c r="AI227" s="15"/>
      <c r="AK227" s="13"/>
      <c r="AL227" s="14"/>
      <c r="AM227" s="18"/>
      <c r="AT227" s="14"/>
      <c r="AU227" s="15"/>
      <c r="BN227" s="8">
        <f t="shared" si="212"/>
        <v>0</v>
      </c>
      <c r="BO227" s="8">
        <f t="shared" si="213"/>
        <v>0</v>
      </c>
      <c r="BP227" s="8">
        <f t="shared" si="216"/>
        <v>0</v>
      </c>
      <c r="BQ227" s="12">
        <f t="shared" si="217"/>
        <v>0</v>
      </c>
    </row>
    <row r="228" spans="1:69">
      <c r="A228" s="28">
        <v>2007</v>
      </c>
      <c r="B228" s="27" t="s">
        <v>22</v>
      </c>
      <c r="C228" s="24">
        <f t="shared" si="192"/>
        <v>176</v>
      </c>
      <c r="D228" s="7" t="e">
        <f t="shared" ca="1" si="211"/>
        <v>#N/A</v>
      </c>
      <c r="E228" s="26">
        <f t="array" aca="1" ref="E228" ca="1">AVERAGE(IF(INDIRECT(DatCol&amp;"$"&amp;TEXT(C228,"###")):INDIRECT(DatCol&amp;"$"&amp;TEXT(C228+57,"###"))&gt;0,INDIRECT(DatCol&amp;"$"&amp;TEXT(C228,"###")):INDIRECT(DatCol&amp;"$"&amp;TEXT(C228+57,"###"))))</f>
        <v>1119.8333333333333</v>
      </c>
      <c r="F228" s="26" t="str">
        <f t="shared" si="215"/>
        <v>C</v>
      </c>
      <c r="K228" s="9">
        <f t="shared" si="214"/>
        <v>0</v>
      </c>
      <c r="N228" s="14"/>
      <c r="O228" s="15"/>
      <c r="X228" s="14"/>
      <c r="Y228" s="15"/>
      <c r="AH228" s="14"/>
      <c r="AI228" s="15"/>
      <c r="AK228" s="13"/>
      <c r="AL228" s="14"/>
      <c r="AM228" s="18"/>
      <c r="AT228" s="14"/>
      <c r="AU228" s="15"/>
      <c r="BN228" s="8">
        <f t="shared" si="212"/>
        <v>0</v>
      </c>
      <c r="BO228" s="8">
        <f t="shared" si="213"/>
        <v>0</v>
      </c>
      <c r="BP228" s="8">
        <f t="shared" si="216"/>
        <v>0</v>
      </c>
      <c r="BQ228" s="12">
        <f t="shared" si="217"/>
        <v>0</v>
      </c>
    </row>
    <row r="229" spans="1:69">
      <c r="A229" s="28">
        <v>2008</v>
      </c>
      <c r="B229" s="27" t="s">
        <v>22</v>
      </c>
      <c r="C229" s="24">
        <f t="shared" si="192"/>
        <v>176</v>
      </c>
      <c r="D229" s="7" t="e">
        <f t="shared" ca="1" si="211"/>
        <v>#N/A</v>
      </c>
      <c r="E229" s="26">
        <f t="array" aca="1" ref="E229" ca="1">AVERAGE(IF(INDIRECT(DatCol&amp;"$"&amp;TEXT(C229,"###")):INDIRECT(DatCol&amp;"$"&amp;TEXT(C229+57,"###"))&gt;0,INDIRECT(DatCol&amp;"$"&amp;TEXT(C229,"###")):INDIRECT(DatCol&amp;"$"&amp;TEXT(C229+57,"###"))))</f>
        <v>1119.8333333333333</v>
      </c>
      <c r="F229" s="26" t="str">
        <f t="shared" si="215"/>
        <v>C</v>
      </c>
      <c r="K229" s="9">
        <f t="shared" si="214"/>
        <v>0</v>
      </c>
      <c r="N229" s="14"/>
      <c r="O229" s="15"/>
      <c r="X229" s="14"/>
      <c r="Y229" s="15"/>
      <c r="AH229" s="14"/>
      <c r="AI229" s="15"/>
      <c r="AK229" s="13"/>
      <c r="AL229" s="14"/>
      <c r="AM229" s="18"/>
      <c r="AT229" s="14"/>
      <c r="AU229" s="15"/>
      <c r="BN229" s="8">
        <f t="shared" si="212"/>
        <v>0</v>
      </c>
      <c r="BO229" s="8">
        <f t="shared" si="213"/>
        <v>0</v>
      </c>
      <c r="BP229" s="8">
        <f t="shared" si="216"/>
        <v>0</v>
      </c>
      <c r="BQ229" s="12">
        <f t="shared" si="217"/>
        <v>0</v>
      </c>
    </row>
    <row r="230" spans="1:69">
      <c r="A230" s="28">
        <v>2009</v>
      </c>
      <c r="B230" s="27" t="s">
        <v>22</v>
      </c>
      <c r="C230" s="24">
        <f t="shared" si="192"/>
        <v>176</v>
      </c>
      <c r="D230" s="7" t="e">
        <f t="shared" ca="1" si="211"/>
        <v>#N/A</v>
      </c>
      <c r="E230" s="26">
        <f t="array" aca="1" ref="E230" ca="1">AVERAGE(IF(INDIRECT(DatCol&amp;"$"&amp;TEXT(C230,"###")):INDIRECT(DatCol&amp;"$"&amp;TEXT(C230+57,"###"))&gt;0,INDIRECT(DatCol&amp;"$"&amp;TEXT(C230,"###")):INDIRECT(DatCol&amp;"$"&amp;TEXT(C230+57,"###"))))</f>
        <v>1119.8333333333333</v>
      </c>
      <c r="F230" s="26" t="str">
        <f t="shared" si="215"/>
        <v>C</v>
      </c>
      <c r="K230" s="9">
        <f t="shared" si="214"/>
        <v>0</v>
      </c>
      <c r="AK230" s="13"/>
      <c r="AM230" s="13"/>
      <c r="BN230" s="8">
        <f t="shared" si="212"/>
        <v>0</v>
      </c>
      <c r="BO230" s="8">
        <f t="shared" si="213"/>
        <v>0</v>
      </c>
      <c r="BP230" s="8">
        <f t="shared" si="216"/>
        <v>0</v>
      </c>
      <c r="BQ230" s="12">
        <f t="shared" si="217"/>
        <v>0</v>
      </c>
    </row>
    <row r="231" spans="1:69">
      <c r="A231" s="28">
        <v>2010</v>
      </c>
      <c r="B231" s="27" t="s">
        <v>22</v>
      </c>
      <c r="C231" s="24">
        <f t="shared" si="192"/>
        <v>176</v>
      </c>
      <c r="D231" s="7" t="e">
        <f t="shared" ca="1" si="211"/>
        <v>#N/A</v>
      </c>
      <c r="E231" s="26">
        <f t="array" aca="1" ref="E231" ca="1">AVERAGE(IF(INDIRECT(DatCol&amp;"$"&amp;TEXT(C231,"###")):INDIRECT(DatCol&amp;"$"&amp;TEXT(C231+57,"###"))&gt;0,INDIRECT(DatCol&amp;"$"&amp;TEXT(C231,"###")):INDIRECT(DatCol&amp;"$"&amp;TEXT(C231+57,"###"))))</f>
        <v>1119.8333333333333</v>
      </c>
      <c r="F231" s="26" t="str">
        <f t="shared" ref="F231:F233" si="236">VLOOKUP(B231,town_region,2,FALSE)</f>
        <v>C</v>
      </c>
      <c r="AK231" s="13"/>
      <c r="AM231" s="13"/>
      <c r="BN231" s="8"/>
      <c r="BO231" s="8"/>
      <c r="BP231" s="8"/>
      <c r="BQ231" s="12"/>
    </row>
    <row r="232" spans="1:69">
      <c r="A232" s="28">
        <v>2011</v>
      </c>
      <c r="B232" s="27" t="s">
        <v>22</v>
      </c>
      <c r="C232" s="24">
        <f t="shared" si="192"/>
        <v>176</v>
      </c>
      <c r="D232" s="7" t="e">
        <f t="shared" ca="1" si="211"/>
        <v>#N/A</v>
      </c>
      <c r="E232" s="26">
        <f t="array" aca="1" ref="E232" ca="1">AVERAGE(IF(INDIRECT(DatCol&amp;"$"&amp;TEXT(C232,"###")):INDIRECT(DatCol&amp;"$"&amp;TEXT(C232+57,"###"))&gt;0,INDIRECT(DatCol&amp;"$"&amp;TEXT(C232,"###")):INDIRECT(DatCol&amp;"$"&amp;TEXT(C232+57,"###"))))</f>
        <v>1119.8333333333333</v>
      </c>
      <c r="F232" s="26" t="str">
        <f t="shared" si="236"/>
        <v>C</v>
      </c>
      <c r="AK232" s="13"/>
      <c r="AM232" s="13"/>
      <c r="BN232" s="8"/>
      <c r="BO232" s="8"/>
      <c r="BP232" s="8"/>
      <c r="BQ232" s="12"/>
    </row>
    <row r="233" spans="1:69">
      <c r="A233" s="28">
        <v>2012</v>
      </c>
      <c r="B233" s="27" t="s">
        <v>22</v>
      </c>
      <c r="C233" s="24">
        <f t="shared" si="192"/>
        <v>176</v>
      </c>
      <c r="D233" s="7" t="e">
        <f t="shared" ca="1" si="211"/>
        <v>#N/A</v>
      </c>
      <c r="E233" s="26">
        <f t="array" aca="1" ref="E233" ca="1">AVERAGE(IF(INDIRECT(DatCol&amp;"$"&amp;TEXT(C233,"###")):INDIRECT(DatCol&amp;"$"&amp;TEXT(C233+57,"###"))&gt;0,INDIRECT(DatCol&amp;"$"&amp;TEXT(C233,"###")):INDIRECT(DatCol&amp;"$"&amp;TEXT(C233+57,"###"))))</f>
        <v>1119.8333333333333</v>
      </c>
      <c r="F233" s="26" t="str">
        <f t="shared" si="236"/>
        <v>C</v>
      </c>
      <c r="AK233" s="13"/>
      <c r="AM233" s="13"/>
      <c r="BN233" s="8"/>
      <c r="BO233" s="8"/>
      <c r="BP233" s="8"/>
      <c r="BQ233" s="12"/>
    </row>
    <row r="234" spans="1:69">
      <c r="A234" s="28">
        <v>1955</v>
      </c>
      <c r="B234" s="27" t="s">
        <v>23</v>
      </c>
      <c r="C234" s="24">
        <f>ROW()</f>
        <v>234</v>
      </c>
      <c r="D234" s="7" t="e">
        <f t="shared" ca="1" si="211"/>
        <v>#N/A</v>
      </c>
      <c r="E234" s="26">
        <f t="array" aca="1" ref="E234" ca="1">AVERAGE(IF(INDIRECT(DatCol&amp;"$"&amp;TEXT(C234,"###")):INDIRECT(DatCol&amp;"$"&amp;TEXT(C234+57,"###"))&gt;0,INDIRECT(DatCol&amp;"$"&amp;TEXT(C234,"###")):INDIRECT(DatCol&amp;"$"&amp;TEXT(C234+57,"###"))))</f>
        <v>118.72</v>
      </c>
      <c r="F234" s="26" t="str">
        <f t="shared" si="215"/>
        <v>I</v>
      </c>
      <c r="G234" s="8"/>
      <c r="K234" s="9">
        <f t="shared" si="214"/>
        <v>0</v>
      </c>
      <c r="M234" s="11">
        <f t="shared" si="218"/>
        <v>0</v>
      </c>
      <c r="O234" s="11">
        <f t="shared" si="219"/>
        <v>0</v>
      </c>
      <c r="Q234" s="11">
        <f t="shared" si="220"/>
        <v>0</v>
      </c>
      <c r="Y234" s="11">
        <f t="shared" si="221"/>
        <v>0</v>
      </c>
      <c r="AG234" s="11">
        <f>(AF234*65)</f>
        <v>0</v>
      </c>
      <c r="AI234" s="11">
        <f t="shared" si="223"/>
        <v>0</v>
      </c>
      <c r="AK234" s="13">
        <f t="shared" si="224"/>
        <v>0</v>
      </c>
      <c r="AM234" s="13">
        <f t="shared" si="225"/>
        <v>0</v>
      </c>
      <c r="AO234" s="11">
        <f t="shared" si="226"/>
        <v>0</v>
      </c>
      <c r="AQ234" s="11">
        <f t="shared" si="227"/>
        <v>0</v>
      </c>
      <c r="AS234" s="11">
        <f t="shared" si="228"/>
        <v>0</v>
      </c>
      <c r="AU234" s="11">
        <f t="shared" si="229"/>
        <v>0</v>
      </c>
      <c r="AW234" s="11">
        <f t="shared" si="230"/>
        <v>0</v>
      </c>
      <c r="AY234" s="11">
        <f t="shared" si="231"/>
        <v>0</v>
      </c>
      <c r="BA234" s="11">
        <f t="shared" si="232"/>
        <v>0</v>
      </c>
      <c r="BC234" s="11">
        <f t="shared" si="233"/>
        <v>0</v>
      </c>
      <c r="BE234" s="11">
        <f t="shared" si="234"/>
        <v>0</v>
      </c>
      <c r="BG234" s="11">
        <f t="shared" si="235"/>
        <v>0</v>
      </c>
      <c r="BN234" s="8">
        <f t="shared" si="212"/>
        <v>0</v>
      </c>
      <c r="BO234" s="8">
        <f t="shared" si="213"/>
        <v>0</v>
      </c>
      <c r="BP234" s="8">
        <f t="shared" si="216"/>
        <v>0</v>
      </c>
      <c r="BQ234" s="12">
        <f t="shared" si="217"/>
        <v>0</v>
      </c>
    </row>
    <row r="235" spans="1:69">
      <c r="A235" s="28">
        <v>1956</v>
      </c>
      <c r="B235" s="27" t="s">
        <v>23</v>
      </c>
      <c r="C235" s="24">
        <f t="shared" ref="C235:C291" si="237">C234</f>
        <v>234</v>
      </c>
      <c r="D235" s="7" t="e">
        <f t="shared" ca="1" si="211"/>
        <v>#N/A</v>
      </c>
      <c r="E235" s="26">
        <f t="array" aca="1" ref="E235" ca="1">AVERAGE(IF(INDIRECT(DatCol&amp;"$"&amp;TEXT(C235,"###")):INDIRECT(DatCol&amp;"$"&amp;TEXT(C235+57,"###"))&gt;0,INDIRECT(DatCol&amp;"$"&amp;TEXT(C235,"###")):INDIRECT(DatCol&amp;"$"&amp;TEXT(C235+57,"###"))))</f>
        <v>118.72</v>
      </c>
      <c r="F235" s="26" t="str">
        <f t="shared" si="215"/>
        <v>I</v>
      </c>
      <c r="G235" s="8"/>
      <c r="K235" s="9">
        <f t="shared" si="214"/>
        <v>0</v>
      </c>
      <c r="M235" s="11">
        <f t="shared" si="218"/>
        <v>0</v>
      </c>
      <c r="O235" s="11">
        <f t="shared" si="219"/>
        <v>0</v>
      </c>
      <c r="Q235" s="11">
        <f t="shared" si="220"/>
        <v>0</v>
      </c>
      <c r="Y235" s="11">
        <f t="shared" si="221"/>
        <v>0</v>
      </c>
      <c r="AG235" s="11">
        <f>(AF235*65)</f>
        <v>0</v>
      </c>
      <c r="AI235" s="11">
        <f t="shared" si="223"/>
        <v>0</v>
      </c>
      <c r="AK235" s="13">
        <f t="shared" si="224"/>
        <v>0</v>
      </c>
      <c r="AM235" s="13">
        <f t="shared" si="225"/>
        <v>0</v>
      </c>
      <c r="AO235" s="11">
        <f t="shared" si="226"/>
        <v>0</v>
      </c>
      <c r="AQ235" s="11">
        <f t="shared" si="227"/>
        <v>0</v>
      </c>
      <c r="AS235" s="11">
        <f t="shared" si="228"/>
        <v>0</v>
      </c>
      <c r="AU235" s="11">
        <f t="shared" si="229"/>
        <v>0</v>
      </c>
      <c r="AW235" s="11">
        <f t="shared" si="230"/>
        <v>0</v>
      </c>
      <c r="AY235" s="11">
        <f t="shared" si="231"/>
        <v>0</v>
      </c>
      <c r="BA235" s="11">
        <f t="shared" si="232"/>
        <v>0</v>
      </c>
      <c r="BC235" s="11">
        <f t="shared" si="233"/>
        <v>0</v>
      </c>
      <c r="BE235" s="11">
        <f t="shared" si="234"/>
        <v>0</v>
      </c>
      <c r="BG235" s="11">
        <f t="shared" si="235"/>
        <v>0</v>
      </c>
      <c r="BN235" s="8">
        <f t="shared" si="212"/>
        <v>0</v>
      </c>
      <c r="BO235" s="8">
        <f t="shared" si="213"/>
        <v>0</v>
      </c>
      <c r="BP235" s="8">
        <f t="shared" si="216"/>
        <v>0</v>
      </c>
      <c r="BQ235" s="12">
        <f t="shared" si="217"/>
        <v>0</v>
      </c>
    </row>
    <row r="236" spans="1:69">
      <c r="A236" s="28">
        <v>1957</v>
      </c>
      <c r="B236" s="27" t="s">
        <v>23</v>
      </c>
      <c r="C236" s="24">
        <f t="shared" si="237"/>
        <v>234</v>
      </c>
      <c r="D236" s="7" t="e">
        <f t="shared" ca="1" si="211"/>
        <v>#N/A</v>
      </c>
      <c r="E236" s="26">
        <f t="array" aca="1" ref="E236" ca="1">AVERAGE(IF(INDIRECT(DatCol&amp;"$"&amp;TEXT(C236,"###")):INDIRECT(DatCol&amp;"$"&amp;TEXT(C236+57,"###"))&gt;0,INDIRECT(DatCol&amp;"$"&amp;TEXT(C236,"###")):INDIRECT(DatCol&amp;"$"&amp;TEXT(C236+57,"###"))))</f>
        <v>118.72</v>
      </c>
      <c r="F236" s="26" t="str">
        <f t="shared" si="215"/>
        <v>I</v>
      </c>
      <c r="G236" s="8"/>
      <c r="K236" s="9">
        <f t="shared" si="214"/>
        <v>0</v>
      </c>
      <c r="M236" s="11">
        <f t="shared" si="218"/>
        <v>0</v>
      </c>
      <c r="O236" s="11">
        <f t="shared" si="219"/>
        <v>0</v>
      </c>
      <c r="Q236" s="11">
        <f t="shared" si="220"/>
        <v>0</v>
      </c>
      <c r="Y236" s="11">
        <f t="shared" si="221"/>
        <v>0</v>
      </c>
      <c r="AG236" s="11">
        <f>(AF236*65)</f>
        <v>0</v>
      </c>
      <c r="AI236" s="11">
        <f t="shared" si="223"/>
        <v>0</v>
      </c>
      <c r="AK236" s="13">
        <f t="shared" si="224"/>
        <v>0</v>
      </c>
      <c r="AM236" s="13">
        <f t="shared" si="225"/>
        <v>0</v>
      </c>
      <c r="AO236" s="11">
        <f t="shared" si="226"/>
        <v>0</v>
      </c>
      <c r="AQ236" s="11">
        <f t="shared" si="227"/>
        <v>0</v>
      </c>
      <c r="AS236" s="11">
        <f t="shared" si="228"/>
        <v>0</v>
      </c>
      <c r="AU236" s="11">
        <f t="shared" si="229"/>
        <v>0</v>
      </c>
      <c r="AW236" s="11">
        <f t="shared" si="230"/>
        <v>0</v>
      </c>
      <c r="AY236" s="11">
        <f t="shared" si="231"/>
        <v>0</v>
      </c>
      <c r="BA236" s="11">
        <f t="shared" si="232"/>
        <v>0</v>
      </c>
      <c r="BC236" s="11">
        <f t="shared" si="233"/>
        <v>0</v>
      </c>
      <c r="BE236" s="11">
        <f t="shared" si="234"/>
        <v>0</v>
      </c>
      <c r="BG236" s="11">
        <f t="shared" si="235"/>
        <v>0</v>
      </c>
      <c r="BN236" s="8">
        <f t="shared" si="212"/>
        <v>0</v>
      </c>
      <c r="BO236" s="8">
        <f t="shared" si="213"/>
        <v>0</v>
      </c>
      <c r="BP236" s="8">
        <f t="shared" si="216"/>
        <v>0</v>
      </c>
      <c r="BQ236" s="12">
        <f t="shared" si="217"/>
        <v>0</v>
      </c>
    </row>
    <row r="237" spans="1:69">
      <c r="A237" s="28">
        <v>1958</v>
      </c>
      <c r="B237" s="27" t="s">
        <v>23</v>
      </c>
      <c r="C237" s="24">
        <f t="shared" si="237"/>
        <v>234</v>
      </c>
      <c r="D237" s="7" t="e">
        <f t="shared" ca="1" si="211"/>
        <v>#N/A</v>
      </c>
      <c r="E237" s="26">
        <f t="array" aca="1" ref="E237" ca="1">AVERAGE(IF(INDIRECT(DatCol&amp;"$"&amp;TEXT(C237,"###")):INDIRECT(DatCol&amp;"$"&amp;TEXT(C237+57,"###"))&gt;0,INDIRECT(DatCol&amp;"$"&amp;TEXT(C237,"###")):INDIRECT(DatCol&amp;"$"&amp;TEXT(C237+57,"###"))))</f>
        <v>118.72</v>
      </c>
      <c r="F237" s="26" t="str">
        <f t="shared" si="215"/>
        <v>I</v>
      </c>
      <c r="G237" s="8"/>
      <c r="K237" s="9">
        <f t="shared" si="214"/>
        <v>0</v>
      </c>
      <c r="M237" s="11">
        <f t="shared" si="218"/>
        <v>0</v>
      </c>
      <c r="O237" s="11">
        <f t="shared" si="219"/>
        <v>0</v>
      </c>
      <c r="Q237" s="11">
        <f t="shared" si="220"/>
        <v>0</v>
      </c>
      <c r="Y237" s="11">
        <f t="shared" si="221"/>
        <v>0</v>
      </c>
      <c r="AG237" s="11">
        <f>(AF237*65)</f>
        <v>0</v>
      </c>
      <c r="AI237" s="11">
        <f t="shared" si="223"/>
        <v>0</v>
      </c>
      <c r="AK237" s="13">
        <f t="shared" si="224"/>
        <v>0</v>
      </c>
      <c r="AM237" s="13">
        <f t="shared" si="225"/>
        <v>0</v>
      </c>
      <c r="AO237" s="11">
        <f t="shared" si="226"/>
        <v>0</v>
      </c>
      <c r="AQ237" s="11">
        <f t="shared" si="227"/>
        <v>0</v>
      </c>
      <c r="AS237" s="11">
        <f t="shared" si="228"/>
        <v>0</v>
      </c>
      <c r="AU237" s="11">
        <f t="shared" si="229"/>
        <v>0</v>
      </c>
      <c r="AW237" s="11">
        <f t="shared" si="230"/>
        <v>0</v>
      </c>
      <c r="AY237" s="11">
        <f t="shared" si="231"/>
        <v>0</v>
      </c>
      <c r="BA237" s="11">
        <f t="shared" si="232"/>
        <v>0</v>
      </c>
      <c r="BC237" s="11">
        <f t="shared" si="233"/>
        <v>0</v>
      </c>
      <c r="BE237" s="11">
        <f t="shared" si="234"/>
        <v>0</v>
      </c>
      <c r="BG237" s="11">
        <f t="shared" si="235"/>
        <v>0</v>
      </c>
      <c r="BN237" s="8">
        <f t="shared" si="212"/>
        <v>0</v>
      </c>
      <c r="BO237" s="8">
        <f t="shared" si="213"/>
        <v>0</v>
      </c>
      <c r="BP237" s="8">
        <f t="shared" si="216"/>
        <v>0</v>
      </c>
      <c r="BQ237" s="12">
        <f t="shared" si="217"/>
        <v>0</v>
      </c>
    </row>
    <row r="238" spans="1:69">
      <c r="A238" s="28">
        <v>1959</v>
      </c>
      <c r="B238" s="27" t="s">
        <v>23</v>
      </c>
      <c r="C238" s="24">
        <f t="shared" si="237"/>
        <v>234</v>
      </c>
      <c r="D238" s="7" t="e">
        <f t="shared" ca="1" si="211"/>
        <v>#N/A</v>
      </c>
      <c r="E238" s="26">
        <f t="array" aca="1" ref="E238" ca="1">AVERAGE(IF(INDIRECT(DatCol&amp;"$"&amp;TEXT(C238,"###")):INDIRECT(DatCol&amp;"$"&amp;TEXT(C238+57,"###"))&gt;0,INDIRECT(DatCol&amp;"$"&amp;TEXT(C238,"###")):INDIRECT(DatCol&amp;"$"&amp;TEXT(C238+57,"###"))))</f>
        <v>118.72</v>
      </c>
      <c r="F238" s="26" t="str">
        <f t="shared" si="215"/>
        <v>I</v>
      </c>
      <c r="G238" s="8"/>
      <c r="K238" s="9">
        <f t="shared" si="214"/>
        <v>0</v>
      </c>
      <c r="M238" s="11">
        <f t="shared" si="218"/>
        <v>0</v>
      </c>
      <c r="O238" s="11">
        <f t="shared" si="219"/>
        <v>0</v>
      </c>
      <c r="Q238" s="11">
        <f t="shared" si="220"/>
        <v>0</v>
      </c>
      <c r="Y238" s="11">
        <f t="shared" si="221"/>
        <v>0</v>
      </c>
      <c r="AG238" s="11">
        <f>(AF238*65)</f>
        <v>0</v>
      </c>
      <c r="AI238" s="11">
        <f t="shared" si="223"/>
        <v>0</v>
      </c>
      <c r="AK238" s="13">
        <f t="shared" si="224"/>
        <v>0</v>
      </c>
      <c r="AM238" s="13">
        <f t="shared" si="225"/>
        <v>0</v>
      </c>
      <c r="AO238" s="11">
        <f t="shared" si="226"/>
        <v>0</v>
      </c>
      <c r="AQ238" s="11">
        <f t="shared" si="227"/>
        <v>0</v>
      </c>
      <c r="AS238" s="11">
        <f t="shared" si="228"/>
        <v>0</v>
      </c>
      <c r="AU238" s="11">
        <f t="shared" si="229"/>
        <v>0</v>
      </c>
      <c r="AW238" s="11">
        <f t="shared" si="230"/>
        <v>0</v>
      </c>
      <c r="AY238" s="11">
        <f t="shared" si="231"/>
        <v>0</v>
      </c>
      <c r="BA238" s="11">
        <f t="shared" si="232"/>
        <v>0</v>
      </c>
      <c r="BC238" s="11">
        <f t="shared" si="233"/>
        <v>0</v>
      </c>
      <c r="BE238" s="11">
        <f t="shared" si="234"/>
        <v>0</v>
      </c>
      <c r="BG238" s="11">
        <f t="shared" si="235"/>
        <v>0</v>
      </c>
      <c r="BN238" s="8">
        <f t="shared" si="212"/>
        <v>0</v>
      </c>
      <c r="BO238" s="8">
        <f t="shared" si="213"/>
        <v>0</v>
      </c>
      <c r="BP238" s="8">
        <f t="shared" si="216"/>
        <v>0</v>
      </c>
      <c r="BQ238" s="12">
        <f t="shared" si="217"/>
        <v>0</v>
      </c>
    </row>
    <row r="239" spans="1:69">
      <c r="A239" s="28">
        <v>1960</v>
      </c>
      <c r="B239" s="27" t="s">
        <v>23</v>
      </c>
      <c r="C239" s="24">
        <f t="shared" si="237"/>
        <v>234</v>
      </c>
      <c r="D239" s="7" t="e">
        <f t="shared" ca="1" si="211"/>
        <v>#N/A</v>
      </c>
      <c r="E239" s="26">
        <f t="array" aca="1" ref="E239" ca="1">AVERAGE(IF(INDIRECT(DatCol&amp;"$"&amp;TEXT(C239,"###")):INDIRECT(DatCol&amp;"$"&amp;TEXT(C239+57,"###"))&gt;0,INDIRECT(DatCol&amp;"$"&amp;TEXT(C239,"###")):INDIRECT(DatCol&amp;"$"&amp;TEXT(C239+57,"###"))))</f>
        <v>118.72</v>
      </c>
      <c r="F239" s="26" t="str">
        <f t="shared" si="215"/>
        <v>I</v>
      </c>
      <c r="G239" s="8"/>
      <c r="K239" s="9">
        <f t="shared" si="214"/>
        <v>0</v>
      </c>
      <c r="M239" s="11">
        <f t="shared" ref="M239:M254" si="238">(L239*50)</f>
        <v>0</v>
      </c>
      <c r="O239" s="11">
        <f t="shared" ref="O239:O254" si="239">(N239*50)</f>
        <v>0</v>
      </c>
      <c r="Q239" s="11">
        <f t="shared" ref="Q239:Q254" si="240">((P239*330)/5.5)</f>
        <v>0</v>
      </c>
      <c r="Y239" s="11">
        <f t="shared" ref="Y239:Y254" si="241">((X239*330)/5.5)</f>
        <v>0</v>
      </c>
      <c r="AG239" s="11">
        <f t="shared" ref="AG239:AG254" si="242">(AF239*65)</f>
        <v>0</v>
      </c>
      <c r="AI239" s="11">
        <f t="shared" ref="AI239:AI254" si="243">(AH239*65)</f>
        <v>0</v>
      </c>
      <c r="AK239" s="13">
        <f t="shared" ref="AK239:AK254" si="244">(AJ239*9)</f>
        <v>0</v>
      </c>
      <c r="AM239" s="13">
        <f t="shared" ref="AM239:AM254" si="245">(AL239*9)</f>
        <v>0</v>
      </c>
      <c r="AO239" s="11">
        <f t="shared" ref="AO239:AO254" si="246">(AN239*80)</f>
        <v>0</v>
      </c>
      <c r="AQ239" s="11">
        <f t="shared" ref="AQ239:AQ254" si="247">(AP239*80)</f>
        <v>0</v>
      </c>
      <c r="AS239" s="11">
        <f t="shared" ref="AS239:AS254" si="248">(AR239*50)</f>
        <v>0</v>
      </c>
      <c r="AU239" s="11">
        <f t="shared" ref="AU239:AU254" si="249">(AT239*50)</f>
        <v>0</v>
      </c>
      <c r="AW239" s="11">
        <f t="shared" ref="AW239:AW254" si="250">(AV239*60)</f>
        <v>0</v>
      </c>
      <c r="AY239" s="11">
        <f t="shared" ref="AY239:AY254" si="251">(AX239*60)</f>
        <v>0</v>
      </c>
      <c r="BA239" s="11">
        <f t="shared" ref="BA239:BA254" si="252">(AZ239*40)</f>
        <v>0</v>
      </c>
      <c r="BC239" s="11">
        <f t="shared" ref="BC239:BC254" si="253">(BB239*40)</f>
        <v>0</v>
      </c>
      <c r="BE239" s="11">
        <f t="shared" ref="BE239:BE254" si="254">(BD239*95)</f>
        <v>0</v>
      </c>
      <c r="BG239" s="11">
        <f t="shared" ref="BG239:BG254" si="255">(BF239*95)</f>
        <v>0</v>
      </c>
      <c r="BN239" s="8">
        <f t="shared" si="212"/>
        <v>0</v>
      </c>
      <c r="BO239" s="8">
        <f t="shared" si="213"/>
        <v>0</v>
      </c>
      <c r="BP239" s="8">
        <f t="shared" si="216"/>
        <v>0</v>
      </c>
      <c r="BQ239" s="12">
        <f t="shared" si="217"/>
        <v>0</v>
      </c>
    </row>
    <row r="240" spans="1:69">
      <c r="A240" s="28">
        <v>1961</v>
      </c>
      <c r="B240" s="27" t="s">
        <v>23</v>
      </c>
      <c r="C240" s="24">
        <f t="shared" si="237"/>
        <v>234</v>
      </c>
      <c r="D240" s="7" t="e">
        <f t="shared" ca="1" si="211"/>
        <v>#N/A</v>
      </c>
      <c r="E240" s="26">
        <f t="array" aca="1" ref="E240" ca="1">AVERAGE(IF(INDIRECT(DatCol&amp;"$"&amp;TEXT(C240,"###")):INDIRECT(DatCol&amp;"$"&amp;TEXT(C240+57,"###"))&gt;0,INDIRECT(DatCol&amp;"$"&amp;TEXT(C240,"###")):INDIRECT(DatCol&amp;"$"&amp;TEXT(C240+57,"###"))))</f>
        <v>118.72</v>
      </c>
      <c r="F240" s="26" t="str">
        <f t="shared" si="215"/>
        <v>I</v>
      </c>
      <c r="G240" s="8"/>
      <c r="K240" s="9">
        <f t="shared" si="214"/>
        <v>0</v>
      </c>
      <c r="M240" s="11">
        <f t="shared" si="238"/>
        <v>0</v>
      </c>
      <c r="O240" s="11">
        <f t="shared" si="239"/>
        <v>0</v>
      </c>
      <c r="Q240" s="11">
        <f t="shared" si="240"/>
        <v>0</v>
      </c>
      <c r="Y240" s="11">
        <f t="shared" si="241"/>
        <v>0</v>
      </c>
      <c r="AG240" s="11">
        <f t="shared" si="242"/>
        <v>0</v>
      </c>
      <c r="AI240" s="11">
        <f t="shared" si="243"/>
        <v>0</v>
      </c>
      <c r="AK240" s="13">
        <f t="shared" si="244"/>
        <v>0</v>
      </c>
      <c r="AM240" s="13">
        <f t="shared" si="245"/>
        <v>0</v>
      </c>
      <c r="AO240" s="11">
        <f t="shared" si="246"/>
        <v>0</v>
      </c>
      <c r="AQ240" s="11">
        <f t="shared" si="247"/>
        <v>0</v>
      </c>
      <c r="AS240" s="11">
        <f t="shared" si="248"/>
        <v>0</v>
      </c>
      <c r="AU240" s="11">
        <f t="shared" si="249"/>
        <v>0</v>
      </c>
      <c r="AW240" s="11">
        <f t="shared" si="250"/>
        <v>0</v>
      </c>
      <c r="AY240" s="11">
        <f t="shared" si="251"/>
        <v>0</v>
      </c>
      <c r="BA240" s="11">
        <f t="shared" si="252"/>
        <v>0</v>
      </c>
      <c r="BC240" s="11">
        <f t="shared" si="253"/>
        <v>0</v>
      </c>
      <c r="BE240" s="11">
        <f t="shared" si="254"/>
        <v>0</v>
      </c>
      <c r="BG240" s="11">
        <f t="shared" si="255"/>
        <v>0</v>
      </c>
      <c r="BN240" s="8">
        <f t="shared" si="212"/>
        <v>0</v>
      </c>
      <c r="BO240" s="8">
        <f t="shared" si="213"/>
        <v>0</v>
      </c>
      <c r="BP240" s="8">
        <f t="shared" si="216"/>
        <v>0</v>
      </c>
      <c r="BQ240" s="12">
        <f t="shared" si="217"/>
        <v>0</v>
      </c>
    </row>
    <row r="241" spans="1:69">
      <c r="A241" s="28">
        <v>1962</v>
      </c>
      <c r="B241" s="27" t="s">
        <v>23</v>
      </c>
      <c r="C241" s="24">
        <f t="shared" si="237"/>
        <v>234</v>
      </c>
      <c r="D241" s="7" t="e">
        <f t="shared" ca="1" si="211"/>
        <v>#N/A</v>
      </c>
      <c r="E241" s="26">
        <f t="array" aca="1" ref="E241" ca="1">AVERAGE(IF(INDIRECT(DatCol&amp;"$"&amp;TEXT(C241,"###")):INDIRECT(DatCol&amp;"$"&amp;TEXT(C241+57,"###"))&gt;0,INDIRECT(DatCol&amp;"$"&amp;TEXT(C241,"###")):INDIRECT(DatCol&amp;"$"&amp;TEXT(C241+57,"###"))))</f>
        <v>118.72</v>
      </c>
      <c r="F241" s="26" t="str">
        <f t="shared" si="215"/>
        <v>I</v>
      </c>
      <c r="G241" s="8"/>
      <c r="K241" s="9">
        <f t="shared" si="214"/>
        <v>0</v>
      </c>
      <c r="M241" s="11">
        <f t="shared" si="238"/>
        <v>0</v>
      </c>
      <c r="O241" s="11">
        <f t="shared" si="239"/>
        <v>0</v>
      </c>
      <c r="Q241" s="11">
        <f t="shared" si="240"/>
        <v>0</v>
      </c>
      <c r="Y241" s="11">
        <f t="shared" si="241"/>
        <v>0</v>
      </c>
      <c r="AG241" s="11">
        <f t="shared" si="242"/>
        <v>0</v>
      </c>
      <c r="AI241" s="11">
        <f t="shared" si="243"/>
        <v>0</v>
      </c>
      <c r="AK241" s="13">
        <f t="shared" si="244"/>
        <v>0</v>
      </c>
      <c r="AM241" s="13">
        <f t="shared" si="245"/>
        <v>0</v>
      </c>
      <c r="AO241" s="11">
        <f t="shared" si="246"/>
        <v>0</v>
      </c>
      <c r="AQ241" s="11">
        <f t="shared" si="247"/>
        <v>0</v>
      </c>
      <c r="AS241" s="11">
        <f t="shared" si="248"/>
        <v>0</v>
      </c>
      <c r="AU241" s="11">
        <f t="shared" si="249"/>
        <v>0</v>
      </c>
      <c r="AW241" s="11">
        <f t="shared" si="250"/>
        <v>0</v>
      </c>
      <c r="AY241" s="11">
        <f t="shared" si="251"/>
        <v>0</v>
      </c>
      <c r="BA241" s="11">
        <f t="shared" si="252"/>
        <v>0</v>
      </c>
      <c r="BC241" s="11">
        <f t="shared" si="253"/>
        <v>0</v>
      </c>
      <c r="BE241" s="11">
        <f t="shared" si="254"/>
        <v>0</v>
      </c>
      <c r="BG241" s="11">
        <f t="shared" si="255"/>
        <v>0</v>
      </c>
      <c r="BN241" s="8">
        <f t="shared" si="212"/>
        <v>0</v>
      </c>
      <c r="BO241" s="8">
        <f t="shared" si="213"/>
        <v>0</v>
      </c>
      <c r="BP241" s="8">
        <f t="shared" si="216"/>
        <v>0</v>
      </c>
      <c r="BQ241" s="12">
        <f t="shared" si="217"/>
        <v>0</v>
      </c>
    </row>
    <row r="242" spans="1:69">
      <c r="A242" s="28">
        <v>1963</v>
      </c>
      <c r="B242" s="27" t="s">
        <v>23</v>
      </c>
      <c r="C242" s="24">
        <f t="shared" si="237"/>
        <v>234</v>
      </c>
      <c r="D242" s="7" t="e">
        <f t="shared" ca="1" si="211"/>
        <v>#N/A</v>
      </c>
      <c r="E242" s="26">
        <f t="array" aca="1" ref="E242" ca="1">AVERAGE(IF(INDIRECT(DatCol&amp;"$"&amp;TEXT(C242,"###")):INDIRECT(DatCol&amp;"$"&amp;TEXT(C242+57,"###"))&gt;0,INDIRECT(DatCol&amp;"$"&amp;TEXT(C242,"###")):INDIRECT(DatCol&amp;"$"&amp;TEXT(C242+57,"###"))))</f>
        <v>118.72</v>
      </c>
      <c r="F242" s="26" t="str">
        <f t="shared" si="215"/>
        <v>I</v>
      </c>
      <c r="G242" s="8"/>
      <c r="K242" s="9">
        <f t="shared" si="214"/>
        <v>0</v>
      </c>
      <c r="M242" s="11">
        <f t="shared" si="238"/>
        <v>0</v>
      </c>
      <c r="N242" s="12">
        <v>150</v>
      </c>
      <c r="O242" s="11">
        <f t="shared" si="239"/>
        <v>7500</v>
      </c>
      <c r="Q242" s="11">
        <f t="shared" si="240"/>
        <v>0</v>
      </c>
      <c r="X242" s="12">
        <v>588</v>
      </c>
      <c r="Y242" s="11">
        <f t="shared" si="241"/>
        <v>35280</v>
      </c>
      <c r="AG242" s="11">
        <f t="shared" si="242"/>
        <v>0</v>
      </c>
      <c r="AH242" s="12">
        <v>277</v>
      </c>
      <c r="AI242" s="11">
        <f t="shared" si="243"/>
        <v>18005</v>
      </c>
      <c r="AK242" s="13">
        <f t="shared" si="244"/>
        <v>0</v>
      </c>
      <c r="AL242" s="12">
        <v>1194</v>
      </c>
      <c r="AM242" s="13">
        <f t="shared" si="245"/>
        <v>10746</v>
      </c>
      <c r="AO242" s="11">
        <f t="shared" si="246"/>
        <v>0</v>
      </c>
      <c r="AQ242" s="11">
        <f t="shared" si="247"/>
        <v>0</v>
      </c>
      <c r="AS242" s="11">
        <f t="shared" si="248"/>
        <v>0</v>
      </c>
      <c r="AU242" s="11">
        <f t="shared" si="249"/>
        <v>0</v>
      </c>
      <c r="AW242" s="11">
        <f t="shared" si="250"/>
        <v>0</v>
      </c>
      <c r="AY242" s="11">
        <f t="shared" si="251"/>
        <v>0</v>
      </c>
      <c r="BA242" s="11">
        <f t="shared" si="252"/>
        <v>0</v>
      </c>
      <c r="BC242" s="11">
        <f t="shared" si="253"/>
        <v>0</v>
      </c>
      <c r="BE242" s="11">
        <f t="shared" si="254"/>
        <v>0</v>
      </c>
      <c r="BG242" s="11">
        <f t="shared" si="255"/>
        <v>0</v>
      </c>
      <c r="BN242" s="8">
        <f t="shared" si="212"/>
        <v>588</v>
      </c>
      <c r="BO242" s="8">
        <f t="shared" si="213"/>
        <v>35280</v>
      </c>
      <c r="BP242" s="8">
        <f t="shared" si="216"/>
        <v>2209</v>
      </c>
      <c r="BQ242" s="12">
        <f t="shared" si="217"/>
        <v>71531</v>
      </c>
    </row>
    <row r="243" spans="1:69">
      <c r="A243" s="28">
        <v>1964</v>
      </c>
      <c r="B243" s="27" t="s">
        <v>23</v>
      </c>
      <c r="C243" s="24">
        <f t="shared" si="237"/>
        <v>234</v>
      </c>
      <c r="D243" s="7" t="e">
        <f t="shared" ca="1" si="211"/>
        <v>#N/A</v>
      </c>
      <c r="E243" s="26">
        <f t="array" aca="1" ref="E243" ca="1">AVERAGE(IF(INDIRECT(DatCol&amp;"$"&amp;TEXT(C243,"###")):INDIRECT(DatCol&amp;"$"&amp;TEXT(C243+57,"###"))&gt;0,INDIRECT(DatCol&amp;"$"&amp;TEXT(C243,"###")):INDIRECT(DatCol&amp;"$"&amp;TEXT(C243+57,"###"))))</f>
        <v>118.72</v>
      </c>
      <c r="F243" s="26" t="str">
        <f t="shared" si="215"/>
        <v>I</v>
      </c>
      <c r="G243" s="8"/>
      <c r="I243" s="8">
        <v>47</v>
      </c>
      <c r="K243" s="9">
        <f t="shared" si="214"/>
        <v>0</v>
      </c>
      <c r="M243" s="11">
        <f t="shared" si="238"/>
        <v>0</v>
      </c>
      <c r="N243" s="12">
        <v>159</v>
      </c>
      <c r="O243" s="11">
        <f t="shared" si="239"/>
        <v>7950</v>
      </c>
      <c r="Q243" s="11">
        <f t="shared" si="240"/>
        <v>0</v>
      </c>
      <c r="X243" s="12">
        <v>785</v>
      </c>
      <c r="Y243" s="11">
        <f t="shared" si="241"/>
        <v>47100</v>
      </c>
      <c r="AG243" s="11">
        <f t="shared" si="242"/>
        <v>0</v>
      </c>
      <c r="AH243" s="12">
        <v>850</v>
      </c>
      <c r="AI243" s="11">
        <f t="shared" si="243"/>
        <v>55250</v>
      </c>
      <c r="AK243" s="13">
        <f t="shared" si="244"/>
        <v>0</v>
      </c>
      <c r="AL243" s="12">
        <v>1402</v>
      </c>
      <c r="AM243" s="13">
        <f t="shared" si="245"/>
        <v>12618</v>
      </c>
      <c r="AO243" s="11">
        <f t="shared" si="246"/>
        <v>0</v>
      </c>
      <c r="AQ243" s="11">
        <f t="shared" si="247"/>
        <v>0</v>
      </c>
      <c r="AS243" s="11">
        <f t="shared" si="248"/>
        <v>0</v>
      </c>
      <c r="AU243" s="11">
        <f t="shared" si="249"/>
        <v>0</v>
      </c>
      <c r="AW243" s="11">
        <f t="shared" si="250"/>
        <v>0</v>
      </c>
      <c r="AY243" s="11">
        <f t="shared" si="251"/>
        <v>0</v>
      </c>
      <c r="BA243" s="11">
        <f t="shared" si="252"/>
        <v>0</v>
      </c>
      <c r="BC243" s="11">
        <f t="shared" si="253"/>
        <v>0</v>
      </c>
      <c r="BE243" s="11">
        <f t="shared" si="254"/>
        <v>0</v>
      </c>
      <c r="BG243" s="11">
        <f t="shared" si="255"/>
        <v>0</v>
      </c>
      <c r="BN243" s="8">
        <f t="shared" si="212"/>
        <v>785</v>
      </c>
      <c r="BO243" s="8">
        <f t="shared" si="213"/>
        <v>47100</v>
      </c>
      <c r="BP243" s="8">
        <f t="shared" si="216"/>
        <v>3196</v>
      </c>
      <c r="BQ243" s="12">
        <f t="shared" si="217"/>
        <v>122918</v>
      </c>
    </row>
    <row r="244" spans="1:69">
      <c r="A244" s="28">
        <v>1965</v>
      </c>
      <c r="B244" s="27" t="s">
        <v>23</v>
      </c>
      <c r="C244" s="24">
        <f t="shared" si="237"/>
        <v>234</v>
      </c>
      <c r="D244" s="7" t="e">
        <f t="shared" ca="1" si="211"/>
        <v>#N/A</v>
      </c>
      <c r="E244" s="26">
        <f t="array" aca="1" ref="E244" ca="1">AVERAGE(IF(INDIRECT(DatCol&amp;"$"&amp;TEXT(C244,"###")):INDIRECT(DatCol&amp;"$"&amp;TEXT(C244+57,"###"))&gt;0,INDIRECT(DatCol&amp;"$"&amp;TEXT(C244,"###")):INDIRECT(DatCol&amp;"$"&amp;TEXT(C244+57,"###"))))</f>
        <v>118.72</v>
      </c>
      <c r="F244" s="26" t="str">
        <f t="shared" si="215"/>
        <v>I</v>
      </c>
      <c r="G244" s="8"/>
      <c r="K244" s="9">
        <f t="shared" si="214"/>
        <v>0</v>
      </c>
      <c r="M244" s="11">
        <f t="shared" si="238"/>
        <v>0</v>
      </c>
      <c r="O244" s="11">
        <f t="shared" si="239"/>
        <v>0</v>
      </c>
      <c r="Q244" s="11">
        <f t="shared" si="240"/>
        <v>0</v>
      </c>
      <c r="Y244" s="11">
        <f t="shared" si="241"/>
        <v>0</v>
      </c>
      <c r="AG244" s="11">
        <f t="shared" si="242"/>
        <v>0</v>
      </c>
      <c r="AI244" s="11">
        <f t="shared" si="243"/>
        <v>0</v>
      </c>
      <c r="AK244" s="13">
        <f t="shared" si="244"/>
        <v>0</v>
      </c>
      <c r="AM244" s="13">
        <f t="shared" si="245"/>
        <v>0</v>
      </c>
      <c r="AO244" s="11">
        <f t="shared" si="246"/>
        <v>0</v>
      </c>
      <c r="AQ244" s="11">
        <f t="shared" si="247"/>
        <v>0</v>
      </c>
      <c r="AS244" s="11">
        <f t="shared" si="248"/>
        <v>0</v>
      </c>
      <c r="AU244" s="11">
        <f t="shared" si="249"/>
        <v>0</v>
      </c>
      <c r="AW244" s="11">
        <f t="shared" si="250"/>
        <v>0</v>
      </c>
      <c r="AY244" s="11">
        <f t="shared" si="251"/>
        <v>0</v>
      </c>
      <c r="BA244" s="11">
        <f t="shared" si="252"/>
        <v>0</v>
      </c>
      <c r="BC244" s="11">
        <f t="shared" si="253"/>
        <v>0</v>
      </c>
      <c r="BE244" s="11">
        <f t="shared" si="254"/>
        <v>0</v>
      </c>
      <c r="BG244" s="11">
        <f t="shared" si="255"/>
        <v>0</v>
      </c>
      <c r="BN244" s="8">
        <f t="shared" si="212"/>
        <v>0</v>
      </c>
      <c r="BO244" s="8">
        <f t="shared" si="213"/>
        <v>0</v>
      </c>
      <c r="BP244" s="8">
        <f t="shared" si="216"/>
        <v>0</v>
      </c>
      <c r="BQ244" s="12">
        <f t="shared" si="217"/>
        <v>0</v>
      </c>
    </row>
    <row r="245" spans="1:69">
      <c r="A245" s="28">
        <v>1966</v>
      </c>
      <c r="B245" s="27" t="s">
        <v>23</v>
      </c>
      <c r="C245" s="24">
        <f t="shared" si="237"/>
        <v>234</v>
      </c>
      <c r="D245" s="7" t="e">
        <f t="shared" ca="1" si="211"/>
        <v>#N/A</v>
      </c>
      <c r="E245" s="26">
        <f t="array" aca="1" ref="E245" ca="1">AVERAGE(IF(INDIRECT(DatCol&amp;"$"&amp;TEXT(C245,"###")):INDIRECT(DatCol&amp;"$"&amp;TEXT(C245+57,"###"))&gt;0,INDIRECT(DatCol&amp;"$"&amp;TEXT(C245,"###")):INDIRECT(DatCol&amp;"$"&amp;TEXT(C245+57,"###"))))</f>
        <v>118.72</v>
      </c>
      <c r="F245" s="26" t="str">
        <f t="shared" si="215"/>
        <v>I</v>
      </c>
      <c r="G245" s="8"/>
      <c r="H245" s="8">
        <v>180</v>
      </c>
      <c r="I245" s="8">
        <v>37</v>
      </c>
      <c r="J245" s="8">
        <v>75</v>
      </c>
      <c r="K245" s="9">
        <f t="shared" si="214"/>
        <v>255</v>
      </c>
      <c r="M245" s="11">
        <f t="shared" si="238"/>
        <v>0</v>
      </c>
      <c r="N245" s="12">
        <v>225</v>
      </c>
      <c r="O245" s="11">
        <f t="shared" si="239"/>
        <v>11250</v>
      </c>
      <c r="P245" s="12">
        <v>44</v>
      </c>
      <c r="Q245" s="11">
        <f t="shared" si="240"/>
        <v>2640</v>
      </c>
      <c r="X245" s="12">
        <v>279</v>
      </c>
      <c r="Y245" s="11">
        <f t="shared" si="241"/>
        <v>16740</v>
      </c>
      <c r="AG245" s="11">
        <f t="shared" si="242"/>
        <v>0</v>
      </c>
      <c r="AH245" s="12">
        <v>175</v>
      </c>
      <c r="AI245" s="11">
        <f t="shared" si="243"/>
        <v>11375</v>
      </c>
      <c r="AJ245" s="12">
        <v>815</v>
      </c>
      <c r="AK245" s="13">
        <f t="shared" si="244"/>
        <v>7335</v>
      </c>
      <c r="AL245" s="12">
        <v>155</v>
      </c>
      <c r="AM245" s="13">
        <f t="shared" si="245"/>
        <v>1395</v>
      </c>
      <c r="AO245" s="11">
        <f t="shared" si="246"/>
        <v>0</v>
      </c>
      <c r="AQ245" s="11">
        <f t="shared" si="247"/>
        <v>0</v>
      </c>
      <c r="AS245" s="11">
        <f t="shared" si="248"/>
        <v>0</v>
      </c>
      <c r="AU245" s="11">
        <f t="shared" si="249"/>
        <v>0</v>
      </c>
      <c r="AW245" s="11">
        <f t="shared" si="250"/>
        <v>0</v>
      </c>
      <c r="AY245" s="11">
        <f t="shared" si="251"/>
        <v>0</v>
      </c>
      <c r="BA245" s="11">
        <f t="shared" si="252"/>
        <v>0</v>
      </c>
      <c r="BC245" s="11">
        <f t="shared" si="253"/>
        <v>0</v>
      </c>
      <c r="BE245" s="11">
        <f t="shared" si="254"/>
        <v>0</v>
      </c>
      <c r="BG245" s="11">
        <f t="shared" si="255"/>
        <v>0</v>
      </c>
      <c r="BN245" s="8">
        <f t="shared" si="212"/>
        <v>1138</v>
      </c>
      <c r="BO245" s="8">
        <f t="shared" si="213"/>
        <v>26715</v>
      </c>
      <c r="BP245" s="8">
        <f t="shared" si="216"/>
        <v>834</v>
      </c>
      <c r="BQ245" s="12">
        <f t="shared" si="217"/>
        <v>40760</v>
      </c>
    </row>
    <row r="246" spans="1:69">
      <c r="A246" s="28">
        <v>1967</v>
      </c>
      <c r="B246" s="27" t="s">
        <v>23</v>
      </c>
      <c r="C246" s="24">
        <f t="shared" si="237"/>
        <v>234</v>
      </c>
      <c r="D246" s="7" t="e">
        <f t="shared" ca="1" si="211"/>
        <v>#N/A</v>
      </c>
      <c r="E246" s="26">
        <f t="array" aca="1" ref="E246" ca="1">AVERAGE(IF(INDIRECT(DatCol&amp;"$"&amp;TEXT(C246,"###")):INDIRECT(DatCol&amp;"$"&amp;TEXT(C246+57,"###"))&gt;0,INDIRECT(DatCol&amp;"$"&amp;TEXT(C246,"###")):INDIRECT(DatCol&amp;"$"&amp;TEXT(C246+57,"###"))))</f>
        <v>118.72</v>
      </c>
      <c r="F246" s="26" t="str">
        <f t="shared" si="215"/>
        <v>I</v>
      </c>
      <c r="G246" s="8"/>
      <c r="H246" s="8">
        <v>156</v>
      </c>
      <c r="I246" s="8">
        <v>53</v>
      </c>
      <c r="J246" s="8">
        <v>66</v>
      </c>
      <c r="K246" s="9">
        <f t="shared" si="214"/>
        <v>222</v>
      </c>
      <c r="M246" s="11">
        <f t="shared" si="238"/>
        <v>0</v>
      </c>
      <c r="N246" s="12">
        <v>250</v>
      </c>
      <c r="O246" s="11">
        <f t="shared" si="239"/>
        <v>12500</v>
      </c>
      <c r="P246" s="12">
        <v>590</v>
      </c>
      <c r="Q246" s="11">
        <f t="shared" si="240"/>
        <v>35400</v>
      </c>
      <c r="X246" s="12">
        <v>76</v>
      </c>
      <c r="Y246" s="11">
        <f t="shared" si="241"/>
        <v>4560</v>
      </c>
      <c r="AG246" s="11">
        <f t="shared" si="242"/>
        <v>0</v>
      </c>
      <c r="AH246" s="12">
        <v>250</v>
      </c>
      <c r="AI246" s="11">
        <f t="shared" si="243"/>
        <v>16250</v>
      </c>
      <c r="AJ246" s="12">
        <v>326</v>
      </c>
      <c r="AK246" s="13">
        <f t="shared" si="244"/>
        <v>2934</v>
      </c>
      <c r="AL246" s="12">
        <v>50</v>
      </c>
      <c r="AM246" s="13">
        <f t="shared" si="245"/>
        <v>450</v>
      </c>
      <c r="AO246" s="11">
        <f t="shared" si="246"/>
        <v>0</v>
      </c>
      <c r="AQ246" s="11">
        <f t="shared" si="247"/>
        <v>0</v>
      </c>
      <c r="AS246" s="11">
        <f t="shared" si="248"/>
        <v>0</v>
      </c>
      <c r="AU246" s="11">
        <f t="shared" si="249"/>
        <v>0</v>
      </c>
      <c r="AW246" s="11">
        <f t="shared" si="250"/>
        <v>0</v>
      </c>
      <c r="AY246" s="11">
        <f t="shared" si="251"/>
        <v>0</v>
      </c>
      <c r="BA246" s="11">
        <f t="shared" si="252"/>
        <v>0</v>
      </c>
      <c r="BC246" s="11">
        <f t="shared" si="253"/>
        <v>0</v>
      </c>
      <c r="BE246" s="11">
        <f t="shared" si="254"/>
        <v>0</v>
      </c>
      <c r="BG246" s="11">
        <f t="shared" si="255"/>
        <v>0</v>
      </c>
      <c r="BN246" s="8">
        <f t="shared" si="212"/>
        <v>992</v>
      </c>
      <c r="BO246" s="8">
        <f t="shared" si="213"/>
        <v>42894</v>
      </c>
      <c r="BP246" s="8">
        <f t="shared" si="216"/>
        <v>626</v>
      </c>
      <c r="BQ246" s="12">
        <f t="shared" si="217"/>
        <v>33760</v>
      </c>
    </row>
    <row r="247" spans="1:69">
      <c r="A247" s="28">
        <v>1968</v>
      </c>
      <c r="B247" s="27" t="s">
        <v>23</v>
      </c>
      <c r="C247" s="24">
        <f t="shared" si="237"/>
        <v>234</v>
      </c>
      <c r="D247" s="7" t="e">
        <f t="shared" ca="1" si="211"/>
        <v>#N/A</v>
      </c>
      <c r="E247" s="26">
        <f t="array" aca="1" ref="E247" ca="1">AVERAGE(IF(INDIRECT(DatCol&amp;"$"&amp;TEXT(C247,"###")):INDIRECT(DatCol&amp;"$"&amp;TEXT(C247+57,"###"))&gt;0,INDIRECT(DatCol&amp;"$"&amp;TEXT(C247,"###")):INDIRECT(DatCol&amp;"$"&amp;TEXT(C247+57,"###"))))</f>
        <v>118.72</v>
      </c>
      <c r="F247" s="26" t="str">
        <f t="shared" si="215"/>
        <v>I</v>
      </c>
      <c r="G247" s="8"/>
      <c r="H247" s="8">
        <v>100</v>
      </c>
      <c r="I247" s="8">
        <v>34</v>
      </c>
      <c r="J247" s="8">
        <v>50</v>
      </c>
      <c r="K247" s="9">
        <f t="shared" si="214"/>
        <v>150</v>
      </c>
      <c r="M247" s="11">
        <f t="shared" si="238"/>
        <v>0</v>
      </c>
      <c r="N247" s="12">
        <v>325</v>
      </c>
      <c r="O247" s="11">
        <f t="shared" si="239"/>
        <v>16250</v>
      </c>
      <c r="P247" s="12">
        <v>480</v>
      </c>
      <c r="Q247" s="11">
        <f t="shared" si="240"/>
        <v>28800</v>
      </c>
      <c r="X247" s="12">
        <v>92</v>
      </c>
      <c r="Y247" s="11">
        <f t="shared" si="241"/>
        <v>5520</v>
      </c>
      <c r="AG247" s="11">
        <f t="shared" si="242"/>
        <v>0</v>
      </c>
      <c r="AH247" s="12">
        <v>225</v>
      </c>
      <c r="AI247" s="11">
        <f t="shared" si="243"/>
        <v>14625</v>
      </c>
      <c r="AJ247" s="12">
        <v>428</v>
      </c>
      <c r="AK247" s="13">
        <f t="shared" si="244"/>
        <v>3852</v>
      </c>
      <c r="AL247" s="12">
        <v>57</v>
      </c>
      <c r="AM247" s="13">
        <f t="shared" si="245"/>
        <v>513</v>
      </c>
      <c r="AO247" s="11">
        <f t="shared" si="246"/>
        <v>0</v>
      </c>
      <c r="AQ247" s="11">
        <f t="shared" si="247"/>
        <v>0</v>
      </c>
      <c r="AS247" s="11">
        <f t="shared" si="248"/>
        <v>0</v>
      </c>
      <c r="AU247" s="11">
        <f t="shared" si="249"/>
        <v>0</v>
      </c>
      <c r="AW247" s="11">
        <f t="shared" si="250"/>
        <v>0</v>
      </c>
      <c r="AY247" s="11">
        <f t="shared" si="251"/>
        <v>0</v>
      </c>
      <c r="BA247" s="11">
        <f t="shared" si="252"/>
        <v>0</v>
      </c>
      <c r="BC247" s="11">
        <f t="shared" si="253"/>
        <v>0</v>
      </c>
      <c r="BE247" s="11">
        <f t="shared" si="254"/>
        <v>0</v>
      </c>
      <c r="BG247" s="11">
        <f t="shared" si="255"/>
        <v>0</v>
      </c>
      <c r="BN247" s="8">
        <f t="shared" si="212"/>
        <v>1000</v>
      </c>
      <c r="BO247" s="8">
        <f t="shared" si="213"/>
        <v>38172</v>
      </c>
      <c r="BP247" s="8">
        <f t="shared" si="216"/>
        <v>699</v>
      </c>
      <c r="BQ247" s="12">
        <f t="shared" si="217"/>
        <v>36908</v>
      </c>
    </row>
    <row r="248" spans="1:69">
      <c r="A248" s="28">
        <v>1969</v>
      </c>
      <c r="B248" s="27" t="s">
        <v>23</v>
      </c>
      <c r="C248" s="24">
        <f t="shared" si="237"/>
        <v>234</v>
      </c>
      <c r="D248" s="7" t="e">
        <f t="shared" ca="1" si="211"/>
        <v>#N/A</v>
      </c>
      <c r="E248" s="26">
        <f t="array" aca="1" ref="E248" ca="1">AVERAGE(IF(INDIRECT(DatCol&amp;"$"&amp;TEXT(C248,"###")):INDIRECT(DatCol&amp;"$"&amp;TEXT(C248+57,"###"))&gt;0,INDIRECT(DatCol&amp;"$"&amp;TEXT(C248,"###")):INDIRECT(DatCol&amp;"$"&amp;TEXT(C248+57,"###"))))</f>
        <v>118.72</v>
      </c>
      <c r="F248" s="26" t="str">
        <f t="shared" si="215"/>
        <v>I</v>
      </c>
      <c r="G248" s="8"/>
      <c r="H248" s="8">
        <v>175</v>
      </c>
      <c r="I248" s="8">
        <v>0</v>
      </c>
      <c r="J248" s="8">
        <v>50</v>
      </c>
      <c r="K248" s="9">
        <f t="shared" si="214"/>
        <v>225</v>
      </c>
      <c r="L248" s="12">
        <v>150</v>
      </c>
      <c r="M248" s="11">
        <f t="shared" si="238"/>
        <v>7500</v>
      </c>
      <c r="N248" s="12">
        <v>550</v>
      </c>
      <c r="O248" s="11">
        <f t="shared" si="239"/>
        <v>27500</v>
      </c>
      <c r="P248" s="12">
        <v>150</v>
      </c>
      <c r="Q248" s="11">
        <f t="shared" si="240"/>
        <v>9000</v>
      </c>
      <c r="X248" s="12">
        <v>150</v>
      </c>
      <c r="Y248" s="11">
        <f t="shared" si="241"/>
        <v>9000</v>
      </c>
      <c r="AG248" s="11">
        <f t="shared" si="242"/>
        <v>0</v>
      </c>
      <c r="AH248" s="12">
        <v>325</v>
      </c>
      <c r="AI248" s="11">
        <f t="shared" si="243"/>
        <v>21125</v>
      </c>
      <c r="AJ248" s="12">
        <v>1273</v>
      </c>
      <c r="AK248" s="13">
        <f t="shared" si="244"/>
        <v>11457</v>
      </c>
      <c r="AL248" s="12">
        <v>199</v>
      </c>
      <c r="AM248" s="13">
        <f t="shared" si="245"/>
        <v>1791</v>
      </c>
      <c r="AO248" s="11">
        <f t="shared" si="246"/>
        <v>0</v>
      </c>
      <c r="AQ248" s="11">
        <f t="shared" si="247"/>
        <v>0</v>
      </c>
      <c r="AS248" s="11">
        <f t="shared" si="248"/>
        <v>0</v>
      </c>
      <c r="AU248" s="11">
        <f t="shared" si="249"/>
        <v>0</v>
      </c>
      <c r="AW248" s="11">
        <f t="shared" si="250"/>
        <v>0</v>
      </c>
      <c r="AY248" s="11">
        <f t="shared" si="251"/>
        <v>0</v>
      </c>
      <c r="BA248" s="11">
        <f t="shared" si="252"/>
        <v>0</v>
      </c>
      <c r="BC248" s="11">
        <f t="shared" si="253"/>
        <v>0</v>
      </c>
      <c r="BE248" s="11">
        <f t="shared" si="254"/>
        <v>0</v>
      </c>
      <c r="BG248" s="11">
        <f t="shared" si="255"/>
        <v>0</v>
      </c>
      <c r="BN248" s="8">
        <f t="shared" si="212"/>
        <v>1723</v>
      </c>
      <c r="BO248" s="8">
        <f t="shared" si="213"/>
        <v>36957</v>
      </c>
      <c r="BP248" s="8">
        <f t="shared" si="216"/>
        <v>1224</v>
      </c>
      <c r="BQ248" s="12">
        <f t="shared" si="217"/>
        <v>59416</v>
      </c>
    </row>
    <row r="249" spans="1:69">
      <c r="A249" s="28">
        <v>1970</v>
      </c>
      <c r="B249" s="27" t="s">
        <v>23</v>
      </c>
      <c r="C249" s="24">
        <f t="shared" si="237"/>
        <v>234</v>
      </c>
      <c r="D249" s="7" t="e">
        <f t="shared" ca="1" si="211"/>
        <v>#N/A</v>
      </c>
      <c r="E249" s="26">
        <f t="array" aca="1" ref="E249" ca="1">AVERAGE(IF(INDIRECT(DatCol&amp;"$"&amp;TEXT(C249,"###")):INDIRECT(DatCol&amp;"$"&amp;TEXT(C249+57,"###"))&gt;0,INDIRECT(DatCol&amp;"$"&amp;TEXT(C249,"###")):INDIRECT(DatCol&amp;"$"&amp;TEXT(C249+57,"###"))))</f>
        <v>118.72</v>
      </c>
      <c r="F249" s="26" t="str">
        <f t="shared" si="215"/>
        <v>I</v>
      </c>
      <c r="G249" s="8"/>
      <c r="H249" s="8">
        <v>0</v>
      </c>
      <c r="K249" s="9">
        <f t="shared" si="214"/>
        <v>0</v>
      </c>
      <c r="M249" s="11">
        <f t="shared" si="238"/>
        <v>0</v>
      </c>
      <c r="O249" s="11">
        <f t="shared" si="239"/>
        <v>0</v>
      </c>
      <c r="Q249" s="11">
        <f t="shared" si="240"/>
        <v>0</v>
      </c>
      <c r="Y249" s="11">
        <f t="shared" si="241"/>
        <v>0</v>
      </c>
      <c r="AG249" s="11">
        <f t="shared" si="242"/>
        <v>0</v>
      </c>
      <c r="AI249" s="11">
        <f t="shared" si="243"/>
        <v>0</v>
      </c>
      <c r="AK249" s="13">
        <f t="shared" si="244"/>
        <v>0</v>
      </c>
      <c r="AM249" s="13">
        <f t="shared" si="245"/>
        <v>0</v>
      </c>
      <c r="AO249" s="11">
        <f t="shared" si="246"/>
        <v>0</v>
      </c>
      <c r="AQ249" s="11">
        <f t="shared" si="247"/>
        <v>0</v>
      </c>
      <c r="AS249" s="11">
        <f t="shared" si="248"/>
        <v>0</v>
      </c>
      <c r="AU249" s="11">
        <f t="shared" si="249"/>
        <v>0</v>
      </c>
      <c r="AW249" s="11">
        <f t="shared" si="250"/>
        <v>0</v>
      </c>
      <c r="AY249" s="11">
        <f t="shared" si="251"/>
        <v>0</v>
      </c>
      <c r="BA249" s="11">
        <f t="shared" si="252"/>
        <v>0</v>
      </c>
      <c r="BC249" s="11">
        <f t="shared" si="253"/>
        <v>0</v>
      </c>
      <c r="BE249" s="11">
        <f t="shared" si="254"/>
        <v>0</v>
      </c>
      <c r="BG249" s="11">
        <f t="shared" si="255"/>
        <v>0</v>
      </c>
      <c r="BN249" s="8">
        <f t="shared" si="212"/>
        <v>0</v>
      </c>
      <c r="BO249" s="8">
        <f t="shared" si="213"/>
        <v>0</v>
      </c>
      <c r="BP249" s="8">
        <f t="shared" si="216"/>
        <v>0</v>
      </c>
      <c r="BQ249" s="12">
        <f t="shared" si="217"/>
        <v>0</v>
      </c>
    </row>
    <row r="250" spans="1:69">
      <c r="A250" s="28">
        <v>1971</v>
      </c>
      <c r="B250" s="27" t="s">
        <v>23</v>
      </c>
      <c r="C250" s="24">
        <f t="shared" si="237"/>
        <v>234</v>
      </c>
      <c r="D250" s="7" t="e">
        <f t="shared" ca="1" si="211"/>
        <v>#N/A</v>
      </c>
      <c r="E250" s="26">
        <f t="array" aca="1" ref="E250" ca="1">AVERAGE(IF(INDIRECT(DatCol&amp;"$"&amp;TEXT(C250,"###")):INDIRECT(DatCol&amp;"$"&amp;TEXT(C250+57,"###"))&gt;0,INDIRECT(DatCol&amp;"$"&amp;TEXT(C250,"###")):INDIRECT(DatCol&amp;"$"&amp;TEXT(C250+57,"###"))))</f>
        <v>118.72</v>
      </c>
      <c r="F250" s="26" t="str">
        <f t="shared" si="215"/>
        <v>I</v>
      </c>
      <c r="G250" s="8"/>
      <c r="H250" s="8">
        <v>220</v>
      </c>
      <c r="I250" s="8">
        <v>54</v>
      </c>
      <c r="J250" s="8">
        <v>40</v>
      </c>
      <c r="K250" s="9">
        <f t="shared" si="214"/>
        <v>260</v>
      </c>
      <c r="L250" s="12">
        <v>105</v>
      </c>
      <c r="M250" s="11">
        <f t="shared" si="238"/>
        <v>5250</v>
      </c>
      <c r="N250" s="12">
        <v>520</v>
      </c>
      <c r="O250" s="11">
        <f t="shared" si="239"/>
        <v>26000</v>
      </c>
      <c r="P250" s="12">
        <v>220</v>
      </c>
      <c r="Q250" s="11">
        <f t="shared" si="240"/>
        <v>13200</v>
      </c>
      <c r="X250" s="12">
        <v>250</v>
      </c>
      <c r="Y250" s="11">
        <f t="shared" si="241"/>
        <v>15000</v>
      </c>
      <c r="AG250" s="11">
        <f t="shared" si="242"/>
        <v>0</v>
      </c>
      <c r="AH250" s="12">
        <v>60</v>
      </c>
      <c r="AI250" s="11">
        <f t="shared" si="243"/>
        <v>3900</v>
      </c>
      <c r="AJ250" s="12">
        <v>2600</v>
      </c>
      <c r="AK250" s="13">
        <f t="shared" si="244"/>
        <v>23400</v>
      </c>
      <c r="AL250" s="12">
        <v>105</v>
      </c>
      <c r="AM250" s="13">
        <f t="shared" si="245"/>
        <v>945</v>
      </c>
      <c r="AO250" s="11">
        <f t="shared" si="246"/>
        <v>0</v>
      </c>
      <c r="AP250" s="12">
        <v>10</v>
      </c>
      <c r="AQ250" s="11">
        <f t="shared" si="247"/>
        <v>800</v>
      </c>
      <c r="AS250" s="11">
        <f t="shared" si="248"/>
        <v>0</v>
      </c>
      <c r="AT250" s="12">
        <v>100</v>
      </c>
      <c r="AU250" s="11">
        <f t="shared" si="249"/>
        <v>5000</v>
      </c>
      <c r="AW250" s="11">
        <f t="shared" si="250"/>
        <v>0</v>
      </c>
      <c r="AY250" s="11">
        <f t="shared" si="251"/>
        <v>0</v>
      </c>
      <c r="BA250" s="11">
        <f t="shared" si="252"/>
        <v>0</v>
      </c>
      <c r="BC250" s="11">
        <f t="shared" si="253"/>
        <v>0</v>
      </c>
      <c r="BE250" s="11">
        <f t="shared" si="254"/>
        <v>0</v>
      </c>
      <c r="BG250" s="11">
        <f t="shared" si="255"/>
        <v>0</v>
      </c>
      <c r="BN250" s="8">
        <f t="shared" si="212"/>
        <v>3175</v>
      </c>
      <c r="BO250" s="8">
        <f t="shared" si="213"/>
        <v>56850</v>
      </c>
      <c r="BP250" s="8">
        <f t="shared" si="216"/>
        <v>1045</v>
      </c>
      <c r="BQ250" s="12">
        <f t="shared" si="217"/>
        <v>51645</v>
      </c>
    </row>
    <row r="251" spans="1:69">
      <c r="A251" s="28">
        <v>1972</v>
      </c>
      <c r="B251" s="27" t="s">
        <v>23</v>
      </c>
      <c r="C251" s="24">
        <f t="shared" si="237"/>
        <v>234</v>
      </c>
      <c r="D251" s="7" t="e">
        <f t="shared" ca="1" si="211"/>
        <v>#N/A</v>
      </c>
      <c r="E251" s="26">
        <f t="array" aca="1" ref="E251" ca="1">AVERAGE(IF(INDIRECT(DatCol&amp;"$"&amp;TEXT(C251,"###")):INDIRECT(DatCol&amp;"$"&amp;TEXT(C251+57,"###"))&gt;0,INDIRECT(DatCol&amp;"$"&amp;TEXT(C251,"###")):INDIRECT(DatCol&amp;"$"&amp;TEXT(C251+57,"###"))))</f>
        <v>118.72</v>
      </c>
      <c r="F251" s="26" t="str">
        <f t="shared" si="215"/>
        <v>I</v>
      </c>
      <c r="G251" s="8"/>
      <c r="H251" s="8">
        <v>50</v>
      </c>
      <c r="I251" s="8">
        <v>28</v>
      </c>
      <c r="J251" s="8">
        <v>130</v>
      </c>
      <c r="K251" s="9">
        <f t="shared" si="214"/>
        <v>180</v>
      </c>
      <c r="L251" s="12">
        <v>112</v>
      </c>
      <c r="M251" s="11">
        <f t="shared" si="238"/>
        <v>5600</v>
      </c>
      <c r="N251" s="12">
        <v>220</v>
      </c>
      <c r="O251" s="11">
        <f t="shared" si="239"/>
        <v>11000</v>
      </c>
      <c r="P251" s="12">
        <v>268</v>
      </c>
      <c r="Q251" s="11">
        <f t="shared" si="240"/>
        <v>16080</v>
      </c>
      <c r="X251" s="12">
        <v>250</v>
      </c>
      <c r="Y251" s="11">
        <f t="shared" si="241"/>
        <v>15000</v>
      </c>
      <c r="AG251" s="11">
        <f t="shared" si="242"/>
        <v>0</v>
      </c>
      <c r="AH251" s="12">
        <v>75</v>
      </c>
      <c r="AI251" s="11">
        <f t="shared" si="243"/>
        <v>4875</v>
      </c>
      <c r="AJ251" s="12">
        <v>478</v>
      </c>
      <c r="AK251" s="13">
        <f t="shared" si="244"/>
        <v>4302</v>
      </c>
      <c r="AL251" s="12">
        <v>97</v>
      </c>
      <c r="AM251" s="13">
        <f t="shared" si="245"/>
        <v>873</v>
      </c>
      <c r="AO251" s="11">
        <f t="shared" si="246"/>
        <v>0</v>
      </c>
      <c r="AQ251" s="11">
        <f t="shared" si="247"/>
        <v>0</v>
      </c>
      <c r="AR251" s="12">
        <v>60</v>
      </c>
      <c r="AS251" s="11">
        <f t="shared" si="248"/>
        <v>3000</v>
      </c>
      <c r="AU251" s="11">
        <f t="shared" si="249"/>
        <v>0</v>
      </c>
      <c r="AW251" s="11">
        <f t="shared" si="250"/>
        <v>0</v>
      </c>
      <c r="AY251" s="11">
        <f t="shared" si="251"/>
        <v>0</v>
      </c>
      <c r="BA251" s="11">
        <f t="shared" si="252"/>
        <v>0</v>
      </c>
      <c r="BC251" s="11">
        <f t="shared" si="253"/>
        <v>0</v>
      </c>
      <c r="BE251" s="11">
        <f t="shared" si="254"/>
        <v>0</v>
      </c>
      <c r="BG251" s="11">
        <f t="shared" si="255"/>
        <v>0</v>
      </c>
      <c r="BN251" s="8">
        <f t="shared" si="212"/>
        <v>1168</v>
      </c>
      <c r="BO251" s="8">
        <f t="shared" si="213"/>
        <v>43982</v>
      </c>
      <c r="BP251" s="8">
        <f t="shared" si="216"/>
        <v>642</v>
      </c>
      <c r="BQ251" s="12">
        <f t="shared" si="217"/>
        <v>31748</v>
      </c>
    </row>
    <row r="252" spans="1:69">
      <c r="A252" s="28">
        <v>1973</v>
      </c>
      <c r="B252" s="27" t="s">
        <v>23</v>
      </c>
      <c r="C252" s="24">
        <f t="shared" si="237"/>
        <v>234</v>
      </c>
      <c r="D252" s="7" t="e">
        <f t="shared" ca="1" si="211"/>
        <v>#N/A</v>
      </c>
      <c r="E252" s="26">
        <f t="array" aca="1" ref="E252" ca="1">AVERAGE(IF(INDIRECT(DatCol&amp;"$"&amp;TEXT(C252,"###")):INDIRECT(DatCol&amp;"$"&amp;TEXT(C252+57,"###"))&gt;0,INDIRECT(DatCol&amp;"$"&amp;TEXT(C252,"###")):INDIRECT(DatCol&amp;"$"&amp;TEXT(C252+57,"###"))))</f>
        <v>118.72</v>
      </c>
      <c r="F252" s="26" t="str">
        <f t="shared" si="215"/>
        <v>I</v>
      </c>
      <c r="G252" s="8"/>
      <c r="H252" s="8">
        <v>138</v>
      </c>
      <c r="I252" s="8">
        <v>20</v>
      </c>
      <c r="J252" s="8">
        <v>87</v>
      </c>
      <c r="K252" s="9">
        <f t="shared" si="214"/>
        <v>225</v>
      </c>
      <c r="L252" s="12">
        <v>60</v>
      </c>
      <c r="M252" s="11">
        <f t="shared" si="238"/>
        <v>3000</v>
      </c>
      <c r="N252" s="12">
        <v>240</v>
      </c>
      <c r="O252" s="11">
        <f t="shared" si="239"/>
        <v>12000</v>
      </c>
      <c r="P252" s="12">
        <v>880</v>
      </c>
      <c r="Q252" s="11">
        <f t="shared" si="240"/>
        <v>52800</v>
      </c>
      <c r="X252" s="12">
        <v>240</v>
      </c>
      <c r="Y252" s="11">
        <f t="shared" si="241"/>
        <v>14400</v>
      </c>
      <c r="AG252" s="11">
        <f t="shared" si="242"/>
        <v>0</v>
      </c>
      <c r="AH252" s="12">
        <v>63</v>
      </c>
      <c r="AI252" s="11">
        <f t="shared" si="243"/>
        <v>4095</v>
      </c>
      <c r="AJ252" s="12">
        <v>49</v>
      </c>
      <c r="AK252" s="13">
        <f t="shared" si="244"/>
        <v>441</v>
      </c>
      <c r="AL252" s="12">
        <v>37</v>
      </c>
      <c r="AM252" s="13">
        <f t="shared" si="245"/>
        <v>333</v>
      </c>
      <c r="AO252" s="11">
        <f t="shared" si="246"/>
        <v>0</v>
      </c>
      <c r="AP252" s="12">
        <v>10</v>
      </c>
      <c r="AQ252" s="11">
        <f t="shared" si="247"/>
        <v>800</v>
      </c>
      <c r="AS252" s="11">
        <f t="shared" si="248"/>
        <v>0</v>
      </c>
      <c r="AT252" s="12">
        <v>20</v>
      </c>
      <c r="AU252" s="11">
        <f t="shared" si="249"/>
        <v>1000</v>
      </c>
      <c r="AW252" s="11">
        <f t="shared" si="250"/>
        <v>0</v>
      </c>
      <c r="AY252" s="11">
        <f t="shared" si="251"/>
        <v>0</v>
      </c>
      <c r="BA252" s="11">
        <f t="shared" si="252"/>
        <v>0</v>
      </c>
      <c r="BC252" s="11">
        <f t="shared" si="253"/>
        <v>0</v>
      </c>
      <c r="BE252" s="11">
        <f t="shared" si="254"/>
        <v>0</v>
      </c>
      <c r="BG252" s="11">
        <f t="shared" si="255"/>
        <v>0</v>
      </c>
      <c r="BN252" s="8">
        <f t="shared" si="212"/>
        <v>1229</v>
      </c>
      <c r="BO252" s="8">
        <f t="shared" si="213"/>
        <v>70641</v>
      </c>
      <c r="BP252" s="8">
        <f t="shared" si="216"/>
        <v>610</v>
      </c>
      <c r="BQ252" s="12">
        <f t="shared" si="217"/>
        <v>32628</v>
      </c>
    </row>
    <row r="253" spans="1:69">
      <c r="A253" s="28">
        <v>1974</v>
      </c>
      <c r="B253" s="27" t="s">
        <v>23</v>
      </c>
      <c r="C253" s="24">
        <f t="shared" si="237"/>
        <v>234</v>
      </c>
      <c r="D253" s="7" t="e">
        <f t="shared" ca="1" si="211"/>
        <v>#N/A</v>
      </c>
      <c r="E253" s="26">
        <f t="array" aca="1" ref="E253" ca="1">AVERAGE(IF(INDIRECT(DatCol&amp;"$"&amp;TEXT(C253,"###")):INDIRECT(DatCol&amp;"$"&amp;TEXT(C253+57,"###"))&gt;0,INDIRECT(DatCol&amp;"$"&amp;TEXT(C253,"###")):INDIRECT(DatCol&amp;"$"&amp;TEXT(C253+57,"###"))))</f>
        <v>118.72</v>
      </c>
      <c r="F253" s="26" t="str">
        <f t="shared" si="215"/>
        <v>I</v>
      </c>
      <c r="G253" s="8"/>
      <c r="H253" s="8">
        <v>6</v>
      </c>
      <c r="I253" s="8">
        <v>8</v>
      </c>
      <c r="J253" s="8">
        <v>243</v>
      </c>
      <c r="K253" s="9">
        <f t="shared" si="214"/>
        <v>249</v>
      </c>
      <c r="L253" s="12">
        <v>54</v>
      </c>
      <c r="M253" s="11">
        <f t="shared" si="238"/>
        <v>2700</v>
      </c>
      <c r="N253" s="12">
        <v>79</v>
      </c>
      <c r="O253" s="11">
        <f t="shared" si="239"/>
        <v>3950</v>
      </c>
      <c r="P253" s="12">
        <v>701</v>
      </c>
      <c r="Q253" s="11">
        <f t="shared" si="240"/>
        <v>42060</v>
      </c>
      <c r="X253" s="12">
        <v>320</v>
      </c>
      <c r="Y253" s="11">
        <f t="shared" si="241"/>
        <v>19200</v>
      </c>
      <c r="AG253" s="11">
        <f t="shared" si="242"/>
        <v>0</v>
      </c>
      <c r="AH253" s="12">
        <v>158</v>
      </c>
      <c r="AI253" s="11">
        <f t="shared" si="243"/>
        <v>10270</v>
      </c>
      <c r="AJ253" s="12">
        <v>4728</v>
      </c>
      <c r="AK253" s="13">
        <f t="shared" si="244"/>
        <v>42552</v>
      </c>
      <c r="AL253" s="12">
        <v>35</v>
      </c>
      <c r="AM253" s="13">
        <f t="shared" si="245"/>
        <v>315</v>
      </c>
      <c r="AO253" s="11">
        <f t="shared" si="246"/>
        <v>0</v>
      </c>
      <c r="AQ253" s="11">
        <f t="shared" si="247"/>
        <v>0</v>
      </c>
      <c r="AS253" s="11">
        <f t="shared" si="248"/>
        <v>0</v>
      </c>
      <c r="AU253" s="11">
        <f t="shared" si="249"/>
        <v>0</v>
      </c>
      <c r="AW253" s="11">
        <f t="shared" si="250"/>
        <v>0</v>
      </c>
      <c r="AY253" s="11">
        <f t="shared" si="251"/>
        <v>0</v>
      </c>
      <c r="BA253" s="11">
        <f t="shared" si="252"/>
        <v>0</v>
      </c>
      <c r="BC253" s="11">
        <f t="shared" si="253"/>
        <v>0</v>
      </c>
      <c r="BE253" s="11">
        <f t="shared" si="254"/>
        <v>0</v>
      </c>
      <c r="BG253" s="11">
        <f t="shared" si="255"/>
        <v>0</v>
      </c>
      <c r="BN253" s="8">
        <f t="shared" si="212"/>
        <v>5803</v>
      </c>
      <c r="BO253" s="8">
        <f t="shared" si="213"/>
        <v>106512</v>
      </c>
      <c r="BP253" s="8">
        <f t="shared" si="216"/>
        <v>592</v>
      </c>
      <c r="BQ253" s="12">
        <f t="shared" si="217"/>
        <v>33735</v>
      </c>
    </row>
    <row r="254" spans="1:69">
      <c r="A254" s="28">
        <v>1975</v>
      </c>
      <c r="B254" s="27" t="s">
        <v>23</v>
      </c>
      <c r="C254" s="24">
        <f t="shared" si="237"/>
        <v>234</v>
      </c>
      <c r="D254" s="7" t="e">
        <f t="shared" ca="1" si="211"/>
        <v>#N/A</v>
      </c>
      <c r="E254" s="26">
        <f t="array" aca="1" ref="E254" ca="1">AVERAGE(IF(INDIRECT(DatCol&amp;"$"&amp;TEXT(C254,"###")):INDIRECT(DatCol&amp;"$"&amp;TEXT(C254+57,"###"))&gt;0,INDIRECT(DatCol&amp;"$"&amp;TEXT(C254,"###")):INDIRECT(DatCol&amp;"$"&amp;TEXT(C254+57,"###"))))</f>
        <v>118.72</v>
      </c>
      <c r="F254" s="26" t="str">
        <f t="shared" si="215"/>
        <v>I</v>
      </c>
      <c r="G254" s="8"/>
      <c r="H254" s="8">
        <v>0</v>
      </c>
      <c r="K254" s="9">
        <f t="shared" si="214"/>
        <v>0</v>
      </c>
      <c r="M254" s="11">
        <f t="shared" si="238"/>
        <v>0</v>
      </c>
      <c r="O254" s="11">
        <f t="shared" si="239"/>
        <v>0</v>
      </c>
      <c r="Q254" s="11">
        <f t="shared" si="240"/>
        <v>0</v>
      </c>
      <c r="Y254" s="11">
        <f t="shared" si="241"/>
        <v>0</v>
      </c>
      <c r="AG254" s="11">
        <f t="shared" si="242"/>
        <v>0</v>
      </c>
      <c r="AI254" s="11">
        <f t="shared" si="243"/>
        <v>0</v>
      </c>
      <c r="AK254" s="13">
        <f t="shared" si="244"/>
        <v>0</v>
      </c>
      <c r="AM254" s="13">
        <f t="shared" si="245"/>
        <v>0</v>
      </c>
      <c r="AO254" s="11">
        <f t="shared" si="246"/>
        <v>0</v>
      </c>
      <c r="AQ254" s="11">
        <f t="shared" si="247"/>
        <v>0</v>
      </c>
      <c r="AS254" s="11">
        <f t="shared" si="248"/>
        <v>0</v>
      </c>
      <c r="AU254" s="11">
        <f t="shared" si="249"/>
        <v>0</v>
      </c>
      <c r="AW254" s="11">
        <f t="shared" si="250"/>
        <v>0</v>
      </c>
      <c r="AY254" s="11">
        <f t="shared" si="251"/>
        <v>0</v>
      </c>
      <c r="BA254" s="11">
        <f t="shared" si="252"/>
        <v>0</v>
      </c>
      <c r="BC254" s="11">
        <f t="shared" si="253"/>
        <v>0</v>
      </c>
      <c r="BE254" s="11">
        <f t="shared" si="254"/>
        <v>0</v>
      </c>
      <c r="BG254" s="11">
        <f t="shared" si="255"/>
        <v>0</v>
      </c>
      <c r="BN254" s="8">
        <f t="shared" si="212"/>
        <v>0</v>
      </c>
      <c r="BO254" s="8">
        <f t="shared" si="213"/>
        <v>0</v>
      </c>
      <c r="BP254" s="8">
        <f t="shared" si="216"/>
        <v>0</v>
      </c>
      <c r="BQ254" s="12">
        <f t="shared" si="217"/>
        <v>0</v>
      </c>
    </row>
    <row r="255" spans="1:69">
      <c r="A255" s="28">
        <v>1976</v>
      </c>
      <c r="B255" s="27" t="s">
        <v>23</v>
      </c>
      <c r="C255" s="24">
        <f t="shared" si="237"/>
        <v>234</v>
      </c>
      <c r="D255" s="7" t="e">
        <f t="shared" ca="1" si="211"/>
        <v>#N/A</v>
      </c>
      <c r="E255" s="26">
        <f t="array" aca="1" ref="E255" ca="1">AVERAGE(IF(INDIRECT(DatCol&amp;"$"&amp;TEXT(C255,"###")):INDIRECT(DatCol&amp;"$"&amp;TEXT(C255+57,"###"))&gt;0,INDIRECT(DatCol&amp;"$"&amp;TEXT(C255,"###")):INDIRECT(DatCol&amp;"$"&amp;TEXT(C255+57,"###"))))</f>
        <v>118.72</v>
      </c>
      <c r="F255" s="26" t="str">
        <f t="shared" si="215"/>
        <v>I</v>
      </c>
      <c r="G255" s="8"/>
      <c r="H255" s="8">
        <v>15</v>
      </c>
      <c r="I255" s="8">
        <v>29</v>
      </c>
      <c r="J255" s="8">
        <v>215</v>
      </c>
      <c r="K255" s="9">
        <f t="shared" si="214"/>
        <v>230</v>
      </c>
      <c r="L255" s="12">
        <v>390</v>
      </c>
      <c r="M255" s="11">
        <f t="shared" ref="M255:M270" si="256">(L255*50)</f>
        <v>19500</v>
      </c>
      <c r="N255" s="12">
        <v>20</v>
      </c>
      <c r="O255" s="11">
        <f t="shared" ref="O255:O270" si="257">(N255*50)</f>
        <v>1000</v>
      </c>
      <c r="P255" s="12">
        <v>1257</v>
      </c>
      <c r="Q255" s="11">
        <f t="shared" ref="Q255:Q270" si="258">((P255*330)/5.5)</f>
        <v>75420</v>
      </c>
      <c r="X255" s="12">
        <v>30</v>
      </c>
      <c r="Y255" s="11">
        <f t="shared" ref="Y255:Y270" si="259">((X255*330)/5.5)</f>
        <v>1800</v>
      </c>
      <c r="AF255" s="12">
        <v>100</v>
      </c>
      <c r="AG255" s="11">
        <f t="shared" ref="AG255:AG270" si="260">(AF255*65)</f>
        <v>6500</v>
      </c>
      <c r="AH255" s="12">
        <v>50</v>
      </c>
      <c r="AI255" s="11">
        <f t="shared" ref="AI255:AI270" si="261">(AH255*65)</f>
        <v>3250</v>
      </c>
      <c r="AJ255" s="12">
        <v>100</v>
      </c>
      <c r="AK255" s="13">
        <f t="shared" ref="AK255:AK270" si="262">(AJ255*9)</f>
        <v>900</v>
      </c>
      <c r="AL255" s="12">
        <v>25</v>
      </c>
      <c r="AM255" s="13">
        <f t="shared" ref="AM255:AM270" si="263">(AL255*9)</f>
        <v>225</v>
      </c>
      <c r="AN255" s="12">
        <v>10</v>
      </c>
      <c r="AO255" s="11">
        <f t="shared" ref="AO255:AO270" si="264">(AN255*80)</f>
        <v>800</v>
      </c>
      <c r="AQ255" s="11">
        <f t="shared" ref="AQ255:AQ270" si="265">(AP255*80)</f>
        <v>0</v>
      </c>
      <c r="AS255" s="11">
        <f t="shared" ref="AS255:AS270" si="266">(AR255*50)</f>
        <v>0</v>
      </c>
      <c r="AT255" s="12">
        <v>30</v>
      </c>
      <c r="AU255" s="11">
        <f t="shared" ref="AU255:AU270" si="267">(AT255*50)</f>
        <v>1500</v>
      </c>
      <c r="AW255" s="11">
        <f t="shared" ref="AW255:AW270" si="268">(AV255*60)</f>
        <v>0</v>
      </c>
      <c r="AY255" s="11">
        <f t="shared" ref="AY255:AY270" si="269">(AX255*60)</f>
        <v>0</v>
      </c>
      <c r="BA255" s="11">
        <f t="shared" ref="BA255:BA270" si="270">(AZ255*40)</f>
        <v>0</v>
      </c>
      <c r="BC255" s="11">
        <f t="shared" ref="BC255:BC270" si="271">(BB255*40)</f>
        <v>0</v>
      </c>
      <c r="BE255" s="11">
        <f t="shared" ref="BE255:BE270" si="272">(BD255*95)</f>
        <v>0</v>
      </c>
      <c r="BG255" s="11">
        <f t="shared" ref="BG255:BG270" si="273">(BF255*95)</f>
        <v>0</v>
      </c>
      <c r="BN255" s="8">
        <f t="shared" si="212"/>
        <v>1887</v>
      </c>
      <c r="BO255" s="8">
        <f t="shared" si="213"/>
        <v>104920</v>
      </c>
      <c r="BP255" s="8">
        <f t="shared" si="216"/>
        <v>155</v>
      </c>
      <c r="BQ255" s="12">
        <f t="shared" si="217"/>
        <v>7775</v>
      </c>
    </row>
    <row r="256" spans="1:69">
      <c r="A256" s="28">
        <v>1977</v>
      </c>
      <c r="B256" s="27" t="s">
        <v>23</v>
      </c>
      <c r="C256" s="24">
        <f t="shared" si="237"/>
        <v>234</v>
      </c>
      <c r="D256" s="7" t="e">
        <f t="shared" ca="1" si="211"/>
        <v>#N/A</v>
      </c>
      <c r="E256" s="26">
        <f t="array" aca="1" ref="E256" ca="1">AVERAGE(IF(INDIRECT(DatCol&amp;"$"&amp;TEXT(C256,"###")):INDIRECT(DatCol&amp;"$"&amp;TEXT(C256+57,"###"))&gt;0,INDIRECT(DatCol&amp;"$"&amp;TEXT(C256,"###")):INDIRECT(DatCol&amp;"$"&amp;TEXT(C256+57,"###"))))</f>
        <v>118.72</v>
      </c>
      <c r="F256" s="26" t="str">
        <f t="shared" si="215"/>
        <v>I</v>
      </c>
      <c r="G256" s="8"/>
      <c r="H256" s="8">
        <v>6</v>
      </c>
      <c r="I256" s="8">
        <v>22</v>
      </c>
      <c r="J256" s="8">
        <v>217</v>
      </c>
      <c r="K256" s="9">
        <f t="shared" si="214"/>
        <v>223</v>
      </c>
      <c r="L256" s="12">
        <v>6000</v>
      </c>
      <c r="M256" s="11">
        <f t="shared" si="256"/>
        <v>300000</v>
      </c>
      <c r="N256" s="12">
        <v>30</v>
      </c>
      <c r="O256" s="11">
        <f t="shared" si="257"/>
        <v>1500</v>
      </c>
      <c r="P256" s="12">
        <v>93834</v>
      </c>
      <c r="Q256" s="11">
        <f t="shared" si="258"/>
        <v>5630040</v>
      </c>
      <c r="X256" s="12">
        <v>350</v>
      </c>
      <c r="Y256" s="11">
        <f t="shared" si="259"/>
        <v>21000</v>
      </c>
      <c r="AF256" s="12">
        <v>10000</v>
      </c>
      <c r="AG256" s="11">
        <f t="shared" si="260"/>
        <v>650000</v>
      </c>
      <c r="AH256" s="12">
        <v>50</v>
      </c>
      <c r="AI256" s="11">
        <f t="shared" si="261"/>
        <v>3250</v>
      </c>
      <c r="AJ256" s="12">
        <v>93</v>
      </c>
      <c r="AK256" s="13">
        <f t="shared" si="262"/>
        <v>837</v>
      </c>
      <c r="AL256" s="12">
        <v>22</v>
      </c>
      <c r="AM256" s="13">
        <f t="shared" si="263"/>
        <v>198</v>
      </c>
      <c r="AN256" s="12">
        <f>93834/80</f>
        <v>1172.925</v>
      </c>
      <c r="AO256" s="11">
        <f t="shared" si="264"/>
        <v>93834</v>
      </c>
      <c r="AQ256" s="11">
        <f t="shared" si="265"/>
        <v>0</v>
      </c>
      <c r="AS256" s="11">
        <f t="shared" si="266"/>
        <v>0</v>
      </c>
      <c r="AU256" s="11">
        <f t="shared" si="267"/>
        <v>0</v>
      </c>
      <c r="AW256" s="11">
        <f t="shared" si="268"/>
        <v>0</v>
      </c>
      <c r="AY256" s="11">
        <f t="shared" si="269"/>
        <v>0</v>
      </c>
      <c r="AZ256" s="12">
        <v>400</v>
      </c>
      <c r="BA256" s="11">
        <f t="shared" si="270"/>
        <v>16000</v>
      </c>
      <c r="BC256" s="11">
        <f t="shared" si="271"/>
        <v>0</v>
      </c>
      <c r="BD256" s="12">
        <v>3680</v>
      </c>
      <c r="BE256" s="11">
        <f t="shared" si="272"/>
        <v>349600</v>
      </c>
      <c r="BG256" s="11">
        <f t="shared" si="273"/>
        <v>0</v>
      </c>
      <c r="BN256" s="8">
        <f t="shared" si="212"/>
        <v>115529.925</v>
      </c>
      <c r="BO256" s="8">
        <f t="shared" si="213"/>
        <v>7061311</v>
      </c>
      <c r="BP256" s="8">
        <f t="shared" si="216"/>
        <v>452</v>
      </c>
      <c r="BQ256" s="12">
        <f t="shared" si="217"/>
        <v>25948</v>
      </c>
    </row>
    <row r="257" spans="1:69">
      <c r="A257" s="28">
        <v>1978</v>
      </c>
      <c r="B257" s="27" t="s">
        <v>23</v>
      </c>
      <c r="C257" s="24">
        <f t="shared" si="237"/>
        <v>234</v>
      </c>
      <c r="D257" s="7" t="e">
        <f t="shared" ca="1" si="211"/>
        <v>#N/A</v>
      </c>
      <c r="E257" s="26">
        <f t="array" aca="1" ref="E257" ca="1">AVERAGE(IF(INDIRECT(DatCol&amp;"$"&amp;TEXT(C257,"###")):INDIRECT(DatCol&amp;"$"&amp;TEXT(C257+57,"###"))&gt;0,INDIRECT(DatCol&amp;"$"&amp;TEXT(C257,"###")):INDIRECT(DatCol&amp;"$"&amp;TEXT(C257+57,"###"))))</f>
        <v>118.72</v>
      </c>
      <c r="F257" s="26" t="str">
        <f t="shared" si="215"/>
        <v>I</v>
      </c>
      <c r="G257" s="8"/>
      <c r="H257" s="8">
        <v>13</v>
      </c>
      <c r="I257" s="8">
        <v>147</v>
      </c>
      <c r="J257" s="8">
        <v>160</v>
      </c>
      <c r="K257" s="9">
        <f t="shared" si="214"/>
        <v>173</v>
      </c>
      <c r="L257" s="12">
        <v>20</v>
      </c>
      <c r="M257" s="11">
        <f t="shared" si="256"/>
        <v>1000</v>
      </c>
      <c r="N257" s="12">
        <v>36</v>
      </c>
      <c r="O257" s="11">
        <f t="shared" si="257"/>
        <v>1800</v>
      </c>
      <c r="P257" s="12">
        <v>3798</v>
      </c>
      <c r="Q257" s="11">
        <f t="shared" si="258"/>
        <v>227880</v>
      </c>
      <c r="X257" s="12">
        <v>93</v>
      </c>
      <c r="Y257" s="11">
        <f t="shared" si="259"/>
        <v>5580</v>
      </c>
      <c r="AF257" s="12">
        <v>800</v>
      </c>
      <c r="AG257" s="11">
        <f t="shared" si="260"/>
        <v>52000</v>
      </c>
      <c r="AH257" s="12">
        <v>56</v>
      </c>
      <c r="AI257" s="11">
        <f t="shared" si="261"/>
        <v>3640</v>
      </c>
      <c r="AJ257" s="12">
        <v>2178</v>
      </c>
      <c r="AK257" s="13">
        <f t="shared" si="262"/>
        <v>19602</v>
      </c>
      <c r="AL257" s="12">
        <v>178</v>
      </c>
      <c r="AM257" s="13">
        <f t="shared" si="263"/>
        <v>1602</v>
      </c>
      <c r="AN257" s="12">
        <v>600</v>
      </c>
      <c r="AO257" s="11">
        <f t="shared" si="264"/>
        <v>48000</v>
      </c>
      <c r="AQ257" s="11">
        <f t="shared" si="265"/>
        <v>0</v>
      </c>
      <c r="AS257" s="11">
        <f t="shared" si="266"/>
        <v>0</v>
      </c>
      <c r="AU257" s="11">
        <f t="shared" si="267"/>
        <v>0</v>
      </c>
      <c r="AW257" s="11">
        <f t="shared" si="268"/>
        <v>0</v>
      </c>
      <c r="AY257" s="11">
        <f t="shared" si="269"/>
        <v>0</v>
      </c>
      <c r="BA257" s="11">
        <f t="shared" si="270"/>
        <v>0</v>
      </c>
      <c r="BC257" s="11">
        <f t="shared" si="271"/>
        <v>0</v>
      </c>
      <c r="BE257" s="11">
        <f t="shared" si="272"/>
        <v>0</v>
      </c>
      <c r="BG257" s="11">
        <f t="shared" si="273"/>
        <v>0</v>
      </c>
      <c r="BN257" s="8">
        <f t="shared" si="212"/>
        <v>7489</v>
      </c>
      <c r="BO257" s="8">
        <f t="shared" si="213"/>
        <v>354062</v>
      </c>
      <c r="BP257" s="8">
        <f t="shared" si="216"/>
        <v>363</v>
      </c>
      <c r="BQ257" s="12">
        <f t="shared" si="217"/>
        <v>12622</v>
      </c>
    </row>
    <row r="258" spans="1:69">
      <c r="A258" s="28">
        <v>1979</v>
      </c>
      <c r="B258" s="27" t="s">
        <v>23</v>
      </c>
      <c r="C258" s="24">
        <f t="shared" si="237"/>
        <v>234</v>
      </c>
      <c r="D258" s="7" t="e">
        <f t="shared" ref="D258:D321" ca="1" si="274">IF(AND((INDIRECT(DatCol&amp;TEXT(ROW(),"###"))&gt;0),((F258=RegionSelect)+(RegionSelect="A"))),INDIRECT(DatCol&amp;TEXT(ROW(),"###"))/E258,NA())</f>
        <v>#N/A</v>
      </c>
      <c r="E258" s="26">
        <f t="array" aca="1" ref="E258" ca="1">AVERAGE(IF(INDIRECT(DatCol&amp;"$"&amp;TEXT(C258,"###")):INDIRECT(DatCol&amp;"$"&amp;TEXT(C258+57,"###"))&gt;0,INDIRECT(DatCol&amp;"$"&amp;TEXT(C258,"###")):INDIRECT(DatCol&amp;"$"&amp;TEXT(C258+57,"###"))))</f>
        <v>118.72</v>
      </c>
      <c r="F258" s="26" t="str">
        <f t="shared" si="215"/>
        <v>I</v>
      </c>
      <c r="G258" s="8"/>
      <c r="H258" s="8">
        <v>21</v>
      </c>
      <c r="I258" s="8">
        <v>90</v>
      </c>
      <c r="J258" s="8">
        <v>155</v>
      </c>
      <c r="K258" s="9">
        <f t="shared" si="214"/>
        <v>176</v>
      </c>
      <c r="L258" s="12">
        <v>50</v>
      </c>
      <c r="M258" s="11">
        <f t="shared" si="256"/>
        <v>2500</v>
      </c>
      <c r="N258" s="12">
        <v>10</v>
      </c>
      <c r="O258" s="11">
        <f t="shared" si="257"/>
        <v>500</v>
      </c>
      <c r="P258" s="12">
        <v>836</v>
      </c>
      <c r="Q258" s="11">
        <f t="shared" si="258"/>
        <v>50160</v>
      </c>
      <c r="X258" s="12">
        <v>40</v>
      </c>
      <c r="Y258" s="11">
        <f t="shared" si="259"/>
        <v>2400</v>
      </c>
      <c r="AF258" s="12">
        <v>220</v>
      </c>
      <c r="AG258" s="11">
        <f t="shared" si="260"/>
        <v>14300</v>
      </c>
      <c r="AH258" s="12">
        <v>25</v>
      </c>
      <c r="AI258" s="11">
        <f t="shared" si="261"/>
        <v>1625</v>
      </c>
      <c r="AK258" s="13">
        <f t="shared" si="262"/>
        <v>0</v>
      </c>
      <c r="AL258" s="12">
        <v>127</v>
      </c>
      <c r="AM258" s="13">
        <f t="shared" si="263"/>
        <v>1143</v>
      </c>
      <c r="AO258" s="11">
        <f t="shared" si="264"/>
        <v>0</v>
      </c>
      <c r="AQ258" s="11">
        <f t="shared" si="265"/>
        <v>0</v>
      </c>
      <c r="AS258" s="11">
        <f t="shared" si="266"/>
        <v>0</v>
      </c>
      <c r="AT258" s="12">
        <v>10</v>
      </c>
      <c r="AU258" s="11">
        <f t="shared" si="267"/>
        <v>500</v>
      </c>
      <c r="AW258" s="11">
        <f t="shared" si="268"/>
        <v>0</v>
      </c>
      <c r="AY258" s="11">
        <f t="shared" si="269"/>
        <v>0</v>
      </c>
      <c r="BA258" s="11">
        <f t="shared" si="270"/>
        <v>0</v>
      </c>
      <c r="BB258" s="12">
        <v>3</v>
      </c>
      <c r="BC258" s="11">
        <f t="shared" si="271"/>
        <v>120</v>
      </c>
      <c r="BE258" s="11">
        <f t="shared" si="272"/>
        <v>0</v>
      </c>
      <c r="BG258" s="11">
        <f t="shared" si="273"/>
        <v>0</v>
      </c>
      <c r="BN258" s="8">
        <f t="shared" si="212"/>
        <v>1146</v>
      </c>
      <c r="BO258" s="8">
        <f t="shared" si="213"/>
        <v>69360</v>
      </c>
      <c r="BP258" s="8">
        <f t="shared" si="216"/>
        <v>215</v>
      </c>
      <c r="BQ258" s="12">
        <f t="shared" si="217"/>
        <v>6288</v>
      </c>
    </row>
    <row r="259" spans="1:69">
      <c r="A259" s="28">
        <v>1980</v>
      </c>
      <c r="B259" s="27" t="s">
        <v>23</v>
      </c>
      <c r="C259" s="24">
        <f t="shared" si="237"/>
        <v>234</v>
      </c>
      <c r="D259" s="7" t="e">
        <f t="shared" ca="1" si="274"/>
        <v>#N/A</v>
      </c>
      <c r="E259" s="26">
        <f t="array" aca="1" ref="E259" ca="1">AVERAGE(IF(INDIRECT(DatCol&amp;"$"&amp;TEXT(C259,"###")):INDIRECT(DatCol&amp;"$"&amp;TEXT(C259+57,"###"))&gt;0,INDIRECT(DatCol&amp;"$"&amp;TEXT(C259,"###")):INDIRECT(DatCol&amp;"$"&amp;TEXT(C259+57,"###"))))</f>
        <v>118.72</v>
      </c>
      <c r="F259" s="26" t="str">
        <f t="shared" si="215"/>
        <v>I</v>
      </c>
      <c r="G259" s="8"/>
      <c r="H259" s="8">
        <v>16</v>
      </c>
      <c r="I259" s="8">
        <v>83</v>
      </c>
      <c r="J259" s="8">
        <v>169</v>
      </c>
      <c r="K259" s="9">
        <f t="shared" si="214"/>
        <v>185</v>
      </c>
      <c r="L259" s="12">
        <v>60</v>
      </c>
      <c r="M259" s="11">
        <f t="shared" si="256"/>
        <v>3000</v>
      </c>
      <c r="O259" s="11">
        <f t="shared" si="257"/>
        <v>0</v>
      </c>
      <c r="P259" s="12">
        <v>8700</v>
      </c>
      <c r="Q259" s="11">
        <f t="shared" si="258"/>
        <v>522000</v>
      </c>
      <c r="X259" s="12">
        <v>130</v>
      </c>
      <c r="Y259" s="11">
        <f t="shared" si="259"/>
        <v>7800</v>
      </c>
      <c r="AF259" s="12">
        <v>245</v>
      </c>
      <c r="AG259" s="11">
        <f t="shared" si="260"/>
        <v>15925</v>
      </c>
      <c r="AH259" s="12">
        <v>25</v>
      </c>
      <c r="AI259" s="11">
        <f t="shared" si="261"/>
        <v>1625</v>
      </c>
      <c r="AJ259" s="12">
        <v>164</v>
      </c>
      <c r="AK259" s="13">
        <f t="shared" si="262"/>
        <v>1476</v>
      </c>
      <c r="AL259" s="12">
        <v>140</v>
      </c>
      <c r="AM259" s="13">
        <f t="shared" si="263"/>
        <v>1260</v>
      </c>
      <c r="AO259" s="11">
        <f t="shared" si="264"/>
        <v>0</v>
      </c>
      <c r="AQ259" s="11">
        <f t="shared" si="265"/>
        <v>0</v>
      </c>
      <c r="AS259" s="11">
        <f t="shared" si="266"/>
        <v>0</v>
      </c>
      <c r="AU259" s="11">
        <f t="shared" si="267"/>
        <v>0</v>
      </c>
      <c r="AW259" s="11">
        <f t="shared" si="268"/>
        <v>0</v>
      </c>
      <c r="AY259" s="11">
        <f t="shared" si="269"/>
        <v>0</v>
      </c>
      <c r="BA259" s="11">
        <f t="shared" si="270"/>
        <v>0</v>
      </c>
      <c r="BC259" s="11">
        <f t="shared" si="271"/>
        <v>0</v>
      </c>
      <c r="BE259" s="11">
        <f t="shared" si="272"/>
        <v>0</v>
      </c>
      <c r="BG259" s="11">
        <f t="shared" si="273"/>
        <v>0</v>
      </c>
      <c r="BN259" s="8">
        <f t="shared" si="212"/>
        <v>9299</v>
      </c>
      <c r="BO259" s="8">
        <f t="shared" si="213"/>
        <v>550201</v>
      </c>
      <c r="BP259" s="8">
        <f t="shared" si="216"/>
        <v>295</v>
      </c>
      <c r="BQ259" s="12">
        <f t="shared" si="217"/>
        <v>10685</v>
      </c>
    </row>
    <row r="260" spans="1:69">
      <c r="A260" s="28">
        <v>1981</v>
      </c>
      <c r="B260" s="27" t="s">
        <v>23</v>
      </c>
      <c r="C260" s="24">
        <f t="shared" si="237"/>
        <v>234</v>
      </c>
      <c r="D260" s="7" t="e">
        <f t="shared" ca="1" si="274"/>
        <v>#N/A</v>
      </c>
      <c r="E260" s="26">
        <f t="array" aca="1" ref="E260" ca="1">AVERAGE(IF(INDIRECT(DatCol&amp;"$"&amp;TEXT(C260,"###")):INDIRECT(DatCol&amp;"$"&amp;TEXT(C260+57,"###"))&gt;0,INDIRECT(DatCol&amp;"$"&amp;TEXT(C260,"###")):INDIRECT(DatCol&amp;"$"&amp;TEXT(C260+57,"###"))))</f>
        <v>118.72</v>
      </c>
      <c r="F260" s="26" t="str">
        <f t="shared" si="215"/>
        <v>I</v>
      </c>
      <c r="G260" s="8"/>
      <c r="H260" s="8">
        <v>16</v>
      </c>
      <c r="I260" s="8">
        <v>123</v>
      </c>
      <c r="J260" s="8">
        <v>261</v>
      </c>
      <c r="K260" s="9">
        <f t="shared" si="214"/>
        <v>277</v>
      </c>
      <c r="L260" s="12">
        <v>250</v>
      </c>
      <c r="M260" s="11">
        <f t="shared" si="256"/>
        <v>12500</v>
      </c>
      <c r="N260" s="12">
        <v>20</v>
      </c>
      <c r="O260" s="11">
        <f t="shared" si="257"/>
        <v>1000</v>
      </c>
      <c r="P260" s="12">
        <v>637</v>
      </c>
      <c r="Q260" s="11">
        <f t="shared" si="258"/>
        <v>38220</v>
      </c>
      <c r="X260" s="12">
        <v>155</v>
      </c>
      <c r="Y260" s="11">
        <f t="shared" si="259"/>
        <v>9300</v>
      </c>
      <c r="AF260" s="12">
        <v>150</v>
      </c>
      <c r="AG260" s="11">
        <f t="shared" si="260"/>
        <v>9750</v>
      </c>
      <c r="AH260" s="12">
        <v>25</v>
      </c>
      <c r="AI260" s="11">
        <f t="shared" si="261"/>
        <v>1625</v>
      </c>
      <c r="AJ260" s="12">
        <v>400</v>
      </c>
      <c r="AK260" s="13">
        <f t="shared" si="262"/>
        <v>3600</v>
      </c>
      <c r="AL260" s="12">
        <v>400</v>
      </c>
      <c r="AM260" s="13">
        <f t="shared" si="263"/>
        <v>3600</v>
      </c>
      <c r="AO260" s="11">
        <f t="shared" si="264"/>
        <v>0</v>
      </c>
      <c r="AQ260" s="11">
        <f t="shared" si="265"/>
        <v>0</v>
      </c>
      <c r="AS260" s="11">
        <f t="shared" si="266"/>
        <v>0</v>
      </c>
      <c r="AT260" s="12">
        <v>5</v>
      </c>
      <c r="AU260" s="11">
        <f t="shared" si="267"/>
        <v>250</v>
      </c>
      <c r="AW260" s="11">
        <f t="shared" si="268"/>
        <v>0</v>
      </c>
      <c r="AY260" s="11">
        <f t="shared" si="269"/>
        <v>0</v>
      </c>
      <c r="BA260" s="11">
        <f t="shared" si="270"/>
        <v>0</v>
      </c>
      <c r="BC260" s="11">
        <f t="shared" si="271"/>
        <v>0</v>
      </c>
      <c r="BE260" s="11">
        <f t="shared" si="272"/>
        <v>0</v>
      </c>
      <c r="BG260" s="11">
        <f t="shared" si="273"/>
        <v>0</v>
      </c>
      <c r="BN260" s="8">
        <f t="shared" si="212"/>
        <v>1592</v>
      </c>
      <c r="BO260" s="8">
        <f t="shared" si="213"/>
        <v>73370</v>
      </c>
      <c r="BP260" s="8">
        <f t="shared" si="216"/>
        <v>605</v>
      </c>
      <c r="BQ260" s="12">
        <f t="shared" si="217"/>
        <v>15775</v>
      </c>
    </row>
    <row r="261" spans="1:69">
      <c r="A261" s="28">
        <v>1982</v>
      </c>
      <c r="B261" s="27" t="s">
        <v>23</v>
      </c>
      <c r="C261" s="24">
        <f t="shared" si="237"/>
        <v>234</v>
      </c>
      <c r="D261" s="7" t="e">
        <f t="shared" ca="1" si="274"/>
        <v>#N/A</v>
      </c>
      <c r="E261" s="26">
        <f t="array" aca="1" ref="E261" ca="1">AVERAGE(IF(INDIRECT(DatCol&amp;"$"&amp;TEXT(C261,"###")):INDIRECT(DatCol&amp;"$"&amp;TEXT(C261+57,"###"))&gt;0,INDIRECT(DatCol&amp;"$"&amp;TEXT(C261,"###")):INDIRECT(DatCol&amp;"$"&amp;TEXT(C261+57,"###"))))</f>
        <v>118.72</v>
      </c>
      <c r="F261" s="26" t="str">
        <f t="shared" si="215"/>
        <v>I</v>
      </c>
      <c r="G261" s="8"/>
      <c r="H261" s="8">
        <v>20</v>
      </c>
      <c r="I261" s="8">
        <v>67</v>
      </c>
      <c r="J261" s="8">
        <v>224</v>
      </c>
      <c r="K261" s="9">
        <f t="shared" si="214"/>
        <v>244</v>
      </c>
      <c r="L261" s="12">
        <v>200</v>
      </c>
      <c r="M261" s="11">
        <f t="shared" si="256"/>
        <v>10000</v>
      </c>
      <c r="N261" s="12">
        <v>10</v>
      </c>
      <c r="O261" s="11">
        <f t="shared" si="257"/>
        <v>500</v>
      </c>
      <c r="P261" s="12">
        <v>31517</v>
      </c>
      <c r="Q261" s="11">
        <f t="shared" si="258"/>
        <v>1891020</v>
      </c>
      <c r="X261" s="12">
        <v>168</v>
      </c>
      <c r="Y261" s="11">
        <f t="shared" si="259"/>
        <v>10080</v>
      </c>
      <c r="AF261" s="12">
        <v>920</v>
      </c>
      <c r="AG261" s="11">
        <f t="shared" si="260"/>
        <v>59800</v>
      </c>
      <c r="AH261" s="12">
        <v>100</v>
      </c>
      <c r="AI261" s="11">
        <f t="shared" si="261"/>
        <v>6500</v>
      </c>
      <c r="AJ261" s="12">
        <v>214</v>
      </c>
      <c r="AK261" s="13">
        <f t="shared" si="262"/>
        <v>1926</v>
      </c>
      <c r="AL261" s="12">
        <v>220</v>
      </c>
      <c r="AM261" s="13">
        <f t="shared" si="263"/>
        <v>1980</v>
      </c>
      <c r="AO261" s="11">
        <f t="shared" si="264"/>
        <v>0</v>
      </c>
      <c r="AQ261" s="11">
        <f t="shared" si="265"/>
        <v>0</v>
      </c>
      <c r="AS261" s="11">
        <f t="shared" si="266"/>
        <v>0</v>
      </c>
      <c r="AU261" s="11">
        <f t="shared" si="267"/>
        <v>0</v>
      </c>
      <c r="AW261" s="11">
        <f t="shared" si="268"/>
        <v>0</v>
      </c>
      <c r="AY261" s="11">
        <f t="shared" si="269"/>
        <v>0</v>
      </c>
      <c r="BA261" s="11">
        <f t="shared" si="270"/>
        <v>0</v>
      </c>
      <c r="BC261" s="11">
        <f t="shared" si="271"/>
        <v>0</v>
      </c>
      <c r="BE261" s="11">
        <f t="shared" si="272"/>
        <v>0</v>
      </c>
      <c r="BG261" s="11">
        <f t="shared" si="273"/>
        <v>0</v>
      </c>
      <c r="BN261" s="8">
        <f t="shared" ref="BN261:BN325" si="275">(L261+P261+R261+T261+V261+X261+Z261+AB261+AD261+AF261+AJ261+AN261+AR261+AV261+AZ261+BD261)</f>
        <v>33019</v>
      </c>
      <c r="BO261" s="8">
        <f t="shared" si="213"/>
        <v>1972826</v>
      </c>
      <c r="BP261" s="8">
        <f t="shared" si="216"/>
        <v>498</v>
      </c>
      <c r="BQ261" s="12">
        <f t="shared" si="217"/>
        <v>19060</v>
      </c>
    </row>
    <row r="262" spans="1:69">
      <c r="A262" s="28">
        <v>1983</v>
      </c>
      <c r="B262" s="27" t="s">
        <v>23</v>
      </c>
      <c r="C262" s="24">
        <f t="shared" si="237"/>
        <v>234</v>
      </c>
      <c r="D262" s="7" t="e">
        <f t="shared" ca="1" si="274"/>
        <v>#N/A</v>
      </c>
      <c r="E262" s="26">
        <f t="array" aca="1" ref="E262" ca="1">AVERAGE(IF(INDIRECT(DatCol&amp;"$"&amp;TEXT(C262,"###")):INDIRECT(DatCol&amp;"$"&amp;TEXT(C262+57,"###"))&gt;0,INDIRECT(DatCol&amp;"$"&amp;TEXT(C262,"###")):INDIRECT(DatCol&amp;"$"&amp;TEXT(C262+57,"###"))))</f>
        <v>118.72</v>
      </c>
      <c r="F262" s="26" t="str">
        <f t="shared" si="215"/>
        <v>I</v>
      </c>
      <c r="G262" s="8"/>
      <c r="H262" s="8">
        <v>18</v>
      </c>
      <c r="I262" s="8">
        <v>82</v>
      </c>
      <c r="J262" s="8">
        <v>229</v>
      </c>
      <c r="K262" s="9">
        <f t="shared" si="214"/>
        <v>247</v>
      </c>
      <c r="L262" s="12">
        <v>50</v>
      </c>
      <c r="M262" s="11">
        <f t="shared" si="256"/>
        <v>2500</v>
      </c>
      <c r="N262" s="12">
        <v>25</v>
      </c>
      <c r="O262" s="11">
        <f t="shared" si="257"/>
        <v>1250</v>
      </c>
      <c r="P262" s="12">
        <f>29330/80</f>
        <v>366.625</v>
      </c>
      <c r="Q262" s="11">
        <f t="shared" si="258"/>
        <v>21997.5</v>
      </c>
      <c r="X262" s="12">
        <f>3600/80</f>
        <v>45</v>
      </c>
      <c r="Y262" s="11">
        <f t="shared" si="259"/>
        <v>2700</v>
      </c>
      <c r="AF262" s="12">
        <v>600</v>
      </c>
      <c r="AG262" s="11">
        <f t="shared" si="260"/>
        <v>39000</v>
      </c>
      <c r="AH262" s="12">
        <v>100</v>
      </c>
      <c r="AI262" s="11">
        <f t="shared" si="261"/>
        <v>6500</v>
      </c>
      <c r="AJ262" s="12">
        <v>600</v>
      </c>
      <c r="AK262" s="13">
        <f t="shared" si="262"/>
        <v>5400</v>
      </c>
      <c r="AL262" s="12">
        <v>100</v>
      </c>
      <c r="AM262" s="13">
        <f t="shared" si="263"/>
        <v>900</v>
      </c>
      <c r="AO262" s="11">
        <f t="shared" si="264"/>
        <v>0</v>
      </c>
      <c r="AQ262" s="11">
        <f t="shared" si="265"/>
        <v>0</v>
      </c>
      <c r="AS262" s="11">
        <f t="shared" si="266"/>
        <v>0</v>
      </c>
      <c r="AU262" s="11">
        <f t="shared" si="267"/>
        <v>0</v>
      </c>
      <c r="AW262" s="11">
        <f t="shared" si="268"/>
        <v>0</v>
      </c>
      <c r="AY262" s="11">
        <f t="shared" si="269"/>
        <v>0</v>
      </c>
      <c r="BA262" s="11">
        <f t="shared" si="270"/>
        <v>0</v>
      </c>
      <c r="BC262" s="11">
        <f t="shared" si="271"/>
        <v>0</v>
      </c>
      <c r="BE262" s="11">
        <f t="shared" si="272"/>
        <v>0</v>
      </c>
      <c r="BG262" s="11">
        <f t="shared" si="273"/>
        <v>0</v>
      </c>
      <c r="BN262" s="8">
        <f t="shared" si="275"/>
        <v>1661.625</v>
      </c>
      <c r="BO262" s="8">
        <f t="shared" ref="BO262:BO326" si="276">(M262+Q262+S262+U262+W262+Y262+AA262+AC262+AG262+AK262+AO262+AS262+AW262+BA262+BE262)</f>
        <v>71597.5</v>
      </c>
      <c r="BP262" s="8">
        <f t="shared" si="216"/>
        <v>270</v>
      </c>
      <c r="BQ262" s="12">
        <f t="shared" si="217"/>
        <v>11350</v>
      </c>
    </row>
    <row r="263" spans="1:69">
      <c r="A263" s="28">
        <v>1984</v>
      </c>
      <c r="B263" s="27" t="s">
        <v>23</v>
      </c>
      <c r="C263" s="24">
        <f t="shared" si="237"/>
        <v>234</v>
      </c>
      <c r="D263" s="7" t="e">
        <f t="shared" ca="1" si="274"/>
        <v>#N/A</v>
      </c>
      <c r="E263" s="26">
        <f t="array" aca="1" ref="E263" ca="1">AVERAGE(IF(INDIRECT(DatCol&amp;"$"&amp;TEXT(C263,"###")):INDIRECT(DatCol&amp;"$"&amp;TEXT(C263+57,"###"))&gt;0,INDIRECT(DatCol&amp;"$"&amp;TEXT(C263,"###")):INDIRECT(DatCol&amp;"$"&amp;TEXT(C263+57,"###"))))</f>
        <v>118.72</v>
      </c>
      <c r="F263" s="26" t="str">
        <f t="shared" si="215"/>
        <v>I</v>
      </c>
      <c r="G263" s="8"/>
      <c r="H263" s="8">
        <v>10</v>
      </c>
      <c r="I263" s="8">
        <v>58</v>
      </c>
      <c r="J263" s="8">
        <v>172</v>
      </c>
      <c r="K263" s="9">
        <f t="shared" ref="K263:K327" si="277">G263+H263+J263</f>
        <v>182</v>
      </c>
      <c r="L263" s="12">
        <v>80</v>
      </c>
      <c r="M263" s="11">
        <f t="shared" si="256"/>
        <v>4000</v>
      </c>
      <c r="N263" s="12">
        <v>5</v>
      </c>
      <c r="O263" s="11">
        <f t="shared" si="257"/>
        <v>250</v>
      </c>
      <c r="P263" s="12">
        <v>671</v>
      </c>
      <c r="Q263" s="11">
        <f t="shared" si="258"/>
        <v>40260</v>
      </c>
      <c r="X263" s="12">
        <v>200</v>
      </c>
      <c r="Y263" s="11">
        <f t="shared" si="259"/>
        <v>12000</v>
      </c>
      <c r="AF263" s="12">
        <v>370</v>
      </c>
      <c r="AG263" s="11">
        <f t="shared" si="260"/>
        <v>24050</v>
      </c>
      <c r="AH263" s="12">
        <v>60</v>
      </c>
      <c r="AI263" s="11">
        <f t="shared" si="261"/>
        <v>3900</v>
      </c>
      <c r="AJ263" s="12">
        <v>498</v>
      </c>
      <c r="AK263" s="13">
        <f t="shared" si="262"/>
        <v>4482</v>
      </c>
      <c r="AL263" s="12">
        <v>60</v>
      </c>
      <c r="AM263" s="13">
        <f t="shared" si="263"/>
        <v>540</v>
      </c>
      <c r="AO263" s="11">
        <f t="shared" si="264"/>
        <v>0</v>
      </c>
      <c r="AQ263" s="11">
        <f t="shared" si="265"/>
        <v>0</v>
      </c>
      <c r="AS263" s="11">
        <f t="shared" si="266"/>
        <v>0</v>
      </c>
      <c r="AT263" s="12">
        <v>5</v>
      </c>
      <c r="AU263" s="11">
        <f t="shared" si="267"/>
        <v>250</v>
      </c>
      <c r="AW263" s="11">
        <f t="shared" si="268"/>
        <v>0</v>
      </c>
      <c r="AY263" s="11">
        <f t="shared" si="269"/>
        <v>0</v>
      </c>
      <c r="BA263" s="11">
        <f t="shared" si="270"/>
        <v>0</v>
      </c>
      <c r="BC263" s="11">
        <f t="shared" si="271"/>
        <v>0</v>
      </c>
      <c r="BE263" s="11">
        <f t="shared" si="272"/>
        <v>0</v>
      </c>
      <c r="BG263" s="11">
        <f t="shared" si="273"/>
        <v>0</v>
      </c>
      <c r="BN263" s="8">
        <f t="shared" si="275"/>
        <v>1819</v>
      </c>
      <c r="BO263" s="8">
        <f t="shared" si="276"/>
        <v>84792</v>
      </c>
      <c r="BP263" s="8">
        <f t="shared" si="216"/>
        <v>330</v>
      </c>
      <c r="BQ263" s="12">
        <f t="shared" si="217"/>
        <v>16940</v>
      </c>
    </row>
    <row r="264" spans="1:69">
      <c r="A264" s="28">
        <v>1985</v>
      </c>
      <c r="B264" s="27" t="s">
        <v>23</v>
      </c>
      <c r="C264" s="24">
        <f t="shared" si="237"/>
        <v>234</v>
      </c>
      <c r="D264" s="7" t="e">
        <f t="shared" ca="1" si="274"/>
        <v>#N/A</v>
      </c>
      <c r="E264" s="26">
        <f t="array" aca="1" ref="E264" ca="1">AVERAGE(IF(INDIRECT(DatCol&amp;"$"&amp;TEXT(C264,"###")):INDIRECT(DatCol&amp;"$"&amp;TEXT(C264+57,"###"))&gt;0,INDIRECT(DatCol&amp;"$"&amp;TEXT(C264,"###")):INDIRECT(DatCol&amp;"$"&amp;TEXT(C264+57,"###"))))</f>
        <v>118.72</v>
      </c>
      <c r="F264" s="26" t="str">
        <f t="shared" si="215"/>
        <v>I</v>
      </c>
      <c r="G264" s="8"/>
      <c r="H264" s="8">
        <v>32</v>
      </c>
      <c r="I264" s="8">
        <v>70</v>
      </c>
      <c r="J264" s="8">
        <v>166</v>
      </c>
      <c r="K264" s="9">
        <f t="shared" si="277"/>
        <v>198</v>
      </c>
      <c r="L264" s="12">
        <v>70</v>
      </c>
      <c r="M264" s="11">
        <f t="shared" si="256"/>
        <v>3500</v>
      </c>
      <c r="O264" s="11">
        <f t="shared" si="257"/>
        <v>0</v>
      </c>
      <c r="P264" s="12">
        <v>1300</v>
      </c>
      <c r="Q264" s="11">
        <f t="shared" si="258"/>
        <v>78000</v>
      </c>
      <c r="X264" s="12">
        <v>165</v>
      </c>
      <c r="Y264" s="11">
        <f t="shared" si="259"/>
        <v>9900</v>
      </c>
      <c r="AF264" s="12">
        <v>628</v>
      </c>
      <c r="AG264" s="11">
        <f t="shared" si="260"/>
        <v>40820</v>
      </c>
      <c r="AH264" s="12">
        <v>34</v>
      </c>
      <c r="AI264" s="11">
        <f t="shared" si="261"/>
        <v>2210</v>
      </c>
      <c r="AJ264" s="12">
        <v>2613</v>
      </c>
      <c r="AK264" s="13">
        <f t="shared" si="262"/>
        <v>23517</v>
      </c>
      <c r="AL264" s="12">
        <v>150</v>
      </c>
      <c r="AM264" s="13">
        <f t="shared" si="263"/>
        <v>1350</v>
      </c>
      <c r="AO264" s="11">
        <f t="shared" si="264"/>
        <v>0</v>
      </c>
      <c r="AQ264" s="11">
        <f t="shared" si="265"/>
        <v>0</v>
      </c>
      <c r="AS264" s="11">
        <f t="shared" si="266"/>
        <v>0</v>
      </c>
      <c r="AU264" s="11">
        <f t="shared" si="267"/>
        <v>0</v>
      </c>
      <c r="AW264" s="11">
        <f t="shared" si="268"/>
        <v>0</v>
      </c>
      <c r="AY264" s="11">
        <f t="shared" si="269"/>
        <v>0</v>
      </c>
      <c r="BA264" s="11">
        <f t="shared" si="270"/>
        <v>0</v>
      </c>
      <c r="BB264" s="12">
        <v>1</v>
      </c>
      <c r="BC264" s="11">
        <f t="shared" si="271"/>
        <v>40</v>
      </c>
      <c r="BE264" s="11">
        <f t="shared" si="272"/>
        <v>0</v>
      </c>
      <c r="BG264" s="11">
        <f t="shared" si="273"/>
        <v>0</v>
      </c>
      <c r="BN264" s="8">
        <f t="shared" si="275"/>
        <v>4776</v>
      </c>
      <c r="BO264" s="8">
        <f t="shared" si="276"/>
        <v>155737</v>
      </c>
      <c r="BP264" s="8">
        <f t="shared" si="216"/>
        <v>350</v>
      </c>
      <c r="BQ264" s="12">
        <f t="shared" si="217"/>
        <v>13500</v>
      </c>
    </row>
    <row r="265" spans="1:69">
      <c r="A265" s="28">
        <v>1986</v>
      </c>
      <c r="B265" s="27" t="s">
        <v>23</v>
      </c>
      <c r="C265" s="24">
        <f t="shared" si="237"/>
        <v>234</v>
      </c>
      <c r="D265" s="7" t="e">
        <f t="shared" ca="1" si="274"/>
        <v>#N/A</v>
      </c>
      <c r="E265" s="26">
        <f t="array" aca="1" ref="E265" ca="1">AVERAGE(IF(INDIRECT(DatCol&amp;"$"&amp;TEXT(C265,"###")):INDIRECT(DatCol&amp;"$"&amp;TEXT(C265+57,"###"))&gt;0,INDIRECT(DatCol&amp;"$"&amp;TEXT(C265,"###")):INDIRECT(DatCol&amp;"$"&amp;TEXT(C265+57,"###"))))</f>
        <v>118.72</v>
      </c>
      <c r="F265" s="26" t="str">
        <f t="shared" si="215"/>
        <v>I</v>
      </c>
      <c r="G265" s="8">
        <v>22</v>
      </c>
      <c r="H265" s="8">
        <v>23</v>
      </c>
      <c r="I265" s="8">
        <v>23</v>
      </c>
      <c r="J265" s="8">
        <v>140</v>
      </c>
      <c r="K265" s="9">
        <f t="shared" si="277"/>
        <v>185</v>
      </c>
      <c r="M265" s="11">
        <f t="shared" si="256"/>
        <v>0</v>
      </c>
      <c r="O265" s="11">
        <f t="shared" si="257"/>
        <v>0</v>
      </c>
      <c r="P265" s="12">
        <v>1350</v>
      </c>
      <c r="Q265" s="11">
        <f t="shared" si="258"/>
        <v>81000</v>
      </c>
      <c r="X265" s="12">
        <v>80</v>
      </c>
      <c r="Y265" s="11">
        <f t="shared" si="259"/>
        <v>4800</v>
      </c>
      <c r="AF265" s="12">
        <v>750</v>
      </c>
      <c r="AG265" s="11">
        <f t="shared" si="260"/>
        <v>48750</v>
      </c>
      <c r="AH265" s="12">
        <v>40</v>
      </c>
      <c r="AI265" s="11">
        <f t="shared" si="261"/>
        <v>2600</v>
      </c>
      <c r="AJ265" s="12">
        <v>500</v>
      </c>
      <c r="AK265" s="13">
        <f t="shared" si="262"/>
        <v>4500</v>
      </c>
      <c r="AL265" s="12">
        <v>80</v>
      </c>
      <c r="AM265" s="13">
        <f t="shared" si="263"/>
        <v>720</v>
      </c>
      <c r="AO265" s="11">
        <f t="shared" si="264"/>
        <v>0</v>
      </c>
      <c r="AQ265" s="11">
        <f t="shared" si="265"/>
        <v>0</v>
      </c>
      <c r="AS265" s="11">
        <f t="shared" si="266"/>
        <v>0</v>
      </c>
      <c r="AU265" s="11">
        <f t="shared" si="267"/>
        <v>0</v>
      </c>
      <c r="AW265" s="11">
        <f t="shared" si="268"/>
        <v>0</v>
      </c>
      <c r="AY265" s="11">
        <f t="shared" si="269"/>
        <v>0</v>
      </c>
      <c r="BA265" s="11">
        <f t="shared" si="270"/>
        <v>0</v>
      </c>
      <c r="BC265" s="11">
        <f t="shared" si="271"/>
        <v>0</v>
      </c>
      <c r="BE265" s="11">
        <f t="shared" si="272"/>
        <v>0</v>
      </c>
      <c r="BG265" s="11">
        <f t="shared" si="273"/>
        <v>0</v>
      </c>
      <c r="BN265" s="8">
        <f t="shared" si="275"/>
        <v>2680</v>
      </c>
      <c r="BO265" s="8">
        <f t="shared" si="276"/>
        <v>139050</v>
      </c>
      <c r="BP265" s="8">
        <f t="shared" si="216"/>
        <v>200</v>
      </c>
      <c r="BQ265" s="12">
        <f t="shared" si="217"/>
        <v>8120</v>
      </c>
    </row>
    <row r="266" spans="1:69">
      <c r="A266" s="28">
        <v>1987</v>
      </c>
      <c r="B266" s="27" t="s">
        <v>23</v>
      </c>
      <c r="C266" s="24">
        <f t="shared" si="237"/>
        <v>234</v>
      </c>
      <c r="D266" s="7" t="e">
        <f t="shared" ca="1" si="274"/>
        <v>#N/A</v>
      </c>
      <c r="E266" s="26">
        <f t="array" aca="1" ref="E266" ca="1">AVERAGE(IF(INDIRECT(DatCol&amp;"$"&amp;TEXT(C266,"###")):INDIRECT(DatCol&amp;"$"&amp;TEXT(C266+57,"###"))&gt;0,INDIRECT(DatCol&amp;"$"&amp;TEXT(C266,"###")):INDIRECT(DatCol&amp;"$"&amp;TEXT(C266+57,"###"))))</f>
        <v>118.72</v>
      </c>
      <c r="F266" s="26" t="str">
        <f t="shared" si="215"/>
        <v>I</v>
      </c>
      <c r="G266" s="8">
        <v>20</v>
      </c>
      <c r="H266" s="8">
        <v>25</v>
      </c>
      <c r="I266" s="8">
        <v>25</v>
      </c>
      <c r="J266" s="8">
        <v>140</v>
      </c>
      <c r="K266" s="9">
        <f t="shared" si="277"/>
        <v>185</v>
      </c>
      <c r="L266" s="12">
        <v>30</v>
      </c>
      <c r="M266" s="11">
        <f t="shared" si="256"/>
        <v>1500</v>
      </c>
      <c r="O266" s="11">
        <f t="shared" si="257"/>
        <v>0</v>
      </c>
      <c r="P266" s="12">
        <v>1050</v>
      </c>
      <c r="Q266" s="11">
        <f t="shared" si="258"/>
        <v>63000</v>
      </c>
      <c r="X266" s="12">
        <v>80</v>
      </c>
      <c r="Y266" s="11">
        <f t="shared" si="259"/>
        <v>4800</v>
      </c>
      <c r="AF266" s="12">
        <v>500</v>
      </c>
      <c r="AG266" s="11">
        <f t="shared" si="260"/>
        <v>32500</v>
      </c>
      <c r="AH266" s="12">
        <v>15</v>
      </c>
      <c r="AI266" s="11">
        <f t="shared" si="261"/>
        <v>975</v>
      </c>
      <c r="AK266" s="13">
        <f t="shared" si="262"/>
        <v>0</v>
      </c>
      <c r="AM266" s="13">
        <f t="shared" si="263"/>
        <v>0</v>
      </c>
      <c r="AO266" s="11">
        <f t="shared" si="264"/>
        <v>0</v>
      </c>
      <c r="AQ266" s="11">
        <f t="shared" si="265"/>
        <v>0</v>
      </c>
      <c r="AS266" s="11">
        <f t="shared" si="266"/>
        <v>0</v>
      </c>
      <c r="AU266" s="11">
        <f t="shared" si="267"/>
        <v>0</v>
      </c>
      <c r="AW266" s="11">
        <f t="shared" si="268"/>
        <v>0</v>
      </c>
      <c r="AY266" s="11">
        <f t="shared" si="269"/>
        <v>0</v>
      </c>
      <c r="BA266" s="11">
        <f t="shared" si="270"/>
        <v>0</v>
      </c>
      <c r="BC266" s="11">
        <f t="shared" si="271"/>
        <v>0</v>
      </c>
      <c r="BE266" s="11">
        <f t="shared" si="272"/>
        <v>0</v>
      </c>
      <c r="BG266" s="11">
        <f t="shared" si="273"/>
        <v>0</v>
      </c>
      <c r="BN266" s="8">
        <f t="shared" si="275"/>
        <v>1660</v>
      </c>
      <c r="BO266" s="8">
        <f t="shared" si="276"/>
        <v>101800</v>
      </c>
      <c r="BP266" s="8">
        <f t="shared" si="216"/>
        <v>95</v>
      </c>
      <c r="BQ266" s="12">
        <f t="shared" si="217"/>
        <v>5775</v>
      </c>
    </row>
    <row r="267" spans="1:69">
      <c r="A267" s="28">
        <v>1988</v>
      </c>
      <c r="B267" s="27" t="s">
        <v>23</v>
      </c>
      <c r="C267" s="24">
        <f t="shared" si="237"/>
        <v>234</v>
      </c>
      <c r="D267" s="7" t="e">
        <f t="shared" ca="1" si="274"/>
        <v>#N/A</v>
      </c>
      <c r="E267" s="26">
        <f t="array" aca="1" ref="E267" ca="1">AVERAGE(IF(INDIRECT(DatCol&amp;"$"&amp;TEXT(C267,"###")):INDIRECT(DatCol&amp;"$"&amp;TEXT(C267+57,"###"))&gt;0,INDIRECT(DatCol&amp;"$"&amp;TEXT(C267,"###")):INDIRECT(DatCol&amp;"$"&amp;TEXT(C267+57,"###"))))</f>
        <v>118.72</v>
      </c>
      <c r="F267" s="26" t="str">
        <f t="shared" si="215"/>
        <v>I</v>
      </c>
      <c r="G267" s="8">
        <v>10</v>
      </c>
      <c r="H267" s="8">
        <v>25</v>
      </c>
      <c r="I267" s="8">
        <v>15</v>
      </c>
      <c r="J267" s="8">
        <v>75</v>
      </c>
      <c r="K267" s="9">
        <f t="shared" si="277"/>
        <v>110</v>
      </c>
      <c r="L267" s="12">
        <v>0</v>
      </c>
      <c r="M267" s="11">
        <f t="shared" si="256"/>
        <v>0</v>
      </c>
      <c r="N267" s="12">
        <v>0</v>
      </c>
      <c r="O267" s="11">
        <f t="shared" si="257"/>
        <v>0</v>
      </c>
      <c r="P267" s="12">
        <v>700</v>
      </c>
      <c r="Q267" s="11">
        <f t="shared" si="258"/>
        <v>42000</v>
      </c>
      <c r="X267" s="12">
        <v>45</v>
      </c>
      <c r="Y267" s="11">
        <f t="shared" si="259"/>
        <v>2700</v>
      </c>
      <c r="AF267" s="12">
        <v>0</v>
      </c>
      <c r="AG267" s="11">
        <f t="shared" si="260"/>
        <v>0</v>
      </c>
      <c r="AH267" s="12">
        <v>80</v>
      </c>
      <c r="AI267" s="11">
        <f t="shared" si="261"/>
        <v>5200</v>
      </c>
      <c r="AJ267" s="12">
        <v>900</v>
      </c>
      <c r="AK267" s="13">
        <f t="shared" si="262"/>
        <v>8100</v>
      </c>
      <c r="AL267" s="12">
        <v>50</v>
      </c>
      <c r="AM267" s="13">
        <f t="shared" si="263"/>
        <v>450</v>
      </c>
      <c r="AO267" s="11">
        <f t="shared" si="264"/>
        <v>0</v>
      </c>
      <c r="AQ267" s="11">
        <f t="shared" si="265"/>
        <v>0</v>
      </c>
      <c r="AS267" s="11">
        <f t="shared" si="266"/>
        <v>0</v>
      </c>
      <c r="AU267" s="11">
        <f t="shared" si="267"/>
        <v>0</v>
      </c>
      <c r="AW267" s="11">
        <f t="shared" si="268"/>
        <v>0</v>
      </c>
      <c r="AY267" s="11">
        <f t="shared" si="269"/>
        <v>0</v>
      </c>
      <c r="BA267" s="11">
        <f t="shared" si="270"/>
        <v>0</v>
      </c>
      <c r="BC267" s="11">
        <f t="shared" si="271"/>
        <v>0</v>
      </c>
      <c r="BE267" s="11">
        <f t="shared" si="272"/>
        <v>0</v>
      </c>
      <c r="BG267" s="11">
        <f t="shared" si="273"/>
        <v>0</v>
      </c>
      <c r="BN267" s="8">
        <f t="shared" si="275"/>
        <v>1645</v>
      </c>
      <c r="BO267" s="8">
        <f t="shared" si="276"/>
        <v>52800</v>
      </c>
      <c r="BP267" s="8">
        <f t="shared" si="216"/>
        <v>175</v>
      </c>
      <c r="BQ267" s="12">
        <f t="shared" si="217"/>
        <v>8350</v>
      </c>
    </row>
    <row r="268" spans="1:69">
      <c r="A268" s="28">
        <v>1989</v>
      </c>
      <c r="B268" s="27" t="s">
        <v>23</v>
      </c>
      <c r="C268" s="24">
        <f t="shared" si="237"/>
        <v>234</v>
      </c>
      <c r="D268" s="7" t="e">
        <f t="shared" ca="1" si="274"/>
        <v>#N/A</v>
      </c>
      <c r="E268" s="26">
        <f t="array" aca="1" ref="E268" ca="1">AVERAGE(IF(INDIRECT(DatCol&amp;"$"&amp;TEXT(C268,"###")):INDIRECT(DatCol&amp;"$"&amp;TEXT(C268+57,"###"))&gt;0,INDIRECT(DatCol&amp;"$"&amp;TEXT(C268,"###")):INDIRECT(DatCol&amp;"$"&amp;TEXT(C268+57,"###"))))</f>
        <v>118.72</v>
      </c>
      <c r="F268" s="26" t="str">
        <f t="shared" si="215"/>
        <v>I</v>
      </c>
      <c r="G268" s="8">
        <v>26</v>
      </c>
      <c r="H268" s="8">
        <v>12</v>
      </c>
      <c r="I268" s="8">
        <v>30</v>
      </c>
      <c r="J268" s="8">
        <v>127</v>
      </c>
      <c r="K268" s="9">
        <f t="shared" si="277"/>
        <v>165</v>
      </c>
      <c r="L268" s="12">
        <v>100</v>
      </c>
      <c r="M268" s="11">
        <f t="shared" si="256"/>
        <v>5000</v>
      </c>
      <c r="N268" s="12">
        <v>2</v>
      </c>
      <c r="O268" s="11">
        <f t="shared" si="257"/>
        <v>100</v>
      </c>
      <c r="P268" s="12">
        <v>130</v>
      </c>
      <c r="Q268" s="11">
        <f t="shared" si="258"/>
        <v>7800</v>
      </c>
      <c r="X268" s="12">
        <v>20</v>
      </c>
      <c r="Y268" s="11">
        <f t="shared" si="259"/>
        <v>1200</v>
      </c>
      <c r="AF268" s="12">
        <v>0</v>
      </c>
      <c r="AG268" s="11">
        <f t="shared" si="260"/>
        <v>0</v>
      </c>
      <c r="AH268" s="12">
        <v>0</v>
      </c>
      <c r="AI268" s="11">
        <f t="shared" si="261"/>
        <v>0</v>
      </c>
      <c r="AJ268" s="12">
        <v>0</v>
      </c>
      <c r="AK268" s="13">
        <f t="shared" si="262"/>
        <v>0</v>
      </c>
      <c r="AL268" s="12">
        <v>0</v>
      </c>
      <c r="AM268" s="13">
        <f t="shared" si="263"/>
        <v>0</v>
      </c>
      <c r="AN268" s="12">
        <v>0</v>
      </c>
      <c r="AO268" s="11">
        <f t="shared" si="264"/>
        <v>0</v>
      </c>
      <c r="AQ268" s="11">
        <f t="shared" si="265"/>
        <v>0</v>
      </c>
      <c r="AS268" s="11">
        <f t="shared" si="266"/>
        <v>0</v>
      </c>
      <c r="AU268" s="11">
        <f t="shared" si="267"/>
        <v>0</v>
      </c>
      <c r="AW268" s="11">
        <f t="shared" si="268"/>
        <v>0</v>
      </c>
      <c r="AY268" s="11">
        <f t="shared" si="269"/>
        <v>0</v>
      </c>
      <c r="BA268" s="11">
        <f t="shared" si="270"/>
        <v>0</v>
      </c>
      <c r="BC268" s="11">
        <f t="shared" si="271"/>
        <v>0</v>
      </c>
      <c r="BE268" s="11">
        <f t="shared" si="272"/>
        <v>0</v>
      </c>
      <c r="BG268" s="11">
        <f t="shared" si="273"/>
        <v>0</v>
      </c>
      <c r="BN268" s="8">
        <f t="shared" si="275"/>
        <v>250</v>
      </c>
      <c r="BO268" s="8">
        <f t="shared" si="276"/>
        <v>14000</v>
      </c>
      <c r="BP268" s="8">
        <f t="shared" si="216"/>
        <v>22</v>
      </c>
      <c r="BQ268" s="12">
        <f t="shared" si="217"/>
        <v>1300</v>
      </c>
    </row>
    <row r="269" spans="1:69">
      <c r="A269" s="28">
        <v>1990</v>
      </c>
      <c r="B269" s="27" t="s">
        <v>23</v>
      </c>
      <c r="C269" s="24">
        <f t="shared" si="237"/>
        <v>234</v>
      </c>
      <c r="D269" s="7" t="e">
        <f t="shared" ca="1" si="274"/>
        <v>#N/A</v>
      </c>
      <c r="E269" s="26">
        <f t="array" aca="1" ref="E269" ca="1">AVERAGE(IF(INDIRECT(DatCol&amp;"$"&amp;TEXT(C269,"###")):INDIRECT(DatCol&amp;"$"&amp;TEXT(C269+57,"###"))&gt;0,INDIRECT(DatCol&amp;"$"&amp;TEXT(C269,"###")):INDIRECT(DatCol&amp;"$"&amp;TEXT(C269+57,"###"))))</f>
        <v>118.72</v>
      </c>
      <c r="F269" s="26" t="str">
        <f t="shared" si="215"/>
        <v>I</v>
      </c>
      <c r="G269" s="8">
        <v>29</v>
      </c>
      <c r="H269" s="8">
        <v>15</v>
      </c>
      <c r="I269" s="8">
        <v>23</v>
      </c>
      <c r="J269" s="8">
        <v>76</v>
      </c>
      <c r="K269" s="9">
        <f t="shared" si="277"/>
        <v>120</v>
      </c>
      <c r="L269" s="12">
        <v>150</v>
      </c>
      <c r="M269" s="11">
        <f t="shared" si="256"/>
        <v>7500</v>
      </c>
      <c r="N269" s="12">
        <v>0</v>
      </c>
      <c r="O269" s="11">
        <f t="shared" si="257"/>
        <v>0</v>
      </c>
      <c r="P269" s="12">
        <v>290</v>
      </c>
      <c r="Q269" s="11">
        <f t="shared" si="258"/>
        <v>17400</v>
      </c>
      <c r="X269" s="12">
        <v>25</v>
      </c>
      <c r="Y269" s="11">
        <f t="shared" si="259"/>
        <v>1500</v>
      </c>
      <c r="AF269" s="12">
        <v>280</v>
      </c>
      <c r="AG269" s="11">
        <f t="shared" si="260"/>
        <v>18200</v>
      </c>
      <c r="AH269" s="12">
        <v>10</v>
      </c>
      <c r="AI269" s="11">
        <f t="shared" si="261"/>
        <v>650</v>
      </c>
      <c r="AK269" s="13">
        <f t="shared" si="262"/>
        <v>0</v>
      </c>
      <c r="AM269" s="13">
        <f t="shared" si="263"/>
        <v>0</v>
      </c>
      <c r="AO269" s="11">
        <f t="shared" si="264"/>
        <v>0</v>
      </c>
      <c r="AQ269" s="11">
        <f t="shared" si="265"/>
        <v>0</v>
      </c>
      <c r="AS269" s="11">
        <f t="shared" si="266"/>
        <v>0</v>
      </c>
      <c r="AU269" s="11">
        <f t="shared" si="267"/>
        <v>0</v>
      </c>
      <c r="AW269" s="11">
        <f t="shared" si="268"/>
        <v>0</v>
      </c>
      <c r="AY269" s="11">
        <f t="shared" si="269"/>
        <v>0</v>
      </c>
      <c r="BA269" s="11">
        <f t="shared" si="270"/>
        <v>0</v>
      </c>
      <c r="BC269" s="11">
        <f t="shared" si="271"/>
        <v>0</v>
      </c>
      <c r="BE269" s="11">
        <f t="shared" si="272"/>
        <v>0</v>
      </c>
      <c r="BG269" s="11">
        <f t="shared" si="273"/>
        <v>0</v>
      </c>
      <c r="BN269" s="8">
        <f t="shared" si="275"/>
        <v>745</v>
      </c>
      <c r="BO269" s="8">
        <f t="shared" si="276"/>
        <v>44600</v>
      </c>
      <c r="BP269" s="8">
        <f t="shared" si="216"/>
        <v>35</v>
      </c>
      <c r="BQ269" s="12">
        <f t="shared" si="217"/>
        <v>2150</v>
      </c>
    </row>
    <row r="270" spans="1:69">
      <c r="A270" s="28">
        <v>1991</v>
      </c>
      <c r="B270" s="27" t="s">
        <v>23</v>
      </c>
      <c r="C270" s="24">
        <f t="shared" si="237"/>
        <v>234</v>
      </c>
      <c r="D270" s="7" t="e">
        <f t="shared" ca="1" si="274"/>
        <v>#N/A</v>
      </c>
      <c r="E270" s="26">
        <f t="array" aca="1" ref="E270" ca="1">AVERAGE(IF(INDIRECT(DatCol&amp;"$"&amp;TEXT(C270,"###")):INDIRECT(DatCol&amp;"$"&amp;TEXT(C270+57,"###"))&gt;0,INDIRECT(DatCol&amp;"$"&amp;TEXT(C270,"###")):INDIRECT(DatCol&amp;"$"&amp;TEXT(C270+57,"###"))))</f>
        <v>118.72</v>
      </c>
      <c r="F270" s="26" t="str">
        <f t="shared" ref="F270:F336" si="278">VLOOKUP(B270,town_region,2,FALSE)</f>
        <v>I</v>
      </c>
      <c r="G270" s="8">
        <v>6</v>
      </c>
      <c r="H270" s="8">
        <v>45</v>
      </c>
      <c r="I270" s="8">
        <v>40</v>
      </c>
      <c r="J270" s="8">
        <v>60</v>
      </c>
      <c r="K270" s="9">
        <f t="shared" si="277"/>
        <v>111</v>
      </c>
      <c r="L270" s="12">
        <v>110</v>
      </c>
      <c r="M270" s="11">
        <f t="shared" si="256"/>
        <v>5500</v>
      </c>
      <c r="N270" s="12">
        <v>10</v>
      </c>
      <c r="O270" s="11">
        <f t="shared" si="257"/>
        <v>500</v>
      </c>
      <c r="P270" s="12">
        <v>240</v>
      </c>
      <c r="Q270" s="11">
        <f t="shared" si="258"/>
        <v>14400</v>
      </c>
      <c r="X270" s="12">
        <v>100</v>
      </c>
      <c r="Y270" s="11">
        <f t="shared" si="259"/>
        <v>6000</v>
      </c>
      <c r="AF270" s="12">
        <v>550</v>
      </c>
      <c r="AG270" s="11">
        <f t="shared" si="260"/>
        <v>35750</v>
      </c>
      <c r="AH270" s="12">
        <v>50</v>
      </c>
      <c r="AI270" s="11">
        <f t="shared" si="261"/>
        <v>3250</v>
      </c>
      <c r="AJ270" s="12">
        <v>1900</v>
      </c>
      <c r="AK270" s="13">
        <f t="shared" si="262"/>
        <v>17100</v>
      </c>
      <c r="AL270" s="12">
        <v>100</v>
      </c>
      <c r="AM270" s="13">
        <f t="shared" si="263"/>
        <v>900</v>
      </c>
      <c r="AN270" s="12">
        <v>110</v>
      </c>
      <c r="AO270" s="11">
        <f t="shared" si="264"/>
        <v>8800</v>
      </c>
      <c r="AP270" s="12">
        <v>10</v>
      </c>
      <c r="AQ270" s="11">
        <f t="shared" si="265"/>
        <v>800</v>
      </c>
      <c r="AR270" s="12">
        <v>50</v>
      </c>
      <c r="AS270" s="11">
        <f t="shared" si="266"/>
        <v>2500</v>
      </c>
      <c r="AT270" s="12">
        <v>10</v>
      </c>
      <c r="AU270" s="11">
        <f t="shared" si="267"/>
        <v>500</v>
      </c>
      <c r="AW270" s="11">
        <f t="shared" si="268"/>
        <v>0</v>
      </c>
      <c r="AY270" s="11">
        <f t="shared" si="269"/>
        <v>0</v>
      </c>
      <c r="BA270" s="11">
        <f t="shared" si="270"/>
        <v>0</v>
      </c>
      <c r="BC270" s="11">
        <f t="shared" si="271"/>
        <v>0</v>
      </c>
      <c r="BE270" s="11">
        <f t="shared" si="272"/>
        <v>0</v>
      </c>
      <c r="BG270" s="11">
        <f t="shared" si="273"/>
        <v>0</v>
      </c>
      <c r="BN270" s="8">
        <f t="shared" si="275"/>
        <v>3060</v>
      </c>
      <c r="BO270" s="8">
        <f t="shared" si="276"/>
        <v>90050</v>
      </c>
      <c r="BP270" s="8">
        <f t="shared" si="216"/>
        <v>280</v>
      </c>
      <c r="BQ270" s="12">
        <f t="shared" si="217"/>
        <v>11950</v>
      </c>
    </row>
    <row r="271" spans="1:69">
      <c r="A271" s="28">
        <v>1992</v>
      </c>
      <c r="B271" s="27" t="s">
        <v>23</v>
      </c>
      <c r="C271" s="24">
        <f t="shared" si="237"/>
        <v>234</v>
      </c>
      <c r="D271" s="7" t="e">
        <f t="shared" ca="1" si="274"/>
        <v>#N/A</v>
      </c>
      <c r="E271" s="26">
        <f t="array" aca="1" ref="E271" ca="1">AVERAGE(IF(INDIRECT(DatCol&amp;"$"&amp;TEXT(C271,"###")):INDIRECT(DatCol&amp;"$"&amp;TEXT(C271+57,"###"))&gt;0,INDIRECT(DatCol&amp;"$"&amp;TEXT(C271,"###")):INDIRECT(DatCol&amp;"$"&amp;TEXT(C271+57,"###"))))</f>
        <v>118.72</v>
      </c>
      <c r="F271" s="26" t="str">
        <f t="shared" si="278"/>
        <v>I</v>
      </c>
      <c r="G271" s="8">
        <v>3</v>
      </c>
      <c r="H271" s="8">
        <v>85</v>
      </c>
      <c r="I271" s="8">
        <v>16</v>
      </c>
      <c r="J271" s="8">
        <v>75</v>
      </c>
      <c r="K271" s="9">
        <f t="shared" si="277"/>
        <v>163</v>
      </c>
      <c r="L271" s="12">
        <v>130</v>
      </c>
      <c r="M271" s="11">
        <f t="shared" ref="M271:M301" si="279">(L271*50)</f>
        <v>6500</v>
      </c>
      <c r="N271" s="12">
        <v>20</v>
      </c>
      <c r="O271" s="11">
        <f t="shared" ref="O271:O301" si="280">(N271*50)</f>
        <v>1000</v>
      </c>
      <c r="P271" s="12">
        <v>350</v>
      </c>
      <c r="Q271" s="11">
        <f t="shared" ref="Q271:Q301" si="281">((P271*330)/5.5)</f>
        <v>21000</v>
      </c>
      <c r="X271" s="12">
        <v>100</v>
      </c>
      <c r="Y271" s="11">
        <f t="shared" ref="Y271:Y301" si="282">((X271*330)/5.5)</f>
        <v>6000</v>
      </c>
      <c r="AF271" s="12">
        <v>770</v>
      </c>
      <c r="AG271" s="11">
        <f t="shared" ref="AG271:AG301" si="283">(AF271*65)</f>
        <v>50050</v>
      </c>
      <c r="AH271" s="12">
        <v>30</v>
      </c>
      <c r="AI271" s="11">
        <f t="shared" ref="AI271:AI301" si="284">(AH271*65)</f>
        <v>1950</v>
      </c>
      <c r="AJ271" s="12">
        <v>360</v>
      </c>
      <c r="AK271" s="13">
        <f t="shared" ref="AK271:AK301" si="285">(AJ271*9)</f>
        <v>3240</v>
      </c>
      <c r="AL271" s="12">
        <v>50</v>
      </c>
      <c r="AM271" s="13">
        <f t="shared" ref="AM271:AM301" si="286">(AL271*9)</f>
        <v>450</v>
      </c>
      <c r="AN271" s="12">
        <v>40</v>
      </c>
      <c r="AO271" s="11">
        <f t="shared" ref="AO271:AO301" si="287">(AN271*80)</f>
        <v>3200</v>
      </c>
      <c r="AP271" s="12">
        <v>10</v>
      </c>
      <c r="AQ271" s="11">
        <f t="shared" ref="AQ271:AQ301" si="288">(AP271*80)</f>
        <v>800</v>
      </c>
      <c r="AS271" s="11">
        <f t="shared" ref="AS271:AS301" si="289">(AR271*50)</f>
        <v>0</v>
      </c>
      <c r="AU271" s="11">
        <f t="shared" ref="AU271:AU301" si="290">(AT271*50)</f>
        <v>0</v>
      </c>
      <c r="AW271" s="11">
        <f t="shared" ref="AW271:AW301" si="291">(AV271*60)</f>
        <v>0</v>
      </c>
      <c r="AY271" s="11">
        <f t="shared" ref="AY271:AY301" si="292">(AX271*60)</f>
        <v>0</v>
      </c>
      <c r="BA271" s="11">
        <f t="shared" ref="BA271:BA301" si="293">(AZ271*40)</f>
        <v>0</v>
      </c>
      <c r="BC271" s="11">
        <f t="shared" ref="BC271:BC301" si="294">(BB271*40)</f>
        <v>0</v>
      </c>
      <c r="BE271" s="11">
        <f t="shared" ref="BE271:BE301" si="295">(BD271*95)</f>
        <v>0</v>
      </c>
      <c r="BG271" s="11">
        <f t="shared" ref="BG271:BG301" si="296">(BF271*95)</f>
        <v>0</v>
      </c>
      <c r="BN271" s="8">
        <f t="shared" si="275"/>
        <v>1750</v>
      </c>
      <c r="BO271" s="8">
        <f t="shared" si="276"/>
        <v>89990</v>
      </c>
      <c r="BP271" s="8">
        <f t="shared" si="216"/>
        <v>210</v>
      </c>
      <c r="BQ271" s="12">
        <f t="shared" si="217"/>
        <v>10200</v>
      </c>
    </row>
    <row r="272" spans="1:69">
      <c r="A272" s="28">
        <v>1993</v>
      </c>
      <c r="B272" s="27" t="s">
        <v>23</v>
      </c>
      <c r="C272" s="24">
        <f t="shared" si="237"/>
        <v>234</v>
      </c>
      <c r="D272" s="7" t="e">
        <f t="shared" ca="1" si="274"/>
        <v>#N/A</v>
      </c>
      <c r="E272" s="26">
        <f t="array" aca="1" ref="E272" ca="1">AVERAGE(IF(INDIRECT(DatCol&amp;"$"&amp;TEXT(C272,"###")):INDIRECT(DatCol&amp;"$"&amp;TEXT(C272+57,"###"))&gt;0,INDIRECT(DatCol&amp;"$"&amp;TEXT(C272,"###")):INDIRECT(DatCol&amp;"$"&amp;TEXT(C272+57,"###"))))</f>
        <v>118.72</v>
      </c>
      <c r="F272" s="26" t="str">
        <f t="shared" si="278"/>
        <v>I</v>
      </c>
      <c r="G272" s="8">
        <v>10</v>
      </c>
      <c r="H272" s="8">
        <v>90</v>
      </c>
      <c r="I272" s="8">
        <v>18</v>
      </c>
      <c r="J272" s="8">
        <v>60</v>
      </c>
      <c r="K272" s="9">
        <f t="shared" si="277"/>
        <v>160</v>
      </c>
      <c r="L272" s="12">
        <v>300</v>
      </c>
      <c r="M272" s="11">
        <f t="shared" si="279"/>
        <v>15000</v>
      </c>
      <c r="N272" s="12">
        <v>0</v>
      </c>
      <c r="O272" s="11">
        <f t="shared" si="280"/>
        <v>0</v>
      </c>
      <c r="P272" s="12">
        <v>340</v>
      </c>
      <c r="Q272" s="11">
        <f t="shared" si="281"/>
        <v>20400</v>
      </c>
      <c r="X272" s="12">
        <v>100</v>
      </c>
      <c r="Y272" s="11">
        <f t="shared" si="282"/>
        <v>6000</v>
      </c>
      <c r="AF272" s="12">
        <v>2160</v>
      </c>
      <c r="AG272" s="11">
        <f t="shared" si="283"/>
        <v>140400</v>
      </c>
      <c r="AH272" s="12">
        <v>40</v>
      </c>
      <c r="AI272" s="11">
        <f t="shared" si="284"/>
        <v>2600</v>
      </c>
      <c r="AJ272" s="12">
        <v>0</v>
      </c>
      <c r="AK272" s="13">
        <f t="shared" si="285"/>
        <v>0</v>
      </c>
      <c r="AL272" s="12">
        <v>20</v>
      </c>
      <c r="AM272" s="13">
        <f t="shared" si="286"/>
        <v>180</v>
      </c>
      <c r="AN272" s="12">
        <v>40</v>
      </c>
      <c r="AO272" s="11">
        <f t="shared" si="287"/>
        <v>3200</v>
      </c>
      <c r="AP272" s="12">
        <v>0</v>
      </c>
      <c r="AQ272" s="11">
        <f t="shared" si="288"/>
        <v>0</v>
      </c>
      <c r="AS272" s="11">
        <f t="shared" si="289"/>
        <v>0</v>
      </c>
      <c r="AU272" s="11">
        <f t="shared" si="290"/>
        <v>0</v>
      </c>
      <c r="AW272" s="11">
        <f t="shared" si="291"/>
        <v>0</v>
      </c>
      <c r="AY272" s="11">
        <f t="shared" si="292"/>
        <v>0</v>
      </c>
      <c r="BA272" s="11">
        <f t="shared" si="293"/>
        <v>0</v>
      </c>
      <c r="BC272" s="11">
        <f t="shared" si="294"/>
        <v>0</v>
      </c>
      <c r="BE272" s="11">
        <f t="shared" si="295"/>
        <v>0</v>
      </c>
      <c r="BG272" s="11">
        <f t="shared" si="296"/>
        <v>0</v>
      </c>
      <c r="BN272" s="8">
        <f t="shared" si="275"/>
        <v>2940</v>
      </c>
      <c r="BO272" s="8">
        <f t="shared" si="276"/>
        <v>185000</v>
      </c>
      <c r="BP272" s="8">
        <f t="shared" ref="BP272:BP336" si="297">(N272+X272+Z272+AB272+AD272+AH272+AL272+AP272+AT272+AX272+BB272+BF272)</f>
        <v>160</v>
      </c>
      <c r="BQ272" s="12">
        <f t="shared" ref="BQ272:BQ336" si="298">(O272+Y272+AA272+AC272+AE272+AI272+AM272+AQ272+AU272+AY272+BC272+BG272)</f>
        <v>8780</v>
      </c>
    </row>
    <row r="273" spans="1:69">
      <c r="A273" s="28">
        <v>1994</v>
      </c>
      <c r="B273" s="27" t="s">
        <v>23</v>
      </c>
      <c r="C273" s="24">
        <f t="shared" si="237"/>
        <v>234</v>
      </c>
      <c r="D273" s="7" t="e">
        <f t="shared" ca="1" si="274"/>
        <v>#N/A</v>
      </c>
      <c r="E273" s="26">
        <f t="array" aca="1" ref="E273" ca="1">AVERAGE(IF(INDIRECT(DatCol&amp;"$"&amp;TEXT(C273,"###")):INDIRECT(DatCol&amp;"$"&amp;TEXT(C273+57,"###"))&gt;0,INDIRECT(DatCol&amp;"$"&amp;TEXT(C273,"###")):INDIRECT(DatCol&amp;"$"&amp;TEXT(C273+57,"###"))))</f>
        <v>118.72</v>
      </c>
      <c r="F273" s="26" t="str">
        <f t="shared" si="278"/>
        <v>I</v>
      </c>
      <c r="G273" s="8"/>
      <c r="H273" s="9" t="s">
        <v>24</v>
      </c>
      <c r="I273" s="9" t="s">
        <v>24</v>
      </c>
      <c r="J273" s="9" t="s">
        <v>24</v>
      </c>
      <c r="K273" s="9">
        <f t="shared" si="277"/>
        <v>0</v>
      </c>
      <c r="L273" s="12">
        <v>35</v>
      </c>
      <c r="M273" s="11">
        <f t="shared" si="279"/>
        <v>1750</v>
      </c>
      <c r="N273" s="12">
        <v>0</v>
      </c>
      <c r="O273" s="11">
        <f t="shared" si="280"/>
        <v>0</v>
      </c>
      <c r="P273" s="12">
        <v>450</v>
      </c>
      <c r="Q273" s="11">
        <f t="shared" si="281"/>
        <v>27000</v>
      </c>
      <c r="X273" s="12">
        <v>100</v>
      </c>
      <c r="Y273" s="11">
        <f t="shared" si="282"/>
        <v>6000</v>
      </c>
      <c r="AF273" s="12">
        <v>750</v>
      </c>
      <c r="AG273" s="11">
        <f t="shared" si="283"/>
        <v>48750</v>
      </c>
      <c r="AH273" s="12">
        <v>50</v>
      </c>
      <c r="AI273" s="11">
        <f t="shared" si="284"/>
        <v>3250</v>
      </c>
      <c r="AJ273" s="12">
        <v>450</v>
      </c>
      <c r="AK273" s="13">
        <f t="shared" si="285"/>
        <v>4050</v>
      </c>
      <c r="AL273" s="12">
        <v>50</v>
      </c>
      <c r="AM273" s="13">
        <f t="shared" si="286"/>
        <v>450</v>
      </c>
      <c r="AN273" s="12">
        <v>25</v>
      </c>
      <c r="AO273" s="11">
        <f t="shared" si="287"/>
        <v>2000</v>
      </c>
      <c r="AP273" s="12">
        <v>5</v>
      </c>
      <c r="AQ273" s="11">
        <f t="shared" si="288"/>
        <v>400</v>
      </c>
      <c r="AR273" s="12">
        <v>0</v>
      </c>
      <c r="AS273" s="11">
        <f t="shared" si="289"/>
        <v>0</v>
      </c>
      <c r="AT273" s="12">
        <v>0</v>
      </c>
      <c r="AU273" s="11">
        <f t="shared" si="290"/>
        <v>0</v>
      </c>
      <c r="AV273" s="12">
        <v>0</v>
      </c>
      <c r="AW273" s="11">
        <f t="shared" si="291"/>
        <v>0</v>
      </c>
      <c r="AX273" s="12">
        <v>0</v>
      </c>
      <c r="AY273" s="11">
        <f t="shared" si="292"/>
        <v>0</v>
      </c>
      <c r="AZ273" s="12">
        <v>0</v>
      </c>
      <c r="BA273" s="11">
        <f t="shared" si="293"/>
        <v>0</v>
      </c>
      <c r="BB273" s="12">
        <v>0</v>
      </c>
      <c r="BC273" s="11">
        <f t="shared" si="294"/>
        <v>0</v>
      </c>
      <c r="BD273" s="12">
        <v>0</v>
      </c>
      <c r="BE273" s="11">
        <f t="shared" si="295"/>
        <v>0</v>
      </c>
      <c r="BF273" s="12">
        <v>0</v>
      </c>
      <c r="BG273" s="11">
        <f t="shared" si="296"/>
        <v>0</v>
      </c>
      <c r="BH273" s="13">
        <v>0</v>
      </c>
      <c r="BI273" s="13">
        <v>0</v>
      </c>
      <c r="BN273" s="8">
        <f t="shared" si="275"/>
        <v>1810</v>
      </c>
      <c r="BO273" s="8">
        <f t="shared" si="276"/>
        <v>89550</v>
      </c>
      <c r="BP273" s="8">
        <f t="shared" si="297"/>
        <v>205</v>
      </c>
      <c r="BQ273" s="12">
        <f t="shared" si="298"/>
        <v>10100</v>
      </c>
    </row>
    <row r="274" spans="1:69">
      <c r="A274" s="28">
        <v>1995</v>
      </c>
      <c r="B274" s="27" t="s">
        <v>23</v>
      </c>
      <c r="C274" s="24">
        <f t="shared" si="237"/>
        <v>234</v>
      </c>
      <c r="D274" s="7" t="e">
        <f t="shared" ca="1" si="274"/>
        <v>#N/A</v>
      </c>
      <c r="E274" s="26">
        <f t="array" aca="1" ref="E274" ca="1">AVERAGE(IF(INDIRECT(DatCol&amp;"$"&amp;TEXT(C274,"###")):INDIRECT(DatCol&amp;"$"&amp;TEXT(C274+57,"###"))&gt;0,INDIRECT(DatCol&amp;"$"&amp;TEXT(C274,"###")):INDIRECT(DatCol&amp;"$"&amp;TEXT(C274+57,"###"))))</f>
        <v>118.72</v>
      </c>
      <c r="F274" s="26" t="str">
        <f t="shared" si="278"/>
        <v>I</v>
      </c>
      <c r="H274" s="9" t="s">
        <v>24</v>
      </c>
      <c r="I274" s="9" t="s">
        <v>24</v>
      </c>
      <c r="J274" s="9" t="s">
        <v>24</v>
      </c>
      <c r="K274" s="9">
        <f t="shared" si="277"/>
        <v>0</v>
      </c>
      <c r="L274" s="10">
        <v>0</v>
      </c>
      <c r="M274" s="11">
        <f t="shared" si="279"/>
        <v>0</v>
      </c>
      <c r="N274" s="10">
        <v>0</v>
      </c>
      <c r="O274" s="11">
        <f t="shared" si="280"/>
        <v>0</v>
      </c>
      <c r="P274" s="10">
        <v>610</v>
      </c>
      <c r="Q274" s="11">
        <f t="shared" si="281"/>
        <v>36600</v>
      </c>
      <c r="X274" s="10">
        <v>150</v>
      </c>
      <c r="Y274" s="11">
        <f t="shared" si="282"/>
        <v>9000</v>
      </c>
      <c r="AF274" s="10">
        <v>1000</v>
      </c>
      <c r="AG274" s="11">
        <f t="shared" si="283"/>
        <v>65000</v>
      </c>
      <c r="AH274" s="10">
        <v>30</v>
      </c>
      <c r="AI274" s="11">
        <f t="shared" si="284"/>
        <v>1950</v>
      </c>
      <c r="AJ274" s="10">
        <v>40</v>
      </c>
      <c r="AK274" s="13">
        <f t="shared" si="285"/>
        <v>360</v>
      </c>
      <c r="AL274" s="10">
        <v>55</v>
      </c>
      <c r="AM274" s="13">
        <f t="shared" si="286"/>
        <v>495</v>
      </c>
      <c r="AO274" s="11">
        <f t="shared" si="287"/>
        <v>0</v>
      </c>
      <c r="AQ274" s="11">
        <f t="shared" si="288"/>
        <v>0</v>
      </c>
      <c r="AS274" s="11">
        <f t="shared" si="289"/>
        <v>0</v>
      </c>
      <c r="AU274" s="11">
        <f t="shared" si="290"/>
        <v>0</v>
      </c>
      <c r="AW274" s="11">
        <f t="shared" si="291"/>
        <v>0</v>
      </c>
      <c r="AY274" s="11">
        <f t="shared" si="292"/>
        <v>0</v>
      </c>
      <c r="BA274" s="11">
        <f t="shared" si="293"/>
        <v>0</v>
      </c>
      <c r="BC274" s="11">
        <f t="shared" si="294"/>
        <v>0</v>
      </c>
      <c r="BE274" s="11">
        <f t="shared" si="295"/>
        <v>0</v>
      </c>
      <c r="BG274" s="11">
        <f t="shared" si="296"/>
        <v>0</v>
      </c>
      <c r="BN274" s="8">
        <f t="shared" si="275"/>
        <v>1800</v>
      </c>
      <c r="BO274" s="8">
        <f t="shared" si="276"/>
        <v>110960</v>
      </c>
      <c r="BP274" s="8">
        <f t="shared" si="297"/>
        <v>235</v>
      </c>
      <c r="BQ274" s="12">
        <f t="shared" si="298"/>
        <v>11445</v>
      </c>
    </row>
    <row r="275" spans="1:69">
      <c r="A275" s="28">
        <v>1996</v>
      </c>
      <c r="B275" s="27" t="s">
        <v>23</v>
      </c>
      <c r="C275" s="24">
        <f t="shared" si="237"/>
        <v>234</v>
      </c>
      <c r="D275" s="7" t="e">
        <f t="shared" ca="1" si="274"/>
        <v>#N/A</v>
      </c>
      <c r="E275" s="26">
        <f t="array" aca="1" ref="E275" ca="1">AVERAGE(IF(INDIRECT(DatCol&amp;"$"&amp;TEXT(C275,"###")):INDIRECT(DatCol&amp;"$"&amp;TEXT(C275+57,"###"))&gt;0,INDIRECT(DatCol&amp;"$"&amp;TEXT(C275,"###")):INDIRECT(DatCol&amp;"$"&amp;TEXT(C275+57,"###"))))</f>
        <v>118.72</v>
      </c>
      <c r="F275" s="26" t="str">
        <f t="shared" si="278"/>
        <v>I</v>
      </c>
      <c r="G275" s="9">
        <v>49</v>
      </c>
      <c r="H275" s="9">
        <v>9</v>
      </c>
      <c r="I275" s="9">
        <v>45</v>
      </c>
      <c r="J275" s="9">
        <v>102</v>
      </c>
      <c r="K275" s="9">
        <f t="shared" si="277"/>
        <v>160</v>
      </c>
      <c r="L275" s="10">
        <v>0</v>
      </c>
      <c r="M275" s="11">
        <f t="shared" si="279"/>
        <v>0</v>
      </c>
      <c r="N275" s="10">
        <v>10</v>
      </c>
      <c r="O275" s="11">
        <f t="shared" si="280"/>
        <v>500</v>
      </c>
      <c r="P275" s="10">
        <f>194+193+193</f>
        <v>580</v>
      </c>
      <c r="Q275" s="11">
        <f t="shared" si="281"/>
        <v>34800</v>
      </c>
      <c r="X275" s="10">
        <v>80</v>
      </c>
      <c r="Y275" s="11">
        <f t="shared" si="282"/>
        <v>4800</v>
      </c>
      <c r="AF275" s="10">
        <v>540</v>
      </c>
      <c r="AG275" s="11">
        <f t="shared" si="283"/>
        <v>35100</v>
      </c>
      <c r="AH275" s="10">
        <v>10</v>
      </c>
      <c r="AI275" s="11">
        <f t="shared" si="284"/>
        <v>650</v>
      </c>
      <c r="AJ275" s="10">
        <v>700</v>
      </c>
      <c r="AK275" s="13">
        <f t="shared" si="285"/>
        <v>6300</v>
      </c>
      <c r="AL275" s="10">
        <v>100</v>
      </c>
      <c r="AM275" s="13">
        <f t="shared" si="286"/>
        <v>900</v>
      </c>
      <c r="AN275" s="10">
        <v>0</v>
      </c>
      <c r="AO275" s="11">
        <f t="shared" si="287"/>
        <v>0</v>
      </c>
      <c r="AP275" s="10">
        <v>25</v>
      </c>
      <c r="AQ275" s="11">
        <f t="shared" si="288"/>
        <v>2000</v>
      </c>
      <c r="AS275" s="11">
        <f t="shared" si="289"/>
        <v>0</v>
      </c>
      <c r="AU275" s="11">
        <f t="shared" si="290"/>
        <v>0</v>
      </c>
      <c r="AW275" s="11">
        <f t="shared" si="291"/>
        <v>0</v>
      </c>
      <c r="AY275" s="11">
        <f t="shared" si="292"/>
        <v>0</v>
      </c>
      <c r="BA275" s="11">
        <f t="shared" si="293"/>
        <v>0</v>
      </c>
      <c r="BC275" s="11">
        <f t="shared" si="294"/>
        <v>0</v>
      </c>
      <c r="BE275" s="11">
        <f t="shared" si="295"/>
        <v>0</v>
      </c>
      <c r="BG275" s="11">
        <f t="shared" si="296"/>
        <v>0</v>
      </c>
      <c r="BN275" s="8">
        <f t="shared" si="275"/>
        <v>1900</v>
      </c>
      <c r="BO275" s="8">
        <f t="shared" si="276"/>
        <v>81000</v>
      </c>
      <c r="BP275" s="8">
        <f t="shared" si="297"/>
        <v>225</v>
      </c>
      <c r="BQ275" s="12">
        <f t="shared" si="298"/>
        <v>8850</v>
      </c>
    </row>
    <row r="276" spans="1:69">
      <c r="A276" s="28">
        <v>1997</v>
      </c>
      <c r="B276" s="27" t="s">
        <v>23</v>
      </c>
      <c r="C276" s="24">
        <f t="shared" si="237"/>
        <v>234</v>
      </c>
      <c r="D276" s="7" t="e">
        <f t="shared" ca="1" si="274"/>
        <v>#N/A</v>
      </c>
      <c r="E276" s="26">
        <f t="array" aca="1" ref="E276" ca="1">AVERAGE(IF(INDIRECT(DatCol&amp;"$"&amp;TEXT(C276,"###")):INDIRECT(DatCol&amp;"$"&amp;TEXT(C276+57,"###"))&gt;0,INDIRECT(DatCol&amp;"$"&amp;TEXT(C276,"###")):INDIRECT(DatCol&amp;"$"&amp;TEXT(C276+57,"###"))))</f>
        <v>118.72</v>
      </c>
      <c r="F276" s="26" t="str">
        <f t="shared" si="278"/>
        <v>I</v>
      </c>
      <c r="G276" s="9">
        <v>56</v>
      </c>
      <c r="H276" s="9">
        <v>26</v>
      </c>
      <c r="I276" s="9">
        <v>46</v>
      </c>
      <c r="J276" s="9">
        <v>201</v>
      </c>
      <c r="K276" s="9">
        <f t="shared" si="277"/>
        <v>283</v>
      </c>
      <c r="L276" s="10">
        <v>0</v>
      </c>
      <c r="M276" s="11">
        <f t="shared" si="279"/>
        <v>0</v>
      </c>
      <c r="N276" s="10">
        <v>20</v>
      </c>
      <c r="O276" s="11">
        <f t="shared" si="280"/>
        <v>1000</v>
      </c>
      <c r="P276" s="10">
        <f>180+210+40</f>
        <v>430</v>
      </c>
      <c r="Q276" s="11">
        <f t="shared" si="281"/>
        <v>25800</v>
      </c>
      <c r="X276" s="10">
        <v>90</v>
      </c>
      <c r="Y276" s="11">
        <f t="shared" si="282"/>
        <v>5400</v>
      </c>
      <c r="AF276" s="10">
        <v>460</v>
      </c>
      <c r="AG276" s="11">
        <f t="shared" si="283"/>
        <v>29900</v>
      </c>
      <c r="AH276" s="10">
        <v>40</v>
      </c>
      <c r="AI276" s="11">
        <f t="shared" si="284"/>
        <v>2600</v>
      </c>
      <c r="AJ276" s="10">
        <v>80</v>
      </c>
      <c r="AK276" s="13">
        <f t="shared" si="285"/>
        <v>720</v>
      </c>
      <c r="AL276" s="10">
        <v>30</v>
      </c>
      <c r="AM276" s="13">
        <f t="shared" si="286"/>
        <v>270</v>
      </c>
      <c r="AN276" s="10">
        <v>0</v>
      </c>
      <c r="AO276" s="11">
        <f t="shared" si="287"/>
        <v>0</v>
      </c>
      <c r="AP276" s="10">
        <v>10</v>
      </c>
      <c r="AQ276" s="11">
        <f t="shared" si="288"/>
        <v>800</v>
      </c>
      <c r="AR276" s="10">
        <v>0</v>
      </c>
      <c r="AS276" s="11">
        <f t="shared" si="289"/>
        <v>0</v>
      </c>
      <c r="AT276" s="10">
        <v>40</v>
      </c>
      <c r="AU276" s="11">
        <f t="shared" si="290"/>
        <v>2000</v>
      </c>
      <c r="AV276" s="10">
        <v>300</v>
      </c>
      <c r="AW276" s="11">
        <f t="shared" si="291"/>
        <v>18000</v>
      </c>
      <c r="AX276" s="10">
        <v>0</v>
      </c>
      <c r="AY276" s="11">
        <f t="shared" si="292"/>
        <v>0</v>
      </c>
      <c r="AZ276" s="10">
        <v>0</v>
      </c>
      <c r="BA276" s="11">
        <f t="shared" si="293"/>
        <v>0</v>
      </c>
      <c r="BB276" s="10">
        <v>5</v>
      </c>
      <c r="BC276" s="11">
        <f t="shared" si="294"/>
        <v>200</v>
      </c>
      <c r="BD276" s="10">
        <v>0</v>
      </c>
      <c r="BE276" s="11">
        <f t="shared" si="295"/>
        <v>0</v>
      </c>
      <c r="BF276" s="10">
        <v>2</v>
      </c>
      <c r="BG276" s="11">
        <f t="shared" si="296"/>
        <v>190</v>
      </c>
      <c r="BN276" s="8">
        <f t="shared" si="275"/>
        <v>1360</v>
      </c>
      <c r="BO276" s="8">
        <f t="shared" si="276"/>
        <v>79820</v>
      </c>
      <c r="BP276" s="8">
        <f t="shared" si="297"/>
        <v>237</v>
      </c>
      <c r="BQ276" s="12">
        <f t="shared" si="298"/>
        <v>12460</v>
      </c>
    </row>
    <row r="277" spans="1:69">
      <c r="A277" s="28">
        <v>1998</v>
      </c>
      <c r="B277" s="27" t="s">
        <v>23</v>
      </c>
      <c r="C277" s="24">
        <f t="shared" si="237"/>
        <v>234</v>
      </c>
      <c r="D277" s="7" t="e">
        <f t="shared" ca="1" si="274"/>
        <v>#N/A</v>
      </c>
      <c r="E277" s="26">
        <f t="array" aca="1" ref="E277" ca="1">AVERAGE(IF(INDIRECT(DatCol&amp;"$"&amp;TEXT(C277,"###")):INDIRECT(DatCol&amp;"$"&amp;TEXT(C277+57,"###"))&gt;0,INDIRECT(DatCol&amp;"$"&amp;TEXT(C277,"###")):INDIRECT(DatCol&amp;"$"&amp;TEXT(C277+57,"###"))))</f>
        <v>118.72</v>
      </c>
      <c r="F277" s="26" t="str">
        <f t="shared" si="278"/>
        <v>I</v>
      </c>
      <c r="G277" s="9">
        <v>48</v>
      </c>
      <c r="H277" s="9">
        <v>14</v>
      </c>
      <c r="I277" s="9">
        <v>23</v>
      </c>
      <c r="J277" s="9">
        <v>208</v>
      </c>
      <c r="K277" s="9">
        <f t="shared" si="277"/>
        <v>270</v>
      </c>
      <c r="L277" s="14" t="s">
        <v>52</v>
      </c>
      <c r="M277" s="15" t="s">
        <v>52</v>
      </c>
      <c r="N277" s="10">
        <v>20</v>
      </c>
      <c r="O277" s="11">
        <v>1000</v>
      </c>
      <c r="P277" s="10">
        <f>Q277/60</f>
        <v>490</v>
      </c>
      <c r="Q277" s="11">
        <v>29400</v>
      </c>
      <c r="R277" s="10">
        <v>0</v>
      </c>
      <c r="S277" s="11">
        <v>0</v>
      </c>
      <c r="T277" s="10">
        <v>0</v>
      </c>
      <c r="U277" s="11">
        <v>0</v>
      </c>
      <c r="V277" s="10">
        <v>0</v>
      </c>
      <c r="W277" s="11">
        <v>0</v>
      </c>
      <c r="X277" s="10">
        <f>Y277/60</f>
        <v>120</v>
      </c>
      <c r="Y277" s="11">
        <v>7200</v>
      </c>
      <c r="Z277" s="10">
        <v>0</v>
      </c>
      <c r="AA277" s="11">
        <v>0</v>
      </c>
      <c r="AB277" s="10">
        <v>0</v>
      </c>
      <c r="AC277" s="11">
        <v>0</v>
      </c>
      <c r="AD277" s="10">
        <v>0</v>
      </c>
      <c r="AE277" s="11">
        <v>0</v>
      </c>
      <c r="AF277" s="10">
        <f>AG277/50</f>
        <v>288</v>
      </c>
      <c r="AG277" s="11">
        <v>14400</v>
      </c>
      <c r="AH277" s="10">
        <f>AI277/50</f>
        <v>20</v>
      </c>
      <c r="AI277" s="11">
        <v>1000</v>
      </c>
      <c r="AJ277" s="10">
        <f>AK277/9</f>
        <v>8638.8888888888887</v>
      </c>
      <c r="AK277" s="13">
        <v>77750</v>
      </c>
      <c r="AL277" s="10">
        <f>AM277/9</f>
        <v>1388.8888888888889</v>
      </c>
      <c r="AM277" s="13">
        <v>12500</v>
      </c>
      <c r="AN277" s="10">
        <v>0</v>
      </c>
      <c r="AO277" s="11">
        <v>0</v>
      </c>
      <c r="AP277" s="10">
        <v>0</v>
      </c>
      <c r="AQ277" s="11">
        <v>0</v>
      </c>
      <c r="AR277" s="10">
        <v>0</v>
      </c>
      <c r="AS277" s="11">
        <v>0</v>
      </c>
      <c r="AT277" s="10">
        <v>0</v>
      </c>
      <c r="AU277" s="11">
        <v>0</v>
      </c>
      <c r="AV277" s="10">
        <v>0</v>
      </c>
      <c r="AW277" s="11">
        <v>0</v>
      </c>
      <c r="AX277" s="10">
        <v>0</v>
      </c>
      <c r="AY277" s="11">
        <v>0</v>
      </c>
      <c r="AZ277" s="10">
        <v>0</v>
      </c>
      <c r="BA277" s="11">
        <v>0</v>
      </c>
      <c r="BB277" s="10">
        <v>0</v>
      </c>
      <c r="BC277" s="11">
        <v>0</v>
      </c>
      <c r="BD277" s="10">
        <v>0</v>
      </c>
      <c r="BE277" s="11">
        <v>0</v>
      </c>
      <c r="BF277" s="10">
        <v>0</v>
      </c>
      <c r="BG277" s="11">
        <v>0</v>
      </c>
      <c r="BN277" s="8">
        <f t="shared" si="275"/>
        <v>9536.8888888888887</v>
      </c>
      <c r="BO277" s="8">
        <f t="shared" si="276"/>
        <v>128750</v>
      </c>
      <c r="BP277" s="8">
        <f t="shared" si="297"/>
        <v>1548.8888888888889</v>
      </c>
      <c r="BQ277" s="12">
        <f t="shared" si="298"/>
        <v>21700</v>
      </c>
    </row>
    <row r="278" spans="1:69">
      <c r="A278" s="28">
        <v>1999</v>
      </c>
      <c r="B278" s="27" t="s">
        <v>23</v>
      </c>
      <c r="C278" s="24">
        <f t="shared" si="237"/>
        <v>234</v>
      </c>
      <c r="D278" s="7" t="e">
        <f t="shared" ca="1" si="274"/>
        <v>#N/A</v>
      </c>
      <c r="E278" s="26">
        <f t="array" aca="1" ref="E278" ca="1">AVERAGE(IF(INDIRECT(DatCol&amp;"$"&amp;TEXT(C278,"###")):INDIRECT(DatCol&amp;"$"&amp;TEXT(C278+57,"###"))&gt;0,INDIRECT(DatCol&amp;"$"&amp;TEXT(C278,"###")):INDIRECT(DatCol&amp;"$"&amp;TEXT(C278+57,"###"))))</f>
        <v>118.72</v>
      </c>
      <c r="F278" s="26" t="str">
        <f t="shared" si="278"/>
        <v>I</v>
      </c>
      <c r="G278" s="9">
        <v>47</v>
      </c>
      <c r="H278" s="9">
        <v>12</v>
      </c>
      <c r="I278" s="9">
        <v>14</v>
      </c>
      <c r="J278" s="9">
        <v>141</v>
      </c>
      <c r="K278" s="9">
        <f t="shared" si="277"/>
        <v>200</v>
      </c>
      <c r="L278" s="10">
        <v>0</v>
      </c>
      <c r="M278" s="11">
        <v>0</v>
      </c>
      <c r="N278" s="10">
        <v>0</v>
      </c>
      <c r="O278" s="11">
        <v>0</v>
      </c>
      <c r="P278" s="10">
        <f>Q278/60</f>
        <v>270</v>
      </c>
      <c r="Q278" s="11">
        <v>16200</v>
      </c>
      <c r="R278" s="10">
        <v>0</v>
      </c>
      <c r="S278" s="11">
        <v>0</v>
      </c>
      <c r="T278" s="10">
        <v>0</v>
      </c>
      <c r="U278" s="11">
        <v>0</v>
      </c>
      <c r="V278" s="10">
        <v>0</v>
      </c>
      <c r="W278" s="11">
        <v>0</v>
      </c>
      <c r="X278" s="10">
        <f>Y278/60</f>
        <v>40</v>
      </c>
      <c r="Y278" s="11">
        <v>2400</v>
      </c>
      <c r="Z278" s="10">
        <v>0</v>
      </c>
      <c r="AA278" s="11">
        <v>0</v>
      </c>
      <c r="AB278" s="10">
        <v>0</v>
      </c>
      <c r="AC278" s="11">
        <v>0</v>
      </c>
      <c r="AD278" s="10">
        <v>0</v>
      </c>
      <c r="AE278" s="11">
        <v>0</v>
      </c>
      <c r="AF278" s="10">
        <f>AG278/50</f>
        <v>180</v>
      </c>
      <c r="AG278" s="11">
        <v>9000</v>
      </c>
      <c r="AH278" s="10">
        <f>AI278/50</f>
        <v>10</v>
      </c>
      <c r="AI278" s="11">
        <v>500</v>
      </c>
      <c r="AJ278" s="10">
        <v>0</v>
      </c>
      <c r="AK278" s="13">
        <v>0</v>
      </c>
      <c r="AL278" s="10">
        <v>0</v>
      </c>
      <c r="AM278" s="13">
        <v>0</v>
      </c>
      <c r="AN278" s="10">
        <v>0</v>
      </c>
      <c r="AO278" s="11">
        <v>0</v>
      </c>
      <c r="AP278" s="10">
        <v>0</v>
      </c>
      <c r="AQ278" s="11">
        <v>0</v>
      </c>
      <c r="AR278" s="10">
        <v>0</v>
      </c>
      <c r="AS278" s="11">
        <v>0</v>
      </c>
      <c r="AT278" s="10">
        <v>0</v>
      </c>
      <c r="AU278" s="11">
        <v>0</v>
      </c>
      <c r="AV278" s="10">
        <v>0</v>
      </c>
      <c r="AW278" s="11">
        <v>0</v>
      </c>
      <c r="AX278" s="10">
        <v>0</v>
      </c>
      <c r="AY278" s="11">
        <v>0</v>
      </c>
      <c r="AZ278" s="10">
        <v>0</v>
      </c>
      <c r="BA278" s="11">
        <v>0</v>
      </c>
      <c r="BB278" s="10">
        <v>0</v>
      </c>
      <c r="BC278" s="11">
        <v>0</v>
      </c>
      <c r="BD278" s="10">
        <v>0</v>
      </c>
      <c r="BE278" s="11">
        <v>0</v>
      </c>
      <c r="BF278" s="10">
        <v>0</v>
      </c>
      <c r="BG278" s="11">
        <v>0</v>
      </c>
      <c r="BN278" s="8">
        <f t="shared" si="275"/>
        <v>490</v>
      </c>
      <c r="BO278" s="8">
        <f t="shared" si="276"/>
        <v>27600</v>
      </c>
      <c r="BP278" s="8">
        <f t="shared" si="297"/>
        <v>50</v>
      </c>
      <c r="BQ278" s="12">
        <f t="shared" si="298"/>
        <v>2900</v>
      </c>
    </row>
    <row r="279" spans="1:69">
      <c r="A279" s="28">
        <v>2000</v>
      </c>
      <c r="B279" s="27" t="s">
        <v>23</v>
      </c>
      <c r="C279" s="24">
        <f t="shared" si="237"/>
        <v>234</v>
      </c>
      <c r="D279" s="7" t="e">
        <f t="shared" ca="1" si="274"/>
        <v>#N/A</v>
      </c>
      <c r="E279" s="26">
        <f t="array" aca="1" ref="E279" ca="1">AVERAGE(IF(INDIRECT(DatCol&amp;"$"&amp;TEXT(C279,"###")):INDIRECT(DatCol&amp;"$"&amp;TEXT(C279+57,"###"))&gt;0,INDIRECT(DatCol&amp;"$"&amp;TEXT(C279,"###")):INDIRECT(DatCol&amp;"$"&amp;TEXT(C279+57,"###"))))</f>
        <v>118.72</v>
      </c>
      <c r="F279" s="26" t="str">
        <f t="shared" si="278"/>
        <v>I</v>
      </c>
      <c r="G279" s="9" t="s">
        <v>64</v>
      </c>
      <c r="H279" s="9" t="s">
        <v>64</v>
      </c>
      <c r="I279" s="9" t="s">
        <v>64</v>
      </c>
      <c r="J279" s="9" t="s">
        <v>64</v>
      </c>
      <c r="K279" s="9">
        <f t="shared" si="277"/>
        <v>0</v>
      </c>
      <c r="L279" s="10">
        <v>0</v>
      </c>
      <c r="M279" s="11">
        <v>0</v>
      </c>
      <c r="N279" s="10">
        <v>0</v>
      </c>
      <c r="O279" s="11">
        <v>0</v>
      </c>
      <c r="P279" s="10">
        <f>Q279/75</f>
        <v>334.66666666666669</v>
      </c>
      <c r="Q279" s="11">
        <v>25100</v>
      </c>
      <c r="R279" s="10">
        <v>0</v>
      </c>
      <c r="S279" s="11">
        <v>0</v>
      </c>
      <c r="T279" s="10">
        <v>0</v>
      </c>
      <c r="U279" s="11">
        <v>0</v>
      </c>
      <c r="V279" s="10">
        <v>0</v>
      </c>
      <c r="W279" s="11">
        <v>0</v>
      </c>
      <c r="X279" s="10">
        <v>0</v>
      </c>
      <c r="Y279" s="11">
        <v>0</v>
      </c>
      <c r="Z279" s="10">
        <v>0</v>
      </c>
      <c r="AA279" s="11">
        <v>0</v>
      </c>
      <c r="AB279" s="10">
        <v>0</v>
      </c>
      <c r="AC279" s="11">
        <v>0</v>
      </c>
      <c r="AD279" s="10">
        <v>0</v>
      </c>
      <c r="AE279" s="11">
        <v>0</v>
      </c>
      <c r="AF279" s="10">
        <f>AG279/47.5</f>
        <v>985.26315789473688</v>
      </c>
      <c r="AG279" s="11">
        <v>46800</v>
      </c>
      <c r="AH279" s="10">
        <v>0</v>
      </c>
      <c r="AI279" s="11">
        <v>0</v>
      </c>
      <c r="AJ279" s="10">
        <v>0</v>
      </c>
      <c r="AK279" s="13">
        <v>0</v>
      </c>
      <c r="AL279" s="10">
        <v>0</v>
      </c>
      <c r="AM279" s="13">
        <v>0</v>
      </c>
      <c r="AN279" s="10">
        <v>0</v>
      </c>
      <c r="AO279" s="11">
        <v>0</v>
      </c>
      <c r="BN279" s="8">
        <f t="shared" si="275"/>
        <v>1319.9298245614036</v>
      </c>
      <c r="BO279" s="8">
        <f t="shared" si="276"/>
        <v>71900</v>
      </c>
      <c r="BP279" s="8">
        <f t="shared" si="297"/>
        <v>0</v>
      </c>
      <c r="BQ279" s="12">
        <f t="shared" si="298"/>
        <v>0</v>
      </c>
    </row>
    <row r="280" spans="1:69">
      <c r="A280" s="28">
        <v>2001</v>
      </c>
      <c r="B280" s="27" t="s">
        <v>23</v>
      </c>
      <c r="C280" s="24">
        <f t="shared" si="237"/>
        <v>234</v>
      </c>
      <c r="D280" s="7" t="e">
        <f t="shared" ca="1" si="274"/>
        <v>#N/A</v>
      </c>
      <c r="E280" s="26">
        <f t="array" aca="1" ref="E280" ca="1">AVERAGE(IF(INDIRECT(DatCol&amp;"$"&amp;TEXT(C280,"###")):INDIRECT(DatCol&amp;"$"&amp;TEXT(C280+57,"###"))&gt;0,INDIRECT(DatCol&amp;"$"&amp;TEXT(C280,"###")):INDIRECT(DatCol&amp;"$"&amp;TEXT(C280+57,"###"))))</f>
        <v>118.72</v>
      </c>
      <c r="F280" s="26" t="str">
        <f t="shared" si="278"/>
        <v>I</v>
      </c>
      <c r="G280" s="9" t="s">
        <v>64</v>
      </c>
      <c r="H280" s="9" t="s">
        <v>64</v>
      </c>
      <c r="I280" s="9" t="s">
        <v>64</v>
      </c>
      <c r="J280" s="9" t="s">
        <v>64</v>
      </c>
      <c r="K280" s="9">
        <f t="shared" si="277"/>
        <v>0</v>
      </c>
      <c r="L280" s="10">
        <v>0</v>
      </c>
      <c r="M280" s="11">
        <v>0</v>
      </c>
      <c r="N280" s="10">
        <v>0</v>
      </c>
      <c r="O280" s="11">
        <v>0</v>
      </c>
      <c r="P280" s="10">
        <v>100</v>
      </c>
      <c r="Q280" s="11">
        <f>P280*75</f>
        <v>7500</v>
      </c>
      <c r="R280" s="10">
        <v>0</v>
      </c>
      <c r="S280" s="11">
        <v>0</v>
      </c>
      <c r="T280" s="10">
        <v>0</v>
      </c>
      <c r="U280" s="11">
        <v>0</v>
      </c>
      <c r="V280" s="10">
        <v>0</v>
      </c>
      <c r="W280" s="11">
        <v>0</v>
      </c>
      <c r="X280" s="10">
        <v>100</v>
      </c>
      <c r="Y280" s="11">
        <f>X280*75</f>
        <v>7500</v>
      </c>
      <c r="Z280" s="10">
        <v>0</v>
      </c>
      <c r="AA280" s="11">
        <v>0</v>
      </c>
      <c r="AB280" s="10">
        <v>0</v>
      </c>
      <c r="AC280" s="11">
        <v>0</v>
      </c>
      <c r="AD280" s="10">
        <v>0</v>
      </c>
      <c r="AE280" s="11">
        <v>0</v>
      </c>
      <c r="AF280" s="10">
        <v>0</v>
      </c>
      <c r="AG280" s="11">
        <v>0</v>
      </c>
      <c r="AH280" s="10">
        <v>8</v>
      </c>
      <c r="AI280" s="11">
        <f>AH280*47.5</f>
        <v>380</v>
      </c>
      <c r="AJ280" s="10">
        <f>AK280/9</f>
        <v>2</v>
      </c>
      <c r="AK280" s="13">
        <v>18</v>
      </c>
      <c r="AL280" s="10">
        <v>0</v>
      </c>
      <c r="AM280" s="13">
        <v>0</v>
      </c>
      <c r="AN280" s="10">
        <v>0</v>
      </c>
      <c r="BN280" s="8">
        <f t="shared" si="275"/>
        <v>202</v>
      </c>
      <c r="BO280" s="8">
        <f t="shared" si="276"/>
        <v>15018</v>
      </c>
      <c r="BP280" s="8">
        <f t="shared" si="297"/>
        <v>108</v>
      </c>
      <c r="BQ280" s="12">
        <f t="shared" si="298"/>
        <v>7880</v>
      </c>
    </row>
    <row r="281" spans="1:69">
      <c r="A281" s="28">
        <v>2002</v>
      </c>
      <c r="B281" s="27" t="s">
        <v>23</v>
      </c>
      <c r="C281" s="24">
        <f t="shared" si="237"/>
        <v>234</v>
      </c>
      <c r="D281" s="7" t="e">
        <f t="shared" ca="1" si="274"/>
        <v>#N/A</v>
      </c>
      <c r="E281" s="26">
        <f t="array" aca="1" ref="E281" ca="1">AVERAGE(IF(INDIRECT(DatCol&amp;"$"&amp;TEXT(C281,"###")):INDIRECT(DatCol&amp;"$"&amp;TEXT(C281+57,"###"))&gt;0,INDIRECT(DatCol&amp;"$"&amp;TEXT(C281,"###")):INDIRECT(DatCol&amp;"$"&amp;TEXT(C281+57,"###"))))</f>
        <v>118.72</v>
      </c>
      <c r="F281" s="26" t="str">
        <f t="shared" si="278"/>
        <v>I</v>
      </c>
      <c r="G281" s="9">
        <v>0</v>
      </c>
      <c r="H281" s="9">
        <v>17</v>
      </c>
      <c r="I281" s="9">
        <v>20</v>
      </c>
      <c r="J281" s="9">
        <v>205</v>
      </c>
      <c r="K281" s="9">
        <f t="shared" si="277"/>
        <v>222</v>
      </c>
      <c r="L281" s="10">
        <v>0</v>
      </c>
      <c r="M281" s="11">
        <v>0</v>
      </c>
      <c r="N281" s="10">
        <v>0</v>
      </c>
      <c r="O281" s="11">
        <v>0</v>
      </c>
      <c r="P281" s="10">
        <f>Q281/75</f>
        <v>234.66666666666666</v>
      </c>
      <c r="Q281" s="11">
        <v>17600</v>
      </c>
      <c r="R281" s="10">
        <v>0</v>
      </c>
      <c r="S281" s="11">
        <v>0</v>
      </c>
      <c r="T281" s="10">
        <v>0</v>
      </c>
      <c r="U281" s="11">
        <v>0</v>
      </c>
      <c r="V281" s="10">
        <v>0</v>
      </c>
      <c r="W281" s="11">
        <v>0</v>
      </c>
      <c r="X281" s="10">
        <f>Y281/75</f>
        <v>149.33333333333334</v>
      </c>
      <c r="Y281" s="11">
        <v>11200</v>
      </c>
      <c r="Z281" s="10">
        <v>0</v>
      </c>
      <c r="AA281" s="11">
        <v>0</v>
      </c>
      <c r="AB281" s="10">
        <v>0</v>
      </c>
      <c r="AC281" s="11">
        <v>0</v>
      </c>
      <c r="AD281" s="10">
        <v>0</v>
      </c>
      <c r="AE281" s="11">
        <v>0</v>
      </c>
      <c r="AF281" s="10">
        <v>0</v>
      </c>
      <c r="AG281" s="11">
        <v>0</v>
      </c>
      <c r="AH281" s="10">
        <v>0</v>
      </c>
      <c r="AI281" s="11">
        <v>0</v>
      </c>
      <c r="AJ281" s="10">
        <f>AK281/9</f>
        <v>4166.666666666667</v>
      </c>
      <c r="AK281" s="11">
        <v>37500</v>
      </c>
      <c r="AL281" s="10">
        <f>AM281/9</f>
        <v>1666.6666666666667</v>
      </c>
      <c r="AM281" s="13">
        <v>15000</v>
      </c>
      <c r="AN281" s="10">
        <v>0</v>
      </c>
      <c r="AO281" s="11">
        <v>0</v>
      </c>
      <c r="AP281" s="10">
        <v>0</v>
      </c>
      <c r="AQ281" s="11">
        <v>0</v>
      </c>
      <c r="AR281" s="10">
        <v>0</v>
      </c>
      <c r="AS281" s="11">
        <v>0</v>
      </c>
      <c r="AT281" s="10">
        <v>0</v>
      </c>
      <c r="AU281" s="11">
        <v>0</v>
      </c>
      <c r="AV281" s="10">
        <v>0</v>
      </c>
      <c r="AW281" s="11">
        <v>0</v>
      </c>
      <c r="AX281" s="10">
        <v>0</v>
      </c>
      <c r="AY281" s="11">
        <v>0</v>
      </c>
      <c r="AZ281" s="10">
        <v>0</v>
      </c>
      <c r="BA281" s="11">
        <v>0</v>
      </c>
      <c r="BB281" s="10">
        <v>0</v>
      </c>
      <c r="BC281" s="11">
        <v>0</v>
      </c>
      <c r="BD281" s="10">
        <v>0</v>
      </c>
      <c r="BE281" s="11">
        <v>0</v>
      </c>
      <c r="BF281" s="10">
        <v>0</v>
      </c>
      <c r="BG281" s="11">
        <v>0</v>
      </c>
      <c r="BH281" s="11">
        <v>0</v>
      </c>
      <c r="BI281" s="11">
        <v>0</v>
      </c>
      <c r="BN281" s="8">
        <f t="shared" si="275"/>
        <v>4550.666666666667</v>
      </c>
      <c r="BO281" s="8">
        <f t="shared" si="276"/>
        <v>66300</v>
      </c>
      <c r="BP281" s="8">
        <f t="shared" si="297"/>
        <v>1816</v>
      </c>
      <c r="BQ281" s="12">
        <f t="shared" si="298"/>
        <v>26200</v>
      </c>
    </row>
    <row r="282" spans="1:69">
      <c r="A282" s="28">
        <v>2003</v>
      </c>
      <c r="B282" s="27" t="s">
        <v>23</v>
      </c>
      <c r="C282" s="24">
        <f t="shared" si="237"/>
        <v>234</v>
      </c>
      <c r="D282" s="7" t="e">
        <f t="shared" ca="1" si="274"/>
        <v>#N/A</v>
      </c>
      <c r="E282" s="26">
        <f t="array" aca="1" ref="E282" ca="1">AVERAGE(IF(INDIRECT(DatCol&amp;"$"&amp;TEXT(C282,"###")):INDIRECT(DatCol&amp;"$"&amp;TEXT(C282+57,"###"))&gt;0,INDIRECT(DatCol&amp;"$"&amp;TEXT(C282,"###")):INDIRECT(DatCol&amp;"$"&amp;TEXT(C282+57,"###"))))</f>
        <v>118.72</v>
      </c>
      <c r="F282" s="26" t="str">
        <f t="shared" si="278"/>
        <v>I</v>
      </c>
      <c r="I282" s="9">
        <v>8</v>
      </c>
      <c r="J282" s="9" t="s">
        <v>52</v>
      </c>
      <c r="K282" s="9">
        <f t="shared" si="277"/>
        <v>0</v>
      </c>
      <c r="L282" s="10">
        <v>0</v>
      </c>
      <c r="M282" s="11">
        <v>0</v>
      </c>
      <c r="N282" s="10">
        <v>0</v>
      </c>
      <c r="O282" s="11">
        <v>0</v>
      </c>
      <c r="P282" s="10">
        <v>230</v>
      </c>
      <c r="Q282" s="11">
        <f>P282*75</f>
        <v>17250</v>
      </c>
      <c r="R282" s="10">
        <v>0</v>
      </c>
      <c r="S282" s="11">
        <v>0</v>
      </c>
      <c r="T282" s="10">
        <v>0</v>
      </c>
      <c r="U282" s="11">
        <v>0</v>
      </c>
      <c r="V282" s="10">
        <v>0</v>
      </c>
      <c r="W282" s="11">
        <v>0</v>
      </c>
      <c r="X282" s="10">
        <v>440</v>
      </c>
      <c r="Y282" s="11">
        <f>X282*75</f>
        <v>33000</v>
      </c>
      <c r="Z282" s="10">
        <v>0</v>
      </c>
      <c r="AA282" s="11">
        <v>0</v>
      </c>
      <c r="AB282" s="10">
        <v>0</v>
      </c>
      <c r="AC282" s="11">
        <v>0</v>
      </c>
      <c r="AD282" s="10">
        <v>0</v>
      </c>
      <c r="AE282" s="11">
        <v>0</v>
      </c>
      <c r="AF282" s="10">
        <v>120</v>
      </c>
      <c r="AG282" s="11">
        <f>AF282*47.5</f>
        <v>5700</v>
      </c>
      <c r="AH282" s="10">
        <v>10</v>
      </c>
      <c r="AI282" s="11">
        <v>475</v>
      </c>
      <c r="AJ282" s="10">
        <v>8</v>
      </c>
      <c r="AK282" s="11">
        <f>AJ282*9</f>
        <v>72</v>
      </c>
      <c r="AL282" s="10">
        <v>1</v>
      </c>
      <c r="AM282" s="13">
        <v>9</v>
      </c>
      <c r="BN282" s="8">
        <f t="shared" si="275"/>
        <v>798</v>
      </c>
      <c r="BO282" s="8">
        <f t="shared" si="276"/>
        <v>56022</v>
      </c>
      <c r="BP282" s="8">
        <f t="shared" si="297"/>
        <v>451</v>
      </c>
      <c r="BQ282" s="12">
        <f t="shared" si="298"/>
        <v>33484</v>
      </c>
    </row>
    <row r="283" spans="1:69">
      <c r="A283" s="28">
        <v>2004</v>
      </c>
      <c r="B283" s="27" t="s">
        <v>23</v>
      </c>
      <c r="C283" s="24">
        <f t="shared" si="237"/>
        <v>234</v>
      </c>
      <c r="D283" s="7" t="e">
        <f t="shared" ca="1" si="274"/>
        <v>#N/A</v>
      </c>
      <c r="E283" s="26">
        <f t="array" aca="1" ref="E283" ca="1">AVERAGE(IF(INDIRECT(DatCol&amp;"$"&amp;TEXT(C283,"###")):INDIRECT(DatCol&amp;"$"&amp;TEXT(C283+57,"###"))&gt;0,INDIRECT(DatCol&amp;"$"&amp;TEXT(C283,"###")):INDIRECT(DatCol&amp;"$"&amp;TEXT(C283+57,"###"))))</f>
        <v>118.72</v>
      </c>
      <c r="F283" s="26" t="str">
        <f t="shared" si="278"/>
        <v>I</v>
      </c>
      <c r="I283" s="9">
        <v>3</v>
      </c>
      <c r="J283" s="9" t="s">
        <v>52</v>
      </c>
      <c r="K283" s="9">
        <f t="shared" si="277"/>
        <v>0</v>
      </c>
      <c r="L283" s="10">
        <v>0</v>
      </c>
      <c r="M283" s="11">
        <v>0</v>
      </c>
      <c r="N283" s="10">
        <v>0</v>
      </c>
      <c r="O283" s="11">
        <v>0</v>
      </c>
      <c r="P283" s="10">
        <v>160</v>
      </c>
      <c r="Q283" s="11">
        <f>P283*75</f>
        <v>12000</v>
      </c>
      <c r="R283" s="10">
        <v>0</v>
      </c>
      <c r="S283" s="11">
        <v>0</v>
      </c>
      <c r="T283" s="10">
        <v>0</v>
      </c>
      <c r="U283" s="11">
        <v>0</v>
      </c>
      <c r="V283" s="10">
        <v>0</v>
      </c>
      <c r="W283" s="11">
        <v>0</v>
      </c>
      <c r="X283" s="10">
        <v>110</v>
      </c>
      <c r="Y283" s="11">
        <f>X283*75</f>
        <v>8250</v>
      </c>
      <c r="Z283" s="10">
        <v>0</v>
      </c>
      <c r="AA283" s="11">
        <v>0</v>
      </c>
      <c r="AB283" s="10">
        <v>0</v>
      </c>
      <c r="AC283" s="11">
        <v>0</v>
      </c>
      <c r="AD283" s="10">
        <v>0</v>
      </c>
      <c r="AE283" s="11">
        <v>0</v>
      </c>
      <c r="AF283" s="10">
        <v>400</v>
      </c>
      <c r="AG283" s="11">
        <f>AF283*47.5</f>
        <v>19000</v>
      </c>
      <c r="AH283" s="10">
        <v>10</v>
      </c>
      <c r="AI283" s="11">
        <v>475</v>
      </c>
      <c r="AJ283" s="10">
        <v>30</v>
      </c>
      <c r="AK283" s="11">
        <f>AJ283*9</f>
        <v>270</v>
      </c>
      <c r="AL283" s="10">
        <v>2</v>
      </c>
      <c r="AM283" s="13">
        <v>18</v>
      </c>
      <c r="BN283" s="8">
        <f t="shared" si="275"/>
        <v>700</v>
      </c>
      <c r="BO283" s="8">
        <f t="shared" si="276"/>
        <v>39520</v>
      </c>
      <c r="BP283" s="8">
        <f t="shared" si="297"/>
        <v>122</v>
      </c>
      <c r="BQ283" s="12">
        <f t="shared" si="298"/>
        <v>8743</v>
      </c>
    </row>
    <row r="284" spans="1:69">
      <c r="A284" s="28">
        <v>2005</v>
      </c>
      <c r="B284" s="27" t="s">
        <v>23</v>
      </c>
      <c r="C284" s="24">
        <f t="shared" si="237"/>
        <v>234</v>
      </c>
      <c r="D284" s="7" t="e">
        <f t="shared" ca="1" si="274"/>
        <v>#N/A</v>
      </c>
      <c r="E284" s="26">
        <f t="array" aca="1" ref="E284" ca="1">AVERAGE(IF(INDIRECT(DatCol&amp;"$"&amp;TEXT(C284,"###")):INDIRECT(DatCol&amp;"$"&amp;TEXT(C284+57,"###"))&gt;0,INDIRECT(DatCol&amp;"$"&amp;TEXT(C284,"###")):INDIRECT(DatCol&amp;"$"&amp;TEXT(C284+57,"###"))))</f>
        <v>118.72</v>
      </c>
      <c r="F284" s="26" t="str">
        <f t="shared" si="278"/>
        <v>I</v>
      </c>
      <c r="H284" s="9">
        <v>2</v>
      </c>
      <c r="I284" s="9">
        <v>15</v>
      </c>
      <c r="J284" s="9">
        <v>38</v>
      </c>
      <c r="K284" s="9">
        <f t="shared" si="277"/>
        <v>40</v>
      </c>
      <c r="L284" s="10">
        <v>0</v>
      </c>
      <c r="M284" s="11">
        <v>0</v>
      </c>
      <c r="N284" s="10">
        <v>0</v>
      </c>
      <c r="O284" s="11">
        <v>0</v>
      </c>
      <c r="P284" s="10">
        <f>Q284/75</f>
        <v>57.6</v>
      </c>
      <c r="Q284" s="11">
        <v>4320</v>
      </c>
      <c r="R284" s="10">
        <v>0</v>
      </c>
      <c r="S284" s="11">
        <v>0</v>
      </c>
      <c r="T284" s="10">
        <v>0</v>
      </c>
      <c r="U284" s="11">
        <v>0</v>
      </c>
      <c r="V284" s="10">
        <v>0</v>
      </c>
      <c r="W284" s="11">
        <v>0</v>
      </c>
      <c r="X284" s="10">
        <f>Y284/75</f>
        <v>128</v>
      </c>
      <c r="Y284" s="11">
        <v>9600</v>
      </c>
      <c r="Z284" s="10">
        <v>0</v>
      </c>
      <c r="AA284" s="11">
        <v>0</v>
      </c>
      <c r="AB284" s="10">
        <v>0</v>
      </c>
      <c r="AC284" s="11">
        <v>0</v>
      </c>
      <c r="AD284" s="10">
        <v>0</v>
      </c>
      <c r="AE284" s="11">
        <v>0</v>
      </c>
      <c r="AF284" s="10">
        <v>0</v>
      </c>
      <c r="AG284" s="11">
        <v>0</v>
      </c>
      <c r="AH284" s="10">
        <v>0</v>
      </c>
      <c r="AI284" s="11">
        <v>0</v>
      </c>
      <c r="AJ284" s="10">
        <f>AK284/9</f>
        <v>568.88888888888891</v>
      </c>
      <c r="AK284" s="11">
        <v>5120</v>
      </c>
      <c r="AL284" s="10">
        <f>AM284/9</f>
        <v>88.888888888888886</v>
      </c>
      <c r="AM284" s="13">
        <v>800</v>
      </c>
      <c r="AN284" s="10">
        <v>0</v>
      </c>
      <c r="AO284" s="11">
        <v>0</v>
      </c>
      <c r="AP284" s="10">
        <v>0</v>
      </c>
      <c r="AQ284" s="11">
        <v>0</v>
      </c>
      <c r="AR284" s="10">
        <v>0</v>
      </c>
      <c r="AS284" s="11">
        <v>0</v>
      </c>
      <c r="AT284" s="10">
        <v>0</v>
      </c>
      <c r="AU284" s="11">
        <v>0</v>
      </c>
      <c r="AV284" s="10">
        <v>0</v>
      </c>
      <c r="AW284" s="11">
        <v>0</v>
      </c>
      <c r="AX284" s="10">
        <v>0</v>
      </c>
      <c r="AY284" s="11">
        <v>0</v>
      </c>
      <c r="AZ284" s="10">
        <v>0</v>
      </c>
      <c r="BA284" s="11">
        <v>0</v>
      </c>
      <c r="BC284" s="11">
        <v>0</v>
      </c>
      <c r="BD284" s="10">
        <v>0</v>
      </c>
      <c r="BE284" s="11">
        <v>0</v>
      </c>
      <c r="BG284" s="11">
        <v>0</v>
      </c>
      <c r="BN284" s="8">
        <f t="shared" si="275"/>
        <v>754.48888888888894</v>
      </c>
      <c r="BO284" s="8">
        <f t="shared" si="276"/>
        <v>19040</v>
      </c>
      <c r="BP284" s="8">
        <f t="shared" si="297"/>
        <v>216.88888888888889</v>
      </c>
      <c r="BQ284" s="12">
        <f t="shared" si="298"/>
        <v>10400</v>
      </c>
    </row>
    <row r="285" spans="1:69">
      <c r="A285" s="28">
        <v>2006</v>
      </c>
      <c r="B285" s="27" t="s">
        <v>23</v>
      </c>
      <c r="C285" s="24">
        <f t="shared" si="237"/>
        <v>234</v>
      </c>
      <c r="D285" s="7" t="e">
        <f t="shared" ca="1" si="274"/>
        <v>#N/A</v>
      </c>
      <c r="E285" s="26">
        <f t="array" aca="1" ref="E285" ca="1">AVERAGE(IF(INDIRECT(DatCol&amp;"$"&amp;TEXT(C285,"###")):INDIRECT(DatCol&amp;"$"&amp;TEXT(C285+57,"###"))&gt;0,INDIRECT(DatCol&amp;"$"&amp;TEXT(C285,"###")):INDIRECT(DatCol&amp;"$"&amp;TEXT(C285+57,"###"))))</f>
        <v>118.72</v>
      </c>
      <c r="F285" s="26" t="str">
        <f t="shared" si="278"/>
        <v>I</v>
      </c>
      <c r="K285" s="9">
        <f t="shared" si="277"/>
        <v>0</v>
      </c>
      <c r="AM285" s="13"/>
      <c r="BN285" s="8">
        <f t="shared" si="275"/>
        <v>0</v>
      </c>
      <c r="BO285" s="8">
        <f t="shared" si="276"/>
        <v>0</v>
      </c>
      <c r="BP285" s="8">
        <f t="shared" si="297"/>
        <v>0</v>
      </c>
      <c r="BQ285" s="12">
        <f t="shared" si="298"/>
        <v>0</v>
      </c>
    </row>
    <row r="286" spans="1:69">
      <c r="A286" s="28">
        <v>2007</v>
      </c>
      <c r="B286" s="27" t="s">
        <v>23</v>
      </c>
      <c r="C286" s="24">
        <f t="shared" si="237"/>
        <v>234</v>
      </c>
      <c r="D286" s="7" t="e">
        <f t="shared" ca="1" si="274"/>
        <v>#N/A</v>
      </c>
      <c r="E286" s="26">
        <f t="array" aca="1" ref="E286" ca="1">AVERAGE(IF(INDIRECT(DatCol&amp;"$"&amp;TEXT(C286,"###")):INDIRECT(DatCol&amp;"$"&amp;TEXT(C286+57,"###"))&gt;0,INDIRECT(DatCol&amp;"$"&amp;TEXT(C286,"###")):INDIRECT(DatCol&amp;"$"&amp;TEXT(C286+57,"###"))))</f>
        <v>118.72</v>
      </c>
      <c r="F286" s="26" t="str">
        <f t="shared" si="278"/>
        <v>I</v>
      </c>
      <c r="K286" s="9">
        <f t="shared" si="277"/>
        <v>0</v>
      </c>
      <c r="AM286" s="13"/>
      <c r="BN286" s="8">
        <f t="shared" si="275"/>
        <v>0</v>
      </c>
      <c r="BO286" s="8">
        <f t="shared" si="276"/>
        <v>0</v>
      </c>
      <c r="BP286" s="8">
        <f t="shared" si="297"/>
        <v>0</v>
      </c>
      <c r="BQ286" s="12">
        <f t="shared" si="298"/>
        <v>0</v>
      </c>
    </row>
    <row r="287" spans="1:69">
      <c r="A287" s="28">
        <v>2008</v>
      </c>
      <c r="B287" s="27" t="s">
        <v>23</v>
      </c>
      <c r="C287" s="24">
        <f t="shared" si="237"/>
        <v>234</v>
      </c>
      <c r="D287" s="7" t="e">
        <f t="shared" ca="1" si="274"/>
        <v>#N/A</v>
      </c>
      <c r="E287" s="26">
        <f t="array" aca="1" ref="E287" ca="1">AVERAGE(IF(INDIRECT(DatCol&amp;"$"&amp;TEXT(C287,"###")):INDIRECT(DatCol&amp;"$"&amp;TEXT(C287+57,"###"))&gt;0,INDIRECT(DatCol&amp;"$"&amp;TEXT(C287,"###")):INDIRECT(DatCol&amp;"$"&amp;TEXT(C287+57,"###"))))</f>
        <v>118.72</v>
      </c>
      <c r="F287" s="26" t="str">
        <f t="shared" si="278"/>
        <v>I</v>
      </c>
      <c r="K287" s="9">
        <f t="shared" si="277"/>
        <v>0</v>
      </c>
      <c r="AM287" s="13"/>
      <c r="BN287" s="8">
        <f t="shared" si="275"/>
        <v>0</v>
      </c>
      <c r="BO287" s="8">
        <f t="shared" si="276"/>
        <v>0</v>
      </c>
      <c r="BP287" s="8">
        <f t="shared" si="297"/>
        <v>0</v>
      </c>
      <c r="BQ287" s="12">
        <f t="shared" si="298"/>
        <v>0</v>
      </c>
    </row>
    <row r="288" spans="1:69">
      <c r="A288" s="28">
        <v>2009</v>
      </c>
      <c r="B288" s="27" t="s">
        <v>23</v>
      </c>
      <c r="C288" s="24">
        <f t="shared" si="237"/>
        <v>234</v>
      </c>
      <c r="D288" s="7" t="e">
        <f t="shared" ca="1" si="274"/>
        <v>#N/A</v>
      </c>
      <c r="E288" s="26">
        <f t="array" aca="1" ref="E288" ca="1">AVERAGE(IF(INDIRECT(DatCol&amp;"$"&amp;TEXT(C288,"###")):INDIRECT(DatCol&amp;"$"&amp;TEXT(C288+57,"###"))&gt;0,INDIRECT(DatCol&amp;"$"&amp;TEXT(C288,"###")):INDIRECT(DatCol&amp;"$"&amp;TEXT(C288+57,"###"))))</f>
        <v>118.72</v>
      </c>
      <c r="F288" s="26" t="str">
        <f t="shared" si="278"/>
        <v>I</v>
      </c>
      <c r="H288" s="9">
        <v>18</v>
      </c>
      <c r="I288" s="9">
        <v>28</v>
      </c>
      <c r="J288" s="9">
        <v>229</v>
      </c>
      <c r="K288" s="9">
        <f t="shared" si="277"/>
        <v>247</v>
      </c>
      <c r="L288" s="10">
        <f>M288/50</f>
        <v>280</v>
      </c>
      <c r="M288" s="11">
        <v>14000</v>
      </c>
      <c r="N288" s="10">
        <f>O288/50</f>
        <v>12</v>
      </c>
      <c r="O288" s="11">
        <v>600</v>
      </c>
      <c r="P288" s="10">
        <f>Q288/75</f>
        <v>24</v>
      </c>
      <c r="Q288" s="11">
        <v>1800</v>
      </c>
      <c r="R288" s="10">
        <v>0</v>
      </c>
      <c r="S288" s="11">
        <v>0</v>
      </c>
      <c r="T288" s="10">
        <v>0</v>
      </c>
      <c r="U288" s="11">
        <v>0</v>
      </c>
      <c r="V288" s="10">
        <v>0</v>
      </c>
      <c r="W288" s="11">
        <v>0</v>
      </c>
      <c r="X288" s="10">
        <f>Y288/75</f>
        <v>46.4</v>
      </c>
      <c r="Y288" s="11">
        <v>3480</v>
      </c>
      <c r="Z288" s="10">
        <v>0</v>
      </c>
      <c r="AA288" s="11">
        <v>0</v>
      </c>
      <c r="AB288" s="10">
        <v>0</v>
      </c>
      <c r="AC288" s="11">
        <v>0</v>
      </c>
      <c r="AD288" s="10">
        <v>0</v>
      </c>
      <c r="AE288" s="11">
        <v>0</v>
      </c>
      <c r="AF288" s="10">
        <f>AG288/47.5</f>
        <v>29.05263157894737</v>
      </c>
      <c r="AG288" s="11">
        <v>1380</v>
      </c>
      <c r="AH288" s="10">
        <f>AI288/47.5</f>
        <v>15.157894736842104</v>
      </c>
      <c r="AI288" s="11">
        <v>720</v>
      </c>
      <c r="AJ288" s="10">
        <f>AK288/9</f>
        <v>407.11111111111109</v>
      </c>
      <c r="AK288" s="13">
        <v>3664</v>
      </c>
      <c r="AL288" s="10">
        <f>AM288/9</f>
        <v>35.555555555555557</v>
      </c>
      <c r="AM288" s="13">
        <v>320</v>
      </c>
      <c r="AN288" s="10">
        <v>0</v>
      </c>
      <c r="AO288" s="11">
        <v>0</v>
      </c>
      <c r="AP288" s="10">
        <v>0</v>
      </c>
      <c r="AQ288" s="11">
        <v>0</v>
      </c>
      <c r="AR288" s="10">
        <f>AS288/55</f>
        <v>2290.909090909091</v>
      </c>
      <c r="AS288" s="11">
        <v>126000</v>
      </c>
      <c r="AT288" s="10">
        <f>AU288/55</f>
        <v>27.272727272727273</v>
      </c>
      <c r="AU288" s="11">
        <v>1500</v>
      </c>
      <c r="AV288" s="10">
        <v>0</v>
      </c>
      <c r="AW288" s="11">
        <v>0</v>
      </c>
      <c r="AX288" s="10">
        <v>0</v>
      </c>
      <c r="AY288" s="11">
        <v>0</v>
      </c>
      <c r="AZ288" s="10">
        <v>0</v>
      </c>
      <c r="BA288" s="11">
        <v>0</v>
      </c>
      <c r="BB288" s="10">
        <v>0</v>
      </c>
      <c r="BC288" s="11">
        <v>0</v>
      </c>
      <c r="BN288" s="8">
        <f t="shared" si="275"/>
        <v>3077.4728335991495</v>
      </c>
      <c r="BO288" s="8">
        <f t="shared" si="276"/>
        <v>150324</v>
      </c>
      <c r="BP288" s="8">
        <f t="shared" si="297"/>
        <v>136.38617756512494</v>
      </c>
      <c r="BQ288" s="12">
        <f t="shared" si="298"/>
        <v>6620</v>
      </c>
    </row>
    <row r="289" spans="1:69">
      <c r="A289" s="28">
        <v>2010</v>
      </c>
      <c r="B289" s="27" t="s">
        <v>23</v>
      </c>
      <c r="C289" s="24">
        <f t="shared" si="237"/>
        <v>234</v>
      </c>
      <c r="D289" s="7" t="e">
        <f t="shared" ca="1" si="274"/>
        <v>#N/A</v>
      </c>
      <c r="E289" s="26">
        <f t="array" aca="1" ref="E289" ca="1">AVERAGE(IF(INDIRECT(DatCol&amp;"$"&amp;TEXT(C289,"###")):INDIRECT(DatCol&amp;"$"&amp;TEXT(C289+57,"###"))&gt;0,INDIRECT(DatCol&amp;"$"&amp;TEXT(C289,"###")):INDIRECT(DatCol&amp;"$"&amp;TEXT(C289+57,"###"))))</f>
        <v>118.72</v>
      </c>
      <c r="F289" s="26" t="str">
        <f t="shared" ref="F289:F291" si="299">VLOOKUP(B289,town_region,2,FALSE)</f>
        <v>I</v>
      </c>
      <c r="AK289" s="13"/>
      <c r="AM289" s="13"/>
      <c r="BN289" s="8"/>
      <c r="BO289" s="8"/>
      <c r="BP289" s="8"/>
      <c r="BQ289" s="12"/>
    </row>
    <row r="290" spans="1:69">
      <c r="A290" s="28">
        <v>2011</v>
      </c>
      <c r="B290" s="27" t="s">
        <v>23</v>
      </c>
      <c r="C290" s="24">
        <f t="shared" si="237"/>
        <v>234</v>
      </c>
      <c r="D290" s="7" t="e">
        <f t="shared" ca="1" si="274"/>
        <v>#N/A</v>
      </c>
      <c r="E290" s="26">
        <f t="array" aca="1" ref="E290" ca="1">AVERAGE(IF(INDIRECT(DatCol&amp;"$"&amp;TEXT(C290,"###")):INDIRECT(DatCol&amp;"$"&amp;TEXT(C290+57,"###"))&gt;0,INDIRECT(DatCol&amp;"$"&amp;TEXT(C290,"###")):INDIRECT(DatCol&amp;"$"&amp;TEXT(C290+57,"###"))))</f>
        <v>118.72</v>
      </c>
      <c r="F290" s="26" t="str">
        <f t="shared" si="299"/>
        <v>I</v>
      </c>
      <c r="AK290" s="13"/>
      <c r="AM290" s="13"/>
      <c r="BN290" s="8"/>
      <c r="BO290" s="8"/>
      <c r="BP290" s="8"/>
      <c r="BQ290" s="12"/>
    </row>
    <row r="291" spans="1:69">
      <c r="A291" s="28">
        <v>2012</v>
      </c>
      <c r="B291" s="27" t="s">
        <v>23</v>
      </c>
      <c r="C291" s="24">
        <f t="shared" si="237"/>
        <v>234</v>
      </c>
      <c r="D291" s="7" t="e">
        <f t="shared" ca="1" si="274"/>
        <v>#N/A</v>
      </c>
      <c r="E291" s="26">
        <f t="array" aca="1" ref="E291" ca="1">AVERAGE(IF(INDIRECT(DatCol&amp;"$"&amp;TEXT(C291,"###")):INDIRECT(DatCol&amp;"$"&amp;TEXT(C291+57,"###"))&gt;0,INDIRECT(DatCol&amp;"$"&amp;TEXT(C291,"###")):INDIRECT(DatCol&amp;"$"&amp;TEXT(C291+57,"###"))))</f>
        <v>118.72</v>
      </c>
      <c r="F291" s="26" t="str">
        <f t="shared" si="299"/>
        <v>I</v>
      </c>
      <c r="AK291" s="13"/>
      <c r="AM291" s="13"/>
      <c r="BN291" s="8"/>
      <c r="BO291" s="8"/>
      <c r="BP291" s="8"/>
      <c r="BQ291" s="12"/>
    </row>
    <row r="292" spans="1:69">
      <c r="A292" s="28">
        <v>1955</v>
      </c>
      <c r="B292" s="27" t="s">
        <v>25</v>
      </c>
      <c r="C292" s="24">
        <f>ROW()</f>
        <v>292</v>
      </c>
      <c r="D292" s="7" t="e">
        <f t="shared" ca="1" si="274"/>
        <v>#N/A</v>
      </c>
      <c r="E292" s="26">
        <f t="array" aca="1" ref="E292" ca="1">AVERAGE(IF(INDIRECT(DatCol&amp;"$"&amp;TEXT(C292,"###")):INDIRECT(DatCol&amp;"$"&amp;TEXT(C292+57,"###"))&gt;0,INDIRECT(DatCol&amp;"$"&amp;TEXT(C292,"###")):INDIRECT(DatCol&amp;"$"&amp;TEXT(C292+57,"###"))))</f>
        <v>263.125</v>
      </c>
      <c r="F292" s="26" t="str">
        <f t="shared" si="278"/>
        <v>S</v>
      </c>
      <c r="G292" s="8">
        <f t="array" ref="G292">AVERAGE(IF(I292:I346,I292:I346))</f>
        <v>3</v>
      </c>
      <c r="K292" s="9">
        <f t="shared" si="277"/>
        <v>3</v>
      </c>
      <c r="M292" s="11">
        <f t="shared" si="279"/>
        <v>0</v>
      </c>
      <c r="O292" s="11">
        <f t="shared" si="280"/>
        <v>0</v>
      </c>
      <c r="Q292" s="11">
        <f t="shared" si="281"/>
        <v>0</v>
      </c>
      <c r="Y292" s="11">
        <f t="shared" si="282"/>
        <v>0</v>
      </c>
      <c r="AG292" s="11">
        <f t="shared" si="283"/>
        <v>0</v>
      </c>
      <c r="AI292" s="11">
        <f t="shared" si="284"/>
        <v>0</v>
      </c>
      <c r="AK292" s="13">
        <f t="shared" si="285"/>
        <v>0</v>
      </c>
      <c r="AM292" s="13">
        <f t="shared" si="286"/>
        <v>0</v>
      </c>
      <c r="AO292" s="11">
        <f t="shared" si="287"/>
        <v>0</v>
      </c>
      <c r="AQ292" s="11">
        <f t="shared" si="288"/>
        <v>0</v>
      </c>
      <c r="AS292" s="11">
        <f t="shared" si="289"/>
        <v>0</v>
      </c>
      <c r="AU292" s="11">
        <f t="shared" si="290"/>
        <v>0</v>
      </c>
      <c r="AW292" s="11">
        <f t="shared" si="291"/>
        <v>0</v>
      </c>
      <c r="AY292" s="11">
        <f t="shared" si="292"/>
        <v>0</v>
      </c>
      <c r="BA292" s="11">
        <f t="shared" si="293"/>
        <v>0</v>
      </c>
      <c r="BC292" s="11">
        <f t="shared" si="294"/>
        <v>0</v>
      </c>
      <c r="BE292" s="11">
        <f t="shared" si="295"/>
        <v>0</v>
      </c>
      <c r="BG292" s="11">
        <f t="shared" si="296"/>
        <v>0</v>
      </c>
      <c r="BN292" s="8">
        <f t="shared" si="275"/>
        <v>0</v>
      </c>
      <c r="BO292" s="8">
        <f t="shared" si="276"/>
        <v>0</v>
      </c>
      <c r="BP292" s="8">
        <f t="shared" si="297"/>
        <v>0</v>
      </c>
      <c r="BQ292" s="12">
        <f t="shared" si="298"/>
        <v>0</v>
      </c>
    </row>
    <row r="293" spans="1:69">
      <c r="A293" s="28">
        <v>1956</v>
      </c>
      <c r="B293" s="27" t="s">
        <v>25</v>
      </c>
      <c r="C293" s="24">
        <f t="shared" ref="C293:C349" si="300">C292</f>
        <v>292</v>
      </c>
      <c r="D293" s="7" t="e">
        <f t="shared" ca="1" si="274"/>
        <v>#N/A</v>
      </c>
      <c r="E293" s="26">
        <f t="array" aca="1" ref="E293" ca="1">AVERAGE(IF(INDIRECT(DatCol&amp;"$"&amp;TEXT(C293,"###")):INDIRECT(DatCol&amp;"$"&amp;TEXT(C293+57,"###"))&gt;0,INDIRECT(DatCol&amp;"$"&amp;TEXT(C293,"###")):INDIRECT(DatCol&amp;"$"&amp;TEXT(C293+57,"###"))))</f>
        <v>263.125</v>
      </c>
      <c r="F293" s="26" t="str">
        <f t="shared" si="278"/>
        <v>S</v>
      </c>
      <c r="G293" s="8"/>
      <c r="K293" s="9">
        <f t="shared" si="277"/>
        <v>0</v>
      </c>
      <c r="M293" s="11">
        <f t="shared" si="279"/>
        <v>0</v>
      </c>
      <c r="O293" s="11">
        <f t="shared" si="280"/>
        <v>0</v>
      </c>
      <c r="Q293" s="11">
        <f t="shared" si="281"/>
        <v>0</v>
      </c>
      <c r="Y293" s="11">
        <f t="shared" si="282"/>
        <v>0</v>
      </c>
      <c r="AG293" s="11">
        <f t="shared" si="283"/>
        <v>0</v>
      </c>
      <c r="AI293" s="11">
        <f t="shared" si="284"/>
        <v>0</v>
      </c>
      <c r="AK293" s="13">
        <f t="shared" si="285"/>
        <v>0</v>
      </c>
      <c r="AM293" s="13">
        <f t="shared" si="286"/>
        <v>0</v>
      </c>
      <c r="AO293" s="11">
        <f t="shared" si="287"/>
        <v>0</v>
      </c>
      <c r="AQ293" s="11">
        <f t="shared" si="288"/>
        <v>0</v>
      </c>
      <c r="AS293" s="11">
        <f t="shared" si="289"/>
        <v>0</v>
      </c>
      <c r="AU293" s="11">
        <f t="shared" si="290"/>
        <v>0</v>
      </c>
      <c r="AW293" s="11">
        <f t="shared" si="291"/>
        <v>0</v>
      </c>
      <c r="AY293" s="11">
        <f t="shared" si="292"/>
        <v>0</v>
      </c>
      <c r="BA293" s="11">
        <f t="shared" si="293"/>
        <v>0</v>
      </c>
      <c r="BC293" s="11">
        <f t="shared" si="294"/>
        <v>0</v>
      </c>
      <c r="BE293" s="11">
        <f t="shared" si="295"/>
        <v>0</v>
      </c>
      <c r="BG293" s="11">
        <f t="shared" si="296"/>
        <v>0</v>
      </c>
      <c r="BN293" s="8">
        <f t="shared" si="275"/>
        <v>0</v>
      </c>
      <c r="BO293" s="8">
        <f t="shared" si="276"/>
        <v>0</v>
      </c>
      <c r="BP293" s="8">
        <f t="shared" si="297"/>
        <v>0</v>
      </c>
      <c r="BQ293" s="12">
        <f t="shared" si="298"/>
        <v>0</v>
      </c>
    </row>
    <row r="294" spans="1:69">
      <c r="A294" s="28">
        <v>1957</v>
      </c>
      <c r="B294" s="27" t="s">
        <v>25</v>
      </c>
      <c r="C294" s="24">
        <f t="shared" si="300"/>
        <v>292</v>
      </c>
      <c r="D294" s="7" t="e">
        <f t="shared" ca="1" si="274"/>
        <v>#N/A</v>
      </c>
      <c r="E294" s="26">
        <f t="array" aca="1" ref="E294" ca="1">AVERAGE(IF(INDIRECT(DatCol&amp;"$"&amp;TEXT(C294,"###")):INDIRECT(DatCol&amp;"$"&amp;TEXT(C294+57,"###"))&gt;0,INDIRECT(DatCol&amp;"$"&amp;TEXT(C294,"###")):INDIRECT(DatCol&amp;"$"&amp;TEXT(C294+57,"###"))))</f>
        <v>263.125</v>
      </c>
      <c r="F294" s="26" t="str">
        <f t="shared" si="278"/>
        <v>S</v>
      </c>
      <c r="G294" s="8"/>
      <c r="K294" s="9">
        <f t="shared" si="277"/>
        <v>0</v>
      </c>
      <c r="M294" s="11">
        <f t="shared" si="279"/>
        <v>0</v>
      </c>
      <c r="O294" s="11">
        <f t="shared" si="280"/>
        <v>0</v>
      </c>
      <c r="Q294" s="11">
        <f t="shared" si="281"/>
        <v>0</v>
      </c>
      <c r="Y294" s="11">
        <f t="shared" si="282"/>
        <v>0</v>
      </c>
      <c r="AG294" s="11">
        <f t="shared" si="283"/>
        <v>0</v>
      </c>
      <c r="AI294" s="11">
        <f t="shared" si="284"/>
        <v>0</v>
      </c>
      <c r="AK294" s="13">
        <f t="shared" si="285"/>
        <v>0</v>
      </c>
      <c r="AM294" s="13">
        <f t="shared" si="286"/>
        <v>0</v>
      </c>
      <c r="AO294" s="11">
        <f t="shared" si="287"/>
        <v>0</v>
      </c>
      <c r="AQ294" s="11">
        <f t="shared" si="288"/>
        <v>0</v>
      </c>
      <c r="AS294" s="11">
        <f t="shared" si="289"/>
        <v>0</v>
      </c>
      <c r="AU294" s="11">
        <f t="shared" si="290"/>
        <v>0</v>
      </c>
      <c r="AW294" s="11">
        <f t="shared" si="291"/>
        <v>0</v>
      </c>
      <c r="AY294" s="11">
        <f t="shared" si="292"/>
        <v>0</v>
      </c>
      <c r="BA294" s="11">
        <f t="shared" si="293"/>
        <v>0</v>
      </c>
      <c r="BC294" s="11">
        <f t="shared" si="294"/>
        <v>0</v>
      </c>
      <c r="BE294" s="11">
        <f t="shared" si="295"/>
        <v>0</v>
      </c>
      <c r="BG294" s="11">
        <f t="shared" si="296"/>
        <v>0</v>
      </c>
      <c r="BN294" s="8">
        <f t="shared" si="275"/>
        <v>0</v>
      </c>
      <c r="BO294" s="8">
        <f t="shared" si="276"/>
        <v>0</v>
      </c>
      <c r="BP294" s="8">
        <f t="shared" si="297"/>
        <v>0</v>
      </c>
      <c r="BQ294" s="12">
        <f t="shared" si="298"/>
        <v>0</v>
      </c>
    </row>
    <row r="295" spans="1:69">
      <c r="A295" s="28">
        <v>1958</v>
      </c>
      <c r="B295" s="27" t="s">
        <v>25</v>
      </c>
      <c r="C295" s="24">
        <f t="shared" si="300"/>
        <v>292</v>
      </c>
      <c r="D295" s="7" t="e">
        <f t="shared" ca="1" si="274"/>
        <v>#N/A</v>
      </c>
      <c r="E295" s="26">
        <f t="array" aca="1" ref="E295" ca="1">AVERAGE(IF(INDIRECT(DatCol&amp;"$"&amp;TEXT(C295,"###")):INDIRECT(DatCol&amp;"$"&amp;TEXT(C295+57,"###"))&gt;0,INDIRECT(DatCol&amp;"$"&amp;TEXT(C295,"###")):INDIRECT(DatCol&amp;"$"&amp;TEXT(C295+57,"###"))))</f>
        <v>263.125</v>
      </c>
      <c r="F295" s="26" t="str">
        <f t="shared" si="278"/>
        <v>S</v>
      </c>
      <c r="G295" s="8"/>
      <c r="K295" s="9">
        <f t="shared" si="277"/>
        <v>0</v>
      </c>
      <c r="M295" s="11">
        <f t="shared" si="279"/>
        <v>0</v>
      </c>
      <c r="O295" s="11">
        <f t="shared" si="280"/>
        <v>0</v>
      </c>
      <c r="Q295" s="11">
        <f t="shared" si="281"/>
        <v>0</v>
      </c>
      <c r="Y295" s="11">
        <f t="shared" si="282"/>
        <v>0</v>
      </c>
      <c r="AG295" s="11">
        <f t="shared" si="283"/>
        <v>0</v>
      </c>
      <c r="AI295" s="11">
        <f t="shared" si="284"/>
        <v>0</v>
      </c>
      <c r="AK295" s="13">
        <f t="shared" si="285"/>
        <v>0</v>
      </c>
      <c r="AM295" s="13">
        <f t="shared" si="286"/>
        <v>0</v>
      </c>
      <c r="AO295" s="11">
        <f t="shared" si="287"/>
        <v>0</v>
      </c>
      <c r="AQ295" s="11">
        <f t="shared" si="288"/>
        <v>0</v>
      </c>
      <c r="AS295" s="11">
        <f t="shared" si="289"/>
        <v>0</v>
      </c>
      <c r="AU295" s="11">
        <f t="shared" si="290"/>
        <v>0</v>
      </c>
      <c r="AW295" s="11">
        <f t="shared" si="291"/>
        <v>0</v>
      </c>
      <c r="AY295" s="11">
        <f t="shared" si="292"/>
        <v>0</v>
      </c>
      <c r="BA295" s="11">
        <f t="shared" si="293"/>
        <v>0</v>
      </c>
      <c r="BC295" s="11">
        <f t="shared" si="294"/>
        <v>0</v>
      </c>
      <c r="BE295" s="11">
        <f t="shared" si="295"/>
        <v>0</v>
      </c>
      <c r="BG295" s="11">
        <f t="shared" si="296"/>
        <v>0</v>
      </c>
      <c r="BN295" s="8">
        <f t="shared" si="275"/>
        <v>0</v>
      </c>
      <c r="BO295" s="8">
        <f t="shared" si="276"/>
        <v>0</v>
      </c>
      <c r="BP295" s="8">
        <f t="shared" si="297"/>
        <v>0</v>
      </c>
      <c r="BQ295" s="12">
        <f t="shared" si="298"/>
        <v>0</v>
      </c>
    </row>
    <row r="296" spans="1:69">
      <c r="A296" s="28">
        <v>1959</v>
      </c>
      <c r="B296" s="27" t="s">
        <v>25</v>
      </c>
      <c r="C296" s="24">
        <f t="shared" si="300"/>
        <v>292</v>
      </c>
      <c r="D296" s="7" t="e">
        <f t="shared" ca="1" si="274"/>
        <v>#N/A</v>
      </c>
      <c r="E296" s="26">
        <f t="array" aca="1" ref="E296" ca="1">AVERAGE(IF(INDIRECT(DatCol&amp;"$"&amp;TEXT(C296,"###")):INDIRECT(DatCol&amp;"$"&amp;TEXT(C296+57,"###"))&gt;0,INDIRECT(DatCol&amp;"$"&amp;TEXT(C296,"###")):INDIRECT(DatCol&amp;"$"&amp;TEXT(C296+57,"###"))))</f>
        <v>263.125</v>
      </c>
      <c r="F296" s="26" t="str">
        <f t="shared" si="278"/>
        <v>S</v>
      </c>
      <c r="G296" s="8"/>
      <c r="K296" s="9">
        <f t="shared" si="277"/>
        <v>0</v>
      </c>
      <c r="M296" s="11">
        <f t="shared" si="279"/>
        <v>0</v>
      </c>
      <c r="O296" s="11">
        <f t="shared" si="280"/>
        <v>0</v>
      </c>
      <c r="Q296" s="11">
        <f t="shared" si="281"/>
        <v>0</v>
      </c>
      <c r="Y296" s="11">
        <f t="shared" si="282"/>
        <v>0</v>
      </c>
      <c r="AG296" s="11">
        <f t="shared" si="283"/>
        <v>0</v>
      </c>
      <c r="AI296" s="11">
        <f t="shared" si="284"/>
        <v>0</v>
      </c>
      <c r="AK296" s="13">
        <f t="shared" si="285"/>
        <v>0</v>
      </c>
      <c r="AM296" s="13">
        <f t="shared" si="286"/>
        <v>0</v>
      </c>
      <c r="AO296" s="11">
        <f t="shared" si="287"/>
        <v>0</v>
      </c>
      <c r="AQ296" s="11">
        <f t="shared" si="288"/>
        <v>0</v>
      </c>
      <c r="AS296" s="11">
        <f t="shared" si="289"/>
        <v>0</v>
      </c>
      <c r="AU296" s="11">
        <f t="shared" si="290"/>
        <v>0</v>
      </c>
      <c r="AW296" s="11">
        <f t="shared" si="291"/>
        <v>0</v>
      </c>
      <c r="AY296" s="11">
        <f t="shared" si="292"/>
        <v>0</v>
      </c>
      <c r="BA296" s="11">
        <f t="shared" si="293"/>
        <v>0</v>
      </c>
      <c r="BC296" s="11">
        <f t="shared" si="294"/>
        <v>0</v>
      </c>
      <c r="BE296" s="11">
        <f t="shared" si="295"/>
        <v>0</v>
      </c>
      <c r="BG296" s="11">
        <f t="shared" si="296"/>
        <v>0</v>
      </c>
      <c r="BN296" s="8">
        <f t="shared" si="275"/>
        <v>0</v>
      </c>
      <c r="BO296" s="8">
        <f t="shared" si="276"/>
        <v>0</v>
      </c>
      <c r="BP296" s="8">
        <f t="shared" si="297"/>
        <v>0</v>
      </c>
      <c r="BQ296" s="12">
        <f t="shared" si="298"/>
        <v>0</v>
      </c>
    </row>
    <row r="297" spans="1:69">
      <c r="A297" s="28">
        <v>1960</v>
      </c>
      <c r="B297" s="27" t="s">
        <v>25</v>
      </c>
      <c r="C297" s="24">
        <f t="shared" si="300"/>
        <v>292</v>
      </c>
      <c r="D297" s="7" t="e">
        <f t="shared" ca="1" si="274"/>
        <v>#N/A</v>
      </c>
      <c r="E297" s="26">
        <f t="array" aca="1" ref="E297" ca="1">AVERAGE(IF(INDIRECT(DatCol&amp;"$"&amp;TEXT(C297,"###")):INDIRECT(DatCol&amp;"$"&amp;TEXT(C297+57,"###"))&gt;0,INDIRECT(DatCol&amp;"$"&amp;TEXT(C297,"###")):INDIRECT(DatCol&amp;"$"&amp;TEXT(C297+57,"###"))))</f>
        <v>263.125</v>
      </c>
      <c r="F297" s="26" t="str">
        <f t="shared" si="278"/>
        <v>S</v>
      </c>
      <c r="G297" s="8"/>
      <c r="K297" s="9">
        <f t="shared" si="277"/>
        <v>0</v>
      </c>
      <c r="M297" s="11">
        <f t="shared" si="279"/>
        <v>0</v>
      </c>
      <c r="O297" s="11">
        <f t="shared" si="280"/>
        <v>0</v>
      </c>
      <c r="Q297" s="11">
        <f t="shared" si="281"/>
        <v>0</v>
      </c>
      <c r="Y297" s="11">
        <f t="shared" si="282"/>
        <v>0</v>
      </c>
      <c r="AG297" s="11">
        <f t="shared" si="283"/>
        <v>0</v>
      </c>
      <c r="AI297" s="11">
        <f t="shared" si="284"/>
        <v>0</v>
      </c>
      <c r="AK297" s="13">
        <f t="shared" si="285"/>
        <v>0</v>
      </c>
      <c r="AM297" s="13">
        <f t="shared" si="286"/>
        <v>0</v>
      </c>
      <c r="AO297" s="11">
        <f t="shared" si="287"/>
        <v>0</v>
      </c>
      <c r="AQ297" s="11">
        <f t="shared" si="288"/>
        <v>0</v>
      </c>
      <c r="AS297" s="11">
        <f t="shared" si="289"/>
        <v>0</v>
      </c>
      <c r="AU297" s="11">
        <f t="shared" si="290"/>
        <v>0</v>
      </c>
      <c r="AW297" s="11">
        <f t="shared" si="291"/>
        <v>0</v>
      </c>
      <c r="AY297" s="11">
        <f t="shared" si="292"/>
        <v>0</v>
      </c>
      <c r="BA297" s="11">
        <f t="shared" si="293"/>
        <v>0</v>
      </c>
      <c r="BC297" s="11">
        <f t="shared" si="294"/>
        <v>0</v>
      </c>
      <c r="BE297" s="11">
        <f t="shared" si="295"/>
        <v>0</v>
      </c>
      <c r="BG297" s="11">
        <f t="shared" si="296"/>
        <v>0</v>
      </c>
      <c r="BN297" s="8">
        <f t="shared" si="275"/>
        <v>0</v>
      </c>
      <c r="BO297" s="8">
        <f t="shared" si="276"/>
        <v>0</v>
      </c>
      <c r="BP297" s="8">
        <f t="shared" si="297"/>
        <v>0</v>
      </c>
      <c r="BQ297" s="12">
        <f t="shared" si="298"/>
        <v>0</v>
      </c>
    </row>
    <row r="298" spans="1:69">
      <c r="A298" s="28">
        <v>1961</v>
      </c>
      <c r="B298" s="27" t="s">
        <v>25</v>
      </c>
      <c r="C298" s="24">
        <f t="shared" si="300"/>
        <v>292</v>
      </c>
      <c r="D298" s="7" t="e">
        <f t="shared" ca="1" si="274"/>
        <v>#N/A</v>
      </c>
      <c r="E298" s="26">
        <f t="array" aca="1" ref="E298" ca="1">AVERAGE(IF(INDIRECT(DatCol&amp;"$"&amp;TEXT(C298,"###")):INDIRECT(DatCol&amp;"$"&amp;TEXT(C298+57,"###"))&gt;0,INDIRECT(DatCol&amp;"$"&amp;TEXT(C298,"###")):INDIRECT(DatCol&amp;"$"&amp;TEXT(C298+57,"###"))))</f>
        <v>263.125</v>
      </c>
      <c r="F298" s="26" t="str">
        <f t="shared" si="278"/>
        <v>S</v>
      </c>
      <c r="G298" s="8"/>
      <c r="K298" s="9">
        <f t="shared" si="277"/>
        <v>0</v>
      </c>
      <c r="M298" s="11">
        <f t="shared" si="279"/>
        <v>0</v>
      </c>
      <c r="O298" s="11">
        <f t="shared" si="280"/>
        <v>0</v>
      </c>
      <c r="Q298" s="11">
        <f t="shared" si="281"/>
        <v>0</v>
      </c>
      <c r="Y298" s="11">
        <f t="shared" si="282"/>
        <v>0</v>
      </c>
      <c r="AG298" s="11">
        <f t="shared" si="283"/>
        <v>0</v>
      </c>
      <c r="AI298" s="11">
        <f t="shared" si="284"/>
        <v>0</v>
      </c>
      <c r="AK298" s="13">
        <f t="shared" si="285"/>
        <v>0</v>
      </c>
      <c r="AM298" s="13">
        <f t="shared" si="286"/>
        <v>0</v>
      </c>
      <c r="AO298" s="11">
        <f t="shared" si="287"/>
        <v>0</v>
      </c>
      <c r="AQ298" s="11">
        <f t="shared" si="288"/>
        <v>0</v>
      </c>
      <c r="AS298" s="11">
        <f t="shared" si="289"/>
        <v>0</v>
      </c>
      <c r="AU298" s="11">
        <f t="shared" si="290"/>
        <v>0</v>
      </c>
      <c r="AW298" s="11">
        <f t="shared" si="291"/>
        <v>0</v>
      </c>
      <c r="AY298" s="11">
        <f t="shared" si="292"/>
        <v>0</v>
      </c>
      <c r="BA298" s="11">
        <f t="shared" si="293"/>
        <v>0</v>
      </c>
      <c r="BC298" s="11">
        <f t="shared" si="294"/>
        <v>0</v>
      </c>
      <c r="BE298" s="11">
        <f t="shared" si="295"/>
        <v>0</v>
      </c>
      <c r="BG298" s="11">
        <f t="shared" si="296"/>
        <v>0</v>
      </c>
      <c r="BN298" s="8">
        <f t="shared" si="275"/>
        <v>0</v>
      </c>
      <c r="BO298" s="8">
        <f t="shared" si="276"/>
        <v>0</v>
      </c>
      <c r="BP298" s="8">
        <f t="shared" si="297"/>
        <v>0</v>
      </c>
      <c r="BQ298" s="12">
        <f t="shared" si="298"/>
        <v>0</v>
      </c>
    </row>
    <row r="299" spans="1:69">
      <c r="A299" s="28">
        <v>1962</v>
      </c>
      <c r="B299" s="27" t="s">
        <v>25</v>
      </c>
      <c r="C299" s="24">
        <f t="shared" si="300"/>
        <v>292</v>
      </c>
      <c r="D299" s="7" t="e">
        <f t="shared" ca="1" si="274"/>
        <v>#N/A</v>
      </c>
      <c r="E299" s="26">
        <f t="array" aca="1" ref="E299" ca="1">AVERAGE(IF(INDIRECT(DatCol&amp;"$"&amp;TEXT(C299,"###")):INDIRECT(DatCol&amp;"$"&amp;TEXT(C299+57,"###"))&gt;0,INDIRECT(DatCol&amp;"$"&amp;TEXT(C299,"###")):INDIRECT(DatCol&amp;"$"&amp;TEXT(C299+57,"###"))))</f>
        <v>263.125</v>
      </c>
      <c r="F299" s="26" t="str">
        <f t="shared" si="278"/>
        <v>S</v>
      </c>
      <c r="G299" s="8"/>
      <c r="K299" s="9">
        <f t="shared" si="277"/>
        <v>0</v>
      </c>
      <c r="M299" s="11">
        <f t="shared" si="279"/>
        <v>0</v>
      </c>
      <c r="O299" s="11">
        <f t="shared" si="280"/>
        <v>0</v>
      </c>
      <c r="Q299" s="11">
        <f t="shared" si="281"/>
        <v>0</v>
      </c>
      <c r="Y299" s="11">
        <f t="shared" si="282"/>
        <v>0</v>
      </c>
      <c r="AG299" s="11">
        <f t="shared" si="283"/>
        <v>0</v>
      </c>
      <c r="AI299" s="11">
        <f t="shared" si="284"/>
        <v>0</v>
      </c>
      <c r="AK299" s="13">
        <f t="shared" si="285"/>
        <v>0</v>
      </c>
      <c r="AM299" s="13">
        <f t="shared" si="286"/>
        <v>0</v>
      </c>
      <c r="AO299" s="11">
        <f t="shared" si="287"/>
        <v>0</v>
      </c>
      <c r="AQ299" s="11">
        <f t="shared" si="288"/>
        <v>0</v>
      </c>
      <c r="AS299" s="11">
        <f t="shared" si="289"/>
        <v>0</v>
      </c>
      <c r="AU299" s="11">
        <f t="shared" si="290"/>
        <v>0</v>
      </c>
      <c r="AW299" s="11">
        <f t="shared" si="291"/>
        <v>0</v>
      </c>
      <c r="AY299" s="11">
        <f t="shared" si="292"/>
        <v>0</v>
      </c>
      <c r="BA299" s="11">
        <f t="shared" si="293"/>
        <v>0</v>
      </c>
      <c r="BC299" s="11">
        <f t="shared" si="294"/>
        <v>0</v>
      </c>
      <c r="BE299" s="11">
        <f t="shared" si="295"/>
        <v>0</v>
      </c>
      <c r="BG299" s="11">
        <f t="shared" si="296"/>
        <v>0</v>
      </c>
      <c r="BN299" s="8">
        <f t="shared" si="275"/>
        <v>0</v>
      </c>
      <c r="BO299" s="8">
        <f t="shared" si="276"/>
        <v>0</v>
      </c>
      <c r="BP299" s="8">
        <f t="shared" si="297"/>
        <v>0</v>
      </c>
      <c r="BQ299" s="12">
        <f t="shared" si="298"/>
        <v>0</v>
      </c>
    </row>
    <row r="300" spans="1:69">
      <c r="A300" s="28">
        <v>1963</v>
      </c>
      <c r="B300" s="27" t="s">
        <v>25</v>
      </c>
      <c r="C300" s="24">
        <f t="shared" si="300"/>
        <v>292</v>
      </c>
      <c r="D300" s="7" t="e">
        <f t="shared" ca="1" si="274"/>
        <v>#N/A</v>
      </c>
      <c r="E300" s="26">
        <f t="array" aca="1" ref="E300" ca="1">AVERAGE(IF(INDIRECT(DatCol&amp;"$"&amp;TEXT(C300,"###")):INDIRECT(DatCol&amp;"$"&amp;TEXT(C300+57,"###"))&gt;0,INDIRECT(DatCol&amp;"$"&amp;TEXT(C300,"###")):INDIRECT(DatCol&amp;"$"&amp;TEXT(C300+57,"###"))))</f>
        <v>263.125</v>
      </c>
      <c r="F300" s="26" t="str">
        <f t="shared" si="278"/>
        <v>S</v>
      </c>
      <c r="G300" s="8"/>
      <c r="K300" s="9">
        <f t="shared" si="277"/>
        <v>0</v>
      </c>
      <c r="M300" s="11">
        <f t="shared" si="279"/>
        <v>0</v>
      </c>
      <c r="O300" s="11">
        <f t="shared" si="280"/>
        <v>0</v>
      </c>
      <c r="Q300" s="11">
        <f t="shared" si="281"/>
        <v>0</v>
      </c>
      <c r="Y300" s="11">
        <f t="shared" si="282"/>
        <v>0</v>
      </c>
      <c r="AG300" s="11">
        <f t="shared" si="283"/>
        <v>0</v>
      </c>
      <c r="AI300" s="11">
        <f t="shared" si="284"/>
        <v>0</v>
      </c>
      <c r="AK300" s="13">
        <f t="shared" si="285"/>
        <v>0</v>
      </c>
      <c r="AM300" s="13">
        <f t="shared" si="286"/>
        <v>0</v>
      </c>
      <c r="AO300" s="11">
        <f t="shared" si="287"/>
        <v>0</v>
      </c>
      <c r="AQ300" s="11">
        <f t="shared" si="288"/>
        <v>0</v>
      </c>
      <c r="AS300" s="11">
        <f t="shared" si="289"/>
        <v>0</v>
      </c>
      <c r="AU300" s="11">
        <f t="shared" si="290"/>
        <v>0</v>
      </c>
      <c r="AW300" s="11">
        <f t="shared" si="291"/>
        <v>0</v>
      </c>
      <c r="AY300" s="11">
        <f t="shared" si="292"/>
        <v>0</v>
      </c>
      <c r="BA300" s="11">
        <f t="shared" si="293"/>
        <v>0</v>
      </c>
      <c r="BC300" s="11">
        <f t="shared" si="294"/>
        <v>0</v>
      </c>
      <c r="BE300" s="11">
        <f t="shared" si="295"/>
        <v>0</v>
      </c>
      <c r="BG300" s="11">
        <f t="shared" si="296"/>
        <v>0</v>
      </c>
      <c r="BN300" s="8">
        <f t="shared" si="275"/>
        <v>0</v>
      </c>
      <c r="BO300" s="8">
        <f t="shared" si="276"/>
        <v>0</v>
      </c>
      <c r="BP300" s="8">
        <f t="shared" si="297"/>
        <v>0</v>
      </c>
      <c r="BQ300" s="12">
        <f t="shared" si="298"/>
        <v>0</v>
      </c>
    </row>
    <row r="301" spans="1:69">
      <c r="A301" s="28">
        <v>1964</v>
      </c>
      <c r="B301" s="27" t="s">
        <v>25</v>
      </c>
      <c r="C301" s="24">
        <f t="shared" si="300"/>
        <v>292</v>
      </c>
      <c r="D301" s="7" t="e">
        <f t="shared" ca="1" si="274"/>
        <v>#N/A</v>
      </c>
      <c r="E301" s="26">
        <f t="array" aca="1" ref="E301" ca="1">AVERAGE(IF(INDIRECT(DatCol&amp;"$"&amp;TEXT(C301,"###")):INDIRECT(DatCol&amp;"$"&amp;TEXT(C301+57,"###"))&gt;0,INDIRECT(DatCol&amp;"$"&amp;TEXT(C301,"###")):INDIRECT(DatCol&amp;"$"&amp;TEXT(C301+57,"###"))))</f>
        <v>263.125</v>
      </c>
      <c r="F301" s="26" t="str">
        <f t="shared" si="278"/>
        <v>S</v>
      </c>
      <c r="G301" s="8"/>
      <c r="K301" s="9">
        <f t="shared" si="277"/>
        <v>0</v>
      </c>
      <c r="M301" s="11">
        <f t="shared" si="279"/>
        <v>0</v>
      </c>
      <c r="O301" s="11">
        <f t="shared" si="280"/>
        <v>0</v>
      </c>
      <c r="Q301" s="11">
        <f t="shared" si="281"/>
        <v>0</v>
      </c>
      <c r="Y301" s="11">
        <f t="shared" si="282"/>
        <v>0</v>
      </c>
      <c r="AG301" s="11">
        <f t="shared" si="283"/>
        <v>0</v>
      </c>
      <c r="AI301" s="11">
        <f t="shared" si="284"/>
        <v>0</v>
      </c>
      <c r="AK301" s="13">
        <f t="shared" si="285"/>
        <v>0</v>
      </c>
      <c r="AM301" s="13">
        <f t="shared" si="286"/>
        <v>0</v>
      </c>
      <c r="AO301" s="11">
        <f t="shared" si="287"/>
        <v>0</v>
      </c>
      <c r="AQ301" s="11">
        <f t="shared" si="288"/>
        <v>0</v>
      </c>
      <c r="AS301" s="11">
        <f t="shared" si="289"/>
        <v>0</v>
      </c>
      <c r="AU301" s="11">
        <f t="shared" si="290"/>
        <v>0</v>
      </c>
      <c r="AW301" s="11">
        <f t="shared" si="291"/>
        <v>0</v>
      </c>
      <c r="AY301" s="11">
        <f t="shared" si="292"/>
        <v>0</v>
      </c>
      <c r="BA301" s="11">
        <f t="shared" si="293"/>
        <v>0</v>
      </c>
      <c r="BC301" s="11">
        <f t="shared" si="294"/>
        <v>0</v>
      </c>
      <c r="BE301" s="11">
        <f t="shared" si="295"/>
        <v>0</v>
      </c>
      <c r="BG301" s="11">
        <f t="shared" si="296"/>
        <v>0</v>
      </c>
      <c r="BN301" s="8">
        <f t="shared" si="275"/>
        <v>0</v>
      </c>
      <c r="BO301" s="8">
        <f t="shared" si="276"/>
        <v>0</v>
      </c>
      <c r="BP301" s="8">
        <f t="shared" si="297"/>
        <v>0</v>
      </c>
      <c r="BQ301" s="12">
        <f t="shared" si="298"/>
        <v>0</v>
      </c>
    </row>
    <row r="302" spans="1:69">
      <c r="A302" s="28">
        <v>1965</v>
      </c>
      <c r="B302" s="27" t="s">
        <v>25</v>
      </c>
      <c r="C302" s="24">
        <f t="shared" si="300"/>
        <v>292</v>
      </c>
      <c r="D302" s="7" t="e">
        <f t="shared" ca="1" si="274"/>
        <v>#N/A</v>
      </c>
      <c r="E302" s="26">
        <f t="array" aca="1" ref="E302" ca="1">AVERAGE(IF(INDIRECT(DatCol&amp;"$"&amp;TEXT(C302,"###")):INDIRECT(DatCol&amp;"$"&amp;TEXT(C302+57,"###"))&gt;0,INDIRECT(DatCol&amp;"$"&amp;TEXT(C302,"###")):INDIRECT(DatCol&amp;"$"&amp;TEXT(C302+57,"###"))))</f>
        <v>263.125</v>
      </c>
      <c r="F302" s="26" t="str">
        <f t="shared" si="278"/>
        <v>S</v>
      </c>
      <c r="G302" s="8"/>
      <c r="K302" s="9">
        <f t="shared" si="277"/>
        <v>0</v>
      </c>
      <c r="M302" s="11">
        <f t="shared" ref="M302:M317" si="301">(L302*50)</f>
        <v>0</v>
      </c>
      <c r="O302" s="11">
        <f t="shared" ref="O302:O317" si="302">(N302*50)</f>
        <v>0</v>
      </c>
      <c r="Q302" s="11">
        <f t="shared" ref="Q302:Q317" si="303">((P302*330)/5.5)</f>
        <v>0</v>
      </c>
      <c r="Y302" s="11">
        <f t="shared" ref="Y302:Y317" si="304">((X302*330)/5.5)</f>
        <v>0</v>
      </c>
      <c r="AG302" s="11">
        <f t="shared" ref="AG302:AG317" si="305">(AF302*65)</f>
        <v>0</v>
      </c>
      <c r="AI302" s="11">
        <f t="shared" ref="AI302:AI317" si="306">(AH302*65)</f>
        <v>0</v>
      </c>
      <c r="AK302" s="13">
        <f t="shared" ref="AK302:AK317" si="307">(AJ302*9)</f>
        <v>0</v>
      </c>
      <c r="AM302" s="13">
        <f t="shared" ref="AM302:AM317" si="308">(AL302*9)</f>
        <v>0</v>
      </c>
      <c r="AO302" s="11">
        <f t="shared" ref="AO302:AO317" si="309">(AN302*80)</f>
        <v>0</v>
      </c>
      <c r="AQ302" s="11">
        <f t="shared" ref="AQ302:AQ317" si="310">(AP302*80)</f>
        <v>0</v>
      </c>
      <c r="AS302" s="11">
        <f t="shared" ref="AS302:AS317" si="311">(AR302*50)</f>
        <v>0</v>
      </c>
      <c r="AU302" s="11">
        <f t="shared" ref="AU302:AU317" si="312">(AT302*50)</f>
        <v>0</v>
      </c>
      <c r="AW302" s="11">
        <f t="shared" ref="AW302:AW317" si="313">(AV302*60)</f>
        <v>0</v>
      </c>
      <c r="AY302" s="11">
        <f t="shared" ref="AY302:AY317" si="314">(AX302*60)</f>
        <v>0</v>
      </c>
      <c r="BA302" s="11">
        <f t="shared" ref="BA302:BA317" si="315">(AZ302*40)</f>
        <v>0</v>
      </c>
      <c r="BC302" s="11">
        <f t="shared" ref="BC302:BC317" si="316">(BB302*40)</f>
        <v>0</v>
      </c>
      <c r="BE302" s="11">
        <f t="shared" ref="BE302:BE317" si="317">(BD302*95)</f>
        <v>0</v>
      </c>
      <c r="BG302" s="11">
        <f t="shared" ref="BG302:BG317" si="318">(BF302*95)</f>
        <v>0</v>
      </c>
      <c r="BN302" s="8">
        <f t="shared" si="275"/>
        <v>0</v>
      </c>
      <c r="BO302" s="8">
        <f t="shared" si="276"/>
        <v>0</v>
      </c>
      <c r="BP302" s="8">
        <f t="shared" si="297"/>
        <v>0</v>
      </c>
      <c r="BQ302" s="12">
        <f t="shared" si="298"/>
        <v>0</v>
      </c>
    </row>
    <row r="303" spans="1:69">
      <c r="A303" s="28">
        <v>1966</v>
      </c>
      <c r="B303" s="27" t="s">
        <v>25</v>
      </c>
      <c r="C303" s="24">
        <f t="shared" si="300"/>
        <v>292</v>
      </c>
      <c r="D303" s="7" t="e">
        <f t="shared" ca="1" si="274"/>
        <v>#N/A</v>
      </c>
      <c r="E303" s="26">
        <f t="array" aca="1" ref="E303" ca="1">AVERAGE(IF(INDIRECT(DatCol&amp;"$"&amp;TEXT(C303,"###")):INDIRECT(DatCol&amp;"$"&amp;TEXT(C303+57,"###"))&gt;0,INDIRECT(DatCol&amp;"$"&amp;TEXT(C303,"###")):INDIRECT(DatCol&amp;"$"&amp;TEXT(C303+57,"###"))))</f>
        <v>263.125</v>
      </c>
      <c r="F303" s="26" t="str">
        <f t="shared" si="278"/>
        <v>S</v>
      </c>
      <c r="G303" s="8"/>
      <c r="K303" s="9">
        <f t="shared" si="277"/>
        <v>0</v>
      </c>
      <c r="M303" s="11">
        <f t="shared" si="301"/>
        <v>0</v>
      </c>
      <c r="O303" s="11">
        <f t="shared" si="302"/>
        <v>0</v>
      </c>
      <c r="Q303" s="11">
        <f t="shared" si="303"/>
        <v>0</v>
      </c>
      <c r="Y303" s="11">
        <f t="shared" si="304"/>
        <v>0</v>
      </c>
      <c r="AG303" s="11">
        <f t="shared" si="305"/>
        <v>0</v>
      </c>
      <c r="AI303" s="11">
        <f t="shared" si="306"/>
        <v>0</v>
      </c>
      <c r="AK303" s="13">
        <f t="shared" si="307"/>
        <v>0</v>
      </c>
      <c r="AM303" s="13">
        <f t="shared" si="308"/>
        <v>0</v>
      </c>
      <c r="AO303" s="11">
        <f t="shared" si="309"/>
        <v>0</v>
      </c>
      <c r="AQ303" s="11">
        <f t="shared" si="310"/>
        <v>0</v>
      </c>
      <c r="AS303" s="11">
        <f t="shared" si="311"/>
        <v>0</v>
      </c>
      <c r="AU303" s="11">
        <f t="shared" si="312"/>
        <v>0</v>
      </c>
      <c r="AW303" s="11">
        <f t="shared" si="313"/>
        <v>0</v>
      </c>
      <c r="AY303" s="11">
        <f t="shared" si="314"/>
        <v>0</v>
      </c>
      <c r="BA303" s="11">
        <f t="shared" si="315"/>
        <v>0</v>
      </c>
      <c r="BC303" s="11">
        <f t="shared" si="316"/>
        <v>0</v>
      </c>
      <c r="BE303" s="11">
        <f t="shared" si="317"/>
        <v>0</v>
      </c>
      <c r="BG303" s="11">
        <f t="shared" si="318"/>
        <v>0</v>
      </c>
      <c r="BN303" s="8">
        <f t="shared" si="275"/>
        <v>0</v>
      </c>
      <c r="BO303" s="8">
        <f t="shared" si="276"/>
        <v>0</v>
      </c>
      <c r="BP303" s="8">
        <f t="shared" si="297"/>
        <v>0</v>
      </c>
      <c r="BQ303" s="12">
        <f t="shared" si="298"/>
        <v>0</v>
      </c>
    </row>
    <row r="304" spans="1:69">
      <c r="A304" s="28">
        <v>1967</v>
      </c>
      <c r="B304" s="27" t="s">
        <v>25</v>
      </c>
      <c r="C304" s="24">
        <f t="shared" si="300"/>
        <v>292</v>
      </c>
      <c r="D304" s="7" t="e">
        <f t="shared" ca="1" si="274"/>
        <v>#N/A</v>
      </c>
      <c r="E304" s="26">
        <f t="array" aca="1" ref="E304" ca="1">AVERAGE(IF(INDIRECT(DatCol&amp;"$"&amp;TEXT(C304,"###")):INDIRECT(DatCol&amp;"$"&amp;TEXT(C304+57,"###"))&gt;0,INDIRECT(DatCol&amp;"$"&amp;TEXT(C304,"###")):INDIRECT(DatCol&amp;"$"&amp;TEXT(C304+57,"###"))))</f>
        <v>263.125</v>
      </c>
      <c r="F304" s="26" t="str">
        <f t="shared" si="278"/>
        <v>S</v>
      </c>
      <c r="G304" s="8"/>
      <c r="H304" s="8">
        <v>7</v>
      </c>
      <c r="I304" s="8">
        <v>3</v>
      </c>
      <c r="J304" s="8">
        <v>483</v>
      </c>
      <c r="K304" s="9">
        <f t="shared" si="277"/>
        <v>490</v>
      </c>
      <c r="L304" s="12">
        <v>250</v>
      </c>
      <c r="M304" s="11">
        <f t="shared" si="301"/>
        <v>12500</v>
      </c>
      <c r="N304" s="12">
        <v>360</v>
      </c>
      <c r="O304" s="11">
        <f t="shared" si="302"/>
        <v>18000</v>
      </c>
      <c r="Q304" s="11">
        <f t="shared" si="303"/>
        <v>0</v>
      </c>
      <c r="X304" s="12">
        <v>20</v>
      </c>
      <c r="Y304" s="11">
        <f t="shared" si="304"/>
        <v>1200</v>
      </c>
      <c r="AG304" s="11">
        <f t="shared" si="305"/>
        <v>0</v>
      </c>
      <c r="AI304" s="11">
        <f t="shared" si="306"/>
        <v>0</v>
      </c>
      <c r="AK304" s="13">
        <f t="shared" si="307"/>
        <v>0</v>
      </c>
      <c r="AM304" s="13">
        <f t="shared" si="308"/>
        <v>0</v>
      </c>
      <c r="AO304" s="11">
        <f t="shared" si="309"/>
        <v>0</v>
      </c>
      <c r="AQ304" s="11">
        <f t="shared" si="310"/>
        <v>0</v>
      </c>
      <c r="AS304" s="11">
        <f t="shared" si="311"/>
        <v>0</v>
      </c>
      <c r="AU304" s="11">
        <f t="shared" si="312"/>
        <v>0</v>
      </c>
      <c r="AW304" s="11">
        <f t="shared" si="313"/>
        <v>0</v>
      </c>
      <c r="AY304" s="11">
        <f t="shared" si="314"/>
        <v>0</v>
      </c>
      <c r="BA304" s="11">
        <f t="shared" si="315"/>
        <v>0</v>
      </c>
      <c r="BB304" s="12">
        <v>20</v>
      </c>
      <c r="BC304" s="11">
        <f t="shared" si="316"/>
        <v>800</v>
      </c>
      <c r="BE304" s="11">
        <f t="shared" si="317"/>
        <v>0</v>
      </c>
      <c r="BG304" s="11">
        <f t="shared" si="318"/>
        <v>0</v>
      </c>
      <c r="BN304" s="8">
        <f t="shared" si="275"/>
        <v>270</v>
      </c>
      <c r="BO304" s="8">
        <f t="shared" si="276"/>
        <v>13700</v>
      </c>
      <c r="BP304" s="8">
        <f t="shared" si="297"/>
        <v>400</v>
      </c>
      <c r="BQ304" s="12">
        <f t="shared" si="298"/>
        <v>20000</v>
      </c>
    </row>
    <row r="305" spans="1:69">
      <c r="A305" s="28">
        <v>1968</v>
      </c>
      <c r="B305" s="27" t="s">
        <v>25</v>
      </c>
      <c r="C305" s="24">
        <f t="shared" si="300"/>
        <v>292</v>
      </c>
      <c r="D305" s="7" t="e">
        <f t="shared" ca="1" si="274"/>
        <v>#N/A</v>
      </c>
      <c r="E305" s="26">
        <f t="array" aca="1" ref="E305" ca="1">AVERAGE(IF(INDIRECT(DatCol&amp;"$"&amp;TEXT(C305,"###")):INDIRECT(DatCol&amp;"$"&amp;TEXT(C305+57,"###"))&gt;0,INDIRECT(DatCol&amp;"$"&amp;TEXT(C305,"###")):INDIRECT(DatCol&amp;"$"&amp;TEXT(C305+57,"###"))))</f>
        <v>263.125</v>
      </c>
      <c r="F305" s="26" t="str">
        <f t="shared" si="278"/>
        <v>S</v>
      </c>
      <c r="G305" s="8"/>
      <c r="H305" s="8">
        <v>0</v>
      </c>
      <c r="I305" s="8">
        <v>2</v>
      </c>
      <c r="J305" s="8">
        <v>165</v>
      </c>
      <c r="K305" s="9">
        <f t="shared" si="277"/>
        <v>165</v>
      </c>
      <c r="L305" s="12">
        <v>882</v>
      </c>
      <c r="M305" s="11">
        <f t="shared" si="301"/>
        <v>44100</v>
      </c>
      <c r="N305" s="12">
        <v>540</v>
      </c>
      <c r="O305" s="11">
        <f t="shared" si="302"/>
        <v>27000</v>
      </c>
      <c r="Q305" s="11">
        <f t="shared" si="303"/>
        <v>0</v>
      </c>
      <c r="Y305" s="11">
        <f t="shared" si="304"/>
        <v>0</v>
      </c>
      <c r="AG305" s="11">
        <f t="shared" si="305"/>
        <v>0</v>
      </c>
      <c r="AI305" s="11">
        <f t="shared" si="306"/>
        <v>0</v>
      </c>
      <c r="AK305" s="13">
        <f t="shared" si="307"/>
        <v>0</v>
      </c>
      <c r="AM305" s="13">
        <f t="shared" si="308"/>
        <v>0</v>
      </c>
      <c r="AO305" s="11">
        <f t="shared" si="309"/>
        <v>0</v>
      </c>
      <c r="AQ305" s="11">
        <f t="shared" si="310"/>
        <v>0</v>
      </c>
      <c r="AS305" s="11">
        <f t="shared" si="311"/>
        <v>0</v>
      </c>
      <c r="AU305" s="11">
        <f t="shared" si="312"/>
        <v>0</v>
      </c>
      <c r="AW305" s="11">
        <f t="shared" si="313"/>
        <v>0</v>
      </c>
      <c r="AY305" s="11">
        <f t="shared" si="314"/>
        <v>0</v>
      </c>
      <c r="BA305" s="11">
        <f t="shared" si="315"/>
        <v>0</v>
      </c>
      <c r="BC305" s="11">
        <f t="shared" si="316"/>
        <v>0</v>
      </c>
      <c r="BE305" s="11">
        <f t="shared" si="317"/>
        <v>0</v>
      </c>
      <c r="BG305" s="11">
        <f t="shared" si="318"/>
        <v>0</v>
      </c>
      <c r="BN305" s="8">
        <f t="shared" si="275"/>
        <v>882</v>
      </c>
      <c r="BO305" s="8">
        <f t="shared" si="276"/>
        <v>44100</v>
      </c>
      <c r="BP305" s="8">
        <f t="shared" si="297"/>
        <v>540</v>
      </c>
      <c r="BQ305" s="12">
        <f t="shared" si="298"/>
        <v>27000</v>
      </c>
    </row>
    <row r="306" spans="1:69">
      <c r="A306" s="28">
        <v>1969</v>
      </c>
      <c r="B306" s="27" t="s">
        <v>25</v>
      </c>
      <c r="C306" s="24">
        <f t="shared" si="300"/>
        <v>292</v>
      </c>
      <c r="D306" s="7" t="e">
        <f t="shared" ca="1" si="274"/>
        <v>#N/A</v>
      </c>
      <c r="E306" s="26">
        <f t="array" aca="1" ref="E306" ca="1">AVERAGE(IF(INDIRECT(DatCol&amp;"$"&amp;TEXT(C306,"###")):INDIRECT(DatCol&amp;"$"&amp;TEXT(C306+57,"###"))&gt;0,INDIRECT(DatCol&amp;"$"&amp;TEXT(C306,"###")):INDIRECT(DatCol&amp;"$"&amp;TEXT(C306+57,"###"))))</f>
        <v>263.125</v>
      </c>
      <c r="F306" s="26" t="str">
        <f t="shared" si="278"/>
        <v>S</v>
      </c>
      <c r="G306" s="8"/>
      <c r="H306" s="8">
        <v>6</v>
      </c>
      <c r="I306" s="8">
        <v>4</v>
      </c>
      <c r="J306" s="8">
        <v>213</v>
      </c>
      <c r="K306" s="9">
        <f t="shared" si="277"/>
        <v>219</v>
      </c>
      <c r="L306" s="12">
        <v>430</v>
      </c>
      <c r="M306" s="11">
        <f t="shared" si="301"/>
        <v>21500</v>
      </c>
      <c r="N306" s="12">
        <v>125</v>
      </c>
      <c r="O306" s="11">
        <f t="shared" si="302"/>
        <v>6250</v>
      </c>
      <c r="Q306" s="11">
        <f t="shared" si="303"/>
        <v>0</v>
      </c>
      <c r="Y306" s="11">
        <f t="shared" si="304"/>
        <v>0</v>
      </c>
      <c r="AG306" s="11">
        <f t="shared" si="305"/>
        <v>0</v>
      </c>
      <c r="AI306" s="11">
        <f t="shared" si="306"/>
        <v>0</v>
      </c>
      <c r="AK306" s="13">
        <f t="shared" si="307"/>
        <v>0</v>
      </c>
      <c r="AM306" s="13">
        <f t="shared" si="308"/>
        <v>0</v>
      </c>
      <c r="AO306" s="11">
        <f t="shared" si="309"/>
        <v>0</v>
      </c>
      <c r="AQ306" s="11">
        <f t="shared" si="310"/>
        <v>0</v>
      </c>
      <c r="AS306" s="11">
        <f t="shared" si="311"/>
        <v>0</v>
      </c>
      <c r="AT306" s="12">
        <v>15</v>
      </c>
      <c r="AU306" s="11">
        <f t="shared" si="312"/>
        <v>750</v>
      </c>
      <c r="AW306" s="11">
        <f t="shared" si="313"/>
        <v>0</v>
      </c>
      <c r="AY306" s="11">
        <f t="shared" si="314"/>
        <v>0</v>
      </c>
      <c r="BA306" s="11">
        <f t="shared" si="315"/>
        <v>0</v>
      </c>
      <c r="BB306" s="12">
        <v>1</v>
      </c>
      <c r="BC306" s="11">
        <f t="shared" si="316"/>
        <v>40</v>
      </c>
      <c r="BE306" s="11">
        <f t="shared" si="317"/>
        <v>0</v>
      </c>
      <c r="BG306" s="11">
        <f t="shared" si="318"/>
        <v>0</v>
      </c>
      <c r="BN306" s="8">
        <f t="shared" si="275"/>
        <v>430</v>
      </c>
      <c r="BO306" s="8">
        <f t="shared" si="276"/>
        <v>21500</v>
      </c>
      <c r="BP306" s="8">
        <f t="shared" si="297"/>
        <v>141</v>
      </c>
      <c r="BQ306" s="12">
        <f t="shared" si="298"/>
        <v>7040</v>
      </c>
    </row>
    <row r="307" spans="1:69">
      <c r="A307" s="28">
        <v>1970</v>
      </c>
      <c r="B307" s="27" t="s">
        <v>25</v>
      </c>
      <c r="C307" s="24">
        <f t="shared" si="300"/>
        <v>292</v>
      </c>
      <c r="D307" s="7" t="e">
        <f t="shared" ca="1" si="274"/>
        <v>#N/A</v>
      </c>
      <c r="E307" s="26">
        <f t="array" aca="1" ref="E307" ca="1">AVERAGE(IF(INDIRECT(DatCol&amp;"$"&amp;TEXT(C307,"###")):INDIRECT(DatCol&amp;"$"&amp;TEXT(C307+57,"###"))&gt;0,INDIRECT(DatCol&amp;"$"&amp;TEXT(C307,"###")):INDIRECT(DatCol&amp;"$"&amp;TEXT(C307+57,"###"))))</f>
        <v>263.125</v>
      </c>
      <c r="F307" s="26" t="str">
        <f t="shared" si="278"/>
        <v>S</v>
      </c>
      <c r="G307" s="8"/>
      <c r="H307" s="8">
        <v>25</v>
      </c>
      <c r="I307" s="8">
        <v>3</v>
      </c>
      <c r="J307" s="8">
        <v>221</v>
      </c>
      <c r="K307" s="9">
        <f t="shared" si="277"/>
        <v>246</v>
      </c>
      <c r="L307" s="12">
        <v>725</v>
      </c>
      <c r="M307" s="11">
        <f t="shared" si="301"/>
        <v>36250</v>
      </c>
      <c r="N307" s="12">
        <v>738</v>
      </c>
      <c r="O307" s="11">
        <f t="shared" si="302"/>
        <v>36900</v>
      </c>
      <c r="P307" s="12">
        <v>5</v>
      </c>
      <c r="Q307" s="11">
        <f t="shared" si="303"/>
        <v>300</v>
      </c>
      <c r="Y307" s="11">
        <f t="shared" si="304"/>
        <v>0</v>
      </c>
      <c r="AG307" s="11">
        <f t="shared" si="305"/>
        <v>0</v>
      </c>
      <c r="AI307" s="11">
        <f t="shared" si="306"/>
        <v>0</v>
      </c>
      <c r="AK307" s="13">
        <f t="shared" si="307"/>
        <v>0</v>
      </c>
      <c r="AM307" s="13">
        <f t="shared" si="308"/>
        <v>0</v>
      </c>
      <c r="AO307" s="11">
        <f t="shared" si="309"/>
        <v>0</v>
      </c>
      <c r="AQ307" s="11">
        <f t="shared" si="310"/>
        <v>0</v>
      </c>
      <c r="AS307" s="11">
        <f t="shared" si="311"/>
        <v>0</v>
      </c>
      <c r="AT307" s="12">
        <v>25</v>
      </c>
      <c r="AU307" s="11">
        <f t="shared" si="312"/>
        <v>1250</v>
      </c>
      <c r="AW307" s="11">
        <f t="shared" si="313"/>
        <v>0</v>
      </c>
      <c r="AY307" s="11">
        <f t="shared" si="314"/>
        <v>0</v>
      </c>
      <c r="BA307" s="11">
        <f t="shared" si="315"/>
        <v>0</v>
      </c>
      <c r="BC307" s="11">
        <f t="shared" si="316"/>
        <v>0</v>
      </c>
      <c r="BE307" s="11">
        <f t="shared" si="317"/>
        <v>0</v>
      </c>
      <c r="BG307" s="11">
        <f t="shared" si="318"/>
        <v>0</v>
      </c>
      <c r="BN307" s="8">
        <f t="shared" si="275"/>
        <v>730</v>
      </c>
      <c r="BO307" s="8">
        <f t="shared" si="276"/>
        <v>36550</v>
      </c>
      <c r="BP307" s="8">
        <f t="shared" si="297"/>
        <v>763</v>
      </c>
      <c r="BQ307" s="12">
        <f t="shared" si="298"/>
        <v>38150</v>
      </c>
    </row>
    <row r="308" spans="1:69">
      <c r="A308" s="28">
        <v>1971</v>
      </c>
      <c r="B308" s="27" t="s">
        <v>25</v>
      </c>
      <c r="C308" s="24">
        <f t="shared" si="300"/>
        <v>292</v>
      </c>
      <c r="D308" s="7" t="e">
        <f t="shared" ca="1" si="274"/>
        <v>#N/A</v>
      </c>
      <c r="E308" s="26">
        <f t="array" aca="1" ref="E308" ca="1">AVERAGE(IF(INDIRECT(DatCol&amp;"$"&amp;TEXT(C308,"###")):INDIRECT(DatCol&amp;"$"&amp;TEXT(C308+57,"###"))&gt;0,INDIRECT(DatCol&amp;"$"&amp;TEXT(C308,"###")):INDIRECT(DatCol&amp;"$"&amp;TEXT(C308+57,"###"))))</f>
        <v>263.125</v>
      </c>
      <c r="F308" s="26" t="str">
        <f t="shared" si="278"/>
        <v>S</v>
      </c>
      <c r="G308" s="8"/>
      <c r="H308" s="8">
        <v>10</v>
      </c>
      <c r="I308" s="8">
        <v>3</v>
      </c>
      <c r="J308" s="8">
        <v>176</v>
      </c>
      <c r="K308" s="9">
        <f t="shared" si="277"/>
        <v>186</v>
      </c>
      <c r="L308" s="12">
        <v>25</v>
      </c>
      <c r="M308" s="11">
        <f t="shared" si="301"/>
        <v>1250</v>
      </c>
      <c r="N308" s="12">
        <v>25</v>
      </c>
      <c r="O308" s="11">
        <f t="shared" si="302"/>
        <v>1250</v>
      </c>
      <c r="Q308" s="11">
        <f t="shared" si="303"/>
        <v>0</v>
      </c>
      <c r="Y308" s="11">
        <f t="shared" si="304"/>
        <v>0</v>
      </c>
      <c r="AG308" s="11">
        <f t="shared" si="305"/>
        <v>0</v>
      </c>
      <c r="AI308" s="11">
        <f t="shared" si="306"/>
        <v>0</v>
      </c>
      <c r="AK308" s="13">
        <f t="shared" si="307"/>
        <v>0</v>
      </c>
      <c r="AM308" s="13">
        <f t="shared" si="308"/>
        <v>0</v>
      </c>
      <c r="AO308" s="11">
        <f t="shared" si="309"/>
        <v>0</v>
      </c>
      <c r="AQ308" s="11">
        <f t="shared" si="310"/>
        <v>0</v>
      </c>
      <c r="AS308" s="11">
        <f t="shared" si="311"/>
        <v>0</v>
      </c>
      <c r="AU308" s="11">
        <f t="shared" si="312"/>
        <v>0</v>
      </c>
      <c r="AW308" s="11">
        <f t="shared" si="313"/>
        <v>0</v>
      </c>
      <c r="AY308" s="11">
        <f t="shared" si="314"/>
        <v>0</v>
      </c>
      <c r="BA308" s="11">
        <f t="shared" si="315"/>
        <v>0</v>
      </c>
      <c r="BC308" s="11">
        <f t="shared" si="316"/>
        <v>0</v>
      </c>
      <c r="BE308" s="11">
        <f t="shared" si="317"/>
        <v>0</v>
      </c>
      <c r="BG308" s="11">
        <f t="shared" si="318"/>
        <v>0</v>
      </c>
      <c r="BN308" s="8">
        <f t="shared" si="275"/>
        <v>25</v>
      </c>
      <c r="BO308" s="8">
        <f t="shared" si="276"/>
        <v>1250</v>
      </c>
      <c r="BP308" s="8">
        <f t="shared" si="297"/>
        <v>25</v>
      </c>
      <c r="BQ308" s="12">
        <f t="shared" si="298"/>
        <v>1250</v>
      </c>
    </row>
    <row r="309" spans="1:69">
      <c r="A309" s="28">
        <v>1972</v>
      </c>
      <c r="B309" s="27" t="s">
        <v>25</v>
      </c>
      <c r="C309" s="24">
        <f t="shared" si="300"/>
        <v>292</v>
      </c>
      <c r="D309" s="7" t="e">
        <f t="shared" ca="1" si="274"/>
        <v>#N/A</v>
      </c>
      <c r="E309" s="26">
        <f t="array" aca="1" ref="E309" ca="1">AVERAGE(IF(INDIRECT(DatCol&amp;"$"&amp;TEXT(C309,"###")):INDIRECT(DatCol&amp;"$"&amp;TEXT(C309+57,"###"))&gt;0,INDIRECT(DatCol&amp;"$"&amp;TEXT(C309,"###")):INDIRECT(DatCol&amp;"$"&amp;TEXT(C309+57,"###"))))</f>
        <v>263.125</v>
      </c>
      <c r="F309" s="26" t="str">
        <f t="shared" si="278"/>
        <v>S</v>
      </c>
      <c r="G309" s="8"/>
      <c r="H309" s="8">
        <v>0</v>
      </c>
      <c r="I309" s="8">
        <v>0</v>
      </c>
      <c r="J309" s="8">
        <v>10</v>
      </c>
      <c r="K309" s="9">
        <f t="shared" si="277"/>
        <v>10</v>
      </c>
      <c r="M309" s="11">
        <f t="shared" si="301"/>
        <v>0</v>
      </c>
      <c r="N309" s="12">
        <v>12</v>
      </c>
      <c r="O309" s="11">
        <f t="shared" si="302"/>
        <v>600</v>
      </c>
      <c r="Q309" s="11">
        <f t="shared" si="303"/>
        <v>0</v>
      </c>
      <c r="Y309" s="11">
        <f t="shared" si="304"/>
        <v>0</v>
      </c>
      <c r="AG309" s="11">
        <f t="shared" si="305"/>
        <v>0</v>
      </c>
      <c r="AI309" s="11">
        <f t="shared" si="306"/>
        <v>0</v>
      </c>
      <c r="AK309" s="13">
        <f t="shared" si="307"/>
        <v>0</v>
      </c>
      <c r="AM309" s="13">
        <f t="shared" si="308"/>
        <v>0</v>
      </c>
      <c r="AO309" s="11">
        <f t="shared" si="309"/>
        <v>0</v>
      </c>
      <c r="AQ309" s="11">
        <f t="shared" si="310"/>
        <v>0</v>
      </c>
      <c r="AS309" s="11">
        <f t="shared" si="311"/>
        <v>0</v>
      </c>
      <c r="AU309" s="11">
        <f t="shared" si="312"/>
        <v>0</v>
      </c>
      <c r="AW309" s="11">
        <f t="shared" si="313"/>
        <v>0</v>
      </c>
      <c r="AY309" s="11">
        <f t="shared" si="314"/>
        <v>0</v>
      </c>
      <c r="BA309" s="11">
        <f t="shared" si="315"/>
        <v>0</v>
      </c>
      <c r="BC309" s="11">
        <f t="shared" si="316"/>
        <v>0</v>
      </c>
      <c r="BE309" s="11">
        <f t="shared" si="317"/>
        <v>0</v>
      </c>
      <c r="BG309" s="11">
        <f t="shared" si="318"/>
        <v>0</v>
      </c>
      <c r="BN309" s="8">
        <f t="shared" si="275"/>
        <v>0</v>
      </c>
      <c r="BO309" s="8">
        <f t="shared" si="276"/>
        <v>0</v>
      </c>
      <c r="BP309" s="8">
        <f t="shared" si="297"/>
        <v>12</v>
      </c>
      <c r="BQ309" s="12">
        <f t="shared" si="298"/>
        <v>600</v>
      </c>
    </row>
    <row r="310" spans="1:69">
      <c r="A310" s="28">
        <v>1973</v>
      </c>
      <c r="B310" s="27" t="s">
        <v>25</v>
      </c>
      <c r="C310" s="24">
        <f t="shared" si="300"/>
        <v>292</v>
      </c>
      <c r="D310" s="7" t="e">
        <f t="shared" ca="1" si="274"/>
        <v>#N/A</v>
      </c>
      <c r="E310" s="26">
        <f t="array" aca="1" ref="E310" ca="1">AVERAGE(IF(INDIRECT(DatCol&amp;"$"&amp;TEXT(C310,"###")):INDIRECT(DatCol&amp;"$"&amp;TEXT(C310+57,"###"))&gt;0,INDIRECT(DatCol&amp;"$"&amp;TEXT(C310,"###")):INDIRECT(DatCol&amp;"$"&amp;TEXT(C310+57,"###"))))</f>
        <v>263.125</v>
      </c>
      <c r="F310" s="26" t="str">
        <f t="shared" si="278"/>
        <v>S</v>
      </c>
      <c r="G310" s="8"/>
      <c r="K310" s="9">
        <f t="shared" si="277"/>
        <v>0</v>
      </c>
      <c r="M310" s="11">
        <f t="shared" si="301"/>
        <v>0</v>
      </c>
      <c r="O310" s="11">
        <f t="shared" si="302"/>
        <v>0</v>
      </c>
      <c r="Q310" s="11">
        <f t="shared" si="303"/>
        <v>0</v>
      </c>
      <c r="Y310" s="11">
        <f t="shared" si="304"/>
        <v>0</v>
      </c>
      <c r="AG310" s="11">
        <f t="shared" si="305"/>
        <v>0</v>
      </c>
      <c r="AI310" s="11">
        <f t="shared" si="306"/>
        <v>0</v>
      </c>
      <c r="AK310" s="13">
        <f t="shared" si="307"/>
        <v>0</v>
      </c>
      <c r="AM310" s="13">
        <f t="shared" si="308"/>
        <v>0</v>
      </c>
      <c r="AO310" s="11">
        <f t="shared" si="309"/>
        <v>0</v>
      </c>
      <c r="AQ310" s="11">
        <f t="shared" si="310"/>
        <v>0</v>
      </c>
      <c r="AS310" s="11">
        <f t="shared" si="311"/>
        <v>0</v>
      </c>
      <c r="AU310" s="11">
        <f t="shared" si="312"/>
        <v>0</v>
      </c>
      <c r="AW310" s="11">
        <f t="shared" si="313"/>
        <v>0</v>
      </c>
      <c r="AY310" s="11">
        <f t="shared" si="314"/>
        <v>0</v>
      </c>
      <c r="BA310" s="11">
        <f t="shared" si="315"/>
        <v>0</v>
      </c>
      <c r="BC310" s="11">
        <f t="shared" si="316"/>
        <v>0</v>
      </c>
      <c r="BE310" s="11">
        <f t="shared" si="317"/>
        <v>0</v>
      </c>
      <c r="BG310" s="11">
        <f t="shared" si="318"/>
        <v>0</v>
      </c>
      <c r="BN310" s="8">
        <f t="shared" si="275"/>
        <v>0</v>
      </c>
      <c r="BO310" s="8">
        <f t="shared" si="276"/>
        <v>0</v>
      </c>
      <c r="BP310" s="8">
        <f t="shared" si="297"/>
        <v>0</v>
      </c>
      <c r="BQ310" s="12">
        <f t="shared" si="298"/>
        <v>0</v>
      </c>
    </row>
    <row r="311" spans="1:69">
      <c r="A311" s="28">
        <v>1974</v>
      </c>
      <c r="B311" s="27" t="s">
        <v>25</v>
      </c>
      <c r="C311" s="24">
        <f t="shared" si="300"/>
        <v>292</v>
      </c>
      <c r="D311" s="7" t="e">
        <f t="shared" ca="1" si="274"/>
        <v>#N/A</v>
      </c>
      <c r="E311" s="26">
        <f t="array" aca="1" ref="E311" ca="1">AVERAGE(IF(INDIRECT(DatCol&amp;"$"&amp;TEXT(C311,"###")):INDIRECT(DatCol&amp;"$"&amp;TEXT(C311+57,"###"))&gt;0,INDIRECT(DatCol&amp;"$"&amp;TEXT(C311,"###")):INDIRECT(DatCol&amp;"$"&amp;TEXT(C311+57,"###"))))</f>
        <v>263.125</v>
      </c>
      <c r="F311" s="26" t="str">
        <f t="shared" si="278"/>
        <v>S</v>
      </c>
      <c r="G311" s="8"/>
      <c r="H311" s="8">
        <v>0</v>
      </c>
      <c r="I311" s="8">
        <v>0</v>
      </c>
      <c r="J311" s="8">
        <v>21</v>
      </c>
      <c r="K311" s="9">
        <f t="shared" si="277"/>
        <v>21</v>
      </c>
      <c r="M311" s="11">
        <f t="shared" si="301"/>
        <v>0</v>
      </c>
      <c r="N311" s="12" t="s">
        <v>26</v>
      </c>
      <c r="O311" s="11">
        <f t="shared" si="302"/>
        <v>0</v>
      </c>
      <c r="Q311" s="11">
        <f t="shared" si="303"/>
        <v>0</v>
      </c>
      <c r="Y311" s="11">
        <f t="shared" si="304"/>
        <v>0</v>
      </c>
      <c r="AG311" s="11">
        <f t="shared" si="305"/>
        <v>0</v>
      </c>
      <c r="AI311" s="11">
        <f t="shared" si="306"/>
        <v>0</v>
      </c>
      <c r="AK311" s="13">
        <f t="shared" si="307"/>
        <v>0</v>
      </c>
      <c r="AM311" s="13">
        <f t="shared" si="308"/>
        <v>0</v>
      </c>
      <c r="AO311" s="11">
        <f t="shared" si="309"/>
        <v>0</v>
      </c>
      <c r="AQ311" s="11">
        <f t="shared" si="310"/>
        <v>0</v>
      </c>
      <c r="AS311" s="11">
        <f t="shared" si="311"/>
        <v>0</v>
      </c>
      <c r="AU311" s="11">
        <f t="shared" si="312"/>
        <v>0</v>
      </c>
      <c r="AW311" s="11">
        <f t="shared" si="313"/>
        <v>0</v>
      </c>
      <c r="AY311" s="11">
        <f t="shared" si="314"/>
        <v>0</v>
      </c>
      <c r="BA311" s="11">
        <f t="shared" si="315"/>
        <v>0</v>
      </c>
      <c r="BC311" s="11">
        <f t="shared" si="316"/>
        <v>0</v>
      </c>
      <c r="BE311" s="11">
        <f t="shared" si="317"/>
        <v>0</v>
      </c>
      <c r="BG311" s="11">
        <f t="shared" si="318"/>
        <v>0</v>
      </c>
      <c r="BN311" s="8">
        <f t="shared" si="275"/>
        <v>0</v>
      </c>
      <c r="BO311" s="8">
        <f t="shared" si="276"/>
        <v>0</v>
      </c>
      <c r="BP311" s="8">
        <f t="shared" si="297"/>
        <v>0</v>
      </c>
      <c r="BQ311" s="12">
        <f t="shared" si="298"/>
        <v>0</v>
      </c>
    </row>
    <row r="312" spans="1:69">
      <c r="A312" s="28">
        <v>1975</v>
      </c>
      <c r="B312" s="27" t="s">
        <v>25</v>
      </c>
      <c r="C312" s="24">
        <f t="shared" si="300"/>
        <v>292</v>
      </c>
      <c r="D312" s="7" t="e">
        <f t="shared" ca="1" si="274"/>
        <v>#N/A</v>
      </c>
      <c r="E312" s="26">
        <f t="array" aca="1" ref="E312" ca="1">AVERAGE(IF(INDIRECT(DatCol&amp;"$"&amp;TEXT(C312,"###")):INDIRECT(DatCol&amp;"$"&amp;TEXT(C312+57,"###"))&gt;0,INDIRECT(DatCol&amp;"$"&amp;TEXT(C312,"###")):INDIRECT(DatCol&amp;"$"&amp;TEXT(C312+57,"###"))))</f>
        <v>263.125</v>
      </c>
      <c r="F312" s="26" t="str">
        <f t="shared" si="278"/>
        <v>S</v>
      </c>
      <c r="G312" s="8"/>
      <c r="K312" s="9">
        <f t="shared" si="277"/>
        <v>0</v>
      </c>
      <c r="M312" s="11">
        <f t="shared" si="301"/>
        <v>0</v>
      </c>
      <c r="O312" s="11">
        <f t="shared" si="302"/>
        <v>0</v>
      </c>
      <c r="Q312" s="11">
        <f t="shared" si="303"/>
        <v>0</v>
      </c>
      <c r="Y312" s="11">
        <f t="shared" si="304"/>
        <v>0</v>
      </c>
      <c r="AG312" s="11">
        <f t="shared" si="305"/>
        <v>0</v>
      </c>
      <c r="AI312" s="11">
        <f t="shared" si="306"/>
        <v>0</v>
      </c>
      <c r="AK312" s="13">
        <f t="shared" si="307"/>
        <v>0</v>
      </c>
      <c r="AM312" s="13">
        <f t="shared" si="308"/>
        <v>0</v>
      </c>
      <c r="AO312" s="11">
        <f t="shared" si="309"/>
        <v>0</v>
      </c>
      <c r="AQ312" s="11">
        <f t="shared" si="310"/>
        <v>0</v>
      </c>
      <c r="AS312" s="11">
        <f t="shared" si="311"/>
        <v>0</v>
      </c>
      <c r="AU312" s="11">
        <f t="shared" si="312"/>
        <v>0</v>
      </c>
      <c r="AW312" s="11">
        <f t="shared" si="313"/>
        <v>0</v>
      </c>
      <c r="AY312" s="11">
        <f t="shared" si="314"/>
        <v>0</v>
      </c>
      <c r="BA312" s="11">
        <f t="shared" si="315"/>
        <v>0</v>
      </c>
      <c r="BC312" s="11">
        <f t="shared" si="316"/>
        <v>0</v>
      </c>
      <c r="BE312" s="11">
        <f t="shared" si="317"/>
        <v>0</v>
      </c>
      <c r="BG312" s="11">
        <f t="shared" si="318"/>
        <v>0</v>
      </c>
      <c r="BN312" s="8">
        <f t="shared" si="275"/>
        <v>0</v>
      </c>
      <c r="BO312" s="8">
        <f t="shared" si="276"/>
        <v>0</v>
      </c>
      <c r="BP312" s="8">
        <f t="shared" si="297"/>
        <v>0</v>
      </c>
      <c r="BQ312" s="12">
        <f t="shared" si="298"/>
        <v>0</v>
      </c>
    </row>
    <row r="313" spans="1:69">
      <c r="A313" s="28">
        <v>1976</v>
      </c>
      <c r="B313" s="27" t="s">
        <v>25</v>
      </c>
      <c r="C313" s="24">
        <f t="shared" si="300"/>
        <v>292</v>
      </c>
      <c r="D313" s="7" t="e">
        <f t="shared" ca="1" si="274"/>
        <v>#N/A</v>
      </c>
      <c r="E313" s="26">
        <f t="array" aca="1" ref="E313" ca="1">AVERAGE(IF(INDIRECT(DatCol&amp;"$"&amp;TEXT(C313,"###")):INDIRECT(DatCol&amp;"$"&amp;TEXT(C313+57,"###"))&gt;0,INDIRECT(DatCol&amp;"$"&amp;TEXT(C313,"###")):INDIRECT(DatCol&amp;"$"&amp;TEXT(C313+57,"###"))))</f>
        <v>263.125</v>
      </c>
      <c r="F313" s="26" t="str">
        <f t="shared" si="278"/>
        <v>S</v>
      </c>
      <c r="G313" s="8"/>
      <c r="K313" s="9">
        <f t="shared" si="277"/>
        <v>0</v>
      </c>
      <c r="M313" s="11">
        <f t="shared" si="301"/>
        <v>0</v>
      </c>
      <c r="O313" s="11">
        <f t="shared" si="302"/>
        <v>0</v>
      </c>
      <c r="Q313" s="11">
        <f t="shared" si="303"/>
        <v>0</v>
      </c>
      <c r="Y313" s="11">
        <f t="shared" si="304"/>
        <v>0</v>
      </c>
      <c r="AG313" s="11">
        <f t="shared" si="305"/>
        <v>0</v>
      </c>
      <c r="AI313" s="11">
        <f t="shared" si="306"/>
        <v>0</v>
      </c>
      <c r="AK313" s="13">
        <f t="shared" si="307"/>
        <v>0</v>
      </c>
      <c r="AM313" s="13">
        <f t="shared" si="308"/>
        <v>0</v>
      </c>
      <c r="AO313" s="11">
        <f t="shared" si="309"/>
        <v>0</v>
      </c>
      <c r="AQ313" s="11">
        <f t="shared" si="310"/>
        <v>0</v>
      </c>
      <c r="AS313" s="11">
        <f t="shared" si="311"/>
        <v>0</v>
      </c>
      <c r="AU313" s="11">
        <f t="shared" si="312"/>
        <v>0</v>
      </c>
      <c r="AW313" s="11">
        <f t="shared" si="313"/>
        <v>0</v>
      </c>
      <c r="AY313" s="11">
        <f t="shared" si="314"/>
        <v>0</v>
      </c>
      <c r="BA313" s="11">
        <f t="shared" si="315"/>
        <v>0</v>
      </c>
      <c r="BC313" s="11">
        <f t="shared" si="316"/>
        <v>0</v>
      </c>
      <c r="BE313" s="11">
        <f t="shared" si="317"/>
        <v>0</v>
      </c>
      <c r="BG313" s="11">
        <f t="shared" si="318"/>
        <v>0</v>
      </c>
      <c r="BN313" s="8">
        <f t="shared" si="275"/>
        <v>0</v>
      </c>
      <c r="BO313" s="8">
        <f t="shared" si="276"/>
        <v>0</v>
      </c>
      <c r="BP313" s="8">
        <f t="shared" si="297"/>
        <v>0</v>
      </c>
      <c r="BQ313" s="12">
        <f t="shared" si="298"/>
        <v>0</v>
      </c>
    </row>
    <row r="314" spans="1:69">
      <c r="A314" s="28">
        <v>1977</v>
      </c>
      <c r="B314" s="27" t="s">
        <v>25</v>
      </c>
      <c r="C314" s="24">
        <f t="shared" si="300"/>
        <v>292</v>
      </c>
      <c r="D314" s="7" t="e">
        <f t="shared" ca="1" si="274"/>
        <v>#N/A</v>
      </c>
      <c r="E314" s="26">
        <f t="array" aca="1" ref="E314" ca="1">AVERAGE(IF(INDIRECT(DatCol&amp;"$"&amp;TEXT(C314,"###")):INDIRECT(DatCol&amp;"$"&amp;TEXT(C314+57,"###"))&gt;0,INDIRECT(DatCol&amp;"$"&amp;TEXT(C314,"###")):INDIRECT(DatCol&amp;"$"&amp;TEXT(C314+57,"###"))))</f>
        <v>263.125</v>
      </c>
      <c r="F314" s="26" t="str">
        <f t="shared" si="278"/>
        <v>S</v>
      </c>
      <c r="G314" s="8"/>
      <c r="K314" s="9">
        <f t="shared" si="277"/>
        <v>0</v>
      </c>
      <c r="M314" s="11">
        <f t="shared" si="301"/>
        <v>0</v>
      </c>
      <c r="O314" s="11">
        <f t="shared" si="302"/>
        <v>0</v>
      </c>
      <c r="Q314" s="11">
        <f t="shared" si="303"/>
        <v>0</v>
      </c>
      <c r="Y314" s="11">
        <f t="shared" si="304"/>
        <v>0</v>
      </c>
      <c r="AG314" s="11">
        <f t="shared" si="305"/>
        <v>0</v>
      </c>
      <c r="AI314" s="11">
        <f t="shared" si="306"/>
        <v>0</v>
      </c>
      <c r="AK314" s="13">
        <f t="shared" si="307"/>
        <v>0</v>
      </c>
      <c r="AM314" s="13">
        <f t="shared" si="308"/>
        <v>0</v>
      </c>
      <c r="AO314" s="11">
        <f t="shared" si="309"/>
        <v>0</v>
      </c>
      <c r="AQ314" s="11">
        <f t="shared" si="310"/>
        <v>0</v>
      </c>
      <c r="AS314" s="11">
        <f t="shared" si="311"/>
        <v>0</v>
      </c>
      <c r="AU314" s="11">
        <f t="shared" si="312"/>
        <v>0</v>
      </c>
      <c r="AW314" s="11">
        <f t="shared" si="313"/>
        <v>0</v>
      </c>
      <c r="AY314" s="11">
        <f t="shared" si="314"/>
        <v>0</v>
      </c>
      <c r="BA314" s="11">
        <f t="shared" si="315"/>
        <v>0</v>
      </c>
      <c r="BC314" s="11">
        <f t="shared" si="316"/>
        <v>0</v>
      </c>
      <c r="BE314" s="11">
        <f t="shared" si="317"/>
        <v>0</v>
      </c>
      <c r="BG314" s="11">
        <f t="shared" si="318"/>
        <v>0</v>
      </c>
      <c r="BN314" s="8">
        <f t="shared" si="275"/>
        <v>0</v>
      </c>
      <c r="BO314" s="8">
        <f t="shared" si="276"/>
        <v>0</v>
      </c>
      <c r="BP314" s="8">
        <f t="shared" si="297"/>
        <v>0</v>
      </c>
      <c r="BQ314" s="12">
        <f t="shared" si="298"/>
        <v>0</v>
      </c>
    </row>
    <row r="315" spans="1:69">
      <c r="A315" s="28">
        <v>1978</v>
      </c>
      <c r="B315" s="27" t="s">
        <v>25</v>
      </c>
      <c r="C315" s="24">
        <f t="shared" si="300"/>
        <v>292</v>
      </c>
      <c r="D315" s="7" t="e">
        <f t="shared" ca="1" si="274"/>
        <v>#N/A</v>
      </c>
      <c r="E315" s="26">
        <f t="array" aca="1" ref="E315" ca="1">AVERAGE(IF(INDIRECT(DatCol&amp;"$"&amp;TEXT(C315,"###")):INDIRECT(DatCol&amp;"$"&amp;TEXT(C315+57,"###"))&gt;0,INDIRECT(DatCol&amp;"$"&amp;TEXT(C315,"###")):INDIRECT(DatCol&amp;"$"&amp;TEXT(C315+57,"###"))))</f>
        <v>263.125</v>
      </c>
      <c r="F315" s="26" t="str">
        <f t="shared" si="278"/>
        <v>S</v>
      </c>
      <c r="G315" s="8"/>
      <c r="H315" s="8">
        <v>1</v>
      </c>
      <c r="J315" s="8">
        <v>14</v>
      </c>
      <c r="K315" s="9">
        <f t="shared" si="277"/>
        <v>15</v>
      </c>
      <c r="M315" s="11">
        <f t="shared" si="301"/>
        <v>0</v>
      </c>
      <c r="O315" s="11">
        <f t="shared" si="302"/>
        <v>0</v>
      </c>
      <c r="Q315" s="11">
        <f t="shared" si="303"/>
        <v>0</v>
      </c>
      <c r="Y315" s="11">
        <f t="shared" si="304"/>
        <v>0</v>
      </c>
      <c r="AG315" s="11">
        <f t="shared" si="305"/>
        <v>0</v>
      </c>
      <c r="AI315" s="11">
        <f t="shared" si="306"/>
        <v>0</v>
      </c>
      <c r="AK315" s="13">
        <f t="shared" si="307"/>
        <v>0</v>
      </c>
      <c r="AM315" s="13">
        <f t="shared" si="308"/>
        <v>0</v>
      </c>
      <c r="AO315" s="11">
        <f t="shared" si="309"/>
        <v>0</v>
      </c>
      <c r="AQ315" s="11">
        <f t="shared" si="310"/>
        <v>0</v>
      </c>
      <c r="AS315" s="11">
        <f t="shared" si="311"/>
        <v>0</v>
      </c>
      <c r="AU315" s="11">
        <f t="shared" si="312"/>
        <v>0</v>
      </c>
      <c r="AW315" s="11">
        <f t="shared" si="313"/>
        <v>0</v>
      </c>
      <c r="AY315" s="11">
        <f t="shared" si="314"/>
        <v>0</v>
      </c>
      <c r="BA315" s="11">
        <f t="shared" si="315"/>
        <v>0</v>
      </c>
      <c r="BC315" s="11">
        <f t="shared" si="316"/>
        <v>0</v>
      </c>
      <c r="BE315" s="11">
        <f t="shared" si="317"/>
        <v>0</v>
      </c>
      <c r="BG315" s="11">
        <f t="shared" si="318"/>
        <v>0</v>
      </c>
      <c r="BN315" s="8">
        <f t="shared" si="275"/>
        <v>0</v>
      </c>
      <c r="BO315" s="8">
        <f t="shared" si="276"/>
        <v>0</v>
      </c>
      <c r="BP315" s="8">
        <f t="shared" si="297"/>
        <v>0</v>
      </c>
      <c r="BQ315" s="12">
        <f t="shared" si="298"/>
        <v>0</v>
      </c>
    </row>
    <row r="316" spans="1:69">
      <c r="A316" s="28">
        <v>1979</v>
      </c>
      <c r="B316" s="27" t="s">
        <v>25</v>
      </c>
      <c r="C316" s="24">
        <f t="shared" si="300"/>
        <v>292</v>
      </c>
      <c r="D316" s="7" t="e">
        <f t="shared" ca="1" si="274"/>
        <v>#N/A</v>
      </c>
      <c r="E316" s="26">
        <f t="array" aca="1" ref="E316" ca="1">AVERAGE(IF(INDIRECT(DatCol&amp;"$"&amp;TEXT(C316,"###")):INDIRECT(DatCol&amp;"$"&amp;TEXT(C316+57,"###"))&gt;0,INDIRECT(DatCol&amp;"$"&amp;TEXT(C316,"###")):INDIRECT(DatCol&amp;"$"&amp;TEXT(C316+57,"###"))))</f>
        <v>263.125</v>
      </c>
      <c r="F316" s="26" t="str">
        <f t="shared" si="278"/>
        <v>S</v>
      </c>
      <c r="G316" s="8"/>
      <c r="K316" s="9">
        <f t="shared" si="277"/>
        <v>0</v>
      </c>
      <c r="M316" s="11">
        <f t="shared" si="301"/>
        <v>0</v>
      </c>
      <c r="O316" s="11">
        <f t="shared" si="302"/>
        <v>0</v>
      </c>
      <c r="Q316" s="11">
        <f t="shared" si="303"/>
        <v>0</v>
      </c>
      <c r="Y316" s="11">
        <f t="shared" si="304"/>
        <v>0</v>
      </c>
      <c r="AG316" s="11">
        <f t="shared" si="305"/>
        <v>0</v>
      </c>
      <c r="AI316" s="11">
        <f t="shared" si="306"/>
        <v>0</v>
      </c>
      <c r="AK316" s="13">
        <f t="shared" si="307"/>
        <v>0</v>
      </c>
      <c r="AM316" s="13">
        <f t="shared" si="308"/>
        <v>0</v>
      </c>
      <c r="AO316" s="11">
        <f t="shared" si="309"/>
        <v>0</v>
      </c>
      <c r="AQ316" s="11">
        <f t="shared" si="310"/>
        <v>0</v>
      </c>
      <c r="AS316" s="11">
        <f t="shared" si="311"/>
        <v>0</v>
      </c>
      <c r="AU316" s="11">
        <f t="shared" si="312"/>
        <v>0</v>
      </c>
      <c r="AW316" s="11">
        <f t="shared" si="313"/>
        <v>0</v>
      </c>
      <c r="AY316" s="11">
        <f t="shared" si="314"/>
        <v>0</v>
      </c>
      <c r="BA316" s="11">
        <f t="shared" si="315"/>
        <v>0</v>
      </c>
      <c r="BC316" s="11">
        <f t="shared" si="316"/>
        <v>0</v>
      </c>
      <c r="BE316" s="11">
        <f t="shared" si="317"/>
        <v>0</v>
      </c>
      <c r="BG316" s="11">
        <f t="shared" si="318"/>
        <v>0</v>
      </c>
      <c r="BN316" s="8">
        <f t="shared" si="275"/>
        <v>0</v>
      </c>
      <c r="BO316" s="8">
        <f t="shared" si="276"/>
        <v>0</v>
      </c>
      <c r="BP316" s="8">
        <f t="shared" si="297"/>
        <v>0</v>
      </c>
      <c r="BQ316" s="12">
        <f t="shared" si="298"/>
        <v>0</v>
      </c>
    </row>
    <row r="317" spans="1:69">
      <c r="A317" s="28">
        <v>1980</v>
      </c>
      <c r="B317" s="27" t="s">
        <v>25</v>
      </c>
      <c r="C317" s="24">
        <f t="shared" si="300"/>
        <v>292</v>
      </c>
      <c r="D317" s="7" t="e">
        <f t="shared" ca="1" si="274"/>
        <v>#N/A</v>
      </c>
      <c r="E317" s="26">
        <f t="array" aca="1" ref="E317" ca="1">AVERAGE(IF(INDIRECT(DatCol&amp;"$"&amp;TEXT(C317,"###")):INDIRECT(DatCol&amp;"$"&amp;TEXT(C317+57,"###"))&gt;0,INDIRECT(DatCol&amp;"$"&amp;TEXT(C317,"###")):INDIRECT(DatCol&amp;"$"&amp;TEXT(C317+57,"###"))))</f>
        <v>263.125</v>
      </c>
      <c r="F317" s="26" t="str">
        <f t="shared" si="278"/>
        <v>S</v>
      </c>
      <c r="G317" s="8"/>
      <c r="H317" s="8">
        <v>4</v>
      </c>
      <c r="I317" s="8">
        <v>0</v>
      </c>
      <c r="J317" s="8">
        <v>67</v>
      </c>
      <c r="K317" s="9">
        <f t="shared" si="277"/>
        <v>71</v>
      </c>
      <c r="M317" s="11">
        <f t="shared" si="301"/>
        <v>0</v>
      </c>
      <c r="N317" s="12">
        <v>105</v>
      </c>
      <c r="O317" s="11">
        <f t="shared" si="302"/>
        <v>5250</v>
      </c>
      <c r="Q317" s="11">
        <f t="shared" si="303"/>
        <v>0</v>
      </c>
      <c r="Y317" s="11">
        <f t="shared" si="304"/>
        <v>0</v>
      </c>
      <c r="AG317" s="11">
        <f t="shared" si="305"/>
        <v>0</v>
      </c>
      <c r="AI317" s="11">
        <f t="shared" si="306"/>
        <v>0</v>
      </c>
      <c r="AK317" s="13">
        <f t="shared" si="307"/>
        <v>0</v>
      </c>
      <c r="AM317" s="13">
        <f t="shared" si="308"/>
        <v>0</v>
      </c>
      <c r="AO317" s="11">
        <f t="shared" si="309"/>
        <v>0</v>
      </c>
      <c r="AQ317" s="11">
        <f t="shared" si="310"/>
        <v>0</v>
      </c>
      <c r="AS317" s="11">
        <f t="shared" si="311"/>
        <v>0</v>
      </c>
      <c r="AU317" s="11">
        <f t="shared" si="312"/>
        <v>0</v>
      </c>
      <c r="AW317" s="11">
        <f t="shared" si="313"/>
        <v>0</v>
      </c>
      <c r="AY317" s="11">
        <f t="shared" si="314"/>
        <v>0</v>
      </c>
      <c r="BA317" s="11">
        <f t="shared" si="315"/>
        <v>0</v>
      </c>
      <c r="BC317" s="11">
        <f t="shared" si="316"/>
        <v>0</v>
      </c>
      <c r="BE317" s="11">
        <f t="shared" si="317"/>
        <v>0</v>
      </c>
      <c r="BG317" s="11">
        <f t="shared" si="318"/>
        <v>0</v>
      </c>
      <c r="BN317" s="8">
        <f t="shared" si="275"/>
        <v>0</v>
      </c>
      <c r="BO317" s="8">
        <f t="shared" si="276"/>
        <v>0</v>
      </c>
      <c r="BP317" s="8">
        <f t="shared" si="297"/>
        <v>105</v>
      </c>
      <c r="BQ317" s="12">
        <f t="shared" si="298"/>
        <v>5250</v>
      </c>
    </row>
    <row r="318" spans="1:69">
      <c r="A318" s="28">
        <v>1981</v>
      </c>
      <c r="B318" s="27" t="s">
        <v>25</v>
      </c>
      <c r="C318" s="24">
        <f t="shared" si="300"/>
        <v>292</v>
      </c>
      <c r="D318" s="7" t="e">
        <f t="shared" ca="1" si="274"/>
        <v>#N/A</v>
      </c>
      <c r="E318" s="26">
        <f t="array" aca="1" ref="E318" ca="1">AVERAGE(IF(INDIRECT(DatCol&amp;"$"&amp;TEXT(C318,"###")):INDIRECT(DatCol&amp;"$"&amp;TEXT(C318+57,"###"))&gt;0,INDIRECT(DatCol&amp;"$"&amp;TEXT(C318,"###")):INDIRECT(DatCol&amp;"$"&amp;TEXT(C318+57,"###"))))</f>
        <v>263.125</v>
      </c>
      <c r="F318" s="26" t="str">
        <f t="shared" si="278"/>
        <v>S</v>
      </c>
      <c r="G318" s="8"/>
      <c r="H318" s="8">
        <v>0</v>
      </c>
      <c r="I318" s="8">
        <v>0</v>
      </c>
      <c r="J318" s="8">
        <v>108</v>
      </c>
      <c r="K318" s="9">
        <f t="shared" si="277"/>
        <v>108</v>
      </c>
      <c r="M318" s="11">
        <f t="shared" ref="M318:M334" si="319">(L318*50)</f>
        <v>0</v>
      </c>
      <c r="N318" s="12">
        <v>200</v>
      </c>
      <c r="O318" s="11">
        <f t="shared" ref="O318:O334" si="320">(N318*50)</f>
        <v>10000</v>
      </c>
      <c r="Q318" s="11">
        <f t="shared" ref="Q318:Q334" si="321">((P318*330)/5.5)</f>
        <v>0</v>
      </c>
      <c r="Y318" s="11">
        <f t="shared" ref="Y318:Y334" si="322">((X318*330)/5.5)</f>
        <v>0</v>
      </c>
      <c r="AG318" s="11">
        <f t="shared" ref="AG318:AG334" si="323">(AF318*65)</f>
        <v>0</v>
      </c>
      <c r="AI318" s="11">
        <f t="shared" ref="AI318:AI334" si="324">(AH318*65)</f>
        <v>0</v>
      </c>
      <c r="AK318" s="13">
        <f t="shared" ref="AK318:AK334" si="325">(AJ318*9)</f>
        <v>0</v>
      </c>
      <c r="AM318" s="13">
        <f t="shared" ref="AM318:AM334" si="326">(AL318*9)</f>
        <v>0</v>
      </c>
      <c r="AO318" s="11">
        <f t="shared" ref="AO318:AO334" si="327">(AN318*80)</f>
        <v>0</v>
      </c>
      <c r="AQ318" s="11">
        <f t="shared" ref="AQ318:AQ334" si="328">(AP318*80)</f>
        <v>0</v>
      </c>
      <c r="AS318" s="11">
        <f t="shared" ref="AS318:AS334" si="329">(AR318*50)</f>
        <v>0</v>
      </c>
      <c r="AU318" s="11">
        <f t="shared" ref="AU318:AU334" si="330">(AT318*50)</f>
        <v>0</v>
      </c>
      <c r="AW318" s="11">
        <f t="shared" ref="AW318:AW334" si="331">(AV318*60)</f>
        <v>0</v>
      </c>
      <c r="AY318" s="11">
        <f t="shared" ref="AY318:AY334" si="332">(AX318*60)</f>
        <v>0</v>
      </c>
      <c r="BA318" s="11">
        <f t="shared" ref="BA318:BA334" si="333">(AZ318*40)</f>
        <v>0</v>
      </c>
      <c r="BC318" s="11">
        <f t="shared" ref="BC318:BC334" si="334">(BB318*40)</f>
        <v>0</v>
      </c>
      <c r="BE318" s="11">
        <f t="shared" ref="BE318:BE334" si="335">(BD318*95)</f>
        <v>0</v>
      </c>
      <c r="BG318" s="11">
        <f t="shared" ref="BG318:BG334" si="336">(BF318*95)</f>
        <v>0</v>
      </c>
      <c r="BN318" s="8">
        <f t="shared" si="275"/>
        <v>0</v>
      </c>
      <c r="BO318" s="8">
        <f t="shared" si="276"/>
        <v>0</v>
      </c>
      <c r="BP318" s="8">
        <f t="shared" si="297"/>
        <v>200</v>
      </c>
      <c r="BQ318" s="12">
        <f t="shared" si="298"/>
        <v>10000</v>
      </c>
    </row>
    <row r="319" spans="1:69">
      <c r="A319" s="28">
        <v>1982</v>
      </c>
      <c r="B319" s="27" t="s">
        <v>25</v>
      </c>
      <c r="C319" s="24">
        <f t="shared" si="300"/>
        <v>292</v>
      </c>
      <c r="D319" s="7" t="e">
        <f t="shared" ca="1" si="274"/>
        <v>#N/A</v>
      </c>
      <c r="E319" s="26">
        <f t="array" aca="1" ref="E319" ca="1">AVERAGE(IF(INDIRECT(DatCol&amp;"$"&amp;TEXT(C319,"###")):INDIRECT(DatCol&amp;"$"&amp;TEXT(C319+57,"###"))&gt;0,INDIRECT(DatCol&amp;"$"&amp;TEXT(C319,"###")):INDIRECT(DatCol&amp;"$"&amp;TEXT(C319+57,"###"))))</f>
        <v>263.125</v>
      </c>
      <c r="F319" s="26" t="str">
        <f t="shared" si="278"/>
        <v>S</v>
      </c>
      <c r="G319" s="8"/>
      <c r="I319" s="8" t="s">
        <v>27</v>
      </c>
      <c r="J319" s="8" t="s">
        <v>27</v>
      </c>
      <c r="K319" s="9">
        <f t="shared" si="277"/>
        <v>0</v>
      </c>
      <c r="M319" s="11">
        <f t="shared" si="319"/>
        <v>0</v>
      </c>
      <c r="O319" s="11">
        <f t="shared" si="320"/>
        <v>0</v>
      </c>
      <c r="Q319" s="11">
        <f t="shared" si="321"/>
        <v>0</v>
      </c>
      <c r="Y319" s="11">
        <f t="shared" si="322"/>
        <v>0</v>
      </c>
      <c r="AG319" s="11">
        <f t="shared" si="323"/>
        <v>0</v>
      </c>
      <c r="AI319" s="11">
        <f t="shared" si="324"/>
        <v>0</v>
      </c>
      <c r="AK319" s="13">
        <f t="shared" si="325"/>
        <v>0</v>
      </c>
      <c r="AM319" s="13">
        <f t="shared" si="326"/>
        <v>0</v>
      </c>
      <c r="AO319" s="11">
        <f t="shared" si="327"/>
        <v>0</v>
      </c>
      <c r="AQ319" s="11">
        <f t="shared" si="328"/>
        <v>0</v>
      </c>
      <c r="AS319" s="11">
        <f t="shared" si="329"/>
        <v>0</v>
      </c>
      <c r="AU319" s="11">
        <f t="shared" si="330"/>
        <v>0</v>
      </c>
      <c r="AW319" s="11">
        <f t="shared" si="331"/>
        <v>0</v>
      </c>
      <c r="AY319" s="11">
        <f t="shared" si="332"/>
        <v>0</v>
      </c>
      <c r="BA319" s="11">
        <f t="shared" si="333"/>
        <v>0</v>
      </c>
      <c r="BC319" s="11">
        <f t="shared" si="334"/>
        <v>0</v>
      </c>
      <c r="BE319" s="11">
        <f t="shared" si="335"/>
        <v>0</v>
      </c>
      <c r="BG319" s="11">
        <f t="shared" si="336"/>
        <v>0</v>
      </c>
      <c r="BN319" s="8">
        <f t="shared" si="275"/>
        <v>0</v>
      </c>
      <c r="BO319" s="8">
        <f t="shared" si="276"/>
        <v>0</v>
      </c>
      <c r="BP319" s="8">
        <f t="shared" si="297"/>
        <v>0</v>
      </c>
      <c r="BQ319" s="12">
        <f t="shared" si="298"/>
        <v>0</v>
      </c>
    </row>
    <row r="320" spans="1:69">
      <c r="A320" s="28">
        <v>1983</v>
      </c>
      <c r="B320" s="27" t="s">
        <v>25</v>
      </c>
      <c r="C320" s="24">
        <f t="shared" si="300"/>
        <v>292</v>
      </c>
      <c r="D320" s="7" t="e">
        <f t="shared" ca="1" si="274"/>
        <v>#N/A</v>
      </c>
      <c r="E320" s="26">
        <f t="array" aca="1" ref="E320" ca="1">AVERAGE(IF(INDIRECT(DatCol&amp;"$"&amp;TEXT(C320,"###")):INDIRECT(DatCol&amp;"$"&amp;TEXT(C320+57,"###"))&gt;0,INDIRECT(DatCol&amp;"$"&amp;TEXT(C320,"###")):INDIRECT(DatCol&amp;"$"&amp;TEXT(C320+57,"###"))))</f>
        <v>263.125</v>
      </c>
      <c r="F320" s="26" t="str">
        <f t="shared" si="278"/>
        <v>S</v>
      </c>
      <c r="G320" s="8"/>
      <c r="I320" s="8" t="s">
        <v>27</v>
      </c>
      <c r="J320" s="8" t="s">
        <v>27</v>
      </c>
      <c r="K320" s="9">
        <f t="shared" si="277"/>
        <v>0</v>
      </c>
      <c r="M320" s="11">
        <f t="shared" si="319"/>
        <v>0</v>
      </c>
      <c r="O320" s="11">
        <f t="shared" si="320"/>
        <v>0</v>
      </c>
      <c r="Q320" s="11">
        <f t="shared" si="321"/>
        <v>0</v>
      </c>
      <c r="Y320" s="11">
        <f t="shared" si="322"/>
        <v>0</v>
      </c>
      <c r="AG320" s="11">
        <f t="shared" si="323"/>
        <v>0</v>
      </c>
      <c r="AI320" s="11">
        <f t="shared" si="324"/>
        <v>0</v>
      </c>
      <c r="AK320" s="13">
        <f t="shared" si="325"/>
        <v>0</v>
      </c>
      <c r="AM320" s="13">
        <f t="shared" si="326"/>
        <v>0</v>
      </c>
      <c r="AO320" s="11">
        <f t="shared" si="327"/>
        <v>0</v>
      </c>
      <c r="AQ320" s="11">
        <f t="shared" si="328"/>
        <v>0</v>
      </c>
      <c r="AS320" s="11">
        <f t="shared" si="329"/>
        <v>0</v>
      </c>
      <c r="AU320" s="11">
        <f t="shared" si="330"/>
        <v>0</v>
      </c>
      <c r="AW320" s="11">
        <f t="shared" si="331"/>
        <v>0</v>
      </c>
      <c r="AY320" s="11">
        <f t="shared" si="332"/>
        <v>0</v>
      </c>
      <c r="BA320" s="11">
        <f t="shared" si="333"/>
        <v>0</v>
      </c>
      <c r="BC320" s="11">
        <f t="shared" si="334"/>
        <v>0</v>
      </c>
      <c r="BE320" s="11">
        <f t="shared" si="335"/>
        <v>0</v>
      </c>
      <c r="BG320" s="11">
        <f t="shared" si="336"/>
        <v>0</v>
      </c>
      <c r="BN320" s="8">
        <f t="shared" si="275"/>
        <v>0</v>
      </c>
      <c r="BO320" s="8">
        <f t="shared" si="276"/>
        <v>0</v>
      </c>
      <c r="BP320" s="8">
        <f t="shared" si="297"/>
        <v>0</v>
      </c>
      <c r="BQ320" s="12">
        <f t="shared" si="298"/>
        <v>0</v>
      </c>
    </row>
    <row r="321" spans="1:69">
      <c r="A321" s="28">
        <v>1984</v>
      </c>
      <c r="B321" s="27" t="s">
        <v>25</v>
      </c>
      <c r="C321" s="24">
        <f t="shared" si="300"/>
        <v>292</v>
      </c>
      <c r="D321" s="7" t="e">
        <f t="shared" ca="1" si="274"/>
        <v>#N/A</v>
      </c>
      <c r="E321" s="26">
        <f t="array" aca="1" ref="E321" ca="1">AVERAGE(IF(INDIRECT(DatCol&amp;"$"&amp;TEXT(C321,"###")):INDIRECT(DatCol&amp;"$"&amp;TEXT(C321+57,"###"))&gt;0,INDIRECT(DatCol&amp;"$"&amp;TEXT(C321,"###")):INDIRECT(DatCol&amp;"$"&amp;TEXT(C321+57,"###"))))</f>
        <v>263.125</v>
      </c>
      <c r="F321" s="26" t="str">
        <f t="shared" si="278"/>
        <v>S</v>
      </c>
      <c r="G321" s="8"/>
      <c r="J321" s="8">
        <v>3</v>
      </c>
      <c r="K321" s="9">
        <f t="shared" si="277"/>
        <v>3</v>
      </c>
      <c r="M321" s="11">
        <f t="shared" si="319"/>
        <v>0</v>
      </c>
      <c r="O321" s="11">
        <f t="shared" si="320"/>
        <v>0</v>
      </c>
      <c r="Q321" s="11">
        <f t="shared" si="321"/>
        <v>0</v>
      </c>
      <c r="Y321" s="11">
        <f t="shared" si="322"/>
        <v>0</v>
      </c>
      <c r="AG321" s="11">
        <f t="shared" si="323"/>
        <v>0</v>
      </c>
      <c r="AI321" s="11">
        <f t="shared" si="324"/>
        <v>0</v>
      </c>
      <c r="AK321" s="13">
        <f t="shared" si="325"/>
        <v>0</v>
      </c>
      <c r="AM321" s="13">
        <f t="shared" si="326"/>
        <v>0</v>
      </c>
      <c r="AO321" s="11">
        <f t="shared" si="327"/>
        <v>0</v>
      </c>
      <c r="AQ321" s="11">
        <f t="shared" si="328"/>
        <v>0</v>
      </c>
      <c r="AS321" s="11">
        <f t="shared" si="329"/>
        <v>0</v>
      </c>
      <c r="AU321" s="11">
        <f t="shared" si="330"/>
        <v>0</v>
      </c>
      <c r="AW321" s="11">
        <f t="shared" si="331"/>
        <v>0</v>
      </c>
      <c r="AY321" s="11">
        <f t="shared" si="332"/>
        <v>0</v>
      </c>
      <c r="BA321" s="11">
        <f t="shared" si="333"/>
        <v>0</v>
      </c>
      <c r="BC321" s="11">
        <f t="shared" si="334"/>
        <v>0</v>
      </c>
      <c r="BE321" s="11">
        <f t="shared" si="335"/>
        <v>0</v>
      </c>
      <c r="BG321" s="11">
        <f t="shared" si="336"/>
        <v>0</v>
      </c>
      <c r="BN321" s="8">
        <f t="shared" si="275"/>
        <v>0</v>
      </c>
      <c r="BO321" s="8">
        <f t="shared" si="276"/>
        <v>0</v>
      </c>
      <c r="BP321" s="8">
        <f t="shared" si="297"/>
        <v>0</v>
      </c>
      <c r="BQ321" s="12">
        <f t="shared" si="298"/>
        <v>0</v>
      </c>
    </row>
    <row r="322" spans="1:69">
      <c r="A322" s="28">
        <v>1985</v>
      </c>
      <c r="B322" s="27" t="s">
        <v>25</v>
      </c>
      <c r="C322" s="24">
        <f t="shared" si="300"/>
        <v>292</v>
      </c>
      <c r="D322" s="7" t="e">
        <f t="shared" ref="D322:D385" ca="1" si="337">IF(AND((INDIRECT(DatCol&amp;TEXT(ROW(),"###"))&gt;0),((F322=RegionSelect)+(RegionSelect="A"))),INDIRECT(DatCol&amp;TEXT(ROW(),"###"))/E322,NA())</f>
        <v>#N/A</v>
      </c>
      <c r="E322" s="26">
        <f t="array" aca="1" ref="E322" ca="1">AVERAGE(IF(INDIRECT(DatCol&amp;"$"&amp;TEXT(C322,"###")):INDIRECT(DatCol&amp;"$"&amp;TEXT(C322+57,"###"))&gt;0,INDIRECT(DatCol&amp;"$"&amp;TEXT(C322,"###")):INDIRECT(DatCol&amp;"$"&amp;TEXT(C322+57,"###"))))</f>
        <v>263.125</v>
      </c>
      <c r="F322" s="26" t="str">
        <f t="shared" si="278"/>
        <v>S</v>
      </c>
      <c r="G322" s="8"/>
      <c r="I322" s="8" t="s">
        <v>28</v>
      </c>
      <c r="J322" s="8" t="s">
        <v>28</v>
      </c>
      <c r="K322" s="9">
        <f t="shared" si="277"/>
        <v>0</v>
      </c>
      <c r="M322" s="11">
        <f t="shared" si="319"/>
        <v>0</v>
      </c>
      <c r="O322" s="11">
        <f t="shared" si="320"/>
        <v>0</v>
      </c>
      <c r="Q322" s="11">
        <f t="shared" si="321"/>
        <v>0</v>
      </c>
      <c r="Y322" s="11">
        <f t="shared" si="322"/>
        <v>0</v>
      </c>
      <c r="AG322" s="11">
        <f t="shared" si="323"/>
        <v>0</v>
      </c>
      <c r="AI322" s="11">
        <f t="shared" si="324"/>
        <v>0</v>
      </c>
      <c r="AK322" s="13">
        <f t="shared" si="325"/>
        <v>0</v>
      </c>
      <c r="AM322" s="13">
        <f t="shared" si="326"/>
        <v>0</v>
      </c>
      <c r="AO322" s="11">
        <f t="shared" si="327"/>
        <v>0</v>
      </c>
      <c r="AQ322" s="11">
        <f t="shared" si="328"/>
        <v>0</v>
      </c>
      <c r="AS322" s="11">
        <f t="shared" si="329"/>
        <v>0</v>
      </c>
      <c r="AU322" s="11">
        <f t="shared" si="330"/>
        <v>0</v>
      </c>
      <c r="AW322" s="11">
        <f t="shared" si="331"/>
        <v>0</v>
      </c>
      <c r="AY322" s="11">
        <f t="shared" si="332"/>
        <v>0</v>
      </c>
      <c r="BA322" s="11">
        <f t="shared" si="333"/>
        <v>0</v>
      </c>
      <c r="BC322" s="11">
        <f t="shared" si="334"/>
        <v>0</v>
      </c>
      <c r="BE322" s="11">
        <f t="shared" si="335"/>
        <v>0</v>
      </c>
      <c r="BG322" s="11">
        <f t="shared" si="336"/>
        <v>0</v>
      </c>
      <c r="BN322" s="8">
        <f t="shared" si="275"/>
        <v>0</v>
      </c>
      <c r="BO322" s="8">
        <f t="shared" si="276"/>
        <v>0</v>
      </c>
      <c r="BP322" s="8">
        <f t="shared" si="297"/>
        <v>0</v>
      </c>
      <c r="BQ322" s="12">
        <f t="shared" si="298"/>
        <v>0</v>
      </c>
    </row>
    <row r="323" spans="1:69">
      <c r="A323" s="28">
        <v>1986</v>
      </c>
      <c r="B323" s="27" t="s">
        <v>25</v>
      </c>
      <c r="C323" s="24">
        <f t="shared" si="300"/>
        <v>292</v>
      </c>
      <c r="D323" s="7" t="e">
        <f t="shared" ca="1" si="337"/>
        <v>#N/A</v>
      </c>
      <c r="E323" s="26">
        <f t="array" aca="1" ref="E323" ca="1">AVERAGE(IF(INDIRECT(DatCol&amp;"$"&amp;TEXT(C323,"###")):INDIRECT(DatCol&amp;"$"&amp;TEXT(C323+57,"###"))&gt;0,INDIRECT(DatCol&amp;"$"&amp;TEXT(C323,"###")):INDIRECT(DatCol&amp;"$"&amp;TEXT(C323+57,"###"))))</f>
        <v>263.125</v>
      </c>
      <c r="F323" s="26" t="str">
        <f t="shared" si="278"/>
        <v>S</v>
      </c>
      <c r="G323" s="8">
        <v>1</v>
      </c>
      <c r="H323" s="8">
        <v>0</v>
      </c>
      <c r="I323" s="8">
        <v>0</v>
      </c>
      <c r="J323" s="8">
        <v>2</v>
      </c>
      <c r="K323" s="9">
        <f t="shared" si="277"/>
        <v>3</v>
      </c>
      <c r="L323" s="12" t="s">
        <v>28</v>
      </c>
      <c r="M323" s="11">
        <f t="shared" si="319"/>
        <v>0</v>
      </c>
      <c r="N323" s="12" t="s">
        <v>29</v>
      </c>
      <c r="O323" s="11">
        <f t="shared" si="320"/>
        <v>0</v>
      </c>
      <c r="Q323" s="11">
        <f t="shared" si="321"/>
        <v>0</v>
      </c>
      <c r="Y323" s="11">
        <f t="shared" si="322"/>
        <v>0</v>
      </c>
      <c r="AG323" s="11">
        <f t="shared" si="323"/>
        <v>0</v>
      </c>
      <c r="AI323" s="11">
        <f t="shared" si="324"/>
        <v>0</v>
      </c>
      <c r="AK323" s="13">
        <f t="shared" si="325"/>
        <v>0</v>
      </c>
      <c r="AM323" s="13">
        <f t="shared" si="326"/>
        <v>0</v>
      </c>
      <c r="AO323" s="11">
        <f t="shared" si="327"/>
        <v>0</v>
      </c>
      <c r="AQ323" s="11">
        <f t="shared" si="328"/>
        <v>0</v>
      </c>
      <c r="AS323" s="11">
        <f t="shared" si="329"/>
        <v>0</v>
      </c>
      <c r="AU323" s="11">
        <f t="shared" si="330"/>
        <v>0</v>
      </c>
      <c r="AW323" s="11">
        <f t="shared" si="331"/>
        <v>0</v>
      </c>
      <c r="AY323" s="11">
        <f t="shared" si="332"/>
        <v>0</v>
      </c>
      <c r="BA323" s="11">
        <f t="shared" si="333"/>
        <v>0</v>
      </c>
      <c r="BC323" s="11">
        <f t="shared" si="334"/>
        <v>0</v>
      </c>
      <c r="BE323" s="11">
        <f t="shared" si="335"/>
        <v>0</v>
      </c>
      <c r="BG323" s="11">
        <f t="shared" si="336"/>
        <v>0</v>
      </c>
      <c r="BN323" s="8">
        <f t="shared" si="275"/>
        <v>0</v>
      </c>
      <c r="BO323" s="8">
        <f t="shared" si="276"/>
        <v>0</v>
      </c>
      <c r="BP323" s="8">
        <f t="shared" si="297"/>
        <v>0</v>
      </c>
      <c r="BQ323" s="12">
        <f t="shared" si="298"/>
        <v>0</v>
      </c>
    </row>
    <row r="324" spans="1:69">
      <c r="A324" s="28">
        <v>1987</v>
      </c>
      <c r="B324" s="27" t="s">
        <v>25</v>
      </c>
      <c r="C324" s="24">
        <f t="shared" si="300"/>
        <v>292</v>
      </c>
      <c r="D324" s="7" t="e">
        <f t="shared" ca="1" si="337"/>
        <v>#N/A</v>
      </c>
      <c r="E324" s="26">
        <f t="array" aca="1" ref="E324" ca="1">AVERAGE(IF(INDIRECT(DatCol&amp;"$"&amp;TEXT(C324,"###")):INDIRECT(DatCol&amp;"$"&amp;TEXT(C324+57,"###"))&gt;0,INDIRECT(DatCol&amp;"$"&amp;TEXT(C324,"###")):INDIRECT(DatCol&amp;"$"&amp;TEXT(C324+57,"###"))))</f>
        <v>263.125</v>
      </c>
      <c r="F324" s="26" t="str">
        <f t="shared" si="278"/>
        <v>S</v>
      </c>
      <c r="G324" s="8"/>
      <c r="H324" s="8">
        <v>0</v>
      </c>
      <c r="I324" s="8">
        <v>0</v>
      </c>
      <c r="J324" s="8">
        <v>4</v>
      </c>
      <c r="K324" s="9">
        <f t="shared" si="277"/>
        <v>4</v>
      </c>
      <c r="L324" s="12" t="s">
        <v>28</v>
      </c>
      <c r="M324" s="11">
        <f t="shared" si="319"/>
        <v>0</v>
      </c>
      <c r="N324" s="12" t="s">
        <v>29</v>
      </c>
      <c r="O324" s="11">
        <f t="shared" si="320"/>
        <v>0</v>
      </c>
      <c r="Q324" s="11">
        <f t="shared" si="321"/>
        <v>0</v>
      </c>
      <c r="Y324" s="11">
        <f t="shared" si="322"/>
        <v>0</v>
      </c>
      <c r="AG324" s="11">
        <f t="shared" si="323"/>
        <v>0</v>
      </c>
      <c r="AI324" s="11">
        <f t="shared" si="324"/>
        <v>0</v>
      </c>
      <c r="AK324" s="13">
        <f t="shared" si="325"/>
        <v>0</v>
      </c>
      <c r="AM324" s="13">
        <f t="shared" si="326"/>
        <v>0</v>
      </c>
      <c r="AO324" s="11">
        <f t="shared" si="327"/>
        <v>0</v>
      </c>
      <c r="AQ324" s="11">
        <f t="shared" si="328"/>
        <v>0</v>
      </c>
      <c r="AS324" s="11">
        <f t="shared" si="329"/>
        <v>0</v>
      </c>
      <c r="AU324" s="11">
        <f t="shared" si="330"/>
        <v>0</v>
      </c>
      <c r="AW324" s="11">
        <f t="shared" si="331"/>
        <v>0</v>
      </c>
      <c r="AY324" s="11">
        <f t="shared" si="332"/>
        <v>0</v>
      </c>
      <c r="BA324" s="11">
        <f t="shared" si="333"/>
        <v>0</v>
      </c>
      <c r="BC324" s="11">
        <f t="shared" si="334"/>
        <v>0</v>
      </c>
      <c r="BE324" s="11">
        <f t="shared" si="335"/>
        <v>0</v>
      </c>
      <c r="BG324" s="11">
        <f t="shared" si="336"/>
        <v>0</v>
      </c>
      <c r="BN324" s="8">
        <f t="shared" si="275"/>
        <v>0</v>
      </c>
      <c r="BO324" s="8">
        <f t="shared" si="276"/>
        <v>0</v>
      </c>
      <c r="BP324" s="8">
        <f t="shared" si="297"/>
        <v>0</v>
      </c>
      <c r="BQ324" s="12">
        <f t="shared" si="298"/>
        <v>0</v>
      </c>
    </row>
    <row r="325" spans="1:69">
      <c r="A325" s="28">
        <v>1988</v>
      </c>
      <c r="B325" s="27" t="s">
        <v>25</v>
      </c>
      <c r="C325" s="24">
        <f t="shared" si="300"/>
        <v>292</v>
      </c>
      <c r="D325" s="7" t="e">
        <f t="shared" ca="1" si="337"/>
        <v>#N/A</v>
      </c>
      <c r="E325" s="26">
        <f t="array" aca="1" ref="E325" ca="1">AVERAGE(IF(INDIRECT(DatCol&amp;"$"&amp;TEXT(C325,"###")):INDIRECT(DatCol&amp;"$"&amp;TEXT(C325+57,"###"))&gt;0,INDIRECT(DatCol&amp;"$"&amp;TEXT(C325,"###")):INDIRECT(DatCol&amp;"$"&amp;TEXT(C325+57,"###"))))</f>
        <v>263.125</v>
      </c>
      <c r="F325" s="26" t="str">
        <f t="shared" si="278"/>
        <v>S</v>
      </c>
      <c r="G325" s="8"/>
      <c r="K325" s="9">
        <f t="shared" si="277"/>
        <v>0</v>
      </c>
      <c r="L325" s="12" t="s">
        <v>28</v>
      </c>
      <c r="M325" s="11">
        <f t="shared" si="319"/>
        <v>0</v>
      </c>
      <c r="O325" s="11">
        <f t="shared" si="320"/>
        <v>0</v>
      </c>
      <c r="Q325" s="11">
        <f t="shared" si="321"/>
        <v>0</v>
      </c>
      <c r="Y325" s="11">
        <f t="shared" si="322"/>
        <v>0</v>
      </c>
      <c r="AG325" s="11">
        <f t="shared" si="323"/>
        <v>0</v>
      </c>
      <c r="AI325" s="11">
        <f t="shared" si="324"/>
        <v>0</v>
      </c>
      <c r="AK325" s="13">
        <f t="shared" si="325"/>
        <v>0</v>
      </c>
      <c r="AM325" s="13">
        <f t="shared" si="326"/>
        <v>0</v>
      </c>
      <c r="AO325" s="11">
        <f t="shared" si="327"/>
        <v>0</v>
      </c>
      <c r="AQ325" s="11">
        <f t="shared" si="328"/>
        <v>0</v>
      </c>
      <c r="AS325" s="11">
        <f t="shared" si="329"/>
        <v>0</v>
      </c>
      <c r="AU325" s="11">
        <f t="shared" si="330"/>
        <v>0</v>
      </c>
      <c r="AW325" s="11">
        <f t="shared" si="331"/>
        <v>0</v>
      </c>
      <c r="AY325" s="11">
        <f t="shared" si="332"/>
        <v>0</v>
      </c>
      <c r="BA325" s="11">
        <f t="shared" si="333"/>
        <v>0</v>
      </c>
      <c r="BC325" s="11">
        <f t="shared" si="334"/>
        <v>0</v>
      </c>
      <c r="BE325" s="11">
        <f t="shared" si="335"/>
        <v>0</v>
      </c>
      <c r="BG325" s="11">
        <f t="shared" si="336"/>
        <v>0</v>
      </c>
      <c r="BN325" s="8">
        <f t="shared" si="275"/>
        <v>0</v>
      </c>
      <c r="BO325" s="8">
        <f t="shared" si="276"/>
        <v>0</v>
      </c>
      <c r="BP325" s="8">
        <f t="shared" si="297"/>
        <v>0</v>
      </c>
      <c r="BQ325" s="12">
        <f t="shared" si="298"/>
        <v>0</v>
      </c>
    </row>
    <row r="326" spans="1:69">
      <c r="A326" s="28">
        <v>1989</v>
      </c>
      <c r="B326" s="27" t="s">
        <v>25</v>
      </c>
      <c r="C326" s="24">
        <f t="shared" si="300"/>
        <v>292</v>
      </c>
      <c r="D326" s="7" t="e">
        <f t="shared" ca="1" si="337"/>
        <v>#N/A</v>
      </c>
      <c r="E326" s="26">
        <f t="array" aca="1" ref="E326" ca="1">AVERAGE(IF(INDIRECT(DatCol&amp;"$"&amp;TEXT(C326,"###")):INDIRECT(DatCol&amp;"$"&amp;TEXT(C326+57,"###"))&gt;0,INDIRECT(DatCol&amp;"$"&amp;TEXT(C326,"###")):INDIRECT(DatCol&amp;"$"&amp;TEXT(C326+57,"###"))))</f>
        <v>263.125</v>
      </c>
      <c r="F326" s="26" t="str">
        <f t="shared" si="278"/>
        <v>S</v>
      </c>
      <c r="G326" s="8">
        <v>2</v>
      </c>
      <c r="H326" s="8">
        <v>0</v>
      </c>
      <c r="I326" s="8">
        <v>0</v>
      </c>
      <c r="J326" s="8">
        <v>0</v>
      </c>
      <c r="K326" s="9">
        <f t="shared" si="277"/>
        <v>2</v>
      </c>
      <c r="M326" s="11">
        <f t="shared" si="319"/>
        <v>0</v>
      </c>
      <c r="O326" s="11">
        <f t="shared" si="320"/>
        <v>0</v>
      </c>
      <c r="Q326" s="11">
        <f t="shared" si="321"/>
        <v>0</v>
      </c>
      <c r="Y326" s="11">
        <f t="shared" si="322"/>
        <v>0</v>
      </c>
      <c r="AG326" s="11">
        <f t="shared" si="323"/>
        <v>0</v>
      </c>
      <c r="AI326" s="11">
        <f t="shared" si="324"/>
        <v>0</v>
      </c>
      <c r="AK326" s="13">
        <f t="shared" si="325"/>
        <v>0</v>
      </c>
      <c r="AM326" s="13">
        <f t="shared" si="326"/>
        <v>0</v>
      </c>
      <c r="AO326" s="11">
        <f t="shared" si="327"/>
        <v>0</v>
      </c>
      <c r="AQ326" s="11">
        <f t="shared" si="328"/>
        <v>0</v>
      </c>
      <c r="AS326" s="11">
        <f t="shared" si="329"/>
        <v>0</v>
      </c>
      <c r="AU326" s="11">
        <f t="shared" si="330"/>
        <v>0</v>
      </c>
      <c r="AW326" s="11">
        <f t="shared" si="331"/>
        <v>0</v>
      </c>
      <c r="AY326" s="11">
        <f t="shared" si="332"/>
        <v>0</v>
      </c>
      <c r="BA326" s="11">
        <f t="shared" si="333"/>
        <v>0</v>
      </c>
      <c r="BC326" s="11">
        <f t="shared" si="334"/>
        <v>0</v>
      </c>
      <c r="BE326" s="11">
        <f t="shared" si="335"/>
        <v>0</v>
      </c>
      <c r="BG326" s="11">
        <f t="shared" si="336"/>
        <v>0</v>
      </c>
      <c r="BN326" s="8">
        <f t="shared" ref="BN326:BN390" si="338">(L326+P326+R326+T326+V326+X326+Z326+AB326+AD326+AF326+AJ326+AN326+AR326+AV326+AZ326+BD326)</f>
        <v>0</v>
      </c>
      <c r="BO326" s="8">
        <f t="shared" si="276"/>
        <v>0</v>
      </c>
      <c r="BP326" s="8">
        <f t="shared" si="297"/>
        <v>0</v>
      </c>
      <c r="BQ326" s="12">
        <f t="shared" si="298"/>
        <v>0</v>
      </c>
    </row>
    <row r="327" spans="1:69">
      <c r="A327" s="28">
        <v>1990</v>
      </c>
      <c r="B327" s="27" t="s">
        <v>25</v>
      </c>
      <c r="C327" s="24">
        <f t="shared" si="300"/>
        <v>292</v>
      </c>
      <c r="D327" s="7" t="e">
        <f t="shared" ca="1" si="337"/>
        <v>#N/A</v>
      </c>
      <c r="E327" s="26">
        <f t="array" aca="1" ref="E327" ca="1">AVERAGE(IF(INDIRECT(DatCol&amp;"$"&amp;TEXT(C327,"###")):INDIRECT(DatCol&amp;"$"&amp;TEXT(C327+57,"###"))&gt;0,INDIRECT(DatCol&amp;"$"&amp;TEXT(C327,"###")):INDIRECT(DatCol&amp;"$"&amp;TEXT(C327+57,"###"))))</f>
        <v>263.125</v>
      </c>
      <c r="F327" s="26" t="str">
        <f t="shared" si="278"/>
        <v>S</v>
      </c>
      <c r="G327" s="8">
        <v>0</v>
      </c>
      <c r="H327" s="8">
        <v>0</v>
      </c>
      <c r="I327" s="8">
        <v>0</v>
      </c>
      <c r="J327" s="8">
        <v>0</v>
      </c>
      <c r="K327" s="9">
        <f t="shared" si="277"/>
        <v>0</v>
      </c>
      <c r="M327" s="11">
        <f t="shared" si="319"/>
        <v>0</v>
      </c>
      <c r="O327" s="11">
        <f t="shared" si="320"/>
        <v>0</v>
      </c>
      <c r="Q327" s="11">
        <f t="shared" si="321"/>
        <v>0</v>
      </c>
      <c r="Y327" s="11">
        <f t="shared" si="322"/>
        <v>0</v>
      </c>
      <c r="AG327" s="11">
        <f t="shared" si="323"/>
        <v>0</v>
      </c>
      <c r="AI327" s="11">
        <f t="shared" si="324"/>
        <v>0</v>
      </c>
      <c r="AK327" s="13">
        <f t="shared" si="325"/>
        <v>0</v>
      </c>
      <c r="AM327" s="13">
        <f t="shared" si="326"/>
        <v>0</v>
      </c>
      <c r="AO327" s="11">
        <f t="shared" si="327"/>
        <v>0</v>
      </c>
      <c r="AQ327" s="11">
        <f t="shared" si="328"/>
        <v>0</v>
      </c>
      <c r="AS327" s="11">
        <f t="shared" si="329"/>
        <v>0</v>
      </c>
      <c r="AU327" s="11">
        <f t="shared" si="330"/>
        <v>0</v>
      </c>
      <c r="AW327" s="11">
        <f t="shared" si="331"/>
        <v>0</v>
      </c>
      <c r="AY327" s="11">
        <f t="shared" si="332"/>
        <v>0</v>
      </c>
      <c r="BA327" s="11">
        <f t="shared" si="333"/>
        <v>0</v>
      </c>
      <c r="BC327" s="11">
        <f t="shared" si="334"/>
        <v>0</v>
      </c>
      <c r="BE327" s="11">
        <f t="shared" si="335"/>
        <v>0</v>
      </c>
      <c r="BG327" s="11">
        <f t="shared" si="336"/>
        <v>0</v>
      </c>
      <c r="BN327" s="8">
        <f t="shared" si="338"/>
        <v>0</v>
      </c>
      <c r="BO327" s="8">
        <f t="shared" ref="BO327:BO391" si="339">(M327+Q327+S327+U327+W327+Y327+AA327+AC327+AG327+AK327+AO327+AS327+AW327+BA327+BE327)</f>
        <v>0</v>
      </c>
      <c r="BP327" s="8">
        <f t="shared" si="297"/>
        <v>0</v>
      </c>
      <c r="BQ327" s="12">
        <f t="shared" si="298"/>
        <v>0</v>
      </c>
    </row>
    <row r="328" spans="1:69">
      <c r="A328" s="28">
        <v>1991</v>
      </c>
      <c r="B328" s="27" t="s">
        <v>25</v>
      </c>
      <c r="C328" s="24">
        <f t="shared" si="300"/>
        <v>292</v>
      </c>
      <c r="D328" s="7" t="e">
        <f t="shared" ca="1" si="337"/>
        <v>#N/A</v>
      </c>
      <c r="E328" s="26">
        <f t="array" aca="1" ref="E328" ca="1">AVERAGE(IF(INDIRECT(DatCol&amp;"$"&amp;TEXT(C328,"###")):INDIRECT(DatCol&amp;"$"&amp;TEXT(C328+57,"###"))&gt;0,INDIRECT(DatCol&amp;"$"&amp;TEXT(C328,"###")):INDIRECT(DatCol&amp;"$"&amp;TEXT(C328+57,"###"))))</f>
        <v>263.125</v>
      </c>
      <c r="F328" s="26" t="str">
        <f t="shared" si="278"/>
        <v>S</v>
      </c>
      <c r="G328" s="8">
        <v>0</v>
      </c>
      <c r="H328" s="8">
        <v>0</v>
      </c>
      <c r="I328" s="8">
        <v>0</v>
      </c>
      <c r="J328" s="8">
        <v>0</v>
      </c>
      <c r="K328" s="9">
        <f t="shared" ref="K328:K392" si="340">G328+H328+J328</f>
        <v>0</v>
      </c>
      <c r="L328" s="12">
        <v>0</v>
      </c>
      <c r="M328" s="11">
        <f t="shared" si="319"/>
        <v>0</v>
      </c>
      <c r="N328" s="12">
        <v>0</v>
      </c>
      <c r="O328" s="11">
        <f t="shared" si="320"/>
        <v>0</v>
      </c>
      <c r="P328" s="12">
        <v>0</v>
      </c>
      <c r="Q328" s="11">
        <f t="shared" si="321"/>
        <v>0</v>
      </c>
      <c r="X328" s="12">
        <v>0</v>
      </c>
      <c r="Y328" s="11">
        <f t="shared" si="322"/>
        <v>0</v>
      </c>
      <c r="AF328" s="12">
        <v>0</v>
      </c>
      <c r="AG328" s="11">
        <f t="shared" si="323"/>
        <v>0</v>
      </c>
      <c r="AH328" s="12">
        <v>0</v>
      </c>
      <c r="AI328" s="11">
        <f t="shared" si="324"/>
        <v>0</v>
      </c>
      <c r="AJ328" s="12">
        <v>0</v>
      </c>
      <c r="AK328" s="13">
        <f t="shared" si="325"/>
        <v>0</v>
      </c>
      <c r="AL328" s="12">
        <v>0</v>
      </c>
      <c r="AM328" s="13">
        <f t="shared" si="326"/>
        <v>0</v>
      </c>
      <c r="AN328" s="12">
        <v>0</v>
      </c>
      <c r="AO328" s="11">
        <f t="shared" si="327"/>
        <v>0</v>
      </c>
      <c r="AP328" s="12">
        <v>0</v>
      </c>
      <c r="AQ328" s="11">
        <f t="shared" si="328"/>
        <v>0</v>
      </c>
      <c r="AR328" s="12">
        <v>0</v>
      </c>
      <c r="AS328" s="11">
        <f t="shared" si="329"/>
        <v>0</v>
      </c>
      <c r="AT328" s="12">
        <v>0</v>
      </c>
      <c r="AU328" s="11">
        <f t="shared" si="330"/>
        <v>0</v>
      </c>
      <c r="AV328" s="12">
        <v>0</v>
      </c>
      <c r="AW328" s="11">
        <f t="shared" si="331"/>
        <v>0</v>
      </c>
      <c r="AX328" s="12">
        <v>0</v>
      </c>
      <c r="AY328" s="11">
        <f t="shared" si="332"/>
        <v>0</v>
      </c>
      <c r="AZ328" s="12">
        <v>0</v>
      </c>
      <c r="BA328" s="11">
        <f t="shared" si="333"/>
        <v>0</v>
      </c>
      <c r="BB328" s="12">
        <v>0</v>
      </c>
      <c r="BC328" s="11">
        <f t="shared" si="334"/>
        <v>0</v>
      </c>
      <c r="BD328" s="12">
        <v>0</v>
      </c>
      <c r="BE328" s="11">
        <f t="shared" si="335"/>
        <v>0</v>
      </c>
      <c r="BF328" s="12">
        <v>0</v>
      </c>
      <c r="BG328" s="11">
        <f t="shared" si="336"/>
        <v>0</v>
      </c>
      <c r="BH328" s="13">
        <v>0</v>
      </c>
      <c r="BI328" s="13">
        <v>0</v>
      </c>
      <c r="BJ328" s="12">
        <v>0</v>
      </c>
      <c r="BK328" s="13"/>
      <c r="BL328" s="12">
        <v>0</v>
      </c>
      <c r="BN328" s="8">
        <f t="shared" si="338"/>
        <v>0</v>
      </c>
      <c r="BO328" s="8">
        <f t="shared" si="339"/>
        <v>0</v>
      </c>
      <c r="BP328" s="8">
        <f t="shared" si="297"/>
        <v>0</v>
      </c>
      <c r="BQ328" s="12">
        <f t="shared" si="298"/>
        <v>0</v>
      </c>
    </row>
    <row r="329" spans="1:69">
      <c r="A329" s="28">
        <v>1992</v>
      </c>
      <c r="B329" s="27" t="s">
        <v>25</v>
      </c>
      <c r="C329" s="24">
        <f t="shared" si="300"/>
        <v>292</v>
      </c>
      <c r="D329" s="7" t="e">
        <f t="shared" ca="1" si="337"/>
        <v>#N/A</v>
      </c>
      <c r="E329" s="26">
        <f t="array" aca="1" ref="E329" ca="1">AVERAGE(IF(INDIRECT(DatCol&amp;"$"&amp;TEXT(C329,"###")):INDIRECT(DatCol&amp;"$"&amp;TEXT(C329+57,"###"))&gt;0,INDIRECT(DatCol&amp;"$"&amp;TEXT(C329,"###")):INDIRECT(DatCol&amp;"$"&amp;TEXT(C329+57,"###"))))</f>
        <v>263.125</v>
      </c>
      <c r="F329" s="26" t="str">
        <f t="shared" si="278"/>
        <v>S</v>
      </c>
      <c r="G329" s="8">
        <v>0</v>
      </c>
      <c r="H329" s="8">
        <v>0</v>
      </c>
      <c r="I329" s="8">
        <v>0</v>
      </c>
      <c r="J329" s="8">
        <v>0</v>
      </c>
      <c r="K329" s="9">
        <f t="shared" si="340"/>
        <v>0</v>
      </c>
      <c r="L329" s="12">
        <v>0</v>
      </c>
      <c r="M329" s="11">
        <f t="shared" si="319"/>
        <v>0</v>
      </c>
      <c r="N329" s="12">
        <v>0</v>
      </c>
      <c r="O329" s="11">
        <f t="shared" si="320"/>
        <v>0</v>
      </c>
      <c r="P329" s="12">
        <v>0</v>
      </c>
      <c r="Q329" s="11">
        <f t="shared" si="321"/>
        <v>0</v>
      </c>
      <c r="X329" s="12">
        <v>0</v>
      </c>
      <c r="Y329" s="11">
        <f t="shared" si="322"/>
        <v>0</v>
      </c>
      <c r="AF329" s="12">
        <v>0</v>
      </c>
      <c r="AG329" s="11">
        <f t="shared" si="323"/>
        <v>0</v>
      </c>
      <c r="AH329" s="12">
        <v>0</v>
      </c>
      <c r="AI329" s="11">
        <f t="shared" si="324"/>
        <v>0</v>
      </c>
      <c r="AJ329" s="12">
        <v>0</v>
      </c>
      <c r="AK329" s="13">
        <f t="shared" si="325"/>
        <v>0</v>
      </c>
      <c r="AL329" s="12">
        <v>0</v>
      </c>
      <c r="AM329" s="13">
        <f t="shared" si="326"/>
        <v>0</v>
      </c>
      <c r="AN329" s="12">
        <v>0</v>
      </c>
      <c r="AO329" s="11">
        <f t="shared" si="327"/>
        <v>0</v>
      </c>
      <c r="AP329" s="12">
        <v>0</v>
      </c>
      <c r="AQ329" s="11">
        <f t="shared" si="328"/>
        <v>0</v>
      </c>
      <c r="AR329" s="12">
        <v>0</v>
      </c>
      <c r="AS329" s="11">
        <f t="shared" si="329"/>
        <v>0</v>
      </c>
      <c r="AT329" s="12">
        <v>0</v>
      </c>
      <c r="AU329" s="11">
        <f t="shared" si="330"/>
        <v>0</v>
      </c>
      <c r="AV329" s="12">
        <v>0</v>
      </c>
      <c r="AW329" s="11">
        <f t="shared" si="331"/>
        <v>0</v>
      </c>
      <c r="AX329" s="12">
        <v>0</v>
      </c>
      <c r="AY329" s="11">
        <f t="shared" si="332"/>
        <v>0</v>
      </c>
      <c r="AZ329" s="12">
        <v>0</v>
      </c>
      <c r="BA329" s="11">
        <f t="shared" si="333"/>
        <v>0</v>
      </c>
      <c r="BB329" s="12">
        <v>0</v>
      </c>
      <c r="BC329" s="11">
        <f t="shared" si="334"/>
        <v>0</v>
      </c>
      <c r="BD329" s="12">
        <v>0</v>
      </c>
      <c r="BE329" s="11">
        <f t="shared" si="335"/>
        <v>0</v>
      </c>
      <c r="BF329" s="12">
        <v>0</v>
      </c>
      <c r="BG329" s="11">
        <f t="shared" si="336"/>
        <v>0</v>
      </c>
      <c r="BH329" s="13">
        <v>0</v>
      </c>
      <c r="BI329" s="13">
        <v>0</v>
      </c>
      <c r="BJ329" s="12">
        <v>0</v>
      </c>
      <c r="BK329" s="13"/>
      <c r="BL329" s="12">
        <v>0</v>
      </c>
      <c r="BN329" s="8">
        <f t="shared" si="338"/>
        <v>0</v>
      </c>
      <c r="BO329" s="8">
        <f t="shared" si="339"/>
        <v>0</v>
      </c>
      <c r="BP329" s="8">
        <f t="shared" si="297"/>
        <v>0</v>
      </c>
      <c r="BQ329" s="12">
        <f t="shared" si="298"/>
        <v>0</v>
      </c>
    </row>
    <row r="330" spans="1:69">
      <c r="A330" s="28">
        <v>1993</v>
      </c>
      <c r="B330" s="27" t="s">
        <v>25</v>
      </c>
      <c r="C330" s="24">
        <f t="shared" si="300"/>
        <v>292</v>
      </c>
      <c r="D330" s="7" t="e">
        <f t="shared" ca="1" si="337"/>
        <v>#N/A</v>
      </c>
      <c r="E330" s="26">
        <f t="array" aca="1" ref="E330" ca="1">AVERAGE(IF(INDIRECT(DatCol&amp;"$"&amp;TEXT(C330,"###")):INDIRECT(DatCol&amp;"$"&amp;TEXT(C330+57,"###"))&gt;0,INDIRECT(DatCol&amp;"$"&amp;TEXT(C330,"###")):INDIRECT(DatCol&amp;"$"&amp;TEXT(C330+57,"###"))))</f>
        <v>263.125</v>
      </c>
      <c r="F330" s="26" t="str">
        <f t="shared" si="278"/>
        <v>S</v>
      </c>
      <c r="G330" s="8">
        <v>0</v>
      </c>
      <c r="H330" s="8">
        <v>0</v>
      </c>
      <c r="I330" s="8">
        <v>0</v>
      </c>
      <c r="J330" s="8">
        <v>0</v>
      </c>
      <c r="K330" s="9">
        <f t="shared" si="340"/>
        <v>0</v>
      </c>
      <c r="L330" s="12">
        <v>0</v>
      </c>
      <c r="M330" s="11">
        <f t="shared" si="319"/>
        <v>0</v>
      </c>
      <c r="N330" s="12">
        <v>0</v>
      </c>
      <c r="O330" s="11">
        <f t="shared" si="320"/>
        <v>0</v>
      </c>
      <c r="P330" s="12">
        <v>0</v>
      </c>
      <c r="Q330" s="11">
        <f t="shared" si="321"/>
        <v>0</v>
      </c>
      <c r="X330" s="12">
        <v>0</v>
      </c>
      <c r="Y330" s="11">
        <f t="shared" si="322"/>
        <v>0</v>
      </c>
      <c r="AF330" s="12">
        <v>0</v>
      </c>
      <c r="AG330" s="11">
        <f t="shared" si="323"/>
        <v>0</v>
      </c>
      <c r="AH330" s="12">
        <v>0</v>
      </c>
      <c r="AI330" s="11">
        <f t="shared" si="324"/>
        <v>0</v>
      </c>
      <c r="AJ330" s="12">
        <v>0</v>
      </c>
      <c r="AK330" s="13">
        <f t="shared" si="325"/>
        <v>0</v>
      </c>
      <c r="AL330" s="12">
        <v>0</v>
      </c>
      <c r="AM330" s="13">
        <f t="shared" si="326"/>
        <v>0</v>
      </c>
      <c r="AN330" s="12">
        <v>0</v>
      </c>
      <c r="AO330" s="11">
        <f t="shared" si="327"/>
        <v>0</v>
      </c>
      <c r="AP330" s="12">
        <v>0</v>
      </c>
      <c r="AQ330" s="11">
        <f t="shared" si="328"/>
        <v>0</v>
      </c>
      <c r="AR330" s="12">
        <v>0</v>
      </c>
      <c r="AS330" s="11">
        <f t="shared" si="329"/>
        <v>0</v>
      </c>
      <c r="AT330" s="12">
        <v>0</v>
      </c>
      <c r="AU330" s="11">
        <f t="shared" si="330"/>
        <v>0</v>
      </c>
      <c r="AV330" s="12">
        <v>0</v>
      </c>
      <c r="AW330" s="11">
        <f t="shared" si="331"/>
        <v>0</v>
      </c>
      <c r="AX330" s="12">
        <v>0</v>
      </c>
      <c r="AY330" s="11">
        <f t="shared" si="332"/>
        <v>0</v>
      </c>
      <c r="AZ330" s="12">
        <v>0</v>
      </c>
      <c r="BA330" s="11">
        <f t="shared" si="333"/>
        <v>0</v>
      </c>
      <c r="BB330" s="12">
        <v>0</v>
      </c>
      <c r="BC330" s="11">
        <f t="shared" si="334"/>
        <v>0</v>
      </c>
      <c r="BD330" s="12">
        <v>0</v>
      </c>
      <c r="BE330" s="11">
        <f t="shared" si="335"/>
        <v>0</v>
      </c>
      <c r="BF330" s="12">
        <v>0</v>
      </c>
      <c r="BG330" s="11">
        <f t="shared" si="336"/>
        <v>0</v>
      </c>
      <c r="BH330" s="13">
        <v>0</v>
      </c>
      <c r="BI330" s="13">
        <v>0</v>
      </c>
      <c r="BJ330" s="12">
        <v>0</v>
      </c>
      <c r="BK330" s="13"/>
      <c r="BL330" s="12">
        <v>0</v>
      </c>
      <c r="BN330" s="8">
        <f t="shared" si="338"/>
        <v>0</v>
      </c>
      <c r="BO330" s="8">
        <f t="shared" si="339"/>
        <v>0</v>
      </c>
      <c r="BP330" s="8">
        <f t="shared" si="297"/>
        <v>0</v>
      </c>
      <c r="BQ330" s="12">
        <f t="shared" si="298"/>
        <v>0</v>
      </c>
    </row>
    <row r="331" spans="1:69">
      <c r="A331" s="28">
        <v>1994</v>
      </c>
      <c r="B331" s="27" t="s">
        <v>25</v>
      </c>
      <c r="C331" s="24">
        <f t="shared" si="300"/>
        <v>292</v>
      </c>
      <c r="D331" s="7" t="e">
        <f t="shared" ca="1" si="337"/>
        <v>#N/A</v>
      </c>
      <c r="E331" s="26">
        <f t="array" aca="1" ref="E331" ca="1">AVERAGE(IF(INDIRECT(DatCol&amp;"$"&amp;TEXT(C331,"###")):INDIRECT(DatCol&amp;"$"&amp;TEXT(C331+57,"###"))&gt;0,INDIRECT(DatCol&amp;"$"&amp;TEXT(C331,"###")):INDIRECT(DatCol&amp;"$"&amp;TEXT(C331+57,"###"))))</f>
        <v>263.125</v>
      </c>
      <c r="F331" s="26" t="str">
        <f t="shared" si="278"/>
        <v>S</v>
      </c>
      <c r="G331" s="8">
        <v>0</v>
      </c>
      <c r="H331" s="9">
        <v>0</v>
      </c>
      <c r="I331" s="9">
        <v>0</v>
      </c>
      <c r="J331" s="9">
        <v>0</v>
      </c>
      <c r="K331" s="9">
        <f t="shared" si="340"/>
        <v>0</v>
      </c>
      <c r="L331" s="10">
        <v>0</v>
      </c>
      <c r="M331" s="11">
        <f t="shared" si="319"/>
        <v>0</v>
      </c>
      <c r="O331" s="11">
        <f t="shared" si="320"/>
        <v>0</v>
      </c>
      <c r="Q331" s="11">
        <f t="shared" si="321"/>
        <v>0</v>
      </c>
      <c r="Y331" s="11">
        <f t="shared" si="322"/>
        <v>0</v>
      </c>
      <c r="AG331" s="11">
        <f t="shared" si="323"/>
        <v>0</v>
      </c>
      <c r="AI331" s="11">
        <f t="shared" si="324"/>
        <v>0</v>
      </c>
      <c r="AK331" s="13">
        <f t="shared" si="325"/>
        <v>0</v>
      </c>
      <c r="AM331" s="13">
        <f t="shared" si="326"/>
        <v>0</v>
      </c>
      <c r="AO331" s="11">
        <f t="shared" si="327"/>
        <v>0</v>
      </c>
      <c r="AQ331" s="11">
        <f t="shared" si="328"/>
        <v>0</v>
      </c>
      <c r="AS331" s="11">
        <f t="shared" si="329"/>
        <v>0</v>
      </c>
      <c r="AU331" s="11">
        <f t="shared" si="330"/>
        <v>0</v>
      </c>
      <c r="AW331" s="11">
        <f t="shared" si="331"/>
        <v>0</v>
      </c>
      <c r="AY331" s="11">
        <f t="shared" si="332"/>
        <v>0</v>
      </c>
      <c r="BA331" s="11">
        <f t="shared" si="333"/>
        <v>0</v>
      </c>
      <c r="BC331" s="11">
        <f t="shared" si="334"/>
        <v>0</v>
      </c>
      <c r="BE331" s="11">
        <f t="shared" si="335"/>
        <v>0</v>
      </c>
      <c r="BG331" s="11">
        <f t="shared" si="336"/>
        <v>0</v>
      </c>
      <c r="BN331" s="8">
        <f t="shared" si="338"/>
        <v>0</v>
      </c>
      <c r="BO331" s="8">
        <f t="shared" si="339"/>
        <v>0</v>
      </c>
      <c r="BP331" s="8">
        <f t="shared" si="297"/>
        <v>0</v>
      </c>
      <c r="BQ331" s="12">
        <f t="shared" si="298"/>
        <v>0</v>
      </c>
    </row>
    <row r="332" spans="1:69">
      <c r="A332" s="28">
        <v>1995</v>
      </c>
      <c r="B332" s="27" t="s">
        <v>25</v>
      </c>
      <c r="C332" s="24">
        <f t="shared" si="300"/>
        <v>292</v>
      </c>
      <c r="D332" s="7" t="e">
        <f t="shared" ca="1" si="337"/>
        <v>#N/A</v>
      </c>
      <c r="E332" s="26">
        <f t="array" aca="1" ref="E332" ca="1">AVERAGE(IF(INDIRECT(DatCol&amp;"$"&amp;TEXT(C332,"###")):INDIRECT(DatCol&amp;"$"&amp;TEXT(C332+57,"###"))&gt;0,INDIRECT(DatCol&amp;"$"&amp;TEXT(C332,"###")):INDIRECT(DatCol&amp;"$"&amp;TEXT(C332+57,"###"))))</f>
        <v>263.125</v>
      </c>
      <c r="F332" s="26" t="str">
        <f t="shared" si="278"/>
        <v>S</v>
      </c>
      <c r="G332" s="9">
        <v>0</v>
      </c>
      <c r="H332" s="9">
        <v>0</v>
      </c>
      <c r="I332" s="9">
        <v>0</v>
      </c>
      <c r="J332" s="9">
        <v>0</v>
      </c>
      <c r="K332" s="9">
        <f t="shared" si="340"/>
        <v>0</v>
      </c>
      <c r="L332" s="10">
        <v>0</v>
      </c>
      <c r="M332" s="11">
        <f t="shared" si="319"/>
        <v>0</v>
      </c>
      <c r="O332" s="11">
        <f t="shared" si="320"/>
        <v>0</v>
      </c>
      <c r="Q332" s="11">
        <f t="shared" si="321"/>
        <v>0</v>
      </c>
      <c r="Y332" s="11">
        <f t="shared" si="322"/>
        <v>0</v>
      </c>
      <c r="AG332" s="11">
        <f t="shared" si="323"/>
        <v>0</v>
      </c>
      <c r="AI332" s="11">
        <f t="shared" si="324"/>
        <v>0</v>
      </c>
      <c r="AK332" s="13">
        <f t="shared" si="325"/>
        <v>0</v>
      </c>
      <c r="AM332" s="13">
        <f t="shared" si="326"/>
        <v>0</v>
      </c>
      <c r="AO332" s="11">
        <f t="shared" si="327"/>
        <v>0</v>
      </c>
      <c r="AQ332" s="11">
        <f t="shared" si="328"/>
        <v>0</v>
      </c>
      <c r="AS332" s="11">
        <f t="shared" si="329"/>
        <v>0</v>
      </c>
      <c r="AU332" s="11">
        <f t="shared" si="330"/>
        <v>0</v>
      </c>
      <c r="AW332" s="11">
        <f t="shared" si="331"/>
        <v>0</v>
      </c>
      <c r="AY332" s="11">
        <f t="shared" si="332"/>
        <v>0</v>
      </c>
      <c r="BA332" s="11">
        <f t="shared" si="333"/>
        <v>0</v>
      </c>
      <c r="BC332" s="11">
        <f t="shared" si="334"/>
        <v>0</v>
      </c>
      <c r="BE332" s="11">
        <f t="shared" si="335"/>
        <v>0</v>
      </c>
      <c r="BG332" s="11">
        <f t="shared" si="336"/>
        <v>0</v>
      </c>
      <c r="BN332" s="8">
        <f t="shared" si="338"/>
        <v>0</v>
      </c>
      <c r="BO332" s="8">
        <f t="shared" si="339"/>
        <v>0</v>
      </c>
      <c r="BP332" s="8">
        <f t="shared" si="297"/>
        <v>0</v>
      </c>
      <c r="BQ332" s="12">
        <f t="shared" si="298"/>
        <v>0</v>
      </c>
    </row>
    <row r="333" spans="1:69">
      <c r="A333" s="28">
        <v>1996</v>
      </c>
      <c r="B333" s="27" t="s">
        <v>25</v>
      </c>
      <c r="C333" s="24">
        <f t="shared" si="300"/>
        <v>292</v>
      </c>
      <c r="D333" s="7" t="e">
        <f t="shared" ca="1" si="337"/>
        <v>#N/A</v>
      </c>
      <c r="E333" s="26">
        <f t="array" aca="1" ref="E333" ca="1">AVERAGE(IF(INDIRECT(DatCol&amp;"$"&amp;TEXT(C333,"###")):INDIRECT(DatCol&amp;"$"&amp;TEXT(C333+57,"###"))&gt;0,INDIRECT(DatCol&amp;"$"&amp;TEXT(C333,"###")):INDIRECT(DatCol&amp;"$"&amp;TEXT(C333+57,"###"))))</f>
        <v>263.125</v>
      </c>
      <c r="F333" s="26" t="str">
        <f t="shared" si="278"/>
        <v>S</v>
      </c>
      <c r="G333" s="9">
        <v>0</v>
      </c>
      <c r="H333" s="9">
        <v>0</v>
      </c>
      <c r="I333" s="9">
        <v>0</v>
      </c>
      <c r="J333" s="9">
        <v>0</v>
      </c>
      <c r="K333" s="9">
        <f t="shared" si="340"/>
        <v>0</v>
      </c>
      <c r="L333" s="10">
        <v>0</v>
      </c>
      <c r="M333" s="11">
        <f t="shared" si="319"/>
        <v>0</v>
      </c>
      <c r="O333" s="11">
        <f t="shared" si="320"/>
        <v>0</v>
      </c>
      <c r="Q333" s="11">
        <f t="shared" si="321"/>
        <v>0</v>
      </c>
      <c r="Y333" s="11">
        <f t="shared" si="322"/>
        <v>0</v>
      </c>
      <c r="AG333" s="11">
        <f t="shared" si="323"/>
        <v>0</v>
      </c>
      <c r="AI333" s="11">
        <f t="shared" si="324"/>
        <v>0</v>
      </c>
      <c r="AK333" s="13">
        <f t="shared" si="325"/>
        <v>0</v>
      </c>
      <c r="AM333" s="13">
        <f t="shared" si="326"/>
        <v>0</v>
      </c>
      <c r="AO333" s="11">
        <f t="shared" si="327"/>
        <v>0</v>
      </c>
      <c r="AQ333" s="11">
        <f t="shared" si="328"/>
        <v>0</v>
      </c>
      <c r="AS333" s="11">
        <f t="shared" si="329"/>
        <v>0</v>
      </c>
      <c r="AU333" s="11">
        <f t="shared" si="330"/>
        <v>0</v>
      </c>
      <c r="AW333" s="11">
        <f t="shared" si="331"/>
        <v>0</v>
      </c>
      <c r="AY333" s="11">
        <f t="shared" si="332"/>
        <v>0</v>
      </c>
      <c r="BA333" s="11">
        <f t="shared" si="333"/>
        <v>0</v>
      </c>
      <c r="BC333" s="11">
        <f t="shared" si="334"/>
        <v>0</v>
      </c>
      <c r="BE333" s="11">
        <f t="shared" si="335"/>
        <v>0</v>
      </c>
      <c r="BG333" s="11">
        <f t="shared" si="336"/>
        <v>0</v>
      </c>
      <c r="BN333" s="8">
        <f t="shared" si="338"/>
        <v>0</v>
      </c>
      <c r="BO333" s="8">
        <f t="shared" si="339"/>
        <v>0</v>
      </c>
      <c r="BP333" s="8">
        <f t="shared" si="297"/>
        <v>0</v>
      </c>
      <c r="BQ333" s="12">
        <f t="shared" si="298"/>
        <v>0</v>
      </c>
    </row>
    <row r="334" spans="1:69">
      <c r="A334" s="28">
        <v>1997</v>
      </c>
      <c r="B334" s="27" t="s">
        <v>25</v>
      </c>
      <c r="C334" s="24">
        <f t="shared" si="300"/>
        <v>292</v>
      </c>
      <c r="D334" s="7" t="e">
        <f t="shared" ca="1" si="337"/>
        <v>#N/A</v>
      </c>
      <c r="E334" s="26">
        <f t="array" aca="1" ref="E334" ca="1">AVERAGE(IF(INDIRECT(DatCol&amp;"$"&amp;TEXT(C334,"###")):INDIRECT(DatCol&amp;"$"&amp;TEXT(C334+57,"###"))&gt;0,INDIRECT(DatCol&amp;"$"&amp;TEXT(C334,"###")):INDIRECT(DatCol&amp;"$"&amp;TEXT(C334+57,"###"))))</f>
        <v>263.125</v>
      </c>
      <c r="F334" s="26" t="str">
        <f t="shared" si="278"/>
        <v>S</v>
      </c>
      <c r="G334" s="9">
        <v>0</v>
      </c>
      <c r="H334" s="9">
        <v>0</v>
      </c>
      <c r="I334" s="9">
        <v>0</v>
      </c>
      <c r="J334" s="9">
        <v>0</v>
      </c>
      <c r="K334" s="9">
        <f t="shared" si="340"/>
        <v>0</v>
      </c>
      <c r="L334" s="10">
        <v>0</v>
      </c>
      <c r="M334" s="11">
        <f t="shared" si="319"/>
        <v>0</v>
      </c>
      <c r="O334" s="11">
        <f t="shared" si="320"/>
        <v>0</v>
      </c>
      <c r="Q334" s="11">
        <f t="shared" si="321"/>
        <v>0</v>
      </c>
      <c r="Y334" s="11">
        <f t="shared" si="322"/>
        <v>0</v>
      </c>
      <c r="AG334" s="11">
        <f t="shared" si="323"/>
        <v>0</v>
      </c>
      <c r="AI334" s="11">
        <f t="shared" si="324"/>
        <v>0</v>
      </c>
      <c r="AK334" s="13">
        <f t="shared" si="325"/>
        <v>0</v>
      </c>
      <c r="AM334" s="13">
        <f t="shared" si="326"/>
        <v>0</v>
      </c>
      <c r="AO334" s="11">
        <f t="shared" si="327"/>
        <v>0</v>
      </c>
      <c r="AQ334" s="11">
        <f t="shared" si="328"/>
        <v>0</v>
      </c>
      <c r="AS334" s="11">
        <f t="shared" si="329"/>
        <v>0</v>
      </c>
      <c r="AU334" s="11">
        <f t="shared" si="330"/>
        <v>0</v>
      </c>
      <c r="AW334" s="11">
        <f t="shared" si="331"/>
        <v>0</v>
      </c>
      <c r="AY334" s="11">
        <f t="shared" si="332"/>
        <v>0</v>
      </c>
      <c r="BA334" s="11">
        <f t="shared" si="333"/>
        <v>0</v>
      </c>
      <c r="BC334" s="11">
        <f t="shared" si="334"/>
        <v>0</v>
      </c>
      <c r="BE334" s="11">
        <f t="shared" si="335"/>
        <v>0</v>
      </c>
      <c r="BG334" s="11">
        <f t="shared" si="336"/>
        <v>0</v>
      </c>
      <c r="BN334" s="8">
        <f t="shared" si="338"/>
        <v>0</v>
      </c>
      <c r="BO334" s="8">
        <f t="shared" si="339"/>
        <v>0</v>
      </c>
      <c r="BP334" s="8">
        <f t="shared" si="297"/>
        <v>0</v>
      </c>
      <c r="BQ334" s="12">
        <f t="shared" si="298"/>
        <v>0</v>
      </c>
    </row>
    <row r="335" spans="1:69">
      <c r="A335" s="28">
        <v>1998</v>
      </c>
      <c r="B335" s="27" t="s">
        <v>25</v>
      </c>
      <c r="C335" s="24">
        <f t="shared" si="300"/>
        <v>292</v>
      </c>
      <c r="D335" s="7" t="e">
        <f t="shared" ca="1" si="337"/>
        <v>#N/A</v>
      </c>
      <c r="E335" s="26">
        <f t="array" aca="1" ref="E335" ca="1">AVERAGE(IF(INDIRECT(DatCol&amp;"$"&amp;TEXT(C335,"###")):INDIRECT(DatCol&amp;"$"&amp;TEXT(C335+57,"###"))&gt;0,INDIRECT(DatCol&amp;"$"&amp;TEXT(C335,"###")):INDIRECT(DatCol&amp;"$"&amp;TEXT(C335+57,"###"))))</f>
        <v>263.125</v>
      </c>
      <c r="F335" s="26" t="str">
        <f t="shared" si="278"/>
        <v>S</v>
      </c>
      <c r="G335" s="9">
        <v>0</v>
      </c>
      <c r="H335" s="9">
        <v>0</v>
      </c>
      <c r="I335" s="9">
        <v>0</v>
      </c>
      <c r="J335" s="9">
        <v>0</v>
      </c>
      <c r="K335" s="9">
        <f t="shared" si="340"/>
        <v>0</v>
      </c>
      <c r="L335" s="10">
        <v>0</v>
      </c>
      <c r="M335" s="11">
        <v>0</v>
      </c>
      <c r="N335" s="10">
        <v>0</v>
      </c>
      <c r="O335" s="11">
        <v>0</v>
      </c>
      <c r="P335" s="10">
        <v>0</v>
      </c>
      <c r="Q335" s="11">
        <v>0</v>
      </c>
      <c r="X335" s="10">
        <v>0</v>
      </c>
      <c r="Y335" s="11">
        <v>0</v>
      </c>
      <c r="AF335" s="10">
        <v>0</v>
      </c>
      <c r="AG335" s="11">
        <v>0</v>
      </c>
      <c r="AH335" s="10">
        <v>0</v>
      </c>
      <c r="AI335" s="11">
        <v>0</v>
      </c>
      <c r="AJ335" s="10">
        <v>0</v>
      </c>
      <c r="AK335" s="13">
        <v>0</v>
      </c>
      <c r="AL335" s="10">
        <v>0</v>
      </c>
      <c r="AM335" s="13">
        <v>0</v>
      </c>
      <c r="AN335" s="10">
        <v>0</v>
      </c>
      <c r="AO335" s="11">
        <v>0</v>
      </c>
      <c r="AP335" s="10">
        <v>0</v>
      </c>
      <c r="AQ335" s="11">
        <v>0</v>
      </c>
      <c r="AR335" s="10">
        <v>0</v>
      </c>
      <c r="AS335" s="11">
        <v>0</v>
      </c>
      <c r="AT335" s="10">
        <v>0</v>
      </c>
      <c r="AU335" s="11">
        <v>0</v>
      </c>
      <c r="AV335" s="10">
        <v>0</v>
      </c>
      <c r="AW335" s="11">
        <v>0</v>
      </c>
      <c r="AX335" s="10">
        <v>0</v>
      </c>
      <c r="AY335" s="11">
        <v>0</v>
      </c>
      <c r="AZ335" s="10">
        <v>0</v>
      </c>
      <c r="BA335" s="11">
        <v>0</v>
      </c>
      <c r="BB335" s="10">
        <v>0</v>
      </c>
      <c r="BC335" s="11">
        <v>0</v>
      </c>
      <c r="BD335" s="10">
        <v>0</v>
      </c>
      <c r="BE335" s="11">
        <v>0</v>
      </c>
      <c r="BF335" s="10">
        <v>0</v>
      </c>
      <c r="BG335" s="11">
        <v>0</v>
      </c>
      <c r="BH335" s="11">
        <v>0</v>
      </c>
      <c r="BI335" s="11">
        <v>0</v>
      </c>
      <c r="BJ335" s="10">
        <v>0</v>
      </c>
      <c r="BK335" s="11">
        <v>0</v>
      </c>
      <c r="BL335" s="10">
        <v>0</v>
      </c>
      <c r="BM335" s="11">
        <v>0</v>
      </c>
      <c r="BN335" s="8">
        <f t="shared" si="338"/>
        <v>0</v>
      </c>
      <c r="BO335" s="8">
        <f t="shared" si="339"/>
        <v>0</v>
      </c>
      <c r="BP335" s="8">
        <f t="shared" si="297"/>
        <v>0</v>
      </c>
      <c r="BQ335" s="12">
        <f t="shared" si="298"/>
        <v>0</v>
      </c>
    </row>
    <row r="336" spans="1:69">
      <c r="A336" s="28">
        <v>1999</v>
      </c>
      <c r="B336" s="27" t="s">
        <v>25</v>
      </c>
      <c r="C336" s="24">
        <f t="shared" si="300"/>
        <v>292</v>
      </c>
      <c r="D336" s="7" t="e">
        <f t="shared" ca="1" si="337"/>
        <v>#N/A</v>
      </c>
      <c r="E336" s="26">
        <f t="array" aca="1" ref="E336" ca="1">AVERAGE(IF(INDIRECT(DatCol&amp;"$"&amp;TEXT(C336,"###")):INDIRECT(DatCol&amp;"$"&amp;TEXT(C336+57,"###"))&gt;0,INDIRECT(DatCol&amp;"$"&amp;TEXT(C336,"###")):INDIRECT(DatCol&amp;"$"&amp;TEXT(C336+57,"###"))))</f>
        <v>263.125</v>
      </c>
      <c r="F336" s="26" t="str">
        <f t="shared" si="278"/>
        <v>S</v>
      </c>
      <c r="G336" s="9">
        <v>0</v>
      </c>
      <c r="H336" s="9">
        <v>0</v>
      </c>
      <c r="I336" s="9">
        <v>0</v>
      </c>
      <c r="J336" s="9">
        <v>0</v>
      </c>
      <c r="K336" s="9">
        <f t="shared" si="340"/>
        <v>0</v>
      </c>
      <c r="AK336" s="13"/>
      <c r="AM336" s="13"/>
      <c r="BN336" s="8">
        <f t="shared" si="338"/>
        <v>0</v>
      </c>
      <c r="BO336" s="8">
        <f t="shared" si="339"/>
        <v>0</v>
      </c>
      <c r="BP336" s="8">
        <f t="shared" si="297"/>
        <v>0</v>
      </c>
      <c r="BQ336" s="12">
        <f t="shared" si="298"/>
        <v>0</v>
      </c>
    </row>
    <row r="337" spans="1:69">
      <c r="A337" s="28">
        <v>2000</v>
      </c>
      <c r="B337" s="27" t="s">
        <v>25</v>
      </c>
      <c r="C337" s="24">
        <f>C336</f>
        <v>292</v>
      </c>
      <c r="D337" s="7" t="e">
        <f t="shared" ca="1" si="337"/>
        <v>#N/A</v>
      </c>
      <c r="E337" s="26">
        <f t="array" aca="1" ref="E337" ca="1">AVERAGE(IF(INDIRECT(DatCol&amp;"$"&amp;TEXT(C337,"###")):INDIRECT(DatCol&amp;"$"&amp;TEXT(C337+57,"###"))&gt;0,INDIRECT(DatCol&amp;"$"&amp;TEXT(C337,"###")):INDIRECT(DatCol&amp;"$"&amp;TEXT(C337+57,"###"))))</f>
        <v>263.125</v>
      </c>
      <c r="F337" s="26" t="str">
        <f t="shared" ref="F337:F403" si="341">VLOOKUP(B337,town_region,2,FALSE)</f>
        <v>S</v>
      </c>
      <c r="K337" s="9">
        <f t="shared" si="340"/>
        <v>0</v>
      </c>
      <c r="AK337" s="13"/>
      <c r="AM337" s="13"/>
      <c r="BN337" s="8">
        <f t="shared" si="338"/>
        <v>0</v>
      </c>
      <c r="BO337" s="8">
        <f t="shared" si="339"/>
        <v>0</v>
      </c>
      <c r="BP337" s="8">
        <f t="shared" ref="BP337:BP401" si="342">(N337+X337+Z337+AB337+AD337+AH337+AL337+AP337+AT337+AX337+BB337+BF337)</f>
        <v>0</v>
      </c>
      <c r="BQ337" s="12">
        <f t="shared" ref="BQ337:BQ401" si="343">(O337+Y337+AA337+AC337+AE337+AI337+AM337+AQ337+AU337+AY337+BC337+BG337)</f>
        <v>0</v>
      </c>
    </row>
    <row r="338" spans="1:69">
      <c r="A338" s="28">
        <v>2001</v>
      </c>
      <c r="B338" s="27" t="s">
        <v>25</v>
      </c>
      <c r="C338" s="24">
        <f t="shared" si="300"/>
        <v>292</v>
      </c>
      <c r="D338" s="7" t="e">
        <f t="shared" ca="1" si="337"/>
        <v>#N/A</v>
      </c>
      <c r="E338" s="26">
        <f t="array" aca="1" ref="E338" ca="1">AVERAGE(IF(INDIRECT(DatCol&amp;"$"&amp;TEXT(C338,"###")):INDIRECT(DatCol&amp;"$"&amp;TEXT(C338+57,"###"))&gt;0,INDIRECT(DatCol&amp;"$"&amp;TEXT(C338,"###")):INDIRECT(DatCol&amp;"$"&amp;TEXT(C338+57,"###"))))</f>
        <v>263.125</v>
      </c>
      <c r="F338" s="26" t="str">
        <f t="shared" si="341"/>
        <v>S</v>
      </c>
      <c r="G338" s="9">
        <v>0</v>
      </c>
      <c r="H338" s="9">
        <v>0</v>
      </c>
      <c r="I338" s="9">
        <v>0</v>
      </c>
      <c r="J338" s="9">
        <v>0</v>
      </c>
      <c r="K338" s="9">
        <f t="shared" si="340"/>
        <v>0</v>
      </c>
      <c r="L338" s="10">
        <v>0</v>
      </c>
      <c r="M338" s="11">
        <v>0</v>
      </c>
      <c r="N338" s="10">
        <v>0</v>
      </c>
      <c r="O338" s="11">
        <v>0</v>
      </c>
      <c r="P338" s="10">
        <v>0</v>
      </c>
      <c r="AK338" s="13"/>
      <c r="AM338" s="13"/>
      <c r="BN338" s="8">
        <f t="shared" si="338"/>
        <v>0</v>
      </c>
      <c r="BO338" s="8">
        <f t="shared" si="339"/>
        <v>0</v>
      </c>
      <c r="BP338" s="8">
        <f t="shared" si="342"/>
        <v>0</v>
      </c>
      <c r="BQ338" s="12">
        <f t="shared" si="343"/>
        <v>0</v>
      </c>
    </row>
    <row r="339" spans="1:69">
      <c r="A339" s="28">
        <v>2002</v>
      </c>
      <c r="B339" s="27" t="s">
        <v>25</v>
      </c>
      <c r="C339" s="24">
        <f t="shared" si="300"/>
        <v>292</v>
      </c>
      <c r="D339" s="7" t="e">
        <f t="shared" ca="1" si="337"/>
        <v>#N/A</v>
      </c>
      <c r="E339" s="26">
        <f t="array" aca="1" ref="E339" ca="1">AVERAGE(IF(INDIRECT(DatCol&amp;"$"&amp;TEXT(C339,"###")):INDIRECT(DatCol&amp;"$"&amp;TEXT(C339+57,"###"))&gt;0,INDIRECT(DatCol&amp;"$"&amp;TEXT(C339,"###")):INDIRECT(DatCol&amp;"$"&amp;TEXT(C339+57,"###"))))</f>
        <v>263.125</v>
      </c>
      <c r="F339" s="26" t="str">
        <f t="shared" si="341"/>
        <v>S</v>
      </c>
      <c r="G339" s="9">
        <v>0</v>
      </c>
      <c r="H339" s="9">
        <v>0</v>
      </c>
      <c r="I339" s="9">
        <v>0</v>
      </c>
      <c r="J339" s="9">
        <v>0</v>
      </c>
      <c r="K339" s="9">
        <f t="shared" si="340"/>
        <v>0</v>
      </c>
      <c r="L339" s="10">
        <v>0</v>
      </c>
      <c r="M339" s="11">
        <v>0</v>
      </c>
      <c r="N339" s="10">
        <v>0</v>
      </c>
      <c r="O339" s="11">
        <v>0</v>
      </c>
      <c r="P339" s="10">
        <v>0</v>
      </c>
      <c r="Q339" s="11">
        <v>0</v>
      </c>
      <c r="R339" s="10">
        <v>0</v>
      </c>
      <c r="S339" s="11">
        <v>0</v>
      </c>
      <c r="T339" s="10">
        <v>0</v>
      </c>
      <c r="U339" s="11">
        <v>0</v>
      </c>
      <c r="AK339" s="13"/>
      <c r="AM339" s="13"/>
      <c r="BN339" s="8">
        <f t="shared" si="338"/>
        <v>0</v>
      </c>
      <c r="BO339" s="8">
        <f t="shared" si="339"/>
        <v>0</v>
      </c>
      <c r="BP339" s="8">
        <f t="shared" si="342"/>
        <v>0</v>
      </c>
      <c r="BQ339" s="12">
        <f t="shared" si="343"/>
        <v>0</v>
      </c>
    </row>
    <row r="340" spans="1:69">
      <c r="A340" s="28">
        <v>2003</v>
      </c>
      <c r="B340" s="27" t="s">
        <v>25</v>
      </c>
      <c r="C340" s="24">
        <f t="shared" si="300"/>
        <v>292</v>
      </c>
      <c r="D340" s="7" t="e">
        <f t="shared" ca="1" si="337"/>
        <v>#N/A</v>
      </c>
      <c r="E340" s="26">
        <f t="array" aca="1" ref="E340" ca="1">AVERAGE(IF(INDIRECT(DatCol&amp;"$"&amp;TEXT(C340,"###")):INDIRECT(DatCol&amp;"$"&amp;TEXT(C340+57,"###"))&gt;0,INDIRECT(DatCol&amp;"$"&amp;TEXT(C340,"###")):INDIRECT(DatCol&amp;"$"&amp;TEXT(C340+57,"###"))))</f>
        <v>263.125</v>
      </c>
      <c r="F340" s="26" t="str">
        <f t="shared" si="341"/>
        <v>S</v>
      </c>
      <c r="G340" s="9">
        <v>0</v>
      </c>
      <c r="H340" s="9">
        <v>0</v>
      </c>
      <c r="I340" s="9">
        <v>0</v>
      </c>
      <c r="J340" s="9">
        <v>0</v>
      </c>
      <c r="K340" s="9">
        <f t="shared" si="340"/>
        <v>0</v>
      </c>
      <c r="L340" s="10">
        <v>0</v>
      </c>
      <c r="M340" s="11">
        <v>0</v>
      </c>
      <c r="N340" s="10">
        <v>0</v>
      </c>
      <c r="O340" s="11">
        <v>0</v>
      </c>
      <c r="P340" s="10">
        <v>0</v>
      </c>
      <c r="Q340" s="11">
        <v>0</v>
      </c>
      <c r="R340" s="10">
        <v>0</v>
      </c>
      <c r="S340" s="11">
        <v>0</v>
      </c>
      <c r="T340" s="10">
        <v>0</v>
      </c>
      <c r="U340" s="11">
        <v>0</v>
      </c>
      <c r="AK340" s="13"/>
      <c r="AM340" s="13"/>
      <c r="BN340" s="8">
        <f t="shared" si="338"/>
        <v>0</v>
      </c>
      <c r="BO340" s="8">
        <f t="shared" si="339"/>
        <v>0</v>
      </c>
      <c r="BP340" s="8">
        <f t="shared" si="342"/>
        <v>0</v>
      </c>
      <c r="BQ340" s="12">
        <f t="shared" si="343"/>
        <v>0</v>
      </c>
    </row>
    <row r="341" spans="1:69">
      <c r="A341" s="28">
        <v>2004</v>
      </c>
      <c r="B341" s="27" t="s">
        <v>25</v>
      </c>
      <c r="C341" s="24">
        <f t="shared" si="300"/>
        <v>292</v>
      </c>
      <c r="D341" s="7" t="e">
        <f t="shared" ca="1" si="337"/>
        <v>#N/A</v>
      </c>
      <c r="E341" s="26">
        <f t="array" aca="1" ref="E341" ca="1">AVERAGE(IF(INDIRECT(DatCol&amp;"$"&amp;TEXT(C341,"###")):INDIRECT(DatCol&amp;"$"&amp;TEXT(C341+57,"###"))&gt;0,INDIRECT(DatCol&amp;"$"&amp;TEXT(C341,"###")):INDIRECT(DatCol&amp;"$"&amp;TEXT(C341+57,"###"))))</f>
        <v>263.125</v>
      </c>
      <c r="F341" s="26" t="str">
        <f t="shared" si="341"/>
        <v>S</v>
      </c>
      <c r="G341" s="9">
        <v>0</v>
      </c>
      <c r="H341" s="9">
        <v>0</v>
      </c>
      <c r="I341" s="9">
        <v>0</v>
      </c>
      <c r="J341" s="9">
        <v>0</v>
      </c>
      <c r="K341" s="9">
        <f t="shared" si="340"/>
        <v>0</v>
      </c>
      <c r="L341" s="10">
        <v>0</v>
      </c>
      <c r="AK341" s="13"/>
      <c r="AM341" s="13"/>
      <c r="BN341" s="8">
        <f t="shared" si="338"/>
        <v>0</v>
      </c>
      <c r="BO341" s="8">
        <f t="shared" si="339"/>
        <v>0</v>
      </c>
      <c r="BP341" s="8">
        <f t="shared" si="342"/>
        <v>0</v>
      </c>
      <c r="BQ341" s="12">
        <f t="shared" si="343"/>
        <v>0</v>
      </c>
    </row>
    <row r="342" spans="1:69">
      <c r="A342" s="28">
        <v>2005</v>
      </c>
      <c r="B342" s="27" t="s">
        <v>25</v>
      </c>
      <c r="C342" s="24">
        <f t="shared" si="300"/>
        <v>292</v>
      </c>
      <c r="D342" s="7" t="e">
        <f t="shared" ca="1" si="337"/>
        <v>#N/A</v>
      </c>
      <c r="E342" s="26">
        <f t="array" aca="1" ref="E342" ca="1">AVERAGE(IF(INDIRECT(DatCol&amp;"$"&amp;TEXT(C342,"###")):INDIRECT(DatCol&amp;"$"&amp;TEXT(C342+57,"###"))&gt;0,INDIRECT(DatCol&amp;"$"&amp;TEXT(C342,"###")):INDIRECT(DatCol&amp;"$"&amp;TEXT(C342+57,"###"))))</f>
        <v>263.125</v>
      </c>
      <c r="F342" s="26" t="str">
        <f t="shared" si="341"/>
        <v>S</v>
      </c>
      <c r="K342" s="9">
        <f t="shared" si="340"/>
        <v>0</v>
      </c>
      <c r="AK342" s="13"/>
      <c r="AM342" s="13"/>
      <c r="BN342" s="8">
        <f t="shared" si="338"/>
        <v>0</v>
      </c>
      <c r="BO342" s="8">
        <f t="shared" si="339"/>
        <v>0</v>
      </c>
      <c r="BP342" s="8">
        <f t="shared" si="342"/>
        <v>0</v>
      </c>
      <c r="BQ342" s="12">
        <f t="shared" si="343"/>
        <v>0</v>
      </c>
    </row>
    <row r="343" spans="1:69">
      <c r="A343" s="28">
        <v>2006</v>
      </c>
      <c r="B343" s="27" t="s">
        <v>25</v>
      </c>
      <c r="C343" s="24">
        <f t="shared" si="300"/>
        <v>292</v>
      </c>
      <c r="D343" s="7" t="e">
        <f t="shared" ca="1" si="337"/>
        <v>#N/A</v>
      </c>
      <c r="E343" s="26">
        <f t="array" aca="1" ref="E343" ca="1">AVERAGE(IF(INDIRECT(DatCol&amp;"$"&amp;TEXT(C343,"###")):INDIRECT(DatCol&amp;"$"&amp;TEXT(C343+57,"###"))&gt;0,INDIRECT(DatCol&amp;"$"&amp;TEXT(C343,"###")):INDIRECT(DatCol&amp;"$"&amp;TEXT(C343+57,"###"))))</f>
        <v>263.125</v>
      </c>
      <c r="F343" s="26" t="str">
        <f t="shared" si="341"/>
        <v>S</v>
      </c>
      <c r="K343" s="9">
        <f t="shared" si="340"/>
        <v>0</v>
      </c>
      <c r="AK343" s="13"/>
      <c r="AM343" s="13"/>
      <c r="BN343" s="8">
        <f t="shared" si="338"/>
        <v>0</v>
      </c>
      <c r="BO343" s="8">
        <f t="shared" si="339"/>
        <v>0</v>
      </c>
      <c r="BP343" s="8">
        <f t="shared" si="342"/>
        <v>0</v>
      </c>
      <c r="BQ343" s="12">
        <f t="shared" si="343"/>
        <v>0</v>
      </c>
    </row>
    <row r="344" spans="1:69">
      <c r="A344" s="28">
        <v>2007</v>
      </c>
      <c r="B344" s="27" t="s">
        <v>25</v>
      </c>
      <c r="C344" s="24">
        <f t="shared" si="300"/>
        <v>292</v>
      </c>
      <c r="D344" s="7" t="e">
        <f t="shared" ca="1" si="337"/>
        <v>#N/A</v>
      </c>
      <c r="E344" s="26">
        <f t="array" aca="1" ref="E344" ca="1">AVERAGE(IF(INDIRECT(DatCol&amp;"$"&amp;TEXT(C344,"###")):INDIRECT(DatCol&amp;"$"&amp;TEXT(C344+57,"###"))&gt;0,INDIRECT(DatCol&amp;"$"&amp;TEXT(C344,"###")):INDIRECT(DatCol&amp;"$"&amp;TEXT(C344+57,"###"))))</f>
        <v>263.125</v>
      </c>
      <c r="F344" s="26" t="str">
        <f t="shared" si="341"/>
        <v>S</v>
      </c>
      <c r="K344" s="9">
        <f t="shared" si="340"/>
        <v>0</v>
      </c>
      <c r="AK344" s="13"/>
      <c r="AM344" s="13"/>
      <c r="BN344" s="8">
        <f t="shared" si="338"/>
        <v>0</v>
      </c>
      <c r="BO344" s="8">
        <f t="shared" si="339"/>
        <v>0</v>
      </c>
      <c r="BP344" s="8">
        <f t="shared" si="342"/>
        <v>0</v>
      </c>
      <c r="BQ344" s="12">
        <f t="shared" si="343"/>
        <v>0</v>
      </c>
    </row>
    <row r="345" spans="1:69">
      <c r="A345" s="28">
        <v>2008</v>
      </c>
      <c r="B345" s="27" t="s">
        <v>25</v>
      </c>
      <c r="C345" s="24">
        <f t="shared" si="300"/>
        <v>292</v>
      </c>
      <c r="D345" s="7" t="e">
        <f t="shared" ca="1" si="337"/>
        <v>#N/A</v>
      </c>
      <c r="E345" s="26">
        <f t="array" aca="1" ref="E345" ca="1">AVERAGE(IF(INDIRECT(DatCol&amp;"$"&amp;TEXT(C345,"###")):INDIRECT(DatCol&amp;"$"&amp;TEXT(C345+57,"###"))&gt;0,INDIRECT(DatCol&amp;"$"&amp;TEXT(C345,"###")):INDIRECT(DatCol&amp;"$"&amp;TEXT(C345+57,"###"))))</f>
        <v>263.125</v>
      </c>
      <c r="F345" s="26" t="str">
        <f t="shared" si="341"/>
        <v>S</v>
      </c>
      <c r="K345" s="9">
        <f t="shared" si="340"/>
        <v>0</v>
      </c>
      <c r="AK345" s="13"/>
      <c r="AM345" s="13"/>
      <c r="BN345" s="8">
        <f t="shared" si="338"/>
        <v>0</v>
      </c>
      <c r="BO345" s="8">
        <f t="shared" si="339"/>
        <v>0</v>
      </c>
      <c r="BP345" s="8">
        <f t="shared" si="342"/>
        <v>0</v>
      </c>
      <c r="BQ345" s="12">
        <f t="shared" si="343"/>
        <v>0</v>
      </c>
    </row>
    <row r="346" spans="1:69">
      <c r="A346" s="28">
        <v>2009</v>
      </c>
      <c r="B346" s="27" t="s">
        <v>25</v>
      </c>
      <c r="C346" s="24">
        <f t="shared" si="300"/>
        <v>292</v>
      </c>
      <c r="D346" s="7" t="e">
        <f t="shared" ca="1" si="337"/>
        <v>#N/A</v>
      </c>
      <c r="E346" s="26">
        <f t="array" aca="1" ref="E346" ca="1">AVERAGE(IF(INDIRECT(DatCol&amp;"$"&amp;TEXT(C346,"###")):INDIRECT(DatCol&amp;"$"&amp;TEXT(C346+57,"###"))&gt;0,INDIRECT(DatCol&amp;"$"&amp;TEXT(C346,"###")):INDIRECT(DatCol&amp;"$"&amp;TEXT(C346+57,"###"))))</f>
        <v>263.125</v>
      </c>
      <c r="F346" s="26" t="str">
        <f t="shared" si="341"/>
        <v>S</v>
      </c>
      <c r="K346" s="9">
        <f t="shared" si="340"/>
        <v>0</v>
      </c>
      <c r="AK346" s="13"/>
      <c r="AM346" s="13"/>
      <c r="BN346" s="8">
        <f t="shared" si="338"/>
        <v>0</v>
      </c>
      <c r="BO346" s="8">
        <f t="shared" si="339"/>
        <v>0</v>
      </c>
      <c r="BP346" s="8">
        <f t="shared" si="342"/>
        <v>0</v>
      </c>
      <c r="BQ346" s="12">
        <f t="shared" si="343"/>
        <v>0</v>
      </c>
    </row>
    <row r="347" spans="1:69">
      <c r="A347" s="28">
        <v>2010</v>
      </c>
      <c r="B347" s="27" t="s">
        <v>25</v>
      </c>
      <c r="C347" s="24">
        <f t="shared" si="300"/>
        <v>292</v>
      </c>
      <c r="D347" s="7" t="e">
        <f t="shared" ca="1" si="337"/>
        <v>#N/A</v>
      </c>
      <c r="E347" s="26">
        <f t="array" aca="1" ref="E347" ca="1">AVERAGE(IF(INDIRECT(DatCol&amp;"$"&amp;TEXT(C347,"###")):INDIRECT(DatCol&amp;"$"&amp;TEXT(C347+57,"###"))&gt;0,INDIRECT(DatCol&amp;"$"&amp;TEXT(C347,"###")):INDIRECT(DatCol&amp;"$"&amp;TEXT(C347+57,"###"))))</f>
        <v>263.125</v>
      </c>
      <c r="F347" s="26" t="str">
        <f t="shared" ref="F347:F349" si="344">VLOOKUP(B347,town_region,2,FALSE)</f>
        <v>S</v>
      </c>
      <c r="AK347" s="13"/>
      <c r="AM347" s="13"/>
      <c r="BN347" s="8"/>
      <c r="BO347" s="8"/>
      <c r="BP347" s="8"/>
      <c r="BQ347" s="12"/>
    </row>
    <row r="348" spans="1:69">
      <c r="A348" s="28">
        <v>2011</v>
      </c>
      <c r="B348" s="27" t="s">
        <v>25</v>
      </c>
      <c r="C348" s="24">
        <f t="shared" si="300"/>
        <v>292</v>
      </c>
      <c r="D348" s="7" t="e">
        <f t="shared" ca="1" si="337"/>
        <v>#N/A</v>
      </c>
      <c r="E348" s="26">
        <f t="array" aca="1" ref="E348" ca="1">AVERAGE(IF(INDIRECT(DatCol&amp;"$"&amp;TEXT(C348,"###")):INDIRECT(DatCol&amp;"$"&amp;TEXT(C348+57,"###"))&gt;0,INDIRECT(DatCol&amp;"$"&amp;TEXT(C348,"###")):INDIRECT(DatCol&amp;"$"&amp;TEXT(C348+57,"###"))))</f>
        <v>263.125</v>
      </c>
      <c r="F348" s="26" t="str">
        <f t="shared" si="344"/>
        <v>S</v>
      </c>
      <c r="AK348" s="13"/>
      <c r="AM348" s="13"/>
      <c r="BN348" s="8"/>
      <c r="BO348" s="8"/>
      <c r="BP348" s="8"/>
      <c r="BQ348" s="12"/>
    </row>
    <row r="349" spans="1:69">
      <c r="A349" s="28">
        <v>2012</v>
      </c>
      <c r="B349" s="27" t="s">
        <v>25</v>
      </c>
      <c r="C349" s="24">
        <f t="shared" si="300"/>
        <v>292</v>
      </c>
      <c r="D349" s="7" t="e">
        <f t="shared" ca="1" si="337"/>
        <v>#N/A</v>
      </c>
      <c r="E349" s="26">
        <f t="array" aca="1" ref="E349" ca="1">AVERAGE(IF(INDIRECT(DatCol&amp;"$"&amp;TEXT(C349,"###")):INDIRECT(DatCol&amp;"$"&amp;TEXT(C349+57,"###"))&gt;0,INDIRECT(DatCol&amp;"$"&amp;TEXT(C349,"###")):INDIRECT(DatCol&amp;"$"&amp;TEXT(C349+57,"###"))))</f>
        <v>263.125</v>
      </c>
      <c r="F349" s="26" t="str">
        <f t="shared" si="344"/>
        <v>S</v>
      </c>
      <c r="AK349" s="13"/>
      <c r="AM349" s="13"/>
      <c r="BN349" s="8"/>
      <c r="BO349" s="8"/>
      <c r="BP349" s="8"/>
      <c r="BQ349" s="12"/>
    </row>
    <row r="350" spans="1:69">
      <c r="A350" s="28">
        <v>1955</v>
      </c>
      <c r="B350" s="27" t="s">
        <v>30</v>
      </c>
      <c r="C350" s="24">
        <f>ROW()</f>
        <v>350</v>
      </c>
      <c r="D350" s="7" t="e">
        <f t="shared" ca="1" si="337"/>
        <v>#N/A</v>
      </c>
      <c r="E350" s="26">
        <f t="array" aca="1" ref="E350" ca="1">AVERAGE(IF(INDIRECT(DatCol&amp;"$"&amp;TEXT(C350,"###")):INDIRECT(DatCol&amp;"$"&amp;TEXT(C350+57,"###"))&gt;0,INDIRECT(DatCol&amp;"$"&amp;TEXT(C350,"###")):INDIRECT(DatCol&amp;"$"&amp;TEXT(C350+57,"###"))))</f>
        <v>85.291688311688318</v>
      </c>
      <c r="F350" s="26" t="str">
        <f t="shared" si="341"/>
        <v>B</v>
      </c>
      <c r="G350" s="8"/>
      <c r="I350" s="8">
        <v>72</v>
      </c>
      <c r="J350" s="8">
        <v>936</v>
      </c>
      <c r="K350" s="9">
        <f t="shared" si="340"/>
        <v>936</v>
      </c>
      <c r="M350" s="11">
        <f t="shared" ref="M350:M364" si="345">(L350*50)</f>
        <v>0</v>
      </c>
      <c r="O350" s="11">
        <f t="shared" ref="O350:O364" si="346">(N350*50)</f>
        <v>0</v>
      </c>
      <c r="P350" s="12">
        <v>35052</v>
      </c>
      <c r="Q350" s="11">
        <f t="shared" ref="Q350:Q364" si="347">((P350*330)/5.5)</f>
        <v>2103120</v>
      </c>
      <c r="Y350" s="11">
        <f t="shared" ref="Y350:Y364" si="348">((X350*330)/5.5)</f>
        <v>0</v>
      </c>
      <c r="AG350" s="11">
        <f t="shared" ref="AG350:AG364" si="349">(AF350*65)</f>
        <v>0</v>
      </c>
      <c r="AI350" s="11">
        <f t="shared" ref="AI350:AI364" si="350">(AH350*65)</f>
        <v>0</v>
      </c>
      <c r="AJ350" s="12" t="s">
        <v>0</v>
      </c>
      <c r="AK350" s="13">
        <f t="shared" ref="AK350:AK364" si="351">(AJ350*9)</f>
        <v>0</v>
      </c>
      <c r="AM350" s="13">
        <f t="shared" ref="AM350:AM364" si="352">(AL350*9)</f>
        <v>0</v>
      </c>
      <c r="AO350" s="11">
        <f t="shared" ref="AO350:AO364" si="353">(AN350*80)</f>
        <v>0</v>
      </c>
      <c r="AQ350" s="11">
        <f t="shared" ref="AQ350:AQ364" si="354">(AP350*80)</f>
        <v>0</v>
      </c>
      <c r="AS350" s="11">
        <f t="shared" ref="AS350:AS364" si="355">(AR350*50)</f>
        <v>0</v>
      </c>
      <c r="AU350" s="11">
        <f t="shared" ref="AU350:AU364" si="356">(AT350*50)</f>
        <v>0</v>
      </c>
      <c r="AW350" s="11">
        <f t="shared" ref="AW350:AW364" si="357">(AV350*60)</f>
        <v>0</v>
      </c>
      <c r="AY350" s="11">
        <f t="shared" ref="AY350:AY364" si="358">(AX350*60)</f>
        <v>0</v>
      </c>
      <c r="BA350" s="11">
        <f t="shared" ref="BA350:BA364" si="359">(AZ350*40)</f>
        <v>0</v>
      </c>
      <c r="BC350" s="11">
        <f t="shared" ref="BC350:BC364" si="360">(BB350*40)</f>
        <v>0</v>
      </c>
      <c r="BE350" s="11">
        <f t="shared" ref="BE350:BE364" si="361">(BD350*95)</f>
        <v>0</v>
      </c>
      <c r="BG350" s="11">
        <f t="shared" ref="BG350:BG364" si="362">(BF350*95)</f>
        <v>0</v>
      </c>
      <c r="BN350" s="8">
        <f t="shared" si="338"/>
        <v>35052</v>
      </c>
      <c r="BO350" s="8">
        <f t="shared" si="339"/>
        <v>2103120</v>
      </c>
      <c r="BP350" s="8">
        <f t="shared" si="342"/>
        <v>0</v>
      </c>
      <c r="BQ350" s="12">
        <f t="shared" si="343"/>
        <v>0</v>
      </c>
    </row>
    <row r="351" spans="1:69">
      <c r="A351" s="28">
        <v>1956</v>
      </c>
      <c r="B351" s="27" t="s">
        <v>30</v>
      </c>
      <c r="C351" s="24">
        <f t="shared" ref="C351:C407" si="363">C350</f>
        <v>350</v>
      </c>
      <c r="D351" s="7" t="e">
        <f t="shared" ca="1" si="337"/>
        <v>#N/A</v>
      </c>
      <c r="E351" s="26">
        <f t="array" aca="1" ref="E351" ca="1">AVERAGE(IF(INDIRECT(DatCol&amp;"$"&amp;TEXT(C351,"###")):INDIRECT(DatCol&amp;"$"&amp;TEXT(C351+57,"###"))&gt;0,INDIRECT(DatCol&amp;"$"&amp;TEXT(C351,"###")):INDIRECT(DatCol&amp;"$"&amp;TEXT(C351+57,"###"))))</f>
        <v>85.291688311688318</v>
      </c>
      <c r="F351" s="26" t="str">
        <f t="shared" si="341"/>
        <v>B</v>
      </c>
      <c r="G351" s="8"/>
      <c r="I351" s="8">
        <v>90</v>
      </c>
      <c r="J351" s="8">
        <v>843</v>
      </c>
      <c r="K351" s="9">
        <f t="shared" si="340"/>
        <v>843</v>
      </c>
      <c r="M351" s="11">
        <f t="shared" si="345"/>
        <v>0</v>
      </c>
      <c r="O351" s="11">
        <f t="shared" si="346"/>
        <v>0</v>
      </c>
      <c r="P351" s="12">
        <v>41025</v>
      </c>
      <c r="Q351" s="11">
        <f t="shared" si="347"/>
        <v>2461500</v>
      </c>
      <c r="Y351" s="11">
        <f t="shared" si="348"/>
        <v>0</v>
      </c>
      <c r="AG351" s="11">
        <f t="shared" si="349"/>
        <v>0</v>
      </c>
      <c r="AI351" s="11">
        <f t="shared" si="350"/>
        <v>0</v>
      </c>
      <c r="AJ351" s="12" t="s">
        <v>1</v>
      </c>
      <c r="AK351" s="13">
        <f t="shared" si="351"/>
        <v>0</v>
      </c>
      <c r="AM351" s="13">
        <f t="shared" si="352"/>
        <v>0</v>
      </c>
      <c r="AO351" s="11">
        <f t="shared" si="353"/>
        <v>0</v>
      </c>
      <c r="AQ351" s="11">
        <f t="shared" si="354"/>
        <v>0</v>
      </c>
      <c r="AS351" s="11">
        <f t="shared" si="355"/>
        <v>0</v>
      </c>
      <c r="AU351" s="11">
        <f t="shared" si="356"/>
        <v>0</v>
      </c>
      <c r="AW351" s="11">
        <f t="shared" si="357"/>
        <v>0</v>
      </c>
      <c r="AY351" s="11">
        <f t="shared" si="358"/>
        <v>0</v>
      </c>
      <c r="BA351" s="11">
        <f t="shared" si="359"/>
        <v>0</v>
      </c>
      <c r="BC351" s="11">
        <f t="shared" si="360"/>
        <v>0</v>
      </c>
      <c r="BE351" s="11">
        <f t="shared" si="361"/>
        <v>0</v>
      </c>
      <c r="BG351" s="11">
        <f t="shared" si="362"/>
        <v>0</v>
      </c>
      <c r="BN351" s="8">
        <f t="shared" si="338"/>
        <v>41025</v>
      </c>
      <c r="BO351" s="8">
        <f t="shared" si="339"/>
        <v>2461500</v>
      </c>
      <c r="BP351" s="8">
        <f t="shared" si="342"/>
        <v>0</v>
      </c>
      <c r="BQ351" s="12">
        <f t="shared" si="343"/>
        <v>0</v>
      </c>
    </row>
    <row r="352" spans="1:69">
      <c r="A352" s="28">
        <v>1957</v>
      </c>
      <c r="B352" s="27" t="s">
        <v>30</v>
      </c>
      <c r="C352" s="24">
        <f t="shared" si="363"/>
        <v>350</v>
      </c>
      <c r="D352" s="7" t="e">
        <f t="shared" ca="1" si="337"/>
        <v>#N/A</v>
      </c>
      <c r="E352" s="26">
        <f t="array" aca="1" ref="E352" ca="1">AVERAGE(IF(INDIRECT(DatCol&amp;"$"&amp;TEXT(C352,"###")):INDIRECT(DatCol&amp;"$"&amp;TEXT(C352+57,"###"))&gt;0,INDIRECT(DatCol&amp;"$"&amp;TEXT(C352,"###")):INDIRECT(DatCol&amp;"$"&amp;TEXT(C352+57,"###"))))</f>
        <v>85.291688311688318</v>
      </c>
      <c r="F352" s="26" t="str">
        <f t="shared" si="341"/>
        <v>B</v>
      </c>
      <c r="G352" s="8"/>
      <c r="I352" s="8">
        <v>147</v>
      </c>
      <c r="J352" s="8">
        <v>1124</v>
      </c>
      <c r="K352" s="9">
        <f t="shared" si="340"/>
        <v>1124</v>
      </c>
      <c r="M352" s="11">
        <f t="shared" si="345"/>
        <v>0</v>
      </c>
      <c r="O352" s="11">
        <f t="shared" si="346"/>
        <v>0</v>
      </c>
      <c r="P352" s="12">
        <v>25114</v>
      </c>
      <c r="Q352" s="11">
        <f t="shared" si="347"/>
        <v>1506840</v>
      </c>
      <c r="Y352" s="11">
        <f t="shared" si="348"/>
        <v>0</v>
      </c>
      <c r="AG352" s="11">
        <f t="shared" si="349"/>
        <v>0</v>
      </c>
      <c r="AI352" s="11">
        <f t="shared" si="350"/>
        <v>0</v>
      </c>
      <c r="AJ352" s="12">
        <v>1100</v>
      </c>
      <c r="AK352" s="13">
        <f t="shared" si="351"/>
        <v>9900</v>
      </c>
      <c r="AM352" s="13">
        <f t="shared" si="352"/>
        <v>0</v>
      </c>
      <c r="AO352" s="11">
        <f t="shared" si="353"/>
        <v>0</v>
      </c>
      <c r="AQ352" s="11">
        <f t="shared" si="354"/>
        <v>0</v>
      </c>
      <c r="AS352" s="11">
        <f t="shared" si="355"/>
        <v>0</v>
      </c>
      <c r="AU352" s="11">
        <f t="shared" si="356"/>
        <v>0</v>
      </c>
      <c r="AW352" s="11">
        <f t="shared" si="357"/>
        <v>0</v>
      </c>
      <c r="AY352" s="11">
        <f t="shared" si="358"/>
        <v>0</v>
      </c>
      <c r="BA352" s="11">
        <f t="shared" si="359"/>
        <v>0</v>
      </c>
      <c r="BC352" s="11">
        <f t="shared" si="360"/>
        <v>0</v>
      </c>
      <c r="BE352" s="11">
        <f t="shared" si="361"/>
        <v>0</v>
      </c>
      <c r="BG352" s="11">
        <f t="shared" si="362"/>
        <v>0</v>
      </c>
      <c r="BN352" s="8">
        <f t="shared" si="338"/>
        <v>26214</v>
      </c>
      <c r="BO352" s="8">
        <f t="shared" si="339"/>
        <v>1516740</v>
      </c>
      <c r="BP352" s="8">
        <f t="shared" si="342"/>
        <v>0</v>
      </c>
      <c r="BQ352" s="12">
        <f t="shared" si="343"/>
        <v>0</v>
      </c>
    </row>
    <row r="353" spans="1:69">
      <c r="A353" s="28">
        <v>1958</v>
      </c>
      <c r="B353" s="27" t="s">
        <v>30</v>
      </c>
      <c r="C353" s="24">
        <f t="shared" si="363"/>
        <v>350</v>
      </c>
      <c r="D353" s="7" t="e">
        <f t="shared" ca="1" si="337"/>
        <v>#N/A</v>
      </c>
      <c r="E353" s="26">
        <f t="array" aca="1" ref="E353" ca="1">AVERAGE(IF(INDIRECT(DatCol&amp;"$"&amp;TEXT(C353,"###")):INDIRECT(DatCol&amp;"$"&amp;TEXT(C353+57,"###"))&gt;0,INDIRECT(DatCol&amp;"$"&amp;TEXT(C353,"###")):INDIRECT(DatCol&amp;"$"&amp;TEXT(C353+57,"###"))))</f>
        <v>85.291688311688318</v>
      </c>
      <c r="F353" s="26" t="str">
        <f t="shared" si="341"/>
        <v>B</v>
      </c>
      <c r="G353" s="8"/>
      <c r="I353" s="8">
        <v>116</v>
      </c>
      <c r="J353" s="8">
        <v>985</v>
      </c>
      <c r="K353" s="9">
        <f t="shared" si="340"/>
        <v>985</v>
      </c>
      <c r="M353" s="11">
        <f t="shared" si="345"/>
        <v>0</v>
      </c>
      <c r="O353" s="11">
        <f t="shared" si="346"/>
        <v>0</v>
      </c>
      <c r="P353" s="12">
        <v>24000</v>
      </c>
      <c r="Q353" s="11">
        <f t="shared" si="347"/>
        <v>1440000</v>
      </c>
      <c r="Y353" s="11">
        <f t="shared" si="348"/>
        <v>0</v>
      </c>
      <c r="AG353" s="11">
        <f t="shared" si="349"/>
        <v>0</v>
      </c>
      <c r="AI353" s="11">
        <f t="shared" si="350"/>
        <v>0</v>
      </c>
      <c r="AJ353" s="12">
        <v>1500</v>
      </c>
      <c r="AK353" s="13">
        <f t="shared" si="351"/>
        <v>13500</v>
      </c>
      <c r="AL353" s="12">
        <v>500</v>
      </c>
      <c r="AM353" s="13">
        <f t="shared" si="352"/>
        <v>4500</v>
      </c>
      <c r="AO353" s="11">
        <f t="shared" si="353"/>
        <v>0</v>
      </c>
      <c r="AQ353" s="11">
        <f t="shared" si="354"/>
        <v>0</v>
      </c>
      <c r="AS353" s="11">
        <f t="shared" si="355"/>
        <v>0</v>
      </c>
      <c r="AU353" s="11">
        <f t="shared" si="356"/>
        <v>0</v>
      </c>
      <c r="AW353" s="11">
        <f t="shared" si="357"/>
        <v>0</v>
      </c>
      <c r="AY353" s="11">
        <f t="shared" si="358"/>
        <v>0</v>
      </c>
      <c r="BA353" s="11">
        <f t="shared" si="359"/>
        <v>0</v>
      </c>
      <c r="BC353" s="11">
        <f t="shared" si="360"/>
        <v>0</v>
      </c>
      <c r="BE353" s="11">
        <f t="shared" si="361"/>
        <v>0</v>
      </c>
      <c r="BG353" s="11">
        <f t="shared" si="362"/>
        <v>0</v>
      </c>
      <c r="BN353" s="8">
        <f t="shared" si="338"/>
        <v>25500</v>
      </c>
      <c r="BO353" s="8">
        <f t="shared" si="339"/>
        <v>1453500</v>
      </c>
      <c r="BP353" s="8">
        <f t="shared" si="342"/>
        <v>500</v>
      </c>
      <c r="BQ353" s="12">
        <f t="shared" si="343"/>
        <v>4500</v>
      </c>
    </row>
    <row r="354" spans="1:69">
      <c r="A354" s="28">
        <v>1959</v>
      </c>
      <c r="B354" s="27" t="s">
        <v>30</v>
      </c>
      <c r="C354" s="24">
        <f t="shared" si="363"/>
        <v>350</v>
      </c>
      <c r="D354" s="7" t="e">
        <f t="shared" ca="1" si="337"/>
        <v>#N/A</v>
      </c>
      <c r="E354" s="26">
        <f t="array" aca="1" ref="E354" ca="1">AVERAGE(IF(INDIRECT(DatCol&amp;"$"&amp;TEXT(C354,"###")):INDIRECT(DatCol&amp;"$"&amp;TEXT(C354+57,"###"))&gt;0,INDIRECT(DatCol&amp;"$"&amp;TEXT(C354,"###")):INDIRECT(DatCol&amp;"$"&amp;TEXT(C354+57,"###"))))</f>
        <v>85.291688311688318</v>
      </c>
      <c r="F354" s="26" t="str">
        <f t="shared" si="341"/>
        <v>B</v>
      </c>
      <c r="G354" s="8"/>
      <c r="I354" s="8">
        <v>45</v>
      </c>
      <c r="J354" s="8">
        <v>861</v>
      </c>
      <c r="K354" s="9">
        <f t="shared" si="340"/>
        <v>861</v>
      </c>
      <c r="M354" s="11">
        <f t="shared" si="345"/>
        <v>0</v>
      </c>
      <c r="O354" s="11">
        <f t="shared" si="346"/>
        <v>0</v>
      </c>
      <c r="P354" s="12">
        <v>22600</v>
      </c>
      <c r="Q354" s="11">
        <f t="shared" si="347"/>
        <v>1356000</v>
      </c>
      <c r="Y354" s="11">
        <f t="shared" si="348"/>
        <v>0</v>
      </c>
      <c r="AG354" s="11">
        <f t="shared" si="349"/>
        <v>0</v>
      </c>
      <c r="AI354" s="11">
        <f t="shared" si="350"/>
        <v>0</v>
      </c>
      <c r="AJ354" s="12">
        <v>10</v>
      </c>
      <c r="AK354" s="13">
        <f t="shared" si="351"/>
        <v>90</v>
      </c>
      <c r="AL354" s="12">
        <v>10</v>
      </c>
      <c r="AM354" s="13">
        <f t="shared" si="352"/>
        <v>90</v>
      </c>
      <c r="AO354" s="11">
        <f t="shared" si="353"/>
        <v>0</v>
      </c>
      <c r="AQ354" s="11">
        <f t="shared" si="354"/>
        <v>0</v>
      </c>
      <c r="AS354" s="11">
        <f t="shared" si="355"/>
        <v>0</v>
      </c>
      <c r="AU354" s="11">
        <f t="shared" si="356"/>
        <v>0</v>
      </c>
      <c r="AW354" s="11">
        <f t="shared" si="357"/>
        <v>0</v>
      </c>
      <c r="AY354" s="11">
        <f t="shared" si="358"/>
        <v>0</v>
      </c>
      <c r="BA354" s="11">
        <f t="shared" si="359"/>
        <v>0</v>
      </c>
      <c r="BC354" s="11">
        <f t="shared" si="360"/>
        <v>0</v>
      </c>
      <c r="BE354" s="11">
        <f t="shared" si="361"/>
        <v>0</v>
      </c>
      <c r="BG354" s="11">
        <f t="shared" si="362"/>
        <v>0</v>
      </c>
      <c r="BN354" s="8">
        <f t="shared" si="338"/>
        <v>22610</v>
      </c>
      <c r="BO354" s="8">
        <f t="shared" si="339"/>
        <v>1356090</v>
      </c>
      <c r="BP354" s="8">
        <f t="shared" si="342"/>
        <v>10</v>
      </c>
      <c r="BQ354" s="12">
        <f t="shared" si="343"/>
        <v>90</v>
      </c>
    </row>
    <row r="355" spans="1:69">
      <c r="A355" s="28">
        <v>1960</v>
      </c>
      <c r="B355" s="27" t="s">
        <v>30</v>
      </c>
      <c r="C355" s="24">
        <f t="shared" si="363"/>
        <v>350</v>
      </c>
      <c r="D355" s="7" t="e">
        <f t="shared" ca="1" si="337"/>
        <v>#N/A</v>
      </c>
      <c r="E355" s="26">
        <f t="array" aca="1" ref="E355" ca="1">AVERAGE(IF(INDIRECT(DatCol&amp;"$"&amp;TEXT(C355,"###")):INDIRECT(DatCol&amp;"$"&amp;TEXT(C355+57,"###"))&gt;0,INDIRECT(DatCol&amp;"$"&amp;TEXT(C355,"###")):INDIRECT(DatCol&amp;"$"&amp;TEXT(C355+57,"###"))))</f>
        <v>85.291688311688318</v>
      </c>
      <c r="F355" s="26" t="str">
        <f t="shared" si="341"/>
        <v>B</v>
      </c>
      <c r="G355" s="8"/>
      <c r="I355" s="8">
        <v>208</v>
      </c>
      <c r="J355" s="8">
        <v>987</v>
      </c>
      <c r="K355" s="9">
        <f t="shared" si="340"/>
        <v>987</v>
      </c>
      <c r="M355" s="11">
        <f t="shared" si="345"/>
        <v>0</v>
      </c>
      <c r="O355" s="11">
        <f t="shared" si="346"/>
        <v>0</v>
      </c>
      <c r="P355" s="12">
        <v>25750</v>
      </c>
      <c r="Q355" s="11">
        <f t="shared" si="347"/>
        <v>1545000</v>
      </c>
      <c r="Y355" s="11">
        <f t="shared" si="348"/>
        <v>0</v>
      </c>
      <c r="AG355" s="11">
        <f t="shared" si="349"/>
        <v>0</v>
      </c>
      <c r="AI355" s="11">
        <f t="shared" si="350"/>
        <v>0</v>
      </c>
      <c r="AJ355" s="12">
        <v>4500</v>
      </c>
      <c r="AK355" s="13">
        <f t="shared" si="351"/>
        <v>40500</v>
      </c>
      <c r="AL355" s="12">
        <v>500</v>
      </c>
      <c r="AM355" s="13">
        <f t="shared" si="352"/>
        <v>4500</v>
      </c>
      <c r="AO355" s="11">
        <f t="shared" si="353"/>
        <v>0</v>
      </c>
      <c r="AQ355" s="11">
        <f t="shared" si="354"/>
        <v>0</v>
      </c>
      <c r="AS355" s="11">
        <f t="shared" si="355"/>
        <v>0</v>
      </c>
      <c r="AU355" s="11">
        <f t="shared" si="356"/>
        <v>0</v>
      </c>
      <c r="AW355" s="11">
        <f t="shared" si="357"/>
        <v>0</v>
      </c>
      <c r="AY355" s="11">
        <f t="shared" si="358"/>
        <v>0</v>
      </c>
      <c r="BA355" s="11">
        <f t="shared" si="359"/>
        <v>0</v>
      </c>
      <c r="BC355" s="11">
        <f t="shared" si="360"/>
        <v>0</v>
      </c>
      <c r="BE355" s="11">
        <f t="shared" si="361"/>
        <v>0</v>
      </c>
      <c r="BG355" s="11">
        <f t="shared" si="362"/>
        <v>0</v>
      </c>
      <c r="BN355" s="8">
        <f t="shared" si="338"/>
        <v>30250</v>
      </c>
      <c r="BO355" s="8">
        <f t="shared" si="339"/>
        <v>1585500</v>
      </c>
      <c r="BP355" s="8">
        <f t="shared" si="342"/>
        <v>500</v>
      </c>
      <c r="BQ355" s="12">
        <f t="shared" si="343"/>
        <v>4500</v>
      </c>
    </row>
    <row r="356" spans="1:69">
      <c r="A356" s="28">
        <v>1961</v>
      </c>
      <c r="B356" s="27" t="s">
        <v>30</v>
      </c>
      <c r="C356" s="24">
        <f t="shared" si="363"/>
        <v>350</v>
      </c>
      <c r="D356" s="7" t="e">
        <f t="shared" ca="1" si="337"/>
        <v>#N/A</v>
      </c>
      <c r="E356" s="26">
        <f t="array" aca="1" ref="E356" ca="1">AVERAGE(IF(INDIRECT(DatCol&amp;"$"&amp;TEXT(C356,"###")):INDIRECT(DatCol&amp;"$"&amp;TEXT(C356+57,"###"))&gt;0,INDIRECT(DatCol&amp;"$"&amp;TEXT(C356,"###")):INDIRECT(DatCol&amp;"$"&amp;TEXT(C356+57,"###"))))</f>
        <v>85.291688311688318</v>
      </c>
      <c r="F356" s="26" t="str">
        <f t="shared" si="341"/>
        <v>B</v>
      </c>
      <c r="G356" s="8"/>
      <c r="H356" s="8">
        <v>6</v>
      </c>
      <c r="I356" s="8">
        <v>238</v>
      </c>
      <c r="J356" s="8">
        <v>838</v>
      </c>
      <c r="K356" s="9">
        <f t="shared" si="340"/>
        <v>844</v>
      </c>
      <c r="M356" s="11">
        <f t="shared" si="345"/>
        <v>0</v>
      </c>
      <c r="O356" s="11">
        <f t="shared" si="346"/>
        <v>0</v>
      </c>
      <c r="P356" s="12">
        <v>55000</v>
      </c>
      <c r="Q356" s="11">
        <f t="shared" si="347"/>
        <v>3300000</v>
      </c>
      <c r="Y356" s="11">
        <f t="shared" si="348"/>
        <v>0</v>
      </c>
      <c r="AG356" s="11">
        <f t="shared" si="349"/>
        <v>0</v>
      </c>
      <c r="AI356" s="11">
        <f t="shared" si="350"/>
        <v>0</v>
      </c>
      <c r="AJ356" s="12">
        <v>10</v>
      </c>
      <c r="AK356" s="13">
        <f t="shared" si="351"/>
        <v>90</v>
      </c>
      <c r="AL356" s="12">
        <v>10</v>
      </c>
      <c r="AM356" s="13">
        <f t="shared" si="352"/>
        <v>90</v>
      </c>
      <c r="AO356" s="11">
        <f t="shared" si="353"/>
        <v>0</v>
      </c>
      <c r="AQ356" s="11">
        <f t="shared" si="354"/>
        <v>0</v>
      </c>
      <c r="AS356" s="11">
        <f t="shared" si="355"/>
        <v>0</v>
      </c>
      <c r="AU356" s="11">
        <f t="shared" si="356"/>
        <v>0</v>
      </c>
      <c r="AW356" s="11">
        <f t="shared" si="357"/>
        <v>0</v>
      </c>
      <c r="AY356" s="11">
        <f t="shared" si="358"/>
        <v>0</v>
      </c>
      <c r="BA356" s="11">
        <f t="shared" si="359"/>
        <v>0</v>
      </c>
      <c r="BC356" s="11">
        <f t="shared" si="360"/>
        <v>0</v>
      </c>
      <c r="BE356" s="11">
        <f t="shared" si="361"/>
        <v>0</v>
      </c>
      <c r="BG356" s="11">
        <f t="shared" si="362"/>
        <v>0</v>
      </c>
      <c r="BN356" s="8">
        <f t="shared" si="338"/>
        <v>55010</v>
      </c>
      <c r="BO356" s="8">
        <f t="shared" si="339"/>
        <v>3300090</v>
      </c>
      <c r="BP356" s="8">
        <f t="shared" si="342"/>
        <v>10</v>
      </c>
      <c r="BQ356" s="12">
        <f t="shared" si="343"/>
        <v>90</v>
      </c>
    </row>
    <row r="357" spans="1:69">
      <c r="A357" s="28">
        <v>1962</v>
      </c>
      <c r="B357" s="27" t="s">
        <v>30</v>
      </c>
      <c r="C357" s="24">
        <f t="shared" si="363"/>
        <v>350</v>
      </c>
      <c r="D357" s="7" t="e">
        <f t="shared" ca="1" si="337"/>
        <v>#N/A</v>
      </c>
      <c r="E357" s="26">
        <f t="array" aca="1" ref="E357" ca="1">AVERAGE(IF(INDIRECT(DatCol&amp;"$"&amp;TEXT(C357,"###")):INDIRECT(DatCol&amp;"$"&amp;TEXT(C357+57,"###"))&gt;0,INDIRECT(DatCol&amp;"$"&amp;TEXT(C357,"###")):INDIRECT(DatCol&amp;"$"&amp;TEXT(C357+57,"###"))))</f>
        <v>85.291688311688318</v>
      </c>
      <c r="F357" s="26" t="str">
        <f t="shared" si="341"/>
        <v>B</v>
      </c>
      <c r="G357" s="8"/>
      <c r="H357" s="8">
        <v>5</v>
      </c>
      <c r="I357" s="8">
        <v>157</v>
      </c>
      <c r="J357" s="8">
        <v>773</v>
      </c>
      <c r="K357" s="9">
        <f t="shared" si="340"/>
        <v>778</v>
      </c>
      <c r="M357" s="11">
        <f t="shared" si="345"/>
        <v>0</v>
      </c>
      <c r="O357" s="11">
        <f t="shared" si="346"/>
        <v>0</v>
      </c>
      <c r="P357" s="12">
        <v>28000</v>
      </c>
      <c r="Q357" s="11">
        <f t="shared" si="347"/>
        <v>1680000</v>
      </c>
      <c r="Y357" s="11">
        <f t="shared" si="348"/>
        <v>0</v>
      </c>
      <c r="AG357" s="11">
        <f t="shared" si="349"/>
        <v>0</v>
      </c>
      <c r="AI357" s="11">
        <f t="shared" si="350"/>
        <v>0</v>
      </c>
      <c r="AJ357" s="12">
        <v>35</v>
      </c>
      <c r="AK357" s="13">
        <f t="shared" si="351"/>
        <v>315</v>
      </c>
      <c r="AL357" s="12">
        <v>15</v>
      </c>
      <c r="AM357" s="13">
        <f t="shared" si="352"/>
        <v>135</v>
      </c>
      <c r="AO357" s="11">
        <f t="shared" si="353"/>
        <v>0</v>
      </c>
      <c r="AQ357" s="11">
        <f t="shared" si="354"/>
        <v>0</v>
      </c>
      <c r="AS357" s="11">
        <f t="shared" si="355"/>
        <v>0</v>
      </c>
      <c r="AU357" s="11">
        <f t="shared" si="356"/>
        <v>0</v>
      </c>
      <c r="AW357" s="11">
        <f t="shared" si="357"/>
        <v>0</v>
      </c>
      <c r="AY357" s="11">
        <f t="shared" si="358"/>
        <v>0</v>
      </c>
      <c r="BA357" s="11">
        <f t="shared" si="359"/>
        <v>0</v>
      </c>
      <c r="BC357" s="11">
        <f t="shared" si="360"/>
        <v>0</v>
      </c>
      <c r="BE357" s="11">
        <f t="shared" si="361"/>
        <v>0</v>
      </c>
      <c r="BG357" s="11">
        <f t="shared" si="362"/>
        <v>0</v>
      </c>
      <c r="BN357" s="8">
        <f t="shared" si="338"/>
        <v>28035</v>
      </c>
      <c r="BO357" s="8">
        <f t="shared" si="339"/>
        <v>1680315</v>
      </c>
      <c r="BP357" s="8">
        <f t="shared" si="342"/>
        <v>15</v>
      </c>
      <c r="BQ357" s="12">
        <f t="shared" si="343"/>
        <v>135</v>
      </c>
    </row>
    <row r="358" spans="1:69">
      <c r="A358" s="28">
        <v>1963</v>
      </c>
      <c r="B358" s="27" t="s">
        <v>30</v>
      </c>
      <c r="C358" s="24">
        <f t="shared" si="363"/>
        <v>350</v>
      </c>
      <c r="D358" s="7" t="e">
        <f t="shared" ca="1" si="337"/>
        <v>#N/A</v>
      </c>
      <c r="E358" s="26">
        <f t="array" aca="1" ref="E358" ca="1">AVERAGE(IF(INDIRECT(DatCol&amp;"$"&amp;TEXT(C358,"###")):INDIRECT(DatCol&amp;"$"&amp;TEXT(C358+57,"###"))&gt;0,INDIRECT(DatCol&amp;"$"&amp;TEXT(C358,"###")):INDIRECT(DatCol&amp;"$"&amp;TEXT(C358+57,"###"))))</f>
        <v>85.291688311688318</v>
      </c>
      <c r="F358" s="26" t="str">
        <f t="shared" si="341"/>
        <v>B</v>
      </c>
      <c r="G358" s="8"/>
      <c r="H358" s="8">
        <v>1</v>
      </c>
      <c r="I358" s="8">
        <v>129</v>
      </c>
      <c r="J358" s="8">
        <v>867</v>
      </c>
      <c r="K358" s="9">
        <f t="shared" si="340"/>
        <v>868</v>
      </c>
      <c r="M358" s="11">
        <f t="shared" si="345"/>
        <v>0</v>
      </c>
      <c r="O358" s="11">
        <f t="shared" si="346"/>
        <v>0</v>
      </c>
      <c r="P358" s="12">
        <v>27000</v>
      </c>
      <c r="Q358" s="11">
        <f t="shared" si="347"/>
        <v>1620000</v>
      </c>
      <c r="Y358" s="11">
        <f t="shared" si="348"/>
        <v>0</v>
      </c>
      <c r="AG358" s="11">
        <f t="shared" si="349"/>
        <v>0</v>
      </c>
      <c r="AI358" s="11">
        <f t="shared" si="350"/>
        <v>0</v>
      </c>
      <c r="AJ358" s="12">
        <v>10</v>
      </c>
      <c r="AK358" s="13">
        <f t="shared" si="351"/>
        <v>90</v>
      </c>
      <c r="AL358" s="12">
        <v>8</v>
      </c>
      <c r="AM358" s="13">
        <f t="shared" si="352"/>
        <v>72</v>
      </c>
      <c r="AO358" s="11">
        <f t="shared" si="353"/>
        <v>0</v>
      </c>
      <c r="AQ358" s="11">
        <f t="shared" si="354"/>
        <v>0</v>
      </c>
      <c r="AS358" s="11">
        <f t="shared" si="355"/>
        <v>0</v>
      </c>
      <c r="AU358" s="11">
        <f t="shared" si="356"/>
        <v>0</v>
      </c>
      <c r="AW358" s="11">
        <f t="shared" si="357"/>
        <v>0</v>
      </c>
      <c r="AY358" s="11">
        <f t="shared" si="358"/>
        <v>0</v>
      </c>
      <c r="BA358" s="11">
        <f t="shared" si="359"/>
        <v>0</v>
      </c>
      <c r="BC358" s="11">
        <f t="shared" si="360"/>
        <v>0</v>
      </c>
      <c r="BE358" s="11">
        <f t="shared" si="361"/>
        <v>0</v>
      </c>
      <c r="BG358" s="11">
        <f t="shared" si="362"/>
        <v>0</v>
      </c>
      <c r="BN358" s="8">
        <f t="shared" si="338"/>
        <v>27010</v>
      </c>
      <c r="BO358" s="8">
        <f t="shared" si="339"/>
        <v>1620090</v>
      </c>
      <c r="BP358" s="8">
        <f t="shared" si="342"/>
        <v>8</v>
      </c>
      <c r="BQ358" s="12">
        <f t="shared" si="343"/>
        <v>72</v>
      </c>
    </row>
    <row r="359" spans="1:69">
      <c r="A359" s="28">
        <v>1964</v>
      </c>
      <c r="B359" s="27" t="s">
        <v>30</v>
      </c>
      <c r="C359" s="24">
        <f t="shared" si="363"/>
        <v>350</v>
      </c>
      <c r="D359" s="7" t="e">
        <f t="shared" ca="1" si="337"/>
        <v>#N/A</v>
      </c>
      <c r="E359" s="26">
        <f t="array" aca="1" ref="E359" ca="1">AVERAGE(IF(INDIRECT(DatCol&amp;"$"&amp;TEXT(C359,"###")):INDIRECT(DatCol&amp;"$"&amp;TEXT(C359+57,"###"))&gt;0,INDIRECT(DatCol&amp;"$"&amp;TEXT(C359,"###")):INDIRECT(DatCol&amp;"$"&amp;TEXT(C359+57,"###"))))</f>
        <v>85.291688311688318</v>
      </c>
      <c r="F359" s="26" t="str">
        <f t="shared" si="341"/>
        <v>B</v>
      </c>
      <c r="G359" s="8"/>
      <c r="H359" s="8">
        <v>8</v>
      </c>
      <c r="I359" s="8">
        <v>199</v>
      </c>
      <c r="J359" s="8">
        <v>685</v>
      </c>
      <c r="K359" s="9">
        <f t="shared" si="340"/>
        <v>693</v>
      </c>
      <c r="M359" s="11">
        <f t="shared" si="345"/>
        <v>0</v>
      </c>
      <c r="O359" s="11">
        <f t="shared" si="346"/>
        <v>0</v>
      </c>
      <c r="P359" s="12">
        <v>22505</v>
      </c>
      <c r="Q359" s="11">
        <f t="shared" si="347"/>
        <v>1350300</v>
      </c>
      <c r="Y359" s="11">
        <f t="shared" si="348"/>
        <v>0</v>
      </c>
      <c r="AG359" s="11">
        <f t="shared" si="349"/>
        <v>0</v>
      </c>
      <c r="AI359" s="11">
        <f t="shared" si="350"/>
        <v>0</v>
      </c>
      <c r="AJ359" s="12">
        <v>1500</v>
      </c>
      <c r="AK359" s="13">
        <f t="shared" si="351"/>
        <v>13500</v>
      </c>
      <c r="AL359" s="12">
        <v>500</v>
      </c>
      <c r="AM359" s="13">
        <f t="shared" si="352"/>
        <v>4500</v>
      </c>
      <c r="AO359" s="11">
        <f t="shared" si="353"/>
        <v>0</v>
      </c>
      <c r="AQ359" s="11">
        <f t="shared" si="354"/>
        <v>0</v>
      </c>
      <c r="AS359" s="11">
        <f t="shared" si="355"/>
        <v>0</v>
      </c>
      <c r="AU359" s="11">
        <f t="shared" si="356"/>
        <v>0</v>
      </c>
      <c r="AW359" s="11">
        <f t="shared" si="357"/>
        <v>0</v>
      </c>
      <c r="AY359" s="11">
        <f t="shared" si="358"/>
        <v>0</v>
      </c>
      <c r="BA359" s="11">
        <f t="shared" si="359"/>
        <v>0</v>
      </c>
      <c r="BC359" s="11">
        <f t="shared" si="360"/>
        <v>0</v>
      </c>
      <c r="BE359" s="11">
        <f t="shared" si="361"/>
        <v>0</v>
      </c>
      <c r="BG359" s="11">
        <f t="shared" si="362"/>
        <v>0</v>
      </c>
      <c r="BN359" s="8">
        <f t="shared" si="338"/>
        <v>24005</v>
      </c>
      <c r="BO359" s="8">
        <f t="shared" si="339"/>
        <v>1363800</v>
      </c>
      <c r="BP359" s="8">
        <f t="shared" si="342"/>
        <v>500</v>
      </c>
      <c r="BQ359" s="12">
        <f t="shared" si="343"/>
        <v>4500</v>
      </c>
    </row>
    <row r="360" spans="1:69">
      <c r="A360" s="28">
        <v>1965</v>
      </c>
      <c r="B360" s="27" t="s">
        <v>30</v>
      </c>
      <c r="C360" s="24">
        <f t="shared" si="363"/>
        <v>350</v>
      </c>
      <c r="D360" s="7" t="e">
        <f t="shared" ca="1" si="337"/>
        <v>#N/A</v>
      </c>
      <c r="E360" s="26">
        <f t="array" aca="1" ref="E360" ca="1">AVERAGE(IF(INDIRECT(DatCol&amp;"$"&amp;TEXT(C360,"###")):INDIRECT(DatCol&amp;"$"&amp;TEXT(C360+57,"###"))&gt;0,INDIRECT(DatCol&amp;"$"&amp;TEXT(C360,"###")):INDIRECT(DatCol&amp;"$"&amp;TEXT(C360+57,"###"))))</f>
        <v>85.291688311688318</v>
      </c>
      <c r="F360" s="26" t="str">
        <f t="shared" si="341"/>
        <v>B</v>
      </c>
      <c r="G360" s="8"/>
      <c r="H360" s="8">
        <v>8</v>
      </c>
      <c r="I360" s="8">
        <v>219</v>
      </c>
      <c r="J360" s="8">
        <v>874</v>
      </c>
      <c r="K360" s="9">
        <f t="shared" si="340"/>
        <v>882</v>
      </c>
      <c r="M360" s="11">
        <f t="shared" si="345"/>
        <v>0</v>
      </c>
      <c r="O360" s="11">
        <f t="shared" si="346"/>
        <v>0</v>
      </c>
      <c r="P360" s="12">
        <v>26765</v>
      </c>
      <c r="Q360" s="11">
        <f t="shared" si="347"/>
        <v>1605900</v>
      </c>
      <c r="Y360" s="11">
        <f t="shared" si="348"/>
        <v>0</v>
      </c>
      <c r="AG360" s="11">
        <f t="shared" si="349"/>
        <v>0</v>
      </c>
      <c r="AI360" s="11">
        <f t="shared" si="350"/>
        <v>0</v>
      </c>
      <c r="AJ360" s="12">
        <v>5600</v>
      </c>
      <c r="AK360" s="13">
        <f t="shared" si="351"/>
        <v>50400</v>
      </c>
      <c r="AL360" s="12">
        <v>400</v>
      </c>
      <c r="AM360" s="13">
        <f t="shared" si="352"/>
        <v>3600</v>
      </c>
      <c r="AO360" s="11">
        <f t="shared" si="353"/>
        <v>0</v>
      </c>
      <c r="AQ360" s="11">
        <f t="shared" si="354"/>
        <v>0</v>
      </c>
      <c r="AS360" s="11">
        <f t="shared" si="355"/>
        <v>0</v>
      </c>
      <c r="AU360" s="11">
        <f t="shared" si="356"/>
        <v>0</v>
      </c>
      <c r="AW360" s="11">
        <f t="shared" si="357"/>
        <v>0</v>
      </c>
      <c r="AY360" s="11">
        <f t="shared" si="358"/>
        <v>0</v>
      </c>
      <c r="BA360" s="11">
        <f t="shared" si="359"/>
        <v>0</v>
      </c>
      <c r="BC360" s="11">
        <f t="shared" si="360"/>
        <v>0</v>
      </c>
      <c r="BE360" s="11">
        <f t="shared" si="361"/>
        <v>0</v>
      </c>
      <c r="BG360" s="11">
        <f t="shared" si="362"/>
        <v>0</v>
      </c>
      <c r="BN360" s="8">
        <f t="shared" si="338"/>
        <v>32365</v>
      </c>
      <c r="BO360" s="8">
        <f t="shared" si="339"/>
        <v>1656300</v>
      </c>
      <c r="BP360" s="8">
        <f t="shared" si="342"/>
        <v>400</v>
      </c>
      <c r="BQ360" s="12">
        <f t="shared" si="343"/>
        <v>3600</v>
      </c>
    </row>
    <row r="361" spans="1:69">
      <c r="A361" s="28">
        <v>1966</v>
      </c>
      <c r="B361" s="27" t="s">
        <v>30</v>
      </c>
      <c r="C361" s="24">
        <f t="shared" si="363"/>
        <v>350</v>
      </c>
      <c r="D361" s="7" t="e">
        <f t="shared" ca="1" si="337"/>
        <v>#N/A</v>
      </c>
      <c r="E361" s="26">
        <f t="array" aca="1" ref="E361" ca="1">AVERAGE(IF(INDIRECT(DatCol&amp;"$"&amp;TEXT(C361,"###")):INDIRECT(DatCol&amp;"$"&amp;TEXT(C361+57,"###"))&gt;0,INDIRECT(DatCol&amp;"$"&amp;TEXT(C361,"###")):INDIRECT(DatCol&amp;"$"&amp;TEXT(C361+57,"###"))))</f>
        <v>85.291688311688318</v>
      </c>
      <c r="F361" s="26" t="str">
        <f t="shared" si="341"/>
        <v>B</v>
      </c>
      <c r="G361" s="8"/>
      <c r="H361" s="8">
        <v>9</v>
      </c>
      <c r="I361" s="8">
        <v>273</v>
      </c>
      <c r="J361" s="8">
        <v>849</v>
      </c>
      <c r="K361" s="9">
        <f t="shared" si="340"/>
        <v>858</v>
      </c>
      <c r="M361" s="11">
        <f t="shared" si="345"/>
        <v>0</v>
      </c>
      <c r="O361" s="11">
        <f t="shared" si="346"/>
        <v>0</v>
      </c>
      <c r="P361" s="12">
        <v>33003</v>
      </c>
      <c r="Q361" s="11">
        <f t="shared" si="347"/>
        <v>1980180</v>
      </c>
      <c r="Y361" s="11">
        <f t="shared" si="348"/>
        <v>0</v>
      </c>
      <c r="AG361" s="11">
        <f t="shared" si="349"/>
        <v>0</v>
      </c>
      <c r="AI361" s="11">
        <f t="shared" si="350"/>
        <v>0</v>
      </c>
      <c r="AJ361" s="12">
        <v>4700</v>
      </c>
      <c r="AK361" s="13">
        <f t="shared" si="351"/>
        <v>42300</v>
      </c>
      <c r="AL361" s="12">
        <v>500</v>
      </c>
      <c r="AM361" s="13">
        <f t="shared" si="352"/>
        <v>4500</v>
      </c>
      <c r="AO361" s="11">
        <f t="shared" si="353"/>
        <v>0</v>
      </c>
      <c r="AQ361" s="11">
        <f t="shared" si="354"/>
        <v>0</v>
      </c>
      <c r="AS361" s="11">
        <f t="shared" si="355"/>
        <v>0</v>
      </c>
      <c r="AU361" s="11">
        <f t="shared" si="356"/>
        <v>0</v>
      </c>
      <c r="AW361" s="11">
        <f t="shared" si="357"/>
        <v>0</v>
      </c>
      <c r="AY361" s="11">
        <f t="shared" si="358"/>
        <v>0</v>
      </c>
      <c r="BA361" s="11">
        <f t="shared" si="359"/>
        <v>0</v>
      </c>
      <c r="BC361" s="11">
        <f t="shared" si="360"/>
        <v>0</v>
      </c>
      <c r="BE361" s="11">
        <f t="shared" si="361"/>
        <v>0</v>
      </c>
      <c r="BG361" s="11">
        <f t="shared" si="362"/>
        <v>0</v>
      </c>
      <c r="BN361" s="8">
        <f t="shared" si="338"/>
        <v>37703</v>
      </c>
      <c r="BO361" s="8">
        <f t="shared" si="339"/>
        <v>2022480</v>
      </c>
      <c r="BP361" s="8">
        <f t="shared" si="342"/>
        <v>500</v>
      </c>
      <c r="BQ361" s="12">
        <f t="shared" si="343"/>
        <v>4500</v>
      </c>
    </row>
    <row r="362" spans="1:69">
      <c r="A362" s="28">
        <v>1967</v>
      </c>
      <c r="B362" s="27" t="s">
        <v>30</v>
      </c>
      <c r="C362" s="24">
        <f t="shared" si="363"/>
        <v>350</v>
      </c>
      <c r="D362" s="7">
        <f t="shared" ca="1" si="337"/>
        <v>0.23448943731670993</v>
      </c>
      <c r="E362" s="26">
        <f t="array" aca="1" ref="E362" ca="1">AVERAGE(IF(INDIRECT(DatCol&amp;"$"&amp;TEXT(C362,"###")):INDIRECT(DatCol&amp;"$"&amp;TEXT(C362+57,"###"))&gt;0,INDIRECT(DatCol&amp;"$"&amp;TEXT(C362,"###")):INDIRECT(DatCol&amp;"$"&amp;TEXT(C362+57,"###"))))</f>
        <v>85.291688311688318</v>
      </c>
      <c r="F362" s="26" t="str">
        <f t="shared" si="341"/>
        <v>B</v>
      </c>
      <c r="G362" s="8"/>
      <c r="H362" s="8">
        <v>7</v>
      </c>
      <c r="I362" s="8">
        <v>244</v>
      </c>
      <c r="J362" s="8">
        <v>776</v>
      </c>
      <c r="K362" s="9">
        <f t="shared" si="340"/>
        <v>783</v>
      </c>
      <c r="L362" s="12">
        <v>35</v>
      </c>
      <c r="M362" s="11">
        <f t="shared" si="345"/>
        <v>1750</v>
      </c>
      <c r="N362" s="12">
        <v>20</v>
      </c>
      <c r="O362" s="11">
        <f t="shared" si="346"/>
        <v>1000</v>
      </c>
      <c r="P362" s="12">
        <v>12107</v>
      </c>
      <c r="Q362" s="11">
        <f t="shared" si="347"/>
        <v>726420</v>
      </c>
      <c r="X362" s="12">
        <v>3500</v>
      </c>
      <c r="Y362" s="11">
        <f t="shared" si="348"/>
        <v>210000</v>
      </c>
      <c r="AF362" s="12">
        <v>5</v>
      </c>
      <c r="AG362" s="11">
        <f t="shared" si="349"/>
        <v>325</v>
      </c>
      <c r="AI362" s="11">
        <f t="shared" si="350"/>
        <v>0</v>
      </c>
      <c r="AJ362" s="12">
        <v>1734</v>
      </c>
      <c r="AK362" s="13">
        <f t="shared" si="351"/>
        <v>15606</v>
      </c>
      <c r="AL362" s="12">
        <v>400</v>
      </c>
      <c r="AM362" s="13">
        <f t="shared" si="352"/>
        <v>3600</v>
      </c>
      <c r="AO362" s="11">
        <f t="shared" si="353"/>
        <v>0</v>
      </c>
      <c r="AQ362" s="11">
        <f t="shared" si="354"/>
        <v>0</v>
      </c>
      <c r="AS362" s="11">
        <f t="shared" si="355"/>
        <v>0</v>
      </c>
      <c r="AU362" s="11">
        <f t="shared" si="356"/>
        <v>0</v>
      </c>
      <c r="AW362" s="11">
        <f t="shared" si="357"/>
        <v>0</v>
      </c>
      <c r="AY362" s="11">
        <f t="shared" si="358"/>
        <v>0</v>
      </c>
      <c r="BA362" s="11">
        <f t="shared" si="359"/>
        <v>0</v>
      </c>
      <c r="BC362" s="11">
        <f t="shared" si="360"/>
        <v>0</v>
      </c>
      <c r="BE362" s="11">
        <f t="shared" si="361"/>
        <v>0</v>
      </c>
      <c r="BG362" s="11">
        <f t="shared" si="362"/>
        <v>0</v>
      </c>
      <c r="BN362" s="8">
        <f t="shared" si="338"/>
        <v>17381</v>
      </c>
      <c r="BO362" s="8">
        <f t="shared" si="339"/>
        <v>954101</v>
      </c>
      <c r="BP362" s="8">
        <f t="shared" si="342"/>
        <v>3920</v>
      </c>
      <c r="BQ362" s="12">
        <f t="shared" si="343"/>
        <v>214600</v>
      </c>
    </row>
    <row r="363" spans="1:69">
      <c r="A363" s="28">
        <v>1968</v>
      </c>
      <c r="B363" s="27" t="s">
        <v>30</v>
      </c>
      <c r="C363" s="24">
        <f t="shared" si="363"/>
        <v>350</v>
      </c>
      <c r="D363" s="7">
        <f t="shared" ca="1" si="337"/>
        <v>1.9697112734603635</v>
      </c>
      <c r="E363" s="26">
        <f t="array" aca="1" ref="E363" ca="1">AVERAGE(IF(INDIRECT(DatCol&amp;"$"&amp;TEXT(C363,"###")):INDIRECT(DatCol&amp;"$"&amp;TEXT(C363+57,"###"))&gt;0,INDIRECT(DatCol&amp;"$"&amp;TEXT(C363,"###")):INDIRECT(DatCol&amp;"$"&amp;TEXT(C363+57,"###"))))</f>
        <v>85.291688311688318</v>
      </c>
      <c r="F363" s="26" t="str">
        <f t="shared" si="341"/>
        <v>B</v>
      </c>
      <c r="G363" s="8"/>
      <c r="H363" s="8">
        <v>7</v>
      </c>
      <c r="I363" s="8">
        <v>138</v>
      </c>
      <c r="J363" s="8">
        <v>794</v>
      </c>
      <c r="K363" s="9">
        <f t="shared" si="340"/>
        <v>801</v>
      </c>
      <c r="L363" s="12">
        <v>105</v>
      </c>
      <c r="M363" s="11">
        <f t="shared" si="345"/>
        <v>5250</v>
      </c>
      <c r="N363" s="12">
        <v>168</v>
      </c>
      <c r="O363" s="11">
        <f t="shared" si="346"/>
        <v>8400</v>
      </c>
      <c r="P363" s="12">
        <v>17557</v>
      </c>
      <c r="Q363" s="11">
        <f t="shared" si="347"/>
        <v>1053420</v>
      </c>
      <c r="X363" s="12">
        <v>5320</v>
      </c>
      <c r="Y363" s="11">
        <f t="shared" si="348"/>
        <v>319200</v>
      </c>
      <c r="AG363" s="11">
        <f t="shared" si="349"/>
        <v>0</v>
      </c>
      <c r="AI363" s="11">
        <f t="shared" si="350"/>
        <v>0</v>
      </c>
      <c r="AJ363" s="12">
        <v>5037</v>
      </c>
      <c r="AK363" s="13">
        <f t="shared" si="351"/>
        <v>45333</v>
      </c>
      <c r="AL363" s="12">
        <v>400</v>
      </c>
      <c r="AM363" s="13">
        <f t="shared" si="352"/>
        <v>3600</v>
      </c>
      <c r="AO363" s="11">
        <f t="shared" si="353"/>
        <v>0</v>
      </c>
      <c r="AQ363" s="11">
        <f t="shared" si="354"/>
        <v>0</v>
      </c>
      <c r="AS363" s="11">
        <f t="shared" si="355"/>
        <v>0</v>
      </c>
      <c r="AU363" s="11">
        <f t="shared" si="356"/>
        <v>0</v>
      </c>
      <c r="AW363" s="11">
        <f t="shared" si="357"/>
        <v>0</v>
      </c>
      <c r="AY363" s="11">
        <f t="shared" si="358"/>
        <v>0</v>
      </c>
      <c r="BA363" s="11">
        <f t="shared" si="359"/>
        <v>0</v>
      </c>
      <c r="BC363" s="11">
        <f t="shared" si="360"/>
        <v>0</v>
      </c>
      <c r="BE363" s="11">
        <f t="shared" si="361"/>
        <v>0</v>
      </c>
      <c r="BG363" s="11">
        <f t="shared" si="362"/>
        <v>0</v>
      </c>
      <c r="BN363" s="8">
        <f t="shared" si="338"/>
        <v>28019</v>
      </c>
      <c r="BO363" s="8">
        <f t="shared" si="339"/>
        <v>1423203</v>
      </c>
      <c r="BP363" s="8">
        <f t="shared" si="342"/>
        <v>5888</v>
      </c>
      <c r="BQ363" s="12">
        <f t="shared" si="343"/>
        <v>331200</v>
      </c>
    </row>
    <row r="364" spans="1:69">
      <c r="A364" s="28">
        <v>1969</v>
      </c>
      <c r="B364" s="27" t="s">
        <v>30</v>
      </c>
      <c r="C364" s="24">
        <f t="shared" si="363"/>
        <v>350</v>
      </c>
      <c r="D364" s="7">
        <f t="shared" ca="1" si="337"/>
        <v>0.46897887463341986</v>
      </c>
      <c r="E364" s="26">
        <f t="array" aca="1" ref="E364" ca="1">AVERAGE(IF(INDIRECT(DatCol&amp;"$"&amp;TEXT(C364,"###")):INDIRECT(DatCol&amp;"$"&amp;TEXT(C364+57,"###"))&gt;0,INDIRECT(DatCol&amp;"$"&amp;TEXT(C364,"###")):INDIRECT(DatCol&amp;"$"&amp;TEXT(C364+57,"###"))))</f>
        <v>85.291688311688318</v>
      </c>
      <c r="F364" s="26" t="str">
        <f t="shared" si="341"/>
        <v>B</v>
      </c>
      <c r="G364" s="8"/>
      <c r="H364" s="8">
        <v>9</v>
      </c>
      <c r="I364" s="8">
        <v>192</v>
      </c>
      <c r="J364" s="8">
        <v>917</v>
      </c>
      <c r="K364" s="9">
        <f t="shared" si="340"/>
        <v>926</v>
      </c>
      <c r="L364" s="12">
        <v>75</v>
      </c>
      <c r="M364" s="11">
        <f t="shared" si="345"/>
        <v>3750</v>
      </c>
      <c r="N364" s="12">
        <v>40</v>
      </c>
      <c r="O364" s="11">
        <f t="shared" si="346"/>
        <v>2000</v>
      </c>
      <c r="P364" s="12">
        <v>12846</v>
      </c>
      <c r="Q364" s="11">
        <f t="shared" si="347"/>
        <v>770760</v>
      </c>
      <c r="X364" s="12">
        <v>1440</v>
      </c>
      <c r="Y364" s="11">
        <f t="shared" si="348"/>
        <v>86400</v>
      </c>
      <c r="AF364" s="12">
        <v>73</v>
      </c>
      <c r="AG364" s="11">
        <f t="shared" si="349"/>
        <v>4745</v>
      </c>
      <c r="AH364" s="12">
        <v>42</v>
      </c>
      <c r="AI364" s="11">
        <f t="shared" si="350"/>
        <v>2730</v>
      </c>
      <c r="AJ364" s="12">
        <v>2437</v>
      </c>
      <c r="AK364" s="13">
        <f t="shared" si="351"/>
        <v>21933</v>
      </c>
      <c r="AL364" s="12">
        <v>401</v>
      </c>
      <c r="AM364" s="13">
        <f t="shared" si="352"/>
        <v>3609</v>
      </c>
      <c r="AO364" s="11">
        <f t="shared" si="353"/>
        <v>0</v>
      </c>
      <c r="AQ364" s="11">
        <f t="shared" si="354"/>
        <v>0</v>
      </c>
      <c r="AS364" s="11">
        <f t="shared" si="355"/>
        <v>0</v>
      </c>
      <c r="AU364" s="11">
        <f t="shared" si="356"/>
        <v>0</v>
      </c>
      <c r="AW364" s="11">
        <f t="shared" si="357"/>
        <v>0</v>
      </c>
      <c r="AY364" s="11">
        <f t="shared" si="358"/>
        <v>0</v>
      </c>
      <c r="BA364" s="11">
        <f t="shared" si="359"/>
        <v>0</v>
      </c>
      <c r="BC364" s="11">
        <f t="shared" si="360"/>
        <v>0</v>
      </c>
      <c r="BE364" s="11">
        <f t="shared" si="361"/>
        <v>0</v>
      </c>
      <c r="BG364" s="11">
        <f t="shared" si="362"/>
        <v>0</v>
      </c>
      <c r="BN364" s="8">
        <f t="shared" si="338"/>
        <v>16871</v>
      </c>
      <c r="BO364" s="8">
        <f t="shared" si="339"/>
        <v>887588</v>
      </c>
      <c r="BP364" s="8">
        <f t="shared" si="342"/>
        <v>1923</v>
      </c>
      <c r="BQ364" s="12">
        <f t="shared" si="343"/>
        <v>94739</v>
      </c>
    </row>
    <row r="365" spans="1:69">
      <c r="A365" s="28">
        <v>1970</v>
      </c>
      <c r="B365" s="27" t="s">
        <v>30</v>
      </c>
      <c r="C365" s="24">
        <f t="shared" si="363"/>
        <v>350</v>
      </c>
      <c r="D365" s="7">
        <f t="shared" ca="1" si="337"/>
        <v>0.82071303060848477</v>
      </c>
      <c r="E365" s="26">
        <f t="array" aca="1" ref="E365" ca="1">AVERAGE(IF(INDIRECT(DatCol&amp;"$"&amp;TEXT(C365,"###")):INDIRECT(DatCol&amp;"$"&amp;TEXT(C365+57,"###"))&gt;0,INDIRECT(DatCol&amp;"$"&amp;TEXT(C365,"###")):INDIRECT(DatCol&amp;"$"&amp;TEXT(C365+57,"###"))))</f>
        <v>85.291688311688318</v>
      </c>
      <c r="F365" s="26" t="str">
        <f t="shared" si="341"/>
        <v>B</v>
      </c>
      <c r="G365" s="8"/>
      <c r="H365" s="8">
        <v>20</v>
      </c>
      <c r="I365" s="8">
        <v>252</v>
      </c>
      <c r="J365" s="8">
        <v>1049</v>
      </c>
      <c r="K365" s="9">
        <f t="shared" si="340"/>
        <v>1069</v>
      </c>
      <c r="L365" s="12">
        <v>140</v>
      </c>
      <c r="M365" s="11">
        <f t="shared" ref="M365:M380" si="364">(L365*50)</f>
        <v>7000</v>
      </c>
      <c r="N365" s="12">
        <v>70</v>
      </c>
      <c r="O365" s="11">
        <f t="shared" ref="O365:O380" si="365">(N365*50)</f>
        <v>3500</v>
      </c>
      <c r="P365" s="12">
        <v>10254</v>
      </c>
      <c r="Q365" s="11">
        <f t="shared" ref="Q365:Q380" si="366">((P365*330)/5.5)</f>
        <v>615240</v>
      </c>
      <c r="X365" s="12">
        <v>1507</v>
      </c>
      <c r="Y365" s="11">
        <f t="shared" ref="Y365:Y380" si="367">((X365*330)/5.5)</f>
        <v>90420</v>
      </c>
      <c r="AF365" s="12">
        <v>250</v>
      </c>
      <c r="AG365" s="11">
        <f t="shared" ref="AG365:AG380" si="368">(AF365*65)</f>
        <v>16250</v>
      </c>
      <c r="AH365" s="12">
        <v>50</v>
      </c>
      <c r="AI365" s="11">
        <f t="shared" ref="AI365:AI380" si="369">(AH365*65)</f>
        <v>3250</v>
      </c>
      <c r="AJ365" s="12">
        <v>3143</v>
      </c>
      <c r="AK365" s="13">
        <f t="shared" ref="AK365:AK380" si="370">(AJ365*9)</f>
        <v>28287</v>
      </c>
      <c r="AL365" s="12">
        <v>550</v>
      </c>
      <c r="AM365" s="13">
        <f t="shared" ref="AM365:AM380" si="371">(AL365*9)</f>
        <v>4950</v>
      </c>
      <c r="AN365" s="12">
        <v>20</v>
      </c>
      <c r="AO365" s="11">
        <f t="shared" ref="AO365:AO380" si="372">(AN365*80)</f>
        <v>1600</v>
      </c>
      <c r="AQ365" s="11">
        <f t="shared" ref="AQ365:AQ380" si="373">(AP365*80)</f>
        <v>0</v>
      </c>
      <c r="AS365" s="11">
        <f t="shared" ref="AS365:AS380" si="374">(AR365*50)</f>
        <v>0</v>
      </c>
      <c r="AU365" s="11">
        <f t="shared" ref="AU365:AU380" si="375">(AT365*50)</f>
        <v>0</v>
      </c>
      <c r="AW365" s="11">
        <f t="shared" ref="AW365:AW380" si="376">(AV365*60)</f>
        <v>0</v>
      </c>
      <c r="AY365" s="11">
        <f t="shared" ref="AY365:AY380" si="377">(AX365*60)</f>
        <v>0</v>
      </c>
      <c r="BA365" s="11">
        <f t="shared" ref="BA365:BA380" si="378">(AZ365*40)</f>
        <v>0</v>
      </c>
      <c r="BC365" s="11">
        <f t="shared" ref="BC365:BC380" si="379">(BB365*40)</f>
        <v>0</v>
      </c>
      <c r="BD365" s="12">
        <v>335</v>
      </c>
      <c r="BE365" s="11">
        <f t="shared" ref="BE365:BE380" si="380">(BD365*95)</f>
        <v>31825</v>
      </c>
      <c r="BG365" s="11">
        <f t="shared" ref="BG365:BG380" si="381">(BF365*95)</f>
        <v>0</v>
      </c>
      <c r="BN365" s="8">
        <f t="shared" si="338"/>
        <v>15649</v>
      </c>
      <c r="BO365" s="8">
        <f t="shared" si="339"/>
        <v>790622</v>
      </c>
      <c r="BP365" s="8">
        <f t="shared" si="342"/>
        <v>2177</v>
      </c>
      <c r="BQ365" s="12">
        <f t="shared" si="343"/>
        <v>102120</v>
      </c>
    </row>
    <row r="366" spans="1:69">
      <c r="A366" s="28">
        <v>1971</v>
      </c>
      <c r="B366" s="27" t="s">
        <v>30</v>
      </c>
      <c r="C366" s="24">
        <f t="shared" si="363"/>
        <v>350</v>
      </c>
      <c r="D366" s="7">
        <f t="shared" ca="1" si="337"/>
        <v>0.46897887463341986</v>
      </c>
      <c r="E366" s="26">
        <f t="array" aca="1" ref="E366" ca="1">AVERAGE(IF(INDIRECT(DatCol&amp;"$"&amp;TEXT(C366,"###")):INDIRECT(DatCol&amp;"$"&amp;TEXT(C366+57,"###"))&gt;0,INDIRECT(DatCol&amp;"$"&amp;TEXT(C366,"###")):INDIRECT(DatCol&amp;"$"&amp;TEXT(C366+57,"###"))))</f>
        <v>85.291688311688318</v>
      </c>
      <c r="F366" s="26" t="str">
        <f t="shared" si="341"/>
        <v>B</v>
      </c>
      <c r="G366" s="8"/>
      <c r="H366" s="8">
        <v>12</v>
      </c>
      <c r="I366" s="8">
        <v>165</v>
      </c>
      <c r="J366" s="8">
        <v>1098</v>
      </c>
      <c r="K366" s="9">
        <f t="shared" si="340"/>
        <v>1110</v>
      </c>
      <c r="L366" s="12">
        <v>55</v>
      </c>
      <c r="M366" s="11">
        <f t="shared" si="364"/>
        <v>2750</v>
      </c>
      <c r="N366" s="12">
        <v>40</v>
      </c>
      <c r="O366" s="11">
        <f t="shared" si="365"/>
        <v>2000</v>
      </c>
      <c r="P366" s="12">
        <v>4821</v>
      </c>
      <c r="Q366" s="11">
        <f t="shared" si="366"/>
        <v>289260</v>
      </c>
      <c r="X366" s="12">
        <v>2865</v>
      </c>
      <c r="Y366" s="11">
        <f t="shared" si="367"/>
        <v>171900</v>
      </c>
      <c r="AF366" s="12">
        <v>65</v>
      </c>
      <c r="AG366" s="11">
        <f t="shared" si="368"/>
        <v>4225</v>
      </c>
      <c r="AH366" s="12">
        <v>50</v>
      </c>
      <c r="AI366" s="11">
        <f t="shared" si="369"/>
        <v>3250</v>
      </c>
      <c r="AJ366" s="12">
        <v>4826</v>
      </c>
      <c r="AK366" s="13">
        <f t="shared" si="370"/>
        <v>43434</v>
      </c>
      <c r="AL366" s="12">
        <v>1143</v>
      </c>
      <c r="AM366" s="13">
        <f t="shared" si="371"/>
        <v>10287</v>
      </c>
      <c r="AO366" s="11">
        <f t="shared" si="372"/>
        <v>0</v>
      </c>
      <c r="AQ366" s="11">
        <f t="shared" si="373"/>
        <v>0</v>
      </c>
      <c r="AS366" s="11">
        <f t="shared" si="374"/>
        <v>0</v>
      </c>
      <c r="AU366" s="11">
        <f t="shared" si="375"/>
        <v>0</v>
      </c>
      <c r="AW366" s="11">
        <f t="shared" si="376"/>
        <v>0</v>
      </c>
      <c r="AY366" s="11">
        <f t="shared" si="377"/>
        <v>0</v>
      </c>
      <c r="BA366" s="11">
        <f t="shared" si="378"/>
        <v>0</v>
      </c>
      <c r="BC366" s="11">
        <f t="shared" si="379"/>
        <v>0</v>
      </c>
      <c r="BD366" s="12">
        <v>200</v>
      </c>
      <c r="BE366" s="11">
        <f t="shared" si="380"/>
        <v>19000</v>
      </c>
      <c r="BG366" s="11">
        <f t="shared" si="381"/>
        <v>0</v>
      </c>
      <c r="BN366" s="8">
        <f t="shared" si="338"/>
        <v>12832</v>
      </c>
      <c r="BO366" s="8">
        <f t="shared" si="339"/>
        <v>530569</v>
      </c>
      <c r="BP366" s="8">
        <f t="shared" si="342"/>
        <v>4098</v>
      </c>
      <c r="BQ366" s="12">
        <f t="shared" si="343"/>
        <v>187437</v>
      </c>
    </row>
    <row r="367" spans="1:69">
      <c r="A367" s="28">
        <v>1972</v>
      </c>
      <c r="B367" s="27" t="s">
        <v>30</v>
      </c>
      <c r="C367" s="24">
        <f t="shared" si="363"/>
        <v>350</v>
      </c>
      <c r="D367" s="7">
        <f t="shared" ca="1" si="337"/>
        <v>0.72691725568180077</v>
      </c>
      <c r="E367" s="26">
        <f t="array" aca="1" ref="E367" ca="1">AVERAGE(IF(INDIRECT(DatCol&amp;"$"&amp;TEXT(C367,"###")):INDIRECT(DatCol&amp;"$"&amp;TEXT(C367+57,"###"))&gt;0,INDIRECT(DatCol&amp;"$"&amp;TEXT(C367,"###")):INDIRECT(DatCol&amp;"$"&amp;TEXT(C367+57,"###"))))</f>
        <v>85.291688311688318</v>
      </c>
      <c r="F367" s="26" t="str">
        <f t="shared" si="341"/>
        <v>B</v>
      </c>
      <c r="G367" s="8"/>
      <c r="H367" s="8">
        <v>3</v>
      </c>
      <c r="I367" s="8">
        <v>90</v>
      </c>
      <c r="J367" s="8">
        <v>898</v>
      </c>
      <c r="K367" s="9">
        <f t="shared" si="340"/>
        <v>901</v>
      </c>
      <c r="L367" s="12">
        <v>140</v>
      </c>
      <c r="M367" s="11">
        <f t="shared" si="364"/>
        <v>7000</v>
      </c>
      <c r="N367" s="12">
        <v>62</v>
      </c>
      <c r="O367" s="11">
        <f t="shared" si="365"/>
        <v>3100</v>
      </c>
      <c r="P367" s="12">
        <v>5312</v>
      </c>
      <c r="Q367" s="11">
        <f t="shared" si="366"/>
        <v>318720</v>
      </c>
      <c r="X367" s="12">
        <v>865</v>
      </c>
      <c r="Y367" s="11">
        <f t="shared" si="367"/>
        <v>51900</v>
      </c>
      <c r="AF367" s="12">
        <v>515</v>
      </c>
      <c r="AG367" s="11">
        <f t="shared" si="368"/>
        <v>33475</v>
      </c>
      <c r="AH367" s="12">
        <v>220</v>
      </c>
      <c r="AI367" s="11">
        <f t="shared" si="369"/>
        <v>14300</v>
      </c>
      <c r="AJ367" s="12">
        <v>850</v>
      </c>
      <c r="AK367" s="13">
        <f t="shared" si="370"/>
        <v>7650</v>
      </c>
      <c r="AL367" s="12">
        <v>210</v>
      </c>
      <c r="AM367" s="13">
        <f t="shared" si="371"/>
        <v>1890</v>
      </c>
      <c r="AO367" s="11">
        <f t="shared" si="372"/>
        <v>0</v>
      </c>
      <c r="AQ367" s="11">
        <f t="shared" si="373"/>
        <v>0</v>
      </c>
      <c r="AS367" s="11">
        <f t="shared" si="374"/>
        <v>0</v>
      </c>
      <c r="AU367" s="11">
        <f t="shared" si="375"/>
        <v>0</v>
      </c>
      <c r="AW367" s="11">
        <f t="shared" si="376"/>
        <v>0</v>
      </c>
      <c r="AY367" s="11">
        <f t="shared" si="377"/>
        <v>0</v>
      </c>
      <c r="BA367" s="11">
        <f t="shared" si="378"/>
        <v>0</v>
      </c>
      <c r="BC367" s="11">
        <f t="shared" si="379"/>
        <v>0</v>
      </c>
      <c r="BE367" s="11">
        <f t="shared" si="380"/>
        <v>0</v>
      </c>
      <c r="BG367" s="11">
        <f t="shared" si="381"/>
        <v>0</v>
      </c>
      <c r="BN367" s="8">
        <f t="shared" si="338"/>
        <v>7682</v>
      </c>
      <c r="BO367" s="8">
        <f t="shared" si="339"/>
        <v>418745</v>
      </c>
      <c r="BP367" s="8">
        <f t="shared" si="342"/>
        <v>1357</v>
      </c>
      <c r="BQ367" s="12">
        <f t="shared" si="343"/>
        <v>71190</v>
      </c>
    </row>
    <row r="368" spans="1:69">
      <c r="A368" s="28">
        <v>1973</v>
      </c>
      <c r="B368" s="27" t="s">
        <v>30</v>
      </c>
      <c r="C368" s="24">
        <f t="shared" si="363"/>
        <v>350</v>
      </c>
      <c r="D368" s="7">
        <f t="shared" ca="1" si="337"/>
        <v>0.17586707798753246</v>
      </c>
      <c r="E368" s="26">
        <f t="array" aca="1" ref="E368" ca="1">AVERAGE(IF(INDIRECT(DatCol&amp;"$"&amp;TEXT(C368,"###")):INDIRECT(DatCol&amp;"$"&amp;TEXT(C368+57,"###"))&gt;0,INDIRECT(DatCol&amp;"$"&amp;TEXT(C368,"###")):INDIRECT(DatCol&amp;"$"&amp;TEXT(C368+57,"###"))))</f>
        <v>85.291688311688318</v>
      </c>
      <c r="F368" s="26" t="str">
        <f t="shared" si="341"/>
        <v>B</v>
      </c>
      <c r="G368" s="8"/>
      <c r="H368" s="8">
        <v>10</v>
      </c>
      <c r="I368" s="8">
        <v>113</v>
      </c>
      <c r="J368" s="8">
        <v>1279</v>
      </c>
      <c r="K368" s="9">
        <f t="shared" si="340"/>
        <v>1289</v>
      </c>
      <c r="L368" s="12">
        <v>158</v>
      </c>
      <c r="M368" s="11">
        <f t="shared" si="364"/>
        <v>7900</v>
      </c>
      <c r="N368" s="12">
        <v>15</v>
      </c>
      <c r="O368" s="11">
        <f t="shared" si="365"/>
        <v>750</v>
      </c>
      <c r="P368" s="12">
        <v>7221</v>
      </c>
      <c r="Q368" s="11">
        <f t="shared" si="366"/>
        <v>433260</v>
      </c>
      <c r="X368" s="12">
        <v>1714</v>
      </c>
      <c r="Y368" s="11">
        <f t="shared" si="367"/>
        <v>102840</v>
      </c>
      <c r="AF368" s="12">
        <v>228</v>
      </c>
      <c r="AG368" s="11">
        <f t="shared" si="368"/>
        <v>14820</v>
      </c>
      <c r="AH368" s="12">
        <v>100</v>
      </c>
      <c r="AI368" s="11">
        <f t="shared" si="369"/>
        <v>6500</v>
      </c>
      <c r="AJ368" s="12">
        <v>16</v>
      </c>
      <c r="AK368" s="13">
        <f t="shared" si="370"/>
        <v>144</v>
      </c>
      <c r="AL368" s="12">
        <v>0</v>
      </c>
      <c r="AM368" s="13">
        <f t="shared" si="371"/>
        <v>0</v>
      </c>
      <c r="AO368" s="11">
        <f t="shared" si="372"/>
        <v>0</v>
      </c>
      <c r="AQ368" s="11">
        <f t="shared" si="373"/>
        <v>0</v>
      </c>
      <c r="AS368" s="11">
        <f t="shared" si="374"/>
        <v>0</v>
      </c>
      <c r="AU368" s="11">
        <f t="shared" si="375"/>
        <v>0</v>
      </c>
      <c r="AW368" s="11">
        <f t="shared" si="376"/>
        <v>0</v>
      </c>
      <c r="AY368" s="11">
        <f t="shared" si="377"/>
        <v>0</v>
      </c>
      <c r="BA368" s="11">
        <f t="shared" si="378"/>
        <v>0</v>
      </c>
      <c r="BC368" s="11">
        <f t="shared" si="379"/>
        <v>0</v>
      </c>
      <c r="BE368" s="11">
        <f t="shared" si="380"/>
        <v>0</v>
      </c>
      <c r="BG368" s="11">
        <f t="shared" si="381"/>
        <v>0</v>
      </c>
      <c r="BN368" s="8">
        <f t="shared" si="338"/>
        <v>9337</v>
      </c>
      <c r="BO368" s="8">
        <f t="shared" si="339"/>
        <v>558964</v>
      </c>
      <c r="BP368" s="8">
        <f t="shared" si="342"/>
        <v>1829</v>
      </c>
      <c r="BQ368" s="12">
        <f t="shared" si="343"/>
        <v>110090</v>
      </c>
    </row>
    <row r="369" spans="1:69">
      <c r="A369" s="28">
        <v>1974</v>
      </c>
      <c r="B369" s="27" t="s">
        <v>30</v>
      </c>
      <c r="C369" s="24">
        <f t="shared" si="363"/>
        <v>350</v>
      </c>
      <c r="D369" s="7">
        <f t="shared" ca="1" si="337"/>
        <v>9.3795774926683978E-2</v>
      </c>
      <c r="E369" s="26">
        <f t="array" aca="1" ref="E369" ca="1">AVERAGE(IF(INDIRECT(DatCol&amp;"$"&amp;TEXT(C369,"###")):INDIRECT(DatCol&amp;"$"&amp;TEXT(C369+57,"###"))&gt;0,INDIRECT(DatCol&amp;"$"&amp;TEXT(C369,"###")):INDIRECT(DatCol&amp;"$"&amp;TEXT(C369+57,"###"))))</f>
        <v>85.291688311688318</v>
      </c>
      <c r="F369" s="26" t="str">
        <f t="shared" si="341"/>
        <v>B</v>
      </c>
      <c r="G369" s="8"/>
      <c r="H369" s="8">
        <v>12</v>
      </c>
      <c r="I369" s="8">
        <v>165</v>
      </c>
      <c r="J369" s="8">
        <v>1503</v>
      </c>
      <c r="K369" s="9">
        <f t="shared" si="340"/>
        <v>1515</v>
      </c>
      <c r="L369" s="12">
        <v>165</v>
      </c>
      <c r="M369" s="11">
        <f t="shared" si="364"/>
        <v>8250</v>
      </c>
      <c r="N369" s="12">
        <v>8</v>
      </c>
      <c r="O369" s="11">
        <f t="shared" si="365"/>
        <v>400</v>
      </c>
      <c r="P369" s="12">
        <v>10913</v>
      </c>
      <c r="Q369" s="11">
        <f t="shared" si="366"/>
        <v>654780</v>
      </c>
      <c r="X369" s="12">
        <v>3222</v>
      </c>
      <c r="Y369" s="11">
        <f t="shared" si="367"/>
        <v>193320</v>
      </c>
      <c r="AF369" s="12">
        <v>374</v>
      </c>
      <c r="AG369" s="11">
        <f t="shared" si="368"/>
        <v>24310</v>
      </c>
      <c r="AH369" s="12">
        <v>25</v>
      </c>
      <c r="AI369" s="11">
        <f t="shared" si="369"/>
        <v>1625</v>
      </c>
      <c r="AJ369" s="12">
        <v>41</v>
      </c>
      <c r="AK369" s="13">
        <f t="shared" si="370"/>
        <v>369</v>
      </c>
      <c r="AL369" s="12">
        <v>4</v>
      </c>
      <c r="AM369" s="13">
        <f t="shared" si="371"/>
        <v>36</v>
      </c>
      <c r="AO369" s="11">
        <f t="shared" si="372"/>
        <v>0</v>
      </c>
      <c r="AQ369" s="11">
        <f t="shared" si="373"/>
        <v>0</v>
      </c>
      <c r="AS369" s="11">
        <f t="shared" si="374"/>
        <v>0</v>
      </c>
      <c r="AU369" s="11">
        <f t="shared" si="375"/>
        <v>0</v>
      </c>
      <c r="AW369" s="11">
        <f t="shared" si="376"/>
        <v>0</v>
      </c>
      <c r="AY369" s="11">
        <f t="shared" si="377"/>
        <v>0</v>
      </c>
      <c r="BA369" s="11">
        <f t="shared" si="378"/>
        <v>0</v>
      </c>
      <c r="BC369" s="11">
        <f t="shared" si="379"/>
        <v>0</v>
      </c>
      <c r="BE369" s="11">
        <f t="shared" si="380"/>
        <v>0</v>
      </c>
      <c r="BG369" s="11">
        <f t="shared" si="381"/>
        <v>0</v>
      </c>
      <c r="BN369" s="8">
        <f t="shared" si="338"/>
        <v>14715</v>
      </c>
      <c r="BO369" s="8">
        <f t="shared" si="339"/>
        <v>881029</v>
      </c>
      <c r="BP369" s="8">
        <f t="shared" si="342"/>
        <v>3259</v>
      </c>
      <c r="BQ369" s="12">
        <f t="shared" si="343"/>
        <v>195381</v>
      </c>
    </row>
    <row r="370" spans="1:69">
      <c r="A370" s="28">
        <v>1975</v>
      </c>
      <c r="B370" s="27" t="s">
        <v>30</v>
      </c>
      <c r="C370" s="24">
        <f t="shared" si="363"/>
        <v>350</v>
      </c>
      <c r="D370" s="7">
        <f t="shared" ca="1" si="337"/>
        <v>0.28138732478005191</v>
      </c>
      <c r="E370" s="26">
        <f t="array" aca="1" ref="E370" ca="1">AVERAGE(IF(INDIRECT(DatCol&amp;"$"&amp;TEXT(C370,"###")):INDIRECT(DatCol&amp;"$"&amp;TEXT(C370+57,"###"))&gt;0,INDIRECT(DatCol&amp;"$"&amp;TEXT(C370,"###")):INDIRECT(DatCol&amp;"$"&amp;TEXT(C370+57,"###"))))</f>
        <v>85.291688311688318</v>
      </c>
      <c r="F370" s="26" t="str">
        <f t="shared" si="341"/>
        <v>B</v>
      </c>
      <c r="G370" s="8"/>
      <c r="H370" s="8">
        <v>7</v>
      </c>
      <c r="I370" s="8">
        <v>104</v>
      </c>
      <c r="J370" s="8">
        <v>922</v>
      </c>
      <c r="K370" s="9">
        <f t="shared" si="340"/>
        <v>929</v>
      </c>
      <c r="L370" s="12">
        <v>23</v>
      </c>
      <c r="M370" s="11">
        <f t="shared" si="364"/>
        <v>1150</v>
      </c>
      <c r="N370" s="12">
        <v>24</v>
      </c>
      <c r="O370" s="11">
        <f t="shared" si="365"/>
        <v>1200</v>
      </c>
      <c r="P370" s="12">
        <v>11252</v>
      </c>
      <c r="Q370" s="11">
        <f t="shared" si="366"/>
        <v>675120</v>
      </c>
      <c r="X370" s="12">
        <v>2213</v>
      </c>
      <c r="Y370" s="11">
        <f t="shared" si="367"/>
        <v>132780</v>
      </c>
      <c r="AF370" s="12">
        <v>138</v>
      </c>
      <c r="AG370" s="11">
        <f t="shared" si="368"/>
        <v>8970</v>
      </c>
      <c r="AH370" s="12">
        <v>50</v>
      </c>
      <c r="AI370" s="11">
        <f t="shared" si="369"/>
        <v>3250</v>
      </c>
      <c r="AJ370" s="12">
        <v>0</v>
      </c>
      <c r="AK370" s="13">
        <f t="shared" si="370"/>
        <v>0</v>
      </c>
      <c r="AL370" s="12">
        <v>0</v>
      </c>
      <c r="AM370" s="13">
        <f t="shared" si="371"/>
        <v>0</v>
      </c>
      <c r="AO370" s="11">
        <f t="shared" si="372"/>
        <v>0</v>
      </c>
      <c r="AQ370" s="11">
        <f t="shared" si="373"/>
        <v>0</v>
      </c>
      <c r="AS370" s="11">
        <f t="shared" si="374"/>
        <v>0</v>
      </c>
      <c r="AU370" s="11">
        <f t="shared" si="375"/>
        <v>0</v>
      </c>
      <c r="AW370" s="11">
        <f t="shared" si="376"/>
        <v>0</v>
      </c>
      <c r="AY370" s="11">
        <f t="shared" si="377"/>
        <v>0</v>
      </c>
      <c r="BA370" s="11">
        <f t="shared" si="378"/>
        <v>0</v>
      </c>
      <c r="BC370" s="11">
        <f t="shared" si="379"/>
        <v>0</v>
      </c>
      <c r="BE370" s="11">
        <f t="shared" si="380"/>
        <v>0</v>
      </c>
      <c r="BG370" s="11">
        <f t="shared" si="381"/>
        <v>0</v>
      </c>
      <c r="BN370" s="8">
        <f t="shared" si="338"/>
        <v>13626</v>
      </c>
      <c r="BO370" s="8">
        <f t="shared" si="339"/>
        <v>818020</v>
      </c>
      <c r="BP370" s="8">
        <f t="shared" si="342"/>
        <v>2287</v>
      </c>
      <c r="BQ370" s="12">
        <f t="shared" si="343"/>
        <v>137230</v>
      </c>
    </row>
    <row r="371" spans="1:69">
      <c r="A371" s="28">
        <v>1976</v>
      </c>
      <c r="B371" s="27" t="s">
        <v>30</v>
      </c>
      <c r="C371" s="24">
        <f t="shared" si="363"/>
        <v>350</v>
      </c>
      <c r="D371" s="7">
        <f t="shared" ca="1" si="337"/>
        <v>0.35173415597506491</v>
      </c>
      <c r="E371" s="26">
        <f t="array" aca="1" ref="E371" ca="1">AVERAGE(IF(INDIRECT(DatCol&amp;"$"&amp;TEXT(C371,"###")):INDIRECT(DatCol&amp;"$"&amp;TEXT(C371+57,"###"))&gt;0,INDIRECT(DatCol&amp;"$"&amp;TEXT(C371,"###")):INDIRECT(DatCol&amp;"$"&amp;TEXT(C371+57,"###"))))</f>
        <v>85.291688311688318</v>
      </c>
      <c r="F371" s="26" t="str">
        <f t="shared" si="341"/>
        <v>B</v>
      </c>
      <c r="G371" s="8"/>
      <c r="H371" s="8">
        <v>8</v>
      </c>
      <c r="I371" s="8">
        <v>117</v>
      </c>
      <c r="J371" s="8">
        <v>1002</v>
      </c>
      <c r="K371" s="9">
        <f t="shared" si="340"/>
        <v>1010</v>
      </c>
      <c r="L371" s="12">
        <v>43</v>
      </c>
      <c r="M371" s="11">
        <f t="shared" si="364"/>
        <v>2150</v>
      </c>
      <c r="N371" s="12">
        <v>30</v>
      </c>
      <c r="O371" s="11">
        <f t="shared" si="365"/>
        <v>1500</v>
      </c>
      <c r="P371" s="12">
        <v>11214</v>
      </c>
      <c r="Q371" s="11">
        <f t="shared" si="366"/>
        <v>672840</v>
      </c>
      <c r="X371" s="12">
        <v>2230</v>
      </c>
      <c r="Y371" s="11">
        <f t="shared" si="367"/>
        <v>133800</v>
      </c>
      <c r="AF371" s="12">
        <v>151</v>
      </c>
      <c r="AG371" s="11">
        <f t="shared" si="368"/>
        <v>9815</v>
      </c>
      <c r="AH371" s="12">
        <v>150</v>
      </c>
      <c r="AI371" s="11">
        <f t="shared" si="369"/>
        <v>9750</v>
      </c>
      <c r="AJ371" s="12">
        <v>0</v>
      </c>
      <c r="AK371" s="13">
        <f t="shared" si="370"/>
        <v>0</v>
      </c>
      <c r="AL371" s="12">
        <v>0</v>
      </c>
      <c r="AM371" s="13">
        <f t="shared" si="371"/>
        <v>0</v>
      </c>
      <c r="AO371" s="11">
        <f t="shared" si="372"/>
        <v>0</v>
      </c>
      <c r="AQ371" s="11">
        <f t="shared" si="373"/>
        <v>0</v>
      </c>
      <c r="AS371" s="11">
        <f t="shared" si="374"/>
        <v>0</v>
      </c>
      <c r="AU371" s="11">
        <f t="shared" si="375"/>
        <v>0</v>
      </c>
      <c r="AW371" s="11">
        <f t="shared" si="376"/>
        <v>0</v>
      </c>
      <c r="AY371" s="11">
        <f t="shared" si="377"/>
        <v>0</v>
      </c>
      <c r="BA371" s="11">
        <f t="shared" si="378"/>
        <v>0</v>
      </c>
      <c r="BC371" s="11">
        <f t="shared" si="379"/>
        <v>0</v>
      </c>
      <c r="BE371" s="11">
        <f t="shared" si="380"/>
        <v>0</v>
      </c>
      <c r="BG371" s="11">
        <f t="shared" si="381"/>
        <v>0</v>
      </c>
      <c r="BN371" s="8">
        <f t="shared" si="338"/>
        <v>13638</v>
      </c>
      <c r="BO371" s="8">
        <f t="shared" si="339"/>
        <v>818605</v>
      </c>
      <c r="BP371" s="8">
        <f t="shared" si="342"/>
        <v>2410</v>
      </c>
      <c r="BQ371" s="12">
        <f t="shared" si="343"/>
        <v>145050</v>
      </c>
    </row>
    <row r="372" spans="1:69">
      <c r="A372" s="28">
        <v>1977</v>
      </c>
      <c r="B372" s="27" t="s">
        <v>30</v>
      </c>
      <c r="C372" s="24">
        <f t="shared" si="363"/>
        <v>350</v>
      </c>
      <c r="D372" s="7">
        <f t="shared" ca="1" si="337"/>
        <v>0.21104049358503896</v>
      </c>
      <c r="E372" s="26">
        <f t="array" aca="1" ref="E372" ca="1">AVERAGE(IF(INDIRECT(DatCol&amp;"$"&amp;TEXT(C372,"###")):INDIRECT(DatCol&amp;"$"&amp;TEXT(C372+57,"###"))&gt;0,INDIRECT(DatCol&amp;"$"&amp;TEXT(C372,"###")):INDIRECT(DatCol&amp;"$"&amp;TEXT(C372+57,"###"))))</f>
        <v>85.291688311688318</v>
      </c>
      <c r="F372" s="26" t="str">
        <f t="shared" si="341"/>
        <v>B</v>
      </c>
      <c r="G372" s="8"/>
      <c r="H372" s="8">
        <v>9</v>
      </c>
      <c r="I372" s="8">
        <v>41</v>
      </c>
      <c r="J372" s="8">
        <v>911</v>
      </c>
      <c r="K372" s="9">
        <f t="shared" si="340"/>
        <v>920</v>
      </c>
      <c r="L372" s="12">
        <v>0</v>
      </c>
      <c r="M372" s="11">
        <f t="shared" si="364"/>
        <v>0</v>
      </c>
      <c r="N372" s="12">
        <v>18</v>
      </c>
      <c r="O372" s="11">
        <f t="shared" si="365"/>
        <v>900</v>
      </c>
      <c r="P372" s="12">
        <v>2698</v>
      </c>
      <c r="Q372" s="11">
        <f t="shared" si="366"/>
        <v>161880</v>
      </c>
      <c r="X372" s="12">
        <v>2029</v>
      </c>
      <c r="Y372" s="11">
        <f t="shared" si="367"/>
        <v>121740</v>
      </c>
      <c r="AF372" s="12">
        <v>0</v>
      </c>
      <c r="AG372" s="11">
        <f t="shared" si="368"/>
        <v>0</v>
      </c>
      <c r="AH372" s="12">
        <v>20</v>
      </c>
      <c r="AI372" s="11">
        <f t="shared" si="369"/>
        <v>1300</v>
      </c>
      <c r="AJ372" s="12">
        <v>0</v>
      </c>
      <c r="AK372" s="13">
        <f t="shared" si="370"/>
        <v>0</v>
      </c>
      <c r="AL372" s="12">
        <v>37</v>
      </c>
      <c r="AM372" s="13">
        <f t="shared" si="371"/>
        <v>333</v>
      </c>
      <c r="AO372" s="11">
        <f t="shared" si="372"/>
        <v>0</v>
      </c>
      <c r="AQ372" s="11">
        <f t="shared" si="373"/>
        <v>0</v>
      </c>
      <c r="AS372" s="11">
        <f t="shared" si="374"/>
        <v>0</v>
      </c>
      <c r="AU372" s="11">
        <f t="shared" si="375"/>
        <v>0</v>
      </c>
      <c r="AW372" s="11">
        <f t="shared" si="376"/>
        <v>0</v>
      </c>
      <c r="AY372" s="11">
        <f t="shared" si="377"/>
        <v>0</v>
      </c>
      <c r="BA372" s="11">
        <f t="shared" si="378"/>
        <v>0</v>
      </c>
      <c r="BC372" s="11">
        <f t="shared" si="379"/>
        <v>0</v>
      </c>
      <c r="BD372" s="12">
        <v>2079</v>
      </c>
      <c r="BE372" s="11">
        <f t="shared" si="380"/>
        <v>197505</v>
      </c>
      <c r="BG372" s="11">
        <f t="shared" si="381"/>
        <v>0</v>
      </c>
      <c r="BN372" s="8">
        <f t="shared" si="338"/>
        <v>6806</v>
      </c>
      <c r="BO372" s="8">
        <f t="shared" si="339"/>
        <v>481125</v>
      </c>
      <c r="BP372" s="8">
        <f t="shared" si="342"/>
        <v>2104</v>
      </c>
      <c r="BQ372" s="12">
        <f t="shared" si="343"/>
        <v>124273</v>
      </c>
    </row>
    <row r="373" spans="1:69">
      <c r="A373" s="28">
        <v>1978</v>
      </c>
      <c r="B373" s="27" t="s">
        <v>30</v>
      </c>
      <c r="C373" s="24">
        <f t="shared" si="363"/>
        <v>350</v>
      </c>
      <c r="D373" s="7">
        <f t="shared" ca="1" si="337"/>
        <v>1.7352218361436536</v>
      </c>
      <c r="E373" s="26">
        <f t="array" aca="1" ref="E373" ca="1">AVERAGE(IF(INDIRECT(DatCol&amp;"$"&amp;TEXT(C373,"###")):INDIRECT(DatCol&amp;"$"&amp;TEXT(C373+57,"###"))&gt;0,INDIRECT(DatCol&amp;"$"&amp;TEXT(C373,"###")):INDIRECT(DatCol&amp;"$"&amp;TEXT(C373+57,"###"))))</f>
        <v>85.291688311688318</v>
      </c>
      <c r="F373" s="26" t="str">
        <f t="shared" si="341"/>
        <v>B</v>
      </c>
      <c r="G373" s="8"/>
      <c r="H373" s="8">
        <v>8</v>
      </c>
      <c r="I373" s="8">
        <v>140</v>
      </c>
      <c r="J373" s="8">
        <v>1030</v>
      </c>
      <c r="K373" s="9">
        <f t="shared" si="340"/>
        <v>1038</v>
      </c>
      <c r="L373" s="12">
        <v>0</v>
      </c>
      <c r="M373" s="11">
        <f t="shared" si="364"/>
        <v>0</v>
      </c>
      <c r="N373" s="12">
        <v>148</v>
      </c>
      <c r="O373" s="11">
        <f t="shared" si="365"/>
        <v>7400</v>
      </c>
      <c r="P373" s="12">
        <v>7955</v>
      </c>
      <c r="Q373" s="11">
        <f t="shared" si="366"/>
        <v>477300</v>
      </c>
      <c r="X373" s="12">
        <v>1692</v>
      </c>
      <c r="Y373" s="11">
        <f t="shared" si="367"/>
        <v>101520</v>
      </c>
      <c r="AF373" s="12">
        <v>0</v>
      </c>
      <c r="AG373" s="11">
        <f t="shared" si="368"/>
        <v>0</v>
      </c>
      <c r="AH373" s="12">
        <v>316</v>
      </c>
      <c r="AI373" s="11">
        <f t="shared" si="369"/>
        <v>20540</v>
      </c>
      <c r="AJ373" s="12">
        <v>26</v>
      </c>
      <c r="AK373" s="13">
        <f t="shared" si="370"/>
        <v>234</v>
      </c>
      <c r="AL373" s="12">
        <v>26</v>
      </c>
      <c r="AM373" s="13">
        <f t="shared" si="371"/>
        <v>234</v>
      </c>
      <c r="AO373" s="11">
        <f t="shared" si="372"/>
        <v>0</v>
      </c>
      <c r="AQ373" s="11">
        <f t="shared" si="373"/>
        <v>0</v>
      </c>
      <c r="AS373" s="11">
        <f t="shared" si="374"/>
        <v>0</v>
      </c>
      <c r="AU373" s="11">
        <f t="shared" si="375"/>
        <v>0</v>
      </c>
      <c r="AW373" s="11">
        <f t="shared" si="376"/>
        <v>0</v>
      </c>
      <c r="AY373" s="11">
        <f t="shared" si="377"/>
        <v>0</v>
      </c>
      <c r="BA373" s="11">
        <f t="shared" si="378"/>
        <v>0</v>
      </c>
      <c r="BC373" s="11">
        <f t="shared" si="379"/>
        <v>0</v>
      </c>
      <c r="BE373" s="11">
        <f t="shared" si="380"/>
        <v>0</v>
      </c>
      <c r="BG373" s="11">
        <f t="shared" si="381"/>
        <v>0</v>
      </c>
      <c r="BN373" s="8">
        <f t="shared" si="338"/>
        <v>9673</v>
      </c>
      <c r="BO373" s="8">
        <f t="shared" si="339"/>
        <v>579054</v>
      </c>
      <c r="BP373" s="8">
        <f t="shared" si="342"/>
        <v>2182</v>
      </c>
      <c r="BQ373" s="12">
        <f t="shared" si="343"/>
        <v>129694</v>
      </c>
    </row>
    <row r="374" spans="1:69">
      <c r="A374" s="28">
        <v>1979</v>
      </c>
      <c r="B374" s="27" t="s">
        <v>30</v>
      </c>
      <c r="C374" s="24">
        <f t="shared" si="363"/>
        <v>350</v>
      </c>
      <c r="D374" s="7">
        <f t="shared" ca="1" si="337"/>
        <v>0.55105017769426834</v>
      </c>
      <c r="E374" s="26">
        <f t="array" aca="1" ref="E374" ca="1">AVERAGE(IF(INDIRECT(DatCol&amp;"$"&amp;TEXT(C374,"###")):INDIRECT(DatCol&amp;"$"&amp;TEXT(C374+57,"###"))&gt;0,INDIRECT(DatCol&amp;"$"&amp;TEXT(C374,"###")):INDIRECT(DatCol&amp;"$"&amp;TEXT(C374+57,"###"))))</f>
        <v>85.291688311688318</v>
      </c>
      <c r="F374" s="26" t="str">
        <f t="shared" si="341"/>
        <v>B</v>
      </c>
      <c r="G374" s="8"/>
      <c r="H374" s="8">
        <v>16</v>
      </c>
      <c r="I374" s="8">
        <v>68</v>
      </c>
      <c r="J374" s="8">
        <v>1164</v>
      </c>
      <c r="K374" s="9">
        <f t="shared" si="340"/>
        <v>1180</v>
      </c>
      <c r="L374" s="12">
        <v>62</v>
      </c>
      <c r="M374" s="11">
        <f t="shared" si="364"/>
        <v>3100</v>
      </c>
      <c r="N374" s="12">
        <v>47</v>
      </c>
      <c r="O374" s="11">
        <f t="shared" si="365"/>
        <v>2350</v>
      </c>
      <c r="P374" s="12">
        <v>5896</v>
      </c>
      <c r="Q374" s="11">
        <f t="shared" si="366"/>
        <v>353760</v>
      </c>
      <c r="X374" s="12">
        <v>2175</v>
      </c>
      <c r="Y374" s="11">
        <f t="shared" si="367"/>
        <v>130500</v>
      </c>
      <c r="AF374" s="12">
        <v>145</v>
      </c>
      <c r="AG374" s="11">
        <f t="shared" si="368"/>
        <v>9425</v>
      </c>
      <c r="AH374" s="12">
        <v>153</v>
      </c>
      <c r="AI374" s="11">
        <f t="shared" si="369"/>
        <v>9945</v>
      </c>
      <c r="AJ374" s="12">
        <v>369</v>
      </c>
      <c r="AK374" s="13">
        <f t="shared" si="370"/>
        <v>3321</v>
      </c>
      <c r="AL374" s="12">
        <v>348</v>
      </c>
      <c r="AM374" s="13">
        <f t="shared" si="371"/>
        <v>3132</v>
      </c>
      <c r="AO374" s="11">
        <f t="shared" si="372"/>
        <v>0</v>
      </c>
      <c r="AQ374" s="11">
        <f t="shared" si="373"/>
        <v>0</v>
      </c>
      <c r="AS374" s="11">
        <f t="shared" si="374"/>
        <v>0</v>
      </c>
      <c r="AU374" s="11">
        <f t="shared" si="375"/>
        <v>0</v>
      </c>
      <c r="AV374" s="12">
        <v>50</v>
      </c>
      <c r="AW374" s="11">
        <f t="shared" si="376"/>
        <v>3000</v>
      </c>
      <c r="AY374" s="11">
        <f t="shared" si="377"/>
        <v>0</v>
      </c>
      <c r="BA374" s="11">
        <f t="shared" si="378"/>
        <v>0</v>
      </c>
      <c r="BC374" s="11">
        <f t="shared" si="379"/>
        <v>0</v>
      </c>
      <c r="BD374" s="12">
        <v>508</v>
      </c>
      <c r="BE374" s="11">
        <f t="shared" si="380"/>
        <v>48260</v>
      </c>
      <c r="BG374" s="11">
        <f t="shared" si="381"/>
        <v>0</v>
      </c>
      <c r="BN374" s="8">
        <f t="shared" si="338"/>
        <v>9205</v>
      </c>
      <c r="BO374" s="8">
        <f t="shared" si="339"/>
        <v>551366</v>
      </c>
      <c r="BP374" s="8">
        <f t="shared" si="342"/>
        <v>2723</v>
      </c>
      <c r="BQ374" s="12">
        <f t="shared" si="343"/>
        <v>145927</v>
      </c>
    </row>
    <row r="375" spans="1:69">
      <c r="A375" s="28">
        <v>1980</v>
      </c>
      <c r="B375" s="27" t="s">
        <v>30</v>
      </c>
      <c r="C375" s="24">
        <f t="shared" si="363"/>
        <v>350</v>
      </c>
      <c r="D375" s="7">
        <f t="shared" ca="1" si="337"/>
        <v>0.38690757157257138</v>
      </c>
      <c r="E375" s="26">
        <f t="array" aca="1" ref="E375" ca="1">AVERAGE(IF(INDIRECT(DatCol&amp;"$"&amp;TEXT(C375,"###")):INDIRECT(DatCol&amp;"$"&amp;TEXT(C375+57,"###"))&gt;0,INDIRECT(DatCol&amp;"$"&amp;TEXT(C375,"###")):INDIRECT(DatCol&amp;"$"&amp;TEXT(C375+57,"###"))))</f>
        <v>85.291688311688318</v>
      </c>
      <c r="F375" s="26" t="str">
        <f t="shared" si="341"/>
        <v>B</v>
      </c>
      <c r="G375" s="8"/>
      <c r="H375" s="8">
        <v>39</v>
      </c>
      <c r="I375" s="8">
        <v>84</v>
      </c>
      <c r="J375" s="8">
        <v>1491</v>
      </c>
      <c r="K375" s="9">
        <f t="shared" si="340"/>
        <v>1530</v>
      </c>
      <c r="L375" s="12">
        <v>44</v>
      </c>
      <c r="M375" s="11">
        <f t="shared" si="364"/>
        <v>2200</v>
      </c>
      <c r="N375" s="12">
        <v>33</v>
      </c>
      <c r="O375" s="11">
        <f t="shared" si="365"/>
        <v>1650</v>
      </c>
      <c r="P375" s="12">
        <v>3454</v>
      </c>
      <c r="Q375" s="11">
        <f t="shared" si="366"/>
        <v>207240</v>
      </c>
      <c r="X375" s="12">
        <v>2086</v>
      </c>
      <c r="Y375" s="11">
        <f t="shared" si="367"/>
        <v>125160</v>
      </c>
      <c r="AF375" s="12">
        <v>155</v>
      </c>
      <c r="AG375" s="11">
        <f t="shared" si="368"/>
        <v>10075</v>
      </c>
      <c r="AH375" s="12">
        <v>156</v>
      </c>
      <c r="AI375" s="11">
        <f t="shared" si="369"/>
        <v>10140</v>
      </c>
      <c r="AJ375" s="12">
        <v>158</v>
      </c>
      <c r="AK375" s="13">
        <f t="shared" si="370"/>
        <v>1422</v>
      </c>
      <c r="AL375" s="12">
        <v>97</v>
      </c>
      <c r="AM375" s="13">
        <f t="shared" si="371"/>
        <v>873</v>
      </c>
      <c r="AO375" s="11">
        <f t="shared" si="372"/>
        <v>0</v>
      </c>
      <c r="AQ375" s="11">
        <f t="shared" si="373"/>
        <v>0</v>
      </c>
      <c r="AS375" s="11">
        <f t="shared" si="374"/>
        <v>0</v>
      </c>
      <c r="AU375" s="11">
        <f t="shared" si="375"/>
        <v>0</v>
      </c>
      <c r="AW375" s="11">
        <f t="shared" si="376"/>
        <v>0</v>
      </c>
      <c r="AY375" s="11">
        <f t="shared" si="377"/>
        <v>0</v>
      </c>
      <c r="BA375" s="11">
        <f t="shared" si="378"/>
        <v>0</v>
      </c>
      <c r="BC375" s="11">
        <f t="shared" si="379"/>
        <v>0</v>
      </c>
      <c r="BD375" s="12">
        <v>3221</v>
      </c>
      <c r="BE375" s="11">
        <f t="shared" si="380"/>
        <v>305995</v>
      </c>
      <c r="BG375" s="11">
        <f t="shared" si="381"/>
        <v>0</v>
      </c>
      <c r="BN375" s="8">
        <f t="shared" si="338"/>
        <v>9118</v>
      </c>
      <c r="BO375" s="8">
        <f t="shared" si="339"/>
        <v>652092</v>
      </c>
      <c r="BP375" s="8">
        <f t="shared" si="342"/>
        <v>2372</v>
      </c>
      <c r="BQ375" s="12">
        <f t="shared" si="343"/>
        <v>137823</v>
      </c>
    </row>
    <row r="376" spans="1:69">
      <c r="A376" s="28">
        <v>1981</v>
      </c>
      <c r="B376" s="27" t="s">
        <v>30</v>
      </c>
      <c r="C376" s="24">
        <f t="shared" si="363"/>
        <v>350</v>
      </c>
      <c r="D376" s="7">
        <f t="shared" ca="1" si="337"/>
        <v>0.18759154985336796</v>
      </c>
      <c r="E376" s="26">
        <f t="array" aca="1" ref="E376" ca="1">AVERAGE(IF(INDIRECT(DatCol&amp;"$"&amp;TEXT(C376,"###")):INDIRECT(DatCol&amp;"$"&amp;TEXT(C376+57,"###"))&gt;0,INDIRECT(DatCol&amp;"$"&amp;TEXT(C376,"###")):INDIRECT(DatCol&amp;"$"&amp;TEXT(C376+57,"###"))))</f>
        <v>85.291688311688318</v>
      </c>
      <c r="F376" s="26" t="str">
        <f t="shared" si="341"/>
        <v>B</v>
      </c>
      <c r="G376" s="8"/>
      <c r="H376" s="8">
        <v>26</v>
      </c>
      <c r="I376" s="8">
        <v>154</v>
      </c>
      <c r="J376" s="8">
        <v>1069</v>
      </c>
      <c r="K376" s="9">
        <f t="shared" si="340"/>
        <v>1095</v>
      </c>
      <c r="L376" s="12">
        <v>17</v>
      </c>
      <c r="M376" s="11">
        <f t="shared" si="364"/>
        <v>850</v>
      </c>
      <c r="N376" s="12">
        <v>16</v>
      </c>
      <c r="O376" s="11">
        <f t="shared" si="365"/>
        <v>800</v>
      </c>
      <c r="P376" s="12">
        <v>19003</v>
      </c>
      <c r="Q376" s="11">
        <f t="shared" si="366"/>
        <v>1140180</v>
      </c>
      <c r="X376" s="12">
        <v>3243</v>
      </c>
      <c r="Y376" s="11">
        <f t="shared" si="367"/>
        <v>194580</v>
      </c>
      <c r="AF376" s="12">
        <v>178</v>
      </c>
      <c r="AG376" s="11">
        <f t="shared" si="368"/>
        <v>11570</v>
      </c>
      <c r="AH376" s="12">
        <v>68</v>
      </c>
      <c r="AI376" s="11">
        <f t="shared" si="369"/>
        <v>4420</v>
      </c>
      <c r="AJ376" s="12">
        <v>34</v>
      </c>
      <c r="AK376" s="13">
        <f t="shared" si="370"/>
        <v>306</v>
      </c>
      <c r="AM376" s="13">
        <f t="shared" si="371"/>
        <v>0</v>
      </c>
      <c r="AO376" s="11">
        <f t="shared" si="372"/>
        <v>0</v>
      </c>
      <c r="AQ376" s="11">
        <f t="shared" si="373"/>
        <v>0</v>
      </c>
      <c r="AS376" s="11">
        <f t="shared" si="374"/>
        <v>0</v>
      </c>
      <c r="AU376" s="11">
        <f t="shared" si="375"/>
        <v>0</v>
      </c>
      <c r="AV376" s="12">
        <v>40</v>
      </c>
      <c r="AW376" s="11">
        <f t="shared" si="376"/>
        <v>2400</v>
      </c>
      <c r="AX376" s="12">
        <v>10</v>
      </c>
      <c r="AY376" s="11">
        <f t="shared" si="377"/>
        <v>600</v>
      </c>
      <c r="BA376" s="11">
        <f t="shared" si="378"/>
        <v>0</v>
      </c>
      <c r="BC376" s="11">
        <f t="shared" si="379"/>
        <v>0</v>
      </c>
      <c r="BD376" s="12">
        <v>10517</v>
      </c>
      <c r="BE376" s="11">
        <f t="shared" si="380"/>
        <v>999115</v>
      </c>
      <c r="BG376" s="11">
        <f t="shared" si="381"/>
        <v>0</v>
      </c>
      <c r="BN376" s="8">
        <f t="shared" si="338"/>
        <v>33032</v>
      </c>
      <c r="BO376" s="8">
        <f t="shared" si="339"/>
        <v>2349001</v>
      </c>
      <c r="BP376" s="8">
        <f t="shared" si="342"/>
        <v>3337</v>
      </c>
      <c r="BQ376" s="12">
        <f t="shared" si="343"/>
        <v>200400</v>
      </c>
    </row>
    <row r="377" spans="1:69">
      <c r="A377" s="28">
        <v>1982</v>
      </c>
      <c r="B377" s="27" t="s">
        <v>30</v>
      </c>
      <c r="C377" s="24">
        <f t="shared" si="363"/>
        <v>350</v>
      </c>
      <c r="D377" s="7">
        <f t="shared" ca="1" si="337"/>
        <v>2.3448943731670995</v>
      </c>
      <c r="E377" s="26">
        <f t="array" aca="1" ref="E377" ca="1">AVERAGE(IF(INDIRECT(DatCol&amp;"$"&amp;TEXT(C377,"###")):INDIRECT(DatCol&amp;"$"&amp;TEXT(C377+57,"###"))&gt;0,INDIRECT(DatCol&amp;"$"&amp;TEXT(C377,"###")):INDIRECT(DatCol&amp;"$"&amp;TEXT(C377+57,"###"))))</f>
        <v>85.291688311688318</v>
      </c>
      <c r="F377" s="26" t="str">
        <f t="shared" si="341"/>
        <v>B</v>
      </c>
      <c r="G377" s="8"/>
      <c r="H377" s="8">
        <v>26</v>
      </c>
      <c r="I377" s="8">
        <v>846</v>
      </c>
      <c r="J377" s="8">
        <v>890</v>
      </c>
      <c r="K377" s="9">
        <f t="shared" si="340"/>
        <v>916</v>
      </c>
      <c r="L377" s="12">
        <v>0</v>
      </c>
      <c r="M377" s="11">
        <f t="shared" si="364"/>
        <v>0</v>
      </c>
      <c r="N377" s="12">
        <v>200</v>
      </c>
      <c r="O377" s="11">
        <f t="shared" si="365"/>
        <v>10000</v>
      </c>
      <c r="P377" s="12">
        <v>36081</v>
      </c>
      <c r="Q377" s="11">
        <f t="shared" si="366"/>
        <v>2164860</v>
      </c>
      <c r="X377" s="12">
        <v>700</v>
      </c>
      <c r="Y377" s="11">
        <f t="shared" si="367"/>
        <v>42000</v>
      </c>
      <c r="AF377" s="12">
        <v>350</v>
      </c>
      <c r="AG377" s="11">
        <f t="shared" si="368"/>
        <v>22750</v>
      </c>
      <c r="AH377" s="12">
        <v>350</v>
      </c>
      <c r="AI377" s="11">
        <f t="shared" si="369"/>
        <v>22750</v>
      </c>
      <c r="AJ377" s="12">
        <v>200</v>
      </c>
      <c r="AK377" s="13">
        <f t="shared" si="370"/>
        <v>1800</v>
      </c>
      <c r="AL377" s="12">
        <v>195</v>
      </c>
      <c r="AM377" s="13">
        <f t="shared" si="371"/>
        <v>1755</v>
      </c>
      <c r="AO377" s="11">
        <f t="shared" si="372"/>
        <v>0</v>
      </c>
      <c r="AQ377" s="11">
        <f t="shared" si="373"/>
        <v>0</v>
      </c>
      <c r="AS377" s="11">
        <f t="shared" si="374"/>
        <v>0</v>
      </c>
      <c r="AU377" s="11">
        <f t="shared" si="375"/>
        <v>0</v>
      </c>
      <c r="AW377" s="11">
        <f t="shared" si="376"/>
        <v>0</v>
      </c>
      <c r="AY377" s="11">
        <f t="shared" si="377"/>
        <v>0</v>
      </c>
      <c r="BA377" s="11">
        <f t="shared" si="378"/>
        <v>0</v>
      </c>
      <c r="BC377" s="11">
        <f t="shared" si="379"/>
        <v>0</v>
      </c>
      <c r="BE377" s="11">
        <f t="shared" si="380"/>
        <v>0</v>
      </c>
      <c r="BF377" s="12">
        <v>200</v>
      </c>
      <c r="BG377" s="11">
        <f t="shared" si="381"/>
        <v>19000</v>
      </c>
      <c r="BN377" s="8">
        <f t="shared" si="338"/>
        <v>37331</v>
      </c>
      <c r="BO377" s="8">
        <f t="shared" si="339"/>
        <v>2231410</v>
      </c>
      <c r="BP377" s="8">
        <f t="shared" si="342"/>
        <v>1645</v>
      </c>
      <c r="BQ377" s="12">
        <f t="shared" si="343"/>
        <v>95505</v>
      </c>
    </row>
    <row r="378" spans="1:69">
      <c r="A378" s="28">
        <v>1983</v>
      </c>
      <c r="B378" s="27" t="s">
        <v>30</v>
      </c>
      <c r="C378" s="24">
        <f t="shared" si="363"/>
        <v>350</v>
      </c>
      <c r="D378" s="7">
        <f t="shared" ca="1" si="337"/>
        <v>3.4118213129581298</v>
      </c>
      <c r="E378" s="26">
        <f t="array" aca="1" ref="E378" ca="1">AVERAGE(IF(INDIRECT(DatCol&amp;"$"&amp;TEXT(C378,"###")):INDIRECT(DatCol&amp;"$"&amp;TEXT(C378+57,"###"))&gt;0,INDIRECT(DatCol&amp;"$"&amp;TEXT(C378,"###")):INDIRECT(DatCol&amp;"$"&amp;TEXT(C378+57,"###"))))</f>
        <v>85.291688311688318</v>
      </c>
      <c r="F378" s="26" t="str">
        <f t="shared" si="341"/>
        <v>B</v>
      </c>
      <c r="G378" s="8"/>
      <c r="H378" s="8">
        <v>26</v>
      </c>
      <c r="I378" s="8">
        <v>188</v>
      </c>
      <c r="J378" s="8">
        <v>1395</v>
      </c>
      <c r="K378" s="9">
        <f t="shared" si="340"/>
        <v>1421</v>
      </c>
      <c r="M378" s="11">
        <f t="shared" si="364"/>
        <v>0</v>
      </c>
      <c r="N378" s="12">
        <v>291</v>
      </c>
      <c r="O378" s="11">
        <f t="shared" si="365"/>
        <v>14550</v>
      </c>
      <c r="P378" s="12">
        <v>23165</v>
      </c>
      <c r="Q378" s="11">
        <f t="shared" si="366"/>
        <v>1389900</v>
      </c>
      <c r="X378" s="12">
        <v>1739</v>
      </c>
      <c r="Y378" s="11">
        <f t="shared" si="367"/>
        <v>104340</v>
      </c>
      <c r="AG378" s="11">
        <f t="shared" si="368"/>
        <v>0</v>
      </c>
      <c r="AH378" s="12">
        <v>683</v>
      </c>
      <c r="AI378" s="11">
        <f t="shared" si="369"/>
        <v>44395</v>
      </c>
      <c r="AJ378" s="12">
        <v>308</v>
      </c>
      <c r="AK378" s="13">
        <f t="shared" si="370"/>
        <v>2772</v>
      </c>
      <c r="AM378" s="13">
        <f t="shared" si="371"/>
        <v>0</v>
      </c>
      <c r="AO378" s="11">
        <f t="shared" si="372"/>
        <v>0</v>
      </c>
      <c r="AQ378" s="11">
        <f t="shared" si="373"/>
        <v>0</v>
      </c>
      <c r="AS378" s="11">
        <f t="shared" si="374"/>
        <v>0</v>
      </c>
      <c r="AU378" s="11">
        <f t="shared" si="375"/>
        <v>0</v>
      </c>
      <c r="AW378" s="11">
        <f t="shared" si="376"/>
        <v>0</v>
      </c>
      <c r="AY378" s="11">
        <f t="shared" si="377"/>
        <v>0</v>
      </c>
      <c r="BA378" s="11">
        <f t="shared" si="378"/>
        <v>0</v>
      </c>
      <c r="BC378" s="11">
        <f t="shared" si="379"/>
        <v>0</v>
      </c>
      <c r="BE378" s="11">
        <f t="shared" si="380"/>
        <v>0</v>
      </c>
      <c r="BG378" s="11">
        <f t="shared" si="381"/>
        <v>0</v>
      </c>
      <c r="BN378" s="8">
        <f t="shared" si="338"/>
        <v>25212</v>
      </c>
      <c r="BO378" s="8">
        <f t="shared" si="339"/>
        <v>1497012</v>
      </c>
      <c r="BP378" s="8">
        <f t="shared" si="342"/>
        <v>2713</v>
      </c>
      <c r="BQ378" s="12">
        <f t="shared" si="343"/>
        <v>163285</v>
      </c>
    </row>
    <row r="379" spans="1:69">
      <c r="A379" s="28">
        <v>1984</v>
      </c>
      <c r="B379" s="27" t="s">
        <v>30</v>
      </c>
      <c r="C379" s="24">
        <f t="shared" si="363"/>
        <v>350</v>
      </c>
      <c r="D379" s="7" t="e">
        <f t="shared" ca="1" si="337"/>
        <v>#N/A</v>
      </c>
      <c r="E379" s="26">
        <f t="array" aca="1" ref="E379" ca="1">AVERAGE(IF(INDIRECT(DatCol&amp;"$"&amp;TEXT(C379,"###")):INDIRECT(DatCol&amp;"$"&amp;TEXT(C379+57,"###"))&gt;0,INDIRECT(DatCol&amp;"$"&amp;TEXT(C379,"###")):INDIRECT(DatCol&amp;"$"&amp;TEXT(C379+57,"###"))))</f>
        <v>85.291688311688318</v>
      </c>
      <c r="F379" s="26" t="str">
        <f t="shared" si="341"/>
        <v>B</v>
      </c>
      <c r="G379" s="8"/>
      <c r="H379" s="8">
        <v>16</v>
      </c>
      <c r="I379" s="8">
        <v>103</v>
      </c>
      <c r="J379" s="8">
        <v>480</v>
      </c>
      <c r="K379" s="9">
        <f t="shared" si="340"/>
        <v>496</v>
      </c>
      <c r="L379" s="12">
        <v>295</v>
      </c>
      <c r="M379" s="11">
        <f t="shared" si="364"/>
        <v>14750</v>
      </c>
      <c r="O379" s="11">
        <f t="shared" si="365"/>
        <v>0</v>
      </c>
      <c r="P379" s="12">
        <v>50659</v>
      </c>
      <c r="Q379" s="11">
        <f t="shared" si="366"/>
        <v>3039540</v>
      </c>
      <c r="Y379" s="11">
        <f t="shared" si="367"/>
        <v>0</v>
      </c>
      <c r="AF379" s="12">
        <v>2497</v>
      </c>
      <c r="AG379" s="11">
        <f t="shared" si="368"/>
        <v>162305</v>
      </c>
      <c r="AI379" s="11">
        <f t="shared" si="369"/>
        <v>0</v>
      </c>
      <c r="AJ379" s="12">
        <v>1190</v>
      </c>
      <c r="AK379" s="13">
        <f t="shared" si="370"/>
        <v>10710</v>
      </c>
      <c r="AM379" s="13">
        <f t="shared" si="371"/>
        <v>0</v>
      </c>
      <c r="AO379" s="11">
        <f t="shared" si="372"/>
        <v>0</v>
      </c>
      <c r="AQ379" s="11">
        <f t="shared" si="373"/>
        <v>0</v>
      </c>
      <c r="AS379" s="11">
        <f t="shared" si="374"/>
        <v>0</v>
      </c>
      <c r="AU379" s="11">
        <f t="shared" si="375"/>
        <v>0</v>
      </c>
      <c r="AW379" s="11">
        <f t="shared" si="376"/>
        <v>0</v>
      </c>
      <c r="AY379" s="11">
        <f t="shared" si="377"/>
        <v>0</v>
      </c>
      <c r="BA379" s="11">
        <f t="shared" si="378"/>
        <v>0</v>
      </c>
      <c r="BC379" s="11">
        <f t="shared" si="379"/>
        <v>0</v>
      </c>
      <c r="BE379" s="11">
        <f t="shared" si="380"/>
        <v>0</v>
      </c>
      <c r="BG379" s="11">
        <f t="shared" si="381"/>
        <v>0</v>
      </c>
      <c r="BN379" s="8">
        <f t="shared" si="338"/>
        <v>54641</v>
      </c>
      <c r="BO379" s="8">
        <f t="shared" si="339"/>
        <v>3227305</v>
      </c>
      <c r="BP379" s="8">
        <f t="shared" si="342"/>
        <v>0</v>
      </c>
      <c r="BQ379" s="12">
        <f t="shared" si="343"/>
        <v>0</v>
      </c>
    </row>
    <row r="380" spans="1:69">
      <c r="A380" s="28">
        <v>1985</v>
      </c>
      <c r="B380" s="27" t="s">
        <v>30</v>
      </c>
      <c r="C380" s="24">
        <f t="shared" si="363"/>
        <v>350</v>
      </c>
      <c r="D380" s="7">
        <f t="shared" ca="1" si="337"/>
        <v>1.793844195472831</v>
      </c>
      <c r="E380" s="26">
        <f t="array" aca="1" ref="E380" ca="1">AVERAGE(IF(INDIRECT(DatCol&amp;"$"&amp;TEXT(C380,"###")):INDIRECT(DatCol&amp;"$"&amp;TEXT(C380+57,"###"))&gt;0,INDIRECT(DatCol&amp;"$"&amp;TEXT(C380,"###")):INDIRECT(DatCol&amp;"$"&amp;TEXT(C380+57,"###"))))</f>
        <v>85.291688311688318</v>
      </c>
      <c r="F380" s="26" t="str">
        <f t="shared" si="341"/>
        <v>B</v>
      </c>
      <c r="G380" s="8">
        <v>40</v>
      </c>
      <c r="H380" s="8">
        <v>16</v>
      </c>
      <c r="I380" s="8">
        <v>102</v>
      </c>
      <c r="J380" s="8">
        <v>475</v>
      </c>
      <c r="K380" s="9">
        <f t="shared" si="340"/>
        <v>531</v>
      </c>
      <c r="L380" s="10">
        <v>0</v>
      </c>
      <c r="M380" s="11">
        <f t="shared" si="364"/>
        <v>0</v>
      </c>
      <c r="N380" s="12">
        <v>153</v>
      </c>
      <c r="O380" s="11">
        <f t="shared" si="365"/>
        <v>7650</v>
      </c>
      <c r="P380" s="12">
        <v>36272</v>
      </c>
      <c r="Q380" s="11">
        <f t="shared" si="366"/>
        <v>2176320</v>
      </c>
      <c r="X380" s="12">
        <v>4592</v>
      </c>
      <c r="Y380" s="11">
        <f t="shared" si="367"/>
        <v>275520</v>
      </c>
      <c r="AF380" s="12">
        <v>1388</v>
      </c>
      <c r="AG380" s="11">
        <f t="shared" si="368"/>
        <v>90220</v>
      </c>
      <c r="AI380" s="11">
        <f t="shared" si="369"/>
        <v>0</v>
      </c>
      <c r="AK380" s="13">
        <f t="shared" si="370"/>
        <v>0</v>
      </c>
      <c r="AL380" s="12">
        <v>1975</v>
      </c>
      <c r="AM380" s="13">
        <f t="shared" si="371"/>
        <v>17775</v>
      </c>
      <c r="AO380" s="11">
        <f t="shared" si="372"/>
        <v>0</v>
      </c>
      <c r="AQ380" s="11">
        <f t="shared" si="373"/>
        <v>0</v>
      </c>
      <c r="AS380" s="11">
        <f t="shared" si="374"/>
        <v>0</v>
      </c>
      <c r="AU380" s="11">
        <f t="shared" si="375"/>
        <v>0</v>
      </c>
      <c r="AW380" s="11">
        <f t="shared" si="376"/>
        <v>0</v>
      </c>
      <c r="AY380" s="11">
        <f t="shared" si="377"/>
        <v>0</v>
      </c>
      <c r="BA380" s="11">
        <f t="shared" si="378"/>
        <v>0</v>
      </c>
      <c r="BC380" s="11">
        <f t="shared" si="379"/>
        <v>0</v>
      </c>
      <c r="BE380" s="11">
        <f t="shared" si="380"/>
        <v>0</v>
      </c>
      <c r="BG380" s="11">
        <f t="shared" si="381"/>
        <v>0</v>
      </c>
      <c r="BN380" s="8">
        <f t="shared" si="338"/>
        <v>42252</v>
      </c>
      <c r="BO380" s="8">
        <f t="shared" si="339"/>
        <v>2542060</v>
      </c>
      <c r="BP380" s="8">
        <f t="shared" si="342"/>
        <v>6720</v>
      </c>
      <c r="BQ380" s="12">
        <f t="shared" si="343"/>
        <v>300945</v>
      </c>
    </row>
    <row r="381" spans="1:69">
      <c r="A381" s="28">
        <v>1986</v>
      </c>
      <c r="B381" s="27" t="s">
        <v>30</v>
      </c>
      <c r="C381" s="24">
        <f t="shared" si="363"/>
        <v>350</v>
      </c>
      <c r="D381" s="7" t="e">
        <f t="shared" ca="1" si="337"/>
        <v>#N/A</v>
      </c>
      <c r="E381" s="26">
        <f t="array" aca="1" ref="E381" ca="1">AVERAGE(IF(INDIRECT(DatCol&amp;"$"&amp;TEXT(C381,"###")):INDIRECT(DatCol&amp;"$"&amp;TEXT(C381+57,"###"))&gt;0,INDIRECT(DatCol&amp;"$"&amp;TEXT(C381,"###")):INDIRECT(DatCol&amp;"$"&amp;TEXT(C381+57,"###"))))</f>
        <v>85.291688311688318</v>
      </c>
      <c r="F381" s="26" t="str">
        <f t="shared" si="341"/>
        <v>B</v>
      </c>
      <c r="G381" s="8">
        <v>38</v>
      </c>
      <c r="H381" s="8">
        <v>24</v>
      </c>
      <c r="I381" s="8">
        <v>62</v>
      </c>
      <c r="J381" s="8">
        <v>424</v>
      </c>
      <c r="K381" s="9">
        <f t="shared" si="340"/>
        <v>486</v>
      </c>
      <c r="L381" s="12">
        <v>1578</v>
      </c>
      <c r="M381" s="11">
        <f t="shared" ref="M381:M411" si="382">(L381*50)</f>
        <v>78900</v>
      </c>
      <c r="N381" s="12">
        <v>0</v>
      </c>
      <c r="O381" s="11">
        <f t="shared" ref="O381:O411" si="383">(N381*50)</f>
        <v>0</v>
      </c>
      <c r="P381" s="12">
        <v>26723</v>
      </c>
      <c r="Q381" s="11">
        <f t="shared" ref="Q381:Q411" si="384">((P381*330)/5.5)</f>
        <v>1603380</v>
      </c>
      <c r="X381" s="12">
        <v>6338</v>
      </c>
      <c r="Y381" s="11">
        <f t="shared" ref="Y381:Y411" si="385">((X381*330)/5.5)</f>
        <v>380280</v>
      </c>
      <c r="AF381" s="12">
        <v>1578</v>
      </c>
      <c r="AG381" s="11">
        <f t="shared" ref="AG381:AG411" si="386">(AF381*65)</f>
        <v>102570</v>
      </c>
      <c r="AI381" s="11">
        <f t="shared" ref="AI381:AI411" si="387">(AH381*65)</f>
        <v>0</v>
      </c>
      <c r="AK381" s="13">
        <f t="shared" ref="AK381:AK411" si="388">(AJ381*9)</f>
        <v>0</v>
      </c>
      <c r="AM381" s="13">
        <f t="shared" ref="AM381:AM411" si="389">(AL381*9)</f>
        <v>0</v>
      </c>
      <c r="AO381" s="11">
        <f t="shared" ref="AO381:AO411" si="390">(AN381*80)</f>
        <v>0</v>
      </c>
      <c r="AQ381" s="11">
        <f t="shared" ref="AQ381:AQ411" si="391">(AP381*80)</f>
        <v>0</v>
      </c>
      <c r="AS381" s="11">
        <f t="shared" ref="AS381:AS411" si="392">(AR381*50)</f>
        <v>0</v>
      </c>
      <c r="AU381" s="11">
        <f t="shared" ref="AU381:AU411" si="393">(AT381*50)</f>
        <v>0</v>
      </c>
      <c r="AW381" s="11">
        <f t="shared" ref="AW381:AW411" si="394">(AV381*60)</f>
        <v>0</v>
      </c>
      <c r="AY381" s="11">
        <f t="shared" ref="AY381:AY411" si="395">(AX381*60)</f>
        <v>0</v>
      </c>
      <c r="BA381" s="11">
        <f t="shared" ref="BA381:BA411" si="396">(AZ381*40)</f>
        <v>0</v>
      </c>
      <c r="BC381" s="11">
        <f t="shared" ref="BC381:BC411" si="397">(BB381*40)</f>
        <v>0</v>
      </c>
      <c r="BE381" s="11">
        <f t="shared" ref="BE381:BE411" si="398">(BD381*95)</f>
        <v>0</v>
      </c>
      <c r="BG381" s="11">
        <f t="shared" ref="BG381:BG411" si="399">(BF381*95)</f>
        <v>0</v>
      </c>
      <c r="BN381" s="8">
        <f t="shared" si="338"/>
        <v>36217</v>
      </c>
      <c r="BO381" s="8">
        <f t="shared" si="339"/>
        <v>2165130</v>
      </c>
      <c r="BP381" s="8">
        <f t="shared" si="342"/>
        <v>6338</v>
      </c>
      <c r="BQ381" s="12">
        <f t="shared" si="343"/>
        <v>380280</v>
      </c>
    </row>
    <row r="382" spans="1:69">
      <c r="A382" s="28">
        <v>1987</v>
      </c>
      <c r="B382" s="27" t="s">
        <v>30</v>
      </c>
      <c r="C382" s="24">
        <f t="shared" si="363"/>
        <v>350</v>
      </c>
      <c r="D382" s="7">
        <f t="shared" ca="1" si="337"/>
        <v>2.2335118904416622</v>
      </c>
      <c r="E382" s="26">
        <f t="array" aca="1" ref="E382" ca="1">AVERAGE(IF(INDIRECT(DatCol&amp;"$"&amp;TEXT(C382,"###")):INDIRECT(DatCol&amp;"$"&amp;TEXT(C382+57,"###"))&gt;0,INDIRECT(DatCol&amp;"$"&amp;TEXT(C382,"###")):INDIRECT(DatCol&amp;"$"&amp;TEXT(C382+57,"###"))))</f>
        <v>85.291688311688318</v>
      </c>
      <c r="F382" s="26" t="str">
        <f t="shared" si="341"/>
        <v>B</v>
      </c>
      <c r="G382" s="8"/>
      <c r="H382" s="8">
        <v>28</v>
      </c>
      <c r="I382" s="8">
        <v>52</v>
      </c>
      <c r="J382" s="8">
        <v>389</v>
      </c>
      <c r="K382" s="9">
        <f t="shared" si="340"/>
        <v>417</v>
      </c>
      <c r="L382" s="12">
        <v>2123</v>
      </c>
      <c r="M382" s="11">
        <f t="shared" si="382"/>
        <v>106150</v>
      </c>
      <c r="N382" s="12">
        <v>190.5</v>
      </c>
      <c r="O382" s="11">
        <f t="shared" si="383"/>
        <v>9525</v>
      </c>
      <c r="P382" s="12">
        <v>24720</v>
      </c>
      <c r="Q382" s="11">
        <f t="shared" si="384"/>
        <v>1483200</v>
      </c>
      <c r="X382" s="12">
        <v>5530</v>
      </c>
      <c r="Y382" s="11">
        <f t="shared" si="385"/>
        <v>331800</v>
      </c>
      <c r="AF382" s="12">
        <v>1921</v>
      </c>
      <c r="AG382" s="11">
        <f t="shared" si="386"/>
        <v>124865</v>
      </c>
      <c r="AI382" s="11">
        <f t="shared" si="387"/>
        <v>0</v>
      </c>
      <c r="AK382" s="13">
        <f t="shared" si="388"/>
        <v>0</v>
      </c>
      <c r="AM382" s="13">
        <f t="shared" si="389"/>
        <v>0</v>
      </c>
      <c r="AO382" s="11">
        <f t="shared" si="390"/>
        <v>0</v>
      </c>
      <c r="AQ382" s="11">
        <f t="shared" si="391"/>
        <v>0</v>
      </c>
      <c r="AS382" s="11">
        <f t="shared" si="392"/>
        <v>0</v>
      </c>
      <c r="AU382" s="11">
        <f t="shared" si="393"/>
        <v>0</v>
      </c>
      <c r="AW382" s="11">
        <f t="shared" si="394"/>
        <v>0</v>
      </c>
      <c r="AY382" s="11">
        <f t="shared" si="395"/>
        <v>0</v>
      </c>
      <c r="BA382" s="11">
        <f t="shared" si="396"/>
        <v>0</v>
      </c>
      <c r="BC382" s="11">
        <f t="shared" si="397"/>
        <v>0</v>
      </c>
      <c r="BE382" s="11">
        <f t="shared" si="398"/>
        <v>0</v>
      </c>
      <c r="BG382" s="11">
        <f t="shared" si="399"/>
        <v>0</v>
      </c>
      <c r="BN382" s="8">
        <f t="shared" si="338"/>
        <v>34294</v>
      </c>
      <c r="BO382" s="8">
        <f t="shared" si="339"/>
        <v>2046015</v>
      </c>
      <c r="BP382" s="8">
        <f t="shared" si="342"/>
        <v>5720.5</v>
      </c>
      <c r="BQ382" s="12">
        <f t="shared" si="343"/>
        <v>341325</v>
      </c>
    </row>
    <row r="383" spans="1:69">
      <c r="A383" s="28">
        <v>1988</v>
      </c>
      <c r="B383" s="27" t="s">
        <v>30</v>
      </c>
      <c r="C383" s="24">
        <f t="shared" si="363"/>
        <v>350</v>
      </c>
      <c r="D383" s="7" t="e">
        <f t="shared" ca="1" si="337"/>
        <v>#N/A</v>
      </c>
      <c r="E383" s="26">
        <f t="array" aca="1" ref="E383" ca="1">AVERAGE(IF(INDIRECT(DatCol&amp;"$"&amp;TEXT(C383,"###")):INDIRECT(DatCol&amp;"$"&amp;TEXT(C383+57,"###"))&gt;0,INDIRECT(DatCol&amp;"$"&amp;TEXT(C383,"###")):INDIRECT(DatCol&amp;"$"&amp;TEXT(C383+57,"###"))))</f>
        <v>85.291688311688318</v>
      </c>
      <c r="F383" s="26" t="str">
        <f t="shared" si="341"/>
        <v>B</v>
      </c>
      <c r="G383" s="8">
        <v>60</v>
      </c>
      <c r="H383" s="8">
        <v>24</v>
      </c>
      <c r="I383" s="8">
        <v>50</v>
      </c>
      <c r="J383" s="8">
        <v>488</v>
      </c>
      <c r="K383" s="9">
        <f t="shared" si="340"/>
        <v>572</v>
      </c>
      <c r="L383" s="12">
        <v>180</v>
      </c>
      <c r="M383" s="11">
        <f t="shared" si="382"/>
        <v>9000</v>
      </c>
      <c r="N383" s="12">
        <v>0</v>
      </c>
      <c r="O383" s="11">
        <f t="shared" si="383"/>
        <v>0</v>
      </c>
      <c r="P383" s="12">
        <v>26495</v>
      </c>
      <c r="Q383" s="11">
        <f t="shared" si="384"/>
        <v>1589700</v>
      </c>
      <c r="X383" s="12">
        <v>5552</v>
      </c>
      <c r="Y383" s="11">
        <f t="shared" si="385"/>
        <v>333120</v>
      </c>
      <c r="AF383" s="12">
        <v>1652</v>
      </c>
      <c r="AG383" s="11">
        <f t="shared" si="386"/>
        <v>107380</v>
      </c>
      <c r="AI383" s="11">
        <f t="shared" si="387"/>
        <v>0</v>
      </c>
      <c r="AK383" s="13">
        <f t="shared" si="388"/>
        <v>0</v>
      </c>
      <c r="AM383" s="13">
        <f t="shared" si="389"/>
        <v>0</v>
      </c>
      <c r="AO383" s="11">
        <f t="shared" si="390"/>
        <v>0</v>
      </c>
      <c r="AQ383" s="11">
        <f t="shared" si="391"/>
        <v>0</v>
      </c>
      <c r="AS383" s="11">
        <f t="shared" si="392"/>
        <v>0</v>
      </c>
      <c r="AU383" s="11">
        <f t="shared" si="393"/>
        <v>0</v>
      </c>
      <c r="AW383" s="11">
        <f t="shared" si="394"/>
        <v>0</v>
      </c>
      <c r="AY383" s="11">
        <f t="shared" si="395"/>
        <v>0</v>
      </c>
      <c r="BA383" s="11">
        <f t="shared" si="396"/>
        <v>0</v>
      </c>
      <c r="BC383" s="11">
        <f t="shared" si="397"/>
        <v>0</v>
      </c>
      <c r="BE383" s="11">
        <f t="shared" si="398"/>
        <v>0</v>
      </c>
      <c r="BG383" s="11">
        <f t="shared" si="399"/>
        <v>0</v>
      </c>
      <c r="BN383" s="8">
        <f t="shared" si="338"/>
        <v>33879</v>
      </c>
      <c r="BO383" s="8">
        <f t="shared" si="339"/>
        <v>2039200</v>
      </c>
      <c r="BP383" s="8">
        <f t="shared" si="342"/>
        <v>5552</v>
      </c>
      <c r="BQ383" s="12">
        <f t="shared" si="343"/>
        <v>333120</v>
      </c>
    </row>
    <row r="384" spans="1:69">
      <c r="A384" s="28">
        <v>1989</v>
      </c>
      <c r="B384" s="27" t="s">
        <v>30</v>
      </c>
      <c r="C384" s="24">
        <f t="shared" si="363"/>
        <v>350</v>
      </c>
      <c r="D384" s="7">
        <f t="shared" ca="1" si="337"/>
        <v>2.00488468905787</v>
      </c>
      <c r="E384" s="26">
        <f t="array" aca="1" ref="E384" ca="1">AVERAGE(IF(INDIRECT(DatCol&amp;"$"&amp;TEXT(C384,"###")):INDIRECT(DatCol&amp;"$"&amp;TEXT(C384+57,"###"))&gt;0,INDIRECT(DatCol&amp;"$"&amp;TEXT(C384,"###")):INDIRECT(DatCol&amp;"$"&amp;TEXT(C384+57,"###"))))</f>
        <v>85.291688311688318</v>
      </c>
      <c r="F384" s="26" t="str">
        <f t="shared" si="341"/>
        <v>B</v>
      </c>
      <c r="G384" s="8">
        <v>57</v>
      </c>
      <c r="H384" s="8">
        <v>28</v>
      </c>
      <c r="I384" s="8">
        <v>45</v>
      </c>
      <c r="J384" s="8">
        <v>341</v>
      </c>
      <c r="K384" s="9">
        <f t="shared" si="340"/>
        <v>426</v>
      </c>
      <c r="L384" s="12">
        <v>0</v>
      </c>
      <c r="M384" s="11">
        <f t="shared" si="382"/>
        <v>0</v>
      </c>
      <c r="N384" s="12">
        <v>171</v>
      </c>
      <c r="O384" s="11">
        <f t="shared" si="383"/>
        <v>8550</v>
      </c>
      <c r="P384" s="12">
        <v>22513</v>
      </c>
      <c r="Q384" s="11">
        <f t="shared" si="384"/>
        <v>1350780</v>
      </c>
      <c r="X384" s="12">
        <v>4241</v>
      </c>
      <c r="Y384" s="11">
        <f t="shared" si="385"/>
        <v>254460</v>
      </c>
      <c r="AF384" s="12">
        <v>1076</v>
      </c>
      <c r="AG384" s="11">
        <f t="shared" si="386"/>
        <v>69940</v>
      </c>
      <c r="AI384" s="11">
        <f t="shared" si="387"/>
        <v>0</v>
      </c>
      <c r="AK384" s="13">
        <f t="shared" si="388"/>
        <v>0</v>
      </c>
      <c r="AM384" s="13">
        <f t="shared" si="389"/>
        <v>0</v>
      </c>
      <c r="AO384" s="11">
        <f t="shared" si="390"/>
        <v>0</v>
      </c>
      <c r="AQ384" s="11">
        <f t="shared" si="391"/>
        <v>0</v>
      </c>
      <c r="AS384" s="11">
        <f t="shared" si="392"/>
        <v>0</v>
      </c>
      <c r="AU384" s="11">
        <f t="shared" si="393"/>
        <v>0</v>
      </c>
      <c r="AW384" s="11">
        <f t="shared" si="394"/>
        <v>0</v>
      </c>
      <c r="AY384" s="11">
        <f t="shared" si="395"/>
        <v>0</v>
      </c>
      <c r="BA384" s="11">
        <f t="shared" si="396"/>
        <v>0</v>
      </c>
      <c r="BC384" s="11">
        <f t="shared" si="397"/>
        <v>0</v>
      </c>
      <c r="BE384" s="11">
        <f t="shared" si="398"/>
        <v>0</v>
      </c>
      <c r="BG384" s="11">
        <f t="shared" si="399"/>
        <v>0</v>
      </c>
      <c r="BN384" s="8">
        <f t="shared" si="338"/>
        <v>27830</v>
      </c>
      <c r="BO384" s="8">
        <f t="shared" si="339"/>
        <v>1675180</v>
      </c>
      <c r="BP384" s="8">
        <f t="shared" si="342"/>
        <v>4412</v>
      </c>
      <c r="BQ384" s="12">
        <f t="shared" si="343"/>
        <v>263010</v>
      </c>
    </row>
    <row r="385" spans="1:69">
      <c r="A385" s="28">
        <v>1990</v>
      </c>
      <c r="B385" s="27" t="s">
        <v>30</v>
      </c>
      <c r="C385" s="24">
        <f t="shared" si="363"/>
        <v>350</v>
      </c>
      <c r="D385" s="7">
        <f t="shared" ca="1" si="337"/>
        <v>1.4538345113636015</v>
      </c>
      <c r="E385" s="26">
        <f t="array" aca="1" ref="E385" ca="1">AVERAGE(IF(INDIRECT(DatCol&amp;"$"&amp;TEXT(C385,"###")):INDIRECT(DatCol&amp;"$"&amp;TEXT(C385+57,"###"))&gt;0,INDIRECT(DatCol&amp;"$"&amp;TEXT(C385,"###")):INDIRECT(DatCol&amp;"$"&amp;TEXT(C385+57,"###"))))</f>
        <v>85.291688311688318</v>
      </c>
      <c r="F385" s="26" t="str">
        <f t="shared" si="341"/>
        <v>B</v>
      </c>
      <c r="G385" s="8">
        <v>150</v>
      </c>
      <c r="H385" s="8">
        <v>44</v>
      </c>
      <c r="I385" s="8">
        <v>53</v>
      </c>
      <c r="J385" s="8">
        <v>475</v>
      </c>
      <c r="K385" s="9">
        <f t="shared" si="340"/>
        <v>669</v>
      </c>
      <c r="L385" s="12">
        <v>0</v>
      </c>
      <c r="M385" s="11">
        <f t="shared" si="382"/>
        <v>0</v>
      </c>
      <c r="N385" s="12">
        <v>124</v>
      </c>
      <c r="O385" s="11">
        <f t="shared" si="383"/>
        <v>6200</v>
      </c>
      <c r="P385" s="12">
        <v>13564</v>
      </c>
      <c r="Q385" s="11">
        <f t="shared" si="384"/>
        <v>813840</v>
      </c>
      <c r="X385" s="12">
        <v>3540</v>
      </c>
      <c r="Y385" s="11">
        <f t="shared" si="385"/>
        <v>212400</v>
      </c>
      <c r="AF385" s="12">
        <v>0</v>
      </c>
      <c r="AG385" s="11">
        <f t="shared" si="386"/>
        <v>0</v>
      </c>
      <c r="AH385" s="12">
        <v>2</v>
      </c>
      <c r="AI385" s="11">
        <f t="shared" si="387"/>
        <v>130</v>
      </c>
      <c r="AK385" s="13">
        <f t="shared" si="388"/>
        <v>0</v>
      </c>
      <c r="AM385" s="13">
        <f t="shared" si="389"/>
        <v>0</v>
      </c>
      <c r="AO385" s="11">
        <f t="shared" si="390"/>
        <v>0</v>
      </c>
      <c r="AQ385" s="11">
        <f t="shared" si="391"/>
        <v>0</v>
      </c>
      <c r="AS385" s="11">
        <f t="shared" si="392"/>
        <v>0</v>
      </c>
      <c r="AU385" s="11">
        <f t="shared" si="393"/>
        <v>0</v>
      </c>
      <c r="AW385" s="11">
        <f t="shared" si="394"/>
        <v>0</v>
      </c>
      <c r="AY385" s="11">
        <f t="shared" si="395"/>
        <v>0</v>
      </c>
      <c r="BA385" s="11">
        <f t="shared" si="396"/>
        <v>0</v>
      </c>
      <c r="BC385" s="11">
        <f t="shared" si="397"/>
        <v>0</v>
      </c>
      <c r="BE385" s="11">
        <f t="shared" si="398"/>
        <v>0</v>
      </c>
      <c r="BG385" s="11">
        <f t="shared" si="399"/>
        <v>0</v>
      </c>
      <c r="BN385" s="8">
        <f t="shared" si="338"/>
        <v>17104</v>
      </c>
      <c r="BO385" s="8">
        <f t="shared" si="339"/>
        <v>1026240</v>
      </c>
      <c r="BP385" s="8">
        <f t="shared" si="342"/>
        <v>3666</v>
      </c>
      <c r="BQ385" s="12">
        <f t="shared" si="343"/>
        <v>218730</v>
      </c>
    </row>
    <row r="386" spans="1:69">
      <c r="A386" s="28">
        <v>1991</v>
      </c>
      <c r="B386" s="27" t="s">
        <v>30</v>
      </c>
      <c r="C386" s="24">
        <f t="shared" si="363"/>
        <v>350</v>
      </c>
      <c r="D386" s="7">
        <f t="shared" ref="D386:D449" ca="1" si="400">IF(AND((INDIRECT(DatCol&amp;TEXT(ROW(),"###"))&gt;0),((F386=RegionSelect)+(RegionSelect="A"))),INDIRECT(DatCol&amp;TEXT(ROW(),"###"))/E386,NA())</f>
        <v>1.1841716584493851</v>
      </c>
      <c r="E386" s="26">
        <f t="array" aca="1" ref="E386" ca="1">AVERAGE(IF(INDIRECT(DatCol&amp;"$"&amp;TEXT(C386,"###")):INDIRECT(DatCol&amp;"$"&amp;TEXT(C386+57,"###"))&gt;0,INDIRECT(DatCol&amp;"$"&amp;TEXT(C386,"###")):INDIRECT(DatCol&amp;"$"&amp;TEXT(C386+57,"###"))))</f>
        <v>85.291688311688318</v>
      </c>
      <c r="F386" s="26" t="str">
        <f t="shared" si="341"/>
        <v>B</v>
      </c>
      <c r="G386" s="8">
        <v>75</v>
      </c>
      <c r="H386" s="8">
        <v>26</v>
      </c>
      <c r="I386" s="8">
        <v>51</v>
      </c>
      <c r="J386" s="8">
        <v>325</v>
      </c>
      <c r="K386" s="9">
        <f t="shared" si="340"/>
        <v>426</v>
      </c>
      <c r="L386" s="12">
        <v>0</v>
      </c>
      <c r="M386" s="11">
        <f t="shared" si="382"/>
        <v>0</v>
      </c>
      <c r="N386" s="12">
        <v>101</v>
      </c>
      <c r="O386" s="11">
        <f t="shared" si="383"/>
        <v>5050</v>
      </c>
      <c r="P386" s="12">
        <f>5181+8380+4895</f>
        <v>18456</v>
      </c>
      <c r="Q386" s="11">
        <f t="shared" si="384"/>
        <v>1107360</v>
      </c>
      <c r="X386" s="12">
        <v>3556</v>
      </c>
      <c r="Y386" s="11">
        <f t="shared" si="385"/>
        <v>213360</v>
      </c>
      <c r="AF386" s="12">
        <v>0</v>
      </c>
      <c r="AG386" s="11">
        <f t="shared" si="386"/>
        <v>0</v>
      </c>
      <c r="AH386" s="12">
        <v>0</v>
      </c>
      <c r="AI386" s="11">
        <f t="shared" si="387"/>
        <v>0</v>
      </c>
      <c r="AK386" s="13">
        <f t="shared" si="388"/>
        <v>0</v>
      </c>
      <c r="AM386" s="13">
        <f t="shared" si="389"/>
        <v>0</v>
      </c>
      <c r="AO386" s="11">
        <f t="shared" si="390"/>
        <v>0</v>
      </c>
      <c r="AQ386" s="11">
        <f t="shared" si="391"/>
        <v>0</v>
      </c>
      <c r="AS386" s="11">
        <f t="shared" si="392"/>
        <v>0</v>
      </c>
      <c r="AU386" s="11">
        <f t="shared" si="393"/>
        <v>0</v>
      </c>
      <c r="AW386" s="11">
        <f t="shared" si="394"/>
        <v>0</v>
      </c>
      <c r="AY386" s="11">
        <f t="shared" si="395"/>
        <v>0</v>
      </c>
      <c r="BA386" s="11">
        <f t="shared" si="396"/>
        <v>0</v>
      </c>
      <c r="BC386" s="11">
        <f t="shared" si="397"/>
        <v>0</v>
      </c>
      <c r="BE386" s="11">
        <f t="shared" si="398"/>
        <v>0</v>
      </c>
      <c r="BG386" s="11">
        <f t="shared" si="399"/>
        <v>0</v>
      </c>
      <c r="BN386" s="8">
        <f t="shared" si="338"/>
        <v>22012</v>
      </c>
      <c r="BO386" s="8">
        <f t="shared" si="339"/>
        <v>1320720</v>
      </c>
      <c r="BP386" s="8">
        <f t="shared" si="342"/>
        <v>3657</v>
      </c>
      <c r="BQ386" s="12">
        <f t="shared" si="343"/>
        <v>218410</v>
      </c>
    </row>
    <row r="387" spans="1:69">
      <c r="A387" s="28">
        <v>1992</v>
      </c>
      <c r="B387" s="27" t="s">
        <v>30</v>
      </c>
      <c r="C387" s="24">
        <f t="shared" si="363"/>
        <v>350</v>
      </c>
      <c r="D387" s="7">
        <f t="shared" ca="1" si="400"/>
        <v>0.69174384008429435</v>
      </c>
      <c r="E387" s="26">
        <f t="array" aca="1" ref="E387" ca="1">AVERAGE(IF(INDIRECT(DatCol&amp;"$"&amp;TEXT(C387,"###")):INDIRECT(DatCol&amp;"$"&amp;TEXT(C387+57,"###"))&gt;0,INDIRECT(DatCol&amp;"$"&amp;TEXT(C387,"###")):INDIRECT(DatCol&amp;"$"&amp;TEXT(C387+57,"###"))))</f>
        <v>85.291688311688318</v>
      </c>
      <c r="F387" s="26" t="str">
        <f t="shared" si="341"/>
        <v>B</v>
      </c>
      <c r="G387" s="8">
        <v>75</v>
      </c>
      <c r="H387" s="8">
        <v>24</v>
      </c>
      <c r="I387" s="8">
        <v>63</v>
      </c>
      <c r="J387" s="8">
        <v>475</v>
      </c>
      <c r="K387" s="9">
        <f t="shared" si="340"/>
        <v>574</v>
      </c>
      <c r="L387" s="12">
        <v>0</v>
      </c>
      <c r="M387" s="11">
        <f t="shared" si="382"/>
        <v>0</v>
      </c>
      <c r="N387" s="12">
        <v>59</v>
      </c>
      <c r="O387" s="11">
        <f t="shared" si="383"/>
        <v>2950</v>
      </c>
      <c r="P387" s="12">
        <f>8774+8700+4400</f>
        <v>21874</v>
      </c>
      <c r="Q387" s="11">
        <f t="shared" si="384"/>
        <v>1312440</v>
      </c>
      <c r="X387" s="12">
        <v>3769</v>
      </c>
      <c r="Y387" s="11">
        <f t="shared" si="385"/>
        <v>226140</v>
      </c>
      <c r="AF387" s="12">
        <v>0</v>
      </c>
      <c r="AG387" s="11">
        <f t="shared" si="386"/>
        <v>0</v>
      </c>
      <c r="AH387" s="12">
        <v>0</v>
      </c>
      <c r="AI387" s="11">
        <f t="shared" si="387"/>
        <v>0</v>
      </c>
      <c r="AJ387" s="12">
        <v>0</v>
      </c>
      <c r="AK387" s="13">
        <f t="shared" si="388"/>
        <v>0</v>
      </c>
      <c r="AL387" s="12">
        <v>0</v>
      </c>
      <c r="AM387" s="13">
        <f t="shared" si="389"/>
        <v>0</v>
      </c>
      <c r="AN387" s="12">
        <v>28.5</v>
      </c>
      <c r="AO387" s="11">
        <f t="shared" si="390"/>
        <v>2280</v>
      </c>
      <c r="AP387" s="12">
        <v>0</v>
      </c>
      <c r="AQ387" s="11">
        <f t="shared" si="391"/>
        <v>0</v>
      </c>
      <c r="AR387" s="12">
        <v>0</v>
      </c>
      <c r="AS387" s="11">
        <f t="shared" si="392"/>
        <v>0</v>
      </c>
      <c r="AT387" s="12">
        <v>0</v>
      </c>
      <c r="AU387" s="11">
        <f t="shared" si="393"/>
        <v>0</v>
      </c>
      <c r="AV387" s="12">
        <v>0</v>
      </c>
      <c r="AW387" s="11">
        <f t="shared" si="394"/>
        <v>0</v>
      </c>
      <c r="AY387" s="11">
        <f t="shared" si="395"/>
        <v>0</v>
      </c>
      <c r="BA387" s="11">
        <f t="shared" si="396"/>
        <v>0</v>
      </c>
      <c r="BC387" s="11">
        <f t="shared" si="397"/>
        <v>0</v>
      </c>
      <c r="BE387" s="11">
        <f t="shared" si="398"/>
        <v>0</v>
      </c>
      <c r="BG387" s="11">
        <f t="shared" si="399"/>
        <v>0</v>
      </c>
      <c r="BN387" s="8">
        <f t="shared" si="338"/>
        <v>25671.5</v>
      </c>
      <c r="BO387" s="8">
        <f t="shared" si="339"/>
        <v>1540860</v>
      </c>
      <c r="BP387" s="8">
        <f t="shared" si="342"/>
        <v>3828</v>
      </c>
      <c r="BQ387" s="12">
        <f t="shared" si="343"/>
        <v>229090</v>
      </c>
    </row>
    <row r="388" spans="1:69">
      <c r="A388" s="28">
        <v>1993</v>
      </c>
      <c r="B388" s="27" t="s">
        <v>30</v>
      </c>
      <c r="C388" s="24">
        <f t="shared" si="363"/>
        <v>350</v>
      </c>
      <c r="D388" s="7">
        <f t="shared" ca="1" si="400"/>
        <v>1.1607227147177142</v>
      </c>
      <c r="E388" s="26">
        <f t="array" aca="1" ref="E388" ca="1">AVERAGE(IF(INDIRECT(DatCol&amp;"$"&amp;TEXT(C388,"###")):INDIRECT(DatCol&amp;"$"&amp;TEXT(C388+57,"###"))&gt;0,INDIRECT(DatCol&amp;"$"&amp;TEXT(C388,"###")):INDIRECT(DatCol&amp;"$"&amp;TEXT(C388+57,"###"))))</f>
        <v>85.291688311688318</v>
      </c>
      <c r="F388" s="26" t="str">
        <f t="shared" si="341"/>
        <v>B</v>
      </c>
      <c r="G388" s="8">
        <v>46</v>
      </c>
      <c r="H388" s="8">
        <v>21</v>
      </c>
      <c r="I388" s="8">
        <v>34</v>
      </c>
      <c r="J388" s="8">
        <v>332</v>
      </c>
      <c r="K388" s="9">
        <f t="shared" si="340"/>
        <v>399</v>
      </c>
      <c r="L388" s="12">
        <v>0</v>
      </c>
      <c r="M388" s="11">
        <f t="shared" si="382"/>
        <v>0</v>
      </c>
      <c r="N388" s="12">
        <v>99</v>
      </c>
      <c r="O388" s="11">
        <f t="shared" si="383"/>
        <v>4950</v>
      </c>
      <c r="P388" s="12">
        <f>7412+7310+3877+337</f>
        <v>18936</v>
      </c>
      <c r="Q388" s="11">
        <f t="shared" si="384"/>
        <v>1136160</v>
      </c>
      <c r="X388" s="12">
        <f>521+2087</f>
        <v>2608</v>
      </c>
      <c r="Y388" s="11">
        <f t="shared" si="385"/>
        <v>156480</v>
      </c>
      <c r="AF388" s="12">
        <v>0</v>
      </c>
      <c r="AG388" s="11">
        <f t="shared" si="386"/>
        <v>0</v>
      </c>
      <c r="AH388" s="12">
        <v>0</v>
      </c>
      <c r="AI388" s="11">
        <f t="shared" si="387"/>
        <v>0</v>
      </c>
      <c r="AJ388" s="12">
        <v>0</v>
      </c>
      <c r="AK388" s="13">
        <f t="shared" si="388"/>
        <v>0</v>
      </c>
      <c r="AL388" s="12">
        <v>0</v>
      </c>
      <c r="AM388" s="13">
        <f t="shared" si="389"/>
        <v>0</v>
      </c>
      <c r="AN388" s="12">
        <v>0</v>
      </c>
      <c r="AO388" s="11">
        <f t="shared" si="390"/>
        <v>0</v>
      </c>
      <c r="AP388" s="12">
        <v>0</v>
      </c>
      <c r="AQ388" s="11">
        <f t="shared" si="391"/>
        <v>0</v>
      </c>
      <c r="AR388" s="12">
        <v>0</v>
      </c>
      <c r="AS388" s="11">
        <f t="shared" si="392"/>
        <v>0</v>
      </c>
      <c r="AU388" s="11">
        <f t="shared" si="393"/>
        <v>0</v>
      </c>
      <c r="AW388" s="11">
        <f t="shared" si="394"/>
        <v>0</v>
      </c>
      <c r="AY388" s="11">
        <f t="shared" si="395"/>
        <v>0</v>
      </c>
      <c r="BA388" s="11">
        <f t="shared" si="396"/>
        <v>0</v>
      </c>
      <c r="BC388" s="11">
        <f t="shared" si="397"/>
        <v>0</v>
      </c>
      <c r="BE388" s="11">
        <f t="shared" si="398"/>
        <v>0</v>
      </c>
      <c r="BG388" s="11">
        <f t="shared" si="399"/>
        <v>0</v>
      </c>
      <c r="BN388" s="8">
        <f t="shared" si="338"/>
        <v>21544</v>
      </c>
      <c r="BO388" s="8">
        <f t="shared" si="339"/>
        <v>1292640</v>
      </c>
      <c r="BP388" s="8">
        <f t="shared" si="342"/>
        <v>2707</v>
      </c>
      <c r="BQ388" s="12">
        <f t="shared" si="343"/>
        <v>161430</v>
      </c>
    </row>
    <row r="389" spans="1:69">
      <c r="A389" s="28">
        <v>1994</v>
      </c>
      <c r="B389" s="27" t="s">
        <v>30</v>
      </c>
      <c r="C389" s="24">
        <f t="shared" si="363"/>
        <v>350</v>
      </c>
      <c r="D389" s="7">
        <f t="shared" ca="1" si="400"/>
        <v>0.96140669299851078</v>
      </c>
      <c r="E389" s="26">
        <f t="array" aca="1" ref="E389" ca="1">AVERAGE(IF(INDIRECT(DatCol&amp;"$"&amp;TEXT(C389,"###")):INDIRECT(DatCol&amp;"$"&amp;TEXT(C389+57,"###"))&gt;0,INDIRECT(DatCol&amp;"$"&amp;TEXT(C389,"###")):INDIRECT(DatCol&amp;"$"&amp;TEXT(C389+57,"###"))))</f>
        <v>85.291688311688318</v>
      </c>
      <c r="F389" s="26" t="str">
        <f t="shared" si="341"/>
        <v>B</v>
      </c>
      <c r="G389" s="8">
        <v>75</v>
      </c>
      <c r="H389" s="8">
        <v>16</v>
      </c>
      <c r="I389" s="8">
        <v>31</v>
      </c>
      <c r="J389" s="8">
        <v>355</v>
      </c>
      <c r="K389" s="9">
        <f t="shared" si="340"/>
        <v>446</v>
      </c>
      <c r="L389" s="12">
        <v>0</v>
      </c>
      <c r="M389" s="11">
        <f t="shared" si="382"/>
        <v>0</v>
      </c>
      <c r="N389" s="12">
        <v>82</v>
      </c>
      <c r="O389" s="11">
        <f t="shared" si="383"/>
        <v>4100</v>
      </c>
      <c r="P389" s="12">
        <f>3567+4427+4554</f>
        <v>12548</v>
      </c>
      <c r="Q389" s="11">
        <f t="shared" si="384"/>
        <v>752880</v>
      </c>
      <c r="X389" s="12">
        <f>287+2583</f>
        <v>2870</v>
      </c>
      <c r="Y389" s="11">
        <f t="shared" si="385"/>
        <v>172200</v>
      </c>
      <c r="AF389" s="12">
        <v>0</v>
      </c>
      <c r="AG389" s="11">
        <f t="shared" si="386"/>
        <v>0</v>
      </c>
      <c r="AH389" s="12">
        <v>0</v>
      </c>
      <c r="AI389" s="11">
        <f t="shared" si="387"/>
        <v>0</v>
      </c>
      <c r="AJ389" s="12">
        <v>0</v>
      </c>
      <c r="AK389" s="13">
        <f t="shared" si="388"/>
        <v>0</v>
      </c>
      <c r="AL389" s="12">
        <v>95</v>
      </c>
      <c r="AM389" s="13">
        <f t="shared" si="389"/>
        <v>855</v>
      </c>
      <c r="AO389" s="11">
        <f t="shared" si="390"/>
        <v>0</v>
      </c>
      <c r="AQ389" s="11">
        <f t="shared" si="391"/>
        <v>0</v>
      </c>
      <c r="AS389" s="11">
        <f t="shared" si="392"/>
        <v>0</v>
      </c>
      <c r="AU389" s="11">
        <f t="shared" si="393"/>
        <v>0</v>
      </c>
      <c r="AW389" s="11">
        <f t="shared" si="394"/>
        <v>0</v>
      </c>
      <c r="AY389" s="11">
        <f t="shared" si="395"/>
        <v>0</v>
      </c>
      <c r="BA389" s="11">
        <f t="shared" si="396"/>
        <v>0</v>
      </c>
      <c r="BC389" s="11">
        <f t="shared" si="397"/>
        <v>0</v>
      </c>
      <c r="BE389" s="11">
        <f t="shared" si="398"/>
        <v>0</v>
      </c>
      <c r="BG389" s="11">
        <f t="shared" si="399"/>
        <v>0</v>
      </c>
      <c r="BN389" s="8">
        <f t="shared" si="338"/>
        <v>15418</v>
      </c>
      <c r="BO389" s="8">
        <f t="shared" si="339"/>
        <v>925080</v>
      </c>
      <c r="BP389" s="8">
        <f t="shared" si="342"/>
        <v>3047</v>
      </c>
      <c r="BQ389" s="12">
        <f t="shared" si="343"/>
        <v>177155</v>
      </c>
    </row>
    <row r="390" spans="1:69">
      <c r="A390" s="28">
        <v>1995</v>
      </c>
      <c r="B390" s="27" t="s">
        <v>30</v>
      </c>
      <c r="C390" s="24">
        <f t="shared" si="363"/>
        <v>350</v>
      </c>
      <c r="D390" s="7">
        <f t="shared" ca="1" si="400"/>
        <v>0.92623327740100425</v>
      </c>
      <c r="E390" s="26">
        <f t="array" aca="1" ref="E390" ca="1">AVERAGE(IF(INDIRECT(DatCol&amp;"$"&amp;TEXT(C390,"###")):INDIRECT(DatCol&amp;"$"&amp;TEXT(C390+57,"###"))&gt;0,INDIRECT(DatCol&amp;"$"&amp;TEXT(C390,"###")):INDIRECT(DatCol&amp;"$"&amp;TEXT(C390+57,"###"))))</f>
        <v>85.291688311688318</v>
      </c>
      <c r="F390" s="26" t="str">
        <f t="shared" si="341"/>
        <v>B</v>
      </c>
      <c r="G390" s="9">
        <v>75</v>
      </c>
      <c r="H390" s="9">
        <v>17</v>
      </c>
      <c r="I390" s="9">
        <v>27</v>
      </c>
      <c r="J390" s="9">
        <v>474</v>
      </c>
      <c r="K390" s="9">
        <f t="shared" si="340"/>
        <v>566</v>
      </c>
      <c r="L390" s="10">
        <v>0</v>
      </c>
      <c r="M390" s="11">
        <f t="shared" si="382"/>
        <v>0</v>
      </c>
      <c r="N390" s="10">
        <v>79</v>
      </c>
      <c r="O390" s="11">
        <f t="shared" si="383"/>
        <v>3950</v>
      </c>
      <c r="P390" s="10">
        <f>2003+4831+4941</f>
        <v>11775</v>
      </c>
      <c r="Q390" s="11">
        <f t="shared" si="384"/>
        <v>706500</v>
      </c>
      <c r="X390" s="10">
        <f>302+2719</f>
        <v>3021</v>
      </c>
      <c r="Y390" s="11">
        <f t="shared" si="385"/>
        <v>181260</v>
      </c>
      <c r="AF390" s="10">
        <v>0</v>
      </c>
      <c r="AG390" s="11">
        <f t="shared" si="386"/>
        <v>0</v>
      </c>
      <c r="AH390" s="10">
        <v>0</v>
      </c>
      <c r="AI390" s="11">
        <f t="shared" si="387"/>
        <v>0</v>
      </c>
      <c r="AJ390" s="10">
        <v>0</v>
      </c>
      <c r="AK390" s="13">
        <f t="shared" si="388"/>
        <v>0</v>
      </c>
      <c r="AL390" s="10">
        <v>29</v>
      </c>
      <c r="AM390" s="13">
        <f t="shared" si="389"/>
        <v>261</v>
      </c>
      <c r="AN390" s="10">
        <v>0</v>
      </c>
      <c r="AO390" s="11">
        <f t="shared" si="390"/>
        <v>0</v>
      </c>
      <c r="AP390" s="10">
        <v>0</v>
      </c>
      <c r="AQ390" s="11">
        <f t="shared" si="391"/>
        <v>0</v>
      </c>
      <c r="AR390" s="10">
        <v>0</v>
      </c>
      <c r="AS390" s="11">
        <f t="shared" si="392"/>
        <v>0</v>
      </c>
      <c r="AT390" s="10">
        <v>0</v>
      </c>
      <c r="AU390" s="11">
        <f t="shared" si="393"/>
        <v>0</v>
      </c>
      <c r="AV390" s="10">
        <v>0</v>
      </c>
      <c r="AW390" s="11">
        <f t="shared" si="394"/>
        <v>0</v>
      </c>
      <c r="AX390" s="10">
        <v>0</v>
      </c>
      <c r="AY390" s="11">
        <f t="shared" si="395"/>
        <v>0</v>
      </c>
      <c r="AZ390" s="10">
        <v>0</v>
      </c>
      <c r="BA390" s="11">
        <f t="shared" si="396"/>
        <v>0</v>
      </c>
      <c r="BB390" s="10">
        <v>0</v>
      </c>
      <c r="BC390" s="11">
        <f t="shared" si="397"/>
        <v>0</v>
      </c>
      <c r="BD390" s="10">
        <v>0</v>
      </c>
      <c r="BE390" s="11">
        <f t="shared" si="398"/>
        <v>0</v>
      </c>
      <c r="BF390" s="10">
        <v>0</v>
      </c>
      <c r="BG390" s="11">
        <f t="shared" si="399"/>
        <v>0</v>
      </c>
      <c r="BH390" s="11">
        <v>0</v>
      </c>
      <c r="BI390" s="11">
        <v>0</v>
      </c>
      <c r="BJ390" s="10">
        <v>0</v>
      </c>
      <c r="BL390" s="10">
        <v>0</v>
      </c>
      <c r="BN390" s="8">
        <f t="shared" si="338"/>
        <v>14796</v>
      </c>
      <c r="BO390" s="8">
        <f t="shared" si="339"/>
        <v>887760</v>
      </c>
      <c r="BP390" s="8">
        <f t="shared" si="342"/>
        <v>3129</v>
      </c>
      <c r="BQ390" s="12">
        <f t="shared" si="343"/>
        <v>185471</v>
      </c>
    </row>
    <row r="391" spans="1:69">
      <c r="A391" s="28">
        <v>1996</v>
      </c>
      <c r="B391" s="27" t="s">
        <v>30</v>
      </c>
      <c r="C391" s="24">
        <f t="shared" si="363"/>
        <v>350</v>
      </c>
      <c r="D391" s="7">
        <f t="shared" ca="1" si="400"/>
        <v>0.69760607601721203</v>
      </c>
      <c r="E391" s="26">
        <f t="array" aca="1" ref="E391" ca="1">AVERAGE(IF(INDIRECT(DatCol&amp;"$"&amp;TEXT(C391,"###")):INDIRECT(DatCol&amp;"$"&amp;TEXT(C391+57,"###"))&gt;0,INDIRECT(DatCol&amp;"$"&amp;TEXT(C391,"###")):INDIRECT(DatCol&amp;"$"&amp;TEXT(C391+57,"###"))))</f>
        <v>85.291688311688318</v>
      </c>
      <c r="F391" s="26" t="str">
        <f t="shared" si="341"/>
        <v>B</v>
      </c>
      <c r="G391" s="9">
        <v>145</v>
      </c>
      <c r="H391" s="9">
        <v>26</v>
      </c>
      <c r="I391" s="9">
        <v>25</v>
      </c>
      <c r="J391" s="9">
        <v>311</v>
      </c>
      <c r="K391" s="9">
        <f t="shared" si="340"/>
        <v>482</v>
      </c>
      <c r="L391" s="10">
        <v>0</v>
      </c>
      <c r="M391" s="11">
        <f t="shared" si="382"/>
        <v>0</v>
      </c>
      <c r="N391" s="10">
        <v>59.5</v>
      </c>
      <c r="O391" s="11">
        <f t="shared" si="383"/>
        <v>2975</v>
      </c>
      <c r="P391" s="10">
        <f>2951+4843</f>
        <v>7794</v>
      </c>
      <c r="Q391" s="11">
        <f t="shared" si="384"/>
        <v>467640</v>
      </c>
      <c r="X391" s="10">
        <f>400+2700</f>
        <v>3100</v>
      </c>
      <c r="Y391" s="11">
        <f t="shared" si="385"/>
        <v>186000</v>
      </c>
      <c r="AF391" s="10">
        <v>0</v>
      </c>
      <c r="AG391" s="11">
        <f t="shared" si="386"/>
        <v>0</v>
      </c>
      <c r="AH391" s="10">
        <v>386</v>
      </c>
      <c r="AI391" s="11">
        <f t="shared" si="387"/>
        <v>25090</v>
      </c>
      <c r="AJ391" s="10">
        <v>0</v>
      </c>
      <c r="AK391" s="13">
        <f t="shared" si="388"/>
        <v>0</v>
      </c>
      <c r="AL391" s="10">
        <v>152</v>
      </c>
      <c r="AM391" s="13">
        <f t="shared" si="389"/>
        <v>1368</v>
      </c>
      <c r="AN391" s="10">
        <v>0</v>
      </c>
      <c r="AO391" s="11">
        <f t="shared" si="390"/>
        <v>0</v>
      </c>
      <c r="AP391" s="10">
        <v>0</v>
      </c>
      <c r="AQ391" s="11">
        <f t="shared" si="391"/>
        <v>0</v>
      </c>
      <c r="AR391" s="10">
        <v>0</v>
      </c>
      <c r="AS391" s="11">
        <f t="shared" si="392"/>
        <v>0</v>
      </c>
      <c r="AT391" s="10">
        <v>0</v>
      </c>
      <c r="AU391" s="11">
        <f t="shared" si="393"/>
        <v>0</v>
      </c>
      <c r="AV391" s="10">
        <v>0</v>
      </c>
      <c r="AW391" s="11">
        <f t="shared" si="394"/>
        <v>0</v>
      </c>
      <c r="AX391" s="10">
        <v>0</v>
      </c>
      <c r="AY391" s="11">
        <f t="shared" si="395"/>
        <v>0</v>
      </c>
      <c r="AZ391" s="10">
        <v>0</v>
      </c>
      <c r="BA391" s="11">
        <f t="shared" si="396"/>
        <v>0</v>
      </c>
      <c r="BB391" s="10">
        <v>0</v>
      </c>
      <c r="BC391" s="11">
        <f t="shared" si="397"/>
        <v>0</v>
      </c>
      <c r="BD391" s="10">
        <v>0</v>
      </c>
      <c r="BE391" s="11">
        <f t="shared" si="398"/>
        <v>0</v>
      </c>
      <c r="BF391" s="10">
        <v>0</v>
      </c>
      <c r="BG391" s="11">
        <f t="shared" si="399"/>
        <v>0</v>
      </c>
      <c r="BH391" s="11">
        <v>0</v>
      </c>
      <c r="BI391" s="11">
        <v>0</v>
      </c>
      <c r="BJ391" s="10">
        <v>0</v>
      </c>
      <c r="BL391" s="10">
        <v>0</v>
      </c>
      <c r="BN391" s="8">
        <f t="shared" ref="BN391:BN455" si="401">(L391+P391+R391+T391+V391+X391+Z391+AB391+AD391+AF391+AJ391+AN391+AR391+AV391+AZ391+BD391)</f>
        <v>10894</v>
      </c>
      <c r="BO391" s="8">
        <f t="shared" si="339"/>
        <v>653640</v>
      </c>
      <c r="BP391" s="8">
        <f t="shared" si="342"/>
        <v>3697.5</v>
      </c>
      <c r="BQ391" s="12">
        <f t="shared" si="343"/>
        <v>215433</v>
      </c>
    </row>
    <row r="392" spans="1:69">
      <c r="A392" s="28">
        <v>1997</v>
      </c>
      <c r="B392" s="27" t="s">
        <v>30</v>
      </c>
      <c r="C392" s="24">
        <f t="shared" si="363"/>
        <v>350</v>
      </c>
      <c r="D392" s="7">
        <f t="shared" ca="1" si="400"/>
        <v>0.92037104146808657</v>
      </c>
      <c r="E392" s="26">
        <f t="array" aca="1" ref="E392" ca="1">AVERAGE(IF(INDIRECT(DatCol&amp;"$"&amp;TEXT(C392,"###")):INDIRECT(DatCol&amp;"$"&amp;TEXT(C392+57,"###"))&gt;0,INDIRECT(DatCol&amp;"$"&amp;TEXT(C392,"###")):INDIRECT(DatCol&amp;"$"&amp;TEXT(C392+57,"###"))))</f>
        <v>85.291688311688318</v>
      </c>
      <c r="F392" s="26" t="str">
        <f t="shared" si="341"/>
        <v>B</v>
      </c>
      <c r="G392" s="9">
        <v>67</v>
      </c>
      <c r="H392" s="9">
        <v>16</v>
      </c>
      <c r="I392" s="9">
        <v>43</v>
      </c>
      <c r="J392" s="9">
        <v>276</v>
      </c>
      <c r="K392" s="9">
        <f t="shared" si="340"/>
        <v>359</v>
      </c>
      <c r="L392" s="10">
        <v>0</v>
      </c>
      <c r="M392" s="11">
        <f t="shared" si="382"/>
        <v>0</v>
      </c>
      <c r="N392" s="10">
        <v>78.5</v>
      </c>
      <c r="O392" s="11">
        <f t="shared" si="383"/>
        <v>3925</v>
      </c>
      <c r="P392" s="10">
        <f>3613+3950+2010</f>
        <v>9573</v>
      </c>
      <c r="Q392" s="11">
        <f t="shared" si="384"/>
        <v>574380</v>
      </c>
      <c r="X392" s="10">
        <f>300+3053</f>
        <v>3353</v>
      </c>
      <c r="Y392" s="11">
        <f t="shared" si="385"/>
        <v>201180</v>
      </c>
      <c r="AF392" s="10">
        <v>600</v>
      </c>
      <c r="AG392" s="11">
        <f t="shared" si="386"/>
        <v>39000</v>
      </c>
      <c r="AH392" s="10">
        <v>536</v>
      </c>
      <c r="AI392" s="11">
        <f t="shared" si="387"/>
        <v>34840</v>
      </c>
      <c r="AJ392" s="10">
        <v>0</v>
      </c>
      <c r="AK392" s="13">
        <f t="shared" si="388"/>
        <v>0</v>
      </c>
      <c r="AL392" s="10">
        <v>17</v>
      </c>
      <c r="AM392" s="13">
        <f t="shared" si="389"/>
        <v>153</v>
      </c>
      <c r="AN392" s="10">
        <v>0</v>
      </c>
      <c r="AO392" s="11">
        <f t="shared" si="390"/>
        <v>0</v>
      </c>
      <c r="AP392" s="10">
        <v>0</v>
      </c>
      <c r="AQ392" s="11">
        <f t="shared" si="391"/>
        <v>0</v>
      </c>
      <c r="AR392" s="10">
        <v>0</v>
      </c>
      <c r="AS392" s="11">
        <f t="shared" si="392"/>
        <v>0</v>
      </c>
      <c r="AT392" s="10">
        <v>0</v>
      </c>
      <c r="AU392" s="11">
        <f t="shared" si="393"/>
        <v>0</v>
      </c>
      <c r="AV392" s="10">
        <v>0</v>
      </c>
      <c r="AW392" s="11">
        <f t="shared" si="394"/>
        <v>0</v>
      </c>
      <c r="AX392" s="10">
        <v>0</v>
      </c>
      <c r="AY392" s="11">
        <f t="shared" si="395"/>
        <v>0</v>
      </c>
      <c r="AZ392" s="10">
        <v>0</v>
      </c>
      <c r="BA392" s="11">
        <f t="shared" si="396"/>
        <v>0</v>
      </c>
      <c r="BB392" s="10">
        <v>0</v>
      </c>
      <c r="BC392" s="11">
        <f t="shared" si="397"/>
        <v>0</v>
      </c>
      <c r="BD392" s="10">
        <v>0</v>
      </c>
      <c r="BE392" s="11">
        <f t="shared" si="398"/>
        <v>0</v>
      </c>
      <c r="BF392" s="10">
        <v>0</v>
      </c>
      <c r="BG392" s="11">
        <f t="shared" si="399"/>
        <v>0</v>
      </c>
      <c r="BH392" s="11">
        <v>0</v>
      </c>
      <c r="BI392" s="11">
        <v>0</v>
      </c>
      <c r="BJ392" s="10">
        <v>0</v>
      </c>
      <c r="BL392" s="10">
        <v>0</v>
      </c>
      <c r="BN392" s="8">
        <f t="shared" si="401"/>
        <v>13526</v>
      </c>
      <c r="BO392" s="8">
        <f t="shared" ref="BO392:BO456" si="402">(M392+Q392+S392+U392+W392+Y392+AA392+AC392+AG392+AK392+AO392+AS392+AW392+BA392+BE392)</f>
        <v>814560</v>
      </c>
      <c r="BP392" s="8">
        <f t="shared" si="342"/>
        <v>3984.5</v>
      </c>
      <c r="BQ392" s="12">
        <f t="shared" si="343"/>
        <v>240098</v>
      </c>
    </row>
    <row r="393" spans="1:69">
      <c r="A393" s="28">
        <v>1998</v>
      </c>
      <c r="B393" s="27" t="s">
        <v>30</v>
      </c>
      <c r="C393" s="24">
        <f t="shared" si="363"/>
        <v>350</v>
      </c>
      <c r="D393" s="7">
        <f t="shared" ca="1" si="400"/>
        <v>1.6414260612169695</v>
      </c>
      <c r="E393" s="26">
        <f t="array" aca="1" ref="E393" ca="1">AVERAGE(IF(INDIRECT(DatCol&amp;"$"&amp;TEXT(C393,"###")):INDIRECT(DatCol&amp;"$"&amp;TEXT(C393+57,"###"))&gt;0,INDIRECT(DatCol&amp;"$"&amp;TEXT(C393,"###")):INDIRECT(DatCol&amp;"$"&amp;TEXT(C393+57,"###"))))</f>
        <v>85.291688311688318</v>
      </c>
      <c r="F393" s="26" t="str">
        <f t="shared" si="341"/>
        <v>B</v>
      </c>
      <c r="G393" s="9">
        <v>102</v>
      </c>
      <c r="H393" s="9">
        <v>12</v>
      </c>
      <c r="I393" s="9">
        <v>35</v>
      </c>
      <c r="J393" s="9">
        <v>275</v>
      </c>
      <c r="K393" s="9">
        <f t="shared" ref="K393:K457" si="403">G393+H393+J393</f>
        <v>389</v>
      </c>
      <c r="L393" s="10">
        <v>0</v>
      </c>
      <c r="M393" s="11">
        <v>0</v>
      </c>
      <c r="N393" s="10">
        <f>O393/50</f>
        <v>140</v>
      </c>
      <c r="O393" s="11">
        <v>7000</v>
      </c>
      <c r="P393" s="10">
        <f>(Q393/60)</f>
        <v>3660</v>
      </c>
      <c r="Q393" s="11">
        <v>219600</v>
      </c>
      <c r="R393" s="10">
        <f>(S393/60)</f>
        <v>8884</v>
      </c>
      <c r="S393" s="11">
        <v>533040</v>
      </c>
      <c r="T393" s="10">
        <v>0</v>
      </c>
      <c r="U393" s="11">
        <v>0</v>
      </c>
      <c r="V393" s="10">
        <f>(W393/60)</f>
        <v>522.66666666666663</v>
      </c>
      <c r="W393" s="11">
        <v>31360</v>
      </c>
      <c r="X393" s="10">
        <f>(Y393/60)</f>
        <v>266.66666666666669</v>
      </c>
      <c r="Y393" s="11">
        <v>16000</v>
      </c>
      <c r="Z393" s="10">
        <f>(AA393/60)</f>
        <v>3909.3333333333335</v>
      </c>
      <c r="AA393" s="11">
        <v>234560</v>
      </c>
      <c r="AB393" s="10">
        <v>0</v>
      </c>
      <c r="AC393" s="11">
        <v>0</v>
      </c>
      <c r="AD393" s="10">
        <v>0</v>
      </c>
      <c r="AE393" s="11">
        <v>0</v>
      </c>
      <c r="AF393" s="10">
        <f>+AG393/65</f>
        <v>1894.6461538461538</v>
      </c>
      <c r="AG393" s="11">
        <v>123152</v>
      </c>
      <c r="AH393" s="10">
        <f>AI393/65</f>
        <v>190.8923076923077</v>
      </c>
      <c r="AI393" s="11">
        <v>12408</v>
      </c>
      <c r="AJ393" s="10">
        <v>0</v>
      </c>
      <c r="AK393" s="13">
        <v>0</v>
      </c>
      <c r="AL393" s="10">
        <v>0</v>
      </c>
      <c r="AM393" s="13">
        <v>0</v>
      </c>
      <c r="AN393" s="10">
        <v>0</v>
      </c>
      <c r="AO393" s="11">
        <v>0</v>
      </c>
      <c r="AP393" s="10">
        <v>0</v>
      </c>
      <c r="AQ393" s="11">
        <v>0</v>
      </c>
      <c r="BN393" s="8">
        <f t="shared" si="401"/>
        <v>19137.31282051282</v>
      </c>
      <c r="BO393" s="8">
        <f t="shared" si="402"/>
        <v>1157712</v>
      </c>
      <c r="BP393" s="8">
        <f t="shared" si="342"/>
        <v>4506.8923076923074</v>
      </c>
      <c r="BQ393" s="12">
        <f t="shared" si="343"/>
        <v>269968</v>
      </c>
    </row>
    <row r="394" spans="1:69">
      <c r="A394" s="28">
        <v>1999</v>
      </c>
      <c r="B394" s="27" t="s">
        <v>30</v>
      </c>
      <c r="C394" s="24">
        <f t="shared" si="363"/>
        <v>350</v>
      </c>
      <c r="D394" s="7">
        <f t="shared" ca="1" si="400"/>
        <v>0.82071303060848477</v>
      </c>
      <c r="E394" s="26">
        <f t="array" aca="1" ref="E394" ca="1">AVERAGE(IF(INDIRECT(DatCol&amp;"$"&amp;TEXT(C394,"###")):INDIRECT(DatCol&amp;"$"&amp;TEXT(C394+57,"###"))&gt;0,INDIRECT(DatCol&amp;"$"&amp;TEXT(C394,"###")):INDIRECT(DatCol&amp;"$"&amp;TEXT(C394+57,"###"))))</f>
        <v>85.291688311688318</v>
      </c>
      <c r="F394" s="26" t="str">
        <f t="shared" si="341"/>
        <v>B</v>
      </c>
      <c r="G394" s="9">
        <v>105</v>
      </c>
      <c r="H394" s="9">
        <v>12</v>
      </c>
      <c r="I394" s="9">
        <v>21</v>
      </c>
      <c r="J394" s="9">
        <v>258</v>
      </c>
      <c r="K394" s="9">
        <f t="shared" si="403"/>
        <v>375</v>
      </c>
      <c r="L394" s="10">
        <v>0</v>
      </c>
      <c r="M394" s="11">
        <v>0</v>
      </c>
      <c r="N394" s="10">
        <f>O394/50</f>
        <v>70</v>
      </c>
      <c r="O394" s="11">
        <v>3500</v>
      </c>
      <c r="P394" s="10">
        <f>Q394/60</f>
        <v>2084.8333333333335</v>
      </c>
      <c r="Q394" s="11">
        <v>125090</v>
      </c>
      <c r="R394" s="10">
        <f>S394/60</f>
        <v>8672</v>
      </c>
      <c r="S394" s="11">
        <v>520320</v>
      </c>
      <c r="T394" s="10">
        <v>0</v>
      </c>
      <c r="U394" s="11">
        <v>0</v>
      </c>
      <c r="V394" s="10">
        <f>W394/60</f>
        <v>352.01666666666665</v>
      </c>
      <c r="W394" s="11">
        <v>21121</v>
      </c>
      <c r="X394" s="10">
        <f>Y394/60</f>
        <v>264</v>
      </c>
      <c r="Y394" s="11">
        <v>15840</v>
      </c>
      <c r="Z394" s="10">
        <f>AA394/60</f>
        <v>3340</v>
      </c>
      <c r="AA394" s="11">
        <v>200400</v>
      </c>
      <c r="AB394" s="10">
        <v>0</v>
      </c>
      <c r="AC394" s="11">
        <v>0</v>
      </c>
      <c r="AD394" s="10">
        <v>0</v>
      </c>
      <c r="AE394" s="11">
        <v>0</v>
      </c>
      <c r="AF394" s="10">
        <f>AG394/50</f>
        <v>2603.1999999999998</v>
      </c>
      <c r="AG394" s="11">
        <v>130160</v>
      </c>
      <c r="AH394" s="10">
        <f>AI394/50</f>
        <v>1627</v>
      </c>
      <c r="AI394" s="11">
        <v>81350</v>
      </c>
      <c r="AJ394" s="10">
        <v>0</v>
      </c>
      <c r="AK394" s="13">
        <v>0</v>
      </c>
      <c r="AL394" s="10">
        <v>0</v>
      </c>
      <c r="AM394" s="13">
        <v>0</v>
      </c>
      <c r="AN394" s="10">
        <v>0</v>
      </c>
      <c r="AO394" s="11">
        <v>0</v>
      </c>
      <c r="AP394" s="10">
        <v>0</v>
      </c>
      <c r="AQ394" s="11">
        <v>0</v>
      </c>
      <c r="AR394" s="10">
        <v>0</v>
      </c>
      <c r="AS394" s="11">
        <v>0</v>
      </c>
      <c r="AT394" s="10">
        <v>0</v>
      </c>
      <c r="AU394" s="11">
        <v>0</v>
      </c>
      <c r="AV394" s="10">
        <v>0</v>
      </c>
      <c r="AW394" s="11">
        <v>0</v>
      </c>
      <c r="AX394" s="10">
        <v>0</v>
      </c>
      <c r="AY394" s="11">
        <v>0</v>
      </c>
      <c r="AZ394" s="10">
        <v>0</v>
      </c>
      <c r="BA394" s="11">
        <v>0</v>
      </c>
      <c r="BB394" s="10">
        <v>0</v>
      </c>
      <c r="BC394" s="11">
        <v>0</v>
      </c>
      <c r="BN394" s="8">
        <f t="shared" si="401"/>
        <v>17316.05</v>
      </c>
      <c r="BO394" s="8">
        <f t="shared" si="402"/>
        <v>1012931</v>
      </c>
      <c r="BP394" s="8">
        <f t="shared" si="342"/>
        <v>5301</v>
      </c>
      <c r="BQ394" s="12">
        <f t="shared" si="343"/>
        <v>301090</v>
      </c>
    </row>
    <row r="395" spans="1:69">
      <c r="A395" s="28">
        <v>2000</v>
      </c>
      <c r="B395" s="27" t="s">
        <v>30</v>
      </c>
      <c r="C395" s="24">
        <f t="shared" si="363"/>
        <v>350</v>
      </c>
      <c r="D395" s="7">
        <f t="shared" ca="1" si="400"/>
        <v>1.6390811668438026</v>
      </c>
      <c r="E395" s="26">
        <f t="array" aca="1" ref="E395" ca="1">AVERAGE(IF(INDIRECT(DatCol&amp;"$"&amp;TEXT(C395,"###")):INDIRECT(DatCol&amp;"$"&amp;TEXT(C395+57,"###"))&gt;0,INDIRECT(DatCol&amp;"$"&amp;TEXT(C395,"###")):INDIRECT(DatCol&amp;"$"&amp;TEXT(C395+57,"###"))))</f>
        <v>85.291688311688318</v>
      </c>
      <c r="F395" s="26" t="str">
        <f t="shared" si="341"/>
        <v>B</v>
      </c>
      <c r="G395" s="9">
        <v>95</v>
      </c>
      <c r="H395" s="9">
        <v>15</v>
      </c>
      <c r="I395" s="9">
        <v>25</v>
      </c>
      <c r="J395" s="9">
        <v>255</v>
      </c>
      <c r="K395" s="9">
        <f t="shared" si="403"/>
        <v>365</v>
      </c>
      <c r="L395" s="10">
        <v>0</v>
      </c>
      <c r="M395" s="11">
        <v>0</v>
      </c>
      <c r="N395" s="10">
        <f>O395/50</f>
        <v>139.80000000000001</v>
      </c>
      <c r="O395" s="11">
        <v>6990</v>
      </c>
      <c r="P395" s="10">
        <f>Q395/49.5</f>
        <v>1626.2424242424242</v>
      </c>
      <c r="Q395" s="11">
        <v>80499</v>
      </c>
      <c r="R395" s="10">
        <f>S395/49.5</f>
        <v>3880.4040404040402</v>
      </c>
      <c r="S395" s="11">
        <v>192080</v>
      </c>
      <c r="T395" s="10">
        <v>0</v>
      </c>
      <c r="U395" s="11">
        <v>0</v>
      </c>
      <c r="V395" s="10">
        <v>0</v>
      </c>
      <c r="W395" s="11">
        <v>0</v>
      </c>
      <c r="X395" s="10">
        <f>Y395/49.5</f>
        <v>406.56565656565658</v>
      </c>
      <c r="Y395" s="11">
        <v>20125</v>
      </c>
      <c r="Z395" s="10">
        <f>AA395/49.5</f>
        <v>970.10101010101005</v>
      </c>
      <c r="AA395" s="11">
        <v>48020</v>
      </c>
      <c r="AB395" s="10">
        <v>0</v>
      </c>
      <c r="AC395" s="11">
        <v>0</v>
      </c>
      <c r="AD395" s="10">
        <v>0</v>
      </c>
      <c r="AE395" s="11">
        <v>0</v>
      </c>
      <c r="AF395" s="10">
        <f>AG395/47.5</f>
        <v>999.95789473684215</v>
      </c>
      <c r="AG395" s="11">
        <v>47498</v>
      </c>
      <c r="AH395" s="10">
        <f>AI395/47.5</f>
        <v>176.46315789473684</v>
      </c>
      <c r="AI395" s="11">
        <v>8382</v>
      </c>
      <c r="AK395" s="13"/>
      <c r="AM395" s="13"/>
      <c r="BN395" s="8">
        <f t="shared" si="401"/>
        <v>7883.2710260499725</v>
      </c>
      <c r="BO395" s="8">
        <f t="shared" si="402"/>
        <v>388222</v>
      </c>
      <c r="BP395" s="8">
        <f t="shared" si="342"/>
        <v>1692.9298245614036</v>
      </c>
      <c r="BQ395" s="12">
        <f t="shared" si="343"/>
        <v>83517</v>
      </c>
    </row>
    <row r="396" spans="1:69">
      <c r="A396" s="28">
        <v>2001</v>
      </c>
      <c r="B396" s="27" t="s">
        <v>30</v>
      </c>
      <c r="C396" s="24">
        <f t="shared" si="363"/>
        <v>350</v>
      </c>
      <c r="D396" s="7">
        <f t="shared" ca="1" si="400"/>
        <v>0.94968222113267531</v>
      </c>
      <c r="E396" s="26">
        <f t="array" aca="1" ref="E396" ca="1">AVERAGE(IF(INDIRECT(DatCol&amp;"$"&amp;TEXT(C396,"###")):INDIRECT(DatCol&amp;"$"&amp;TEXT(C396+57,"###"))&gt;0,INDIRECT(DatCol&amp;"$"&amp;TEXT(C396,"###")):INDIRECT(DatCol&amp;"$"&amp;TEXT(C396+57,"###"))))</f>
        <v>85.291688311688318</v>
      </c>
      <c r="F396" s="26" t="str">
        <f t="shared" si="341"/>
        <v>B</v>
      </c>
      <c r="H396" s="9">
        <v>12</v>
      </c>
      <c r="I396" s="9">
        <v>29</v>
      </c>
      <c r="J396" s="9">
        <v>435</v>
      </c>
      <c r="K396" s="9">
        <f t="shared" si="403"/>
        <v>447</v>
      </c>
      <c r="L396" s="10">
        <v>0</v>
      </c>
      <c r="M396" s="11">
        <v>0</v>
      </c>
      <c r="N396" s="10">
        <f>O396/50</f>
        <v>81</v>
      </c>
      <c r="O396" s="11">
        <v>4050</v>
      </c>
      <c r="P396" s="10">
        <f>Q396/75</f>
        <v>1380.48</v>
      </c>
      <c r="Q396" s="11">
        <v>103536</v>
      </c>
      <c r="R396" s="10">
        <f>S396/75</f>
        <v>2679.7866666666669</v>
      </c>
      <c r="S396" s="11">
        <v>200984</v>
      </c>
      <c r="T396" s="10">
        <v>0</v>
      </c>
      <c r="U396" s="11">
        <v>0</v>
      </c>
      <c r="V396" s="10">
        <v>0</v>
      </c>
      <c r="W396" s="11">
        <v>0</v>
      </c>
      <c r="X396" s="10">
        <f>Y396/75</f>
        <v>185.88800000000001</v>
      </c>
      <c r="Y396" s="11">
        <v>13941.6</v>
      </c>
      <c r="Z396" s="10">
        <f>AA396/75</f>
        <v>360.64</v>
      </c>
      <c r="AA396" s="11">
        <v>27048</v>
      </c>
      <c r="AB396" s="10">
        <v>0</v>
      </c>
      <c r="AC396" s="11">
        <v>0</v>
      </c>
      <c r="AD396" s="10">
        <v>0</v>
      </c>
      <c r="AE396" s="11">
        <v>0</v>
      </c>
      <c r="AF396" s="10">
        <f>AG396/47.5</f>
        <v>245.05263157894737</v>
      </c>
      <c r="AG396" s="11">
        <v>11640</v>
      </c>
      <c r="AH396" s="10">
        <f>AI396/47.5</f>
        <v>100.63157894736842</v>
      </c>
      <c r="AI396" s="11">
        <v>4780</v>
      </c>
      <c r="AJ396" s="10">
        <v>0</v>
      </c>
      <c r="AK396" s="13">
        <v>0</v>
      </c>
      <c r="AL396" s="10">
        <v>0</v>
      </c>
      <c r="AM396" s="13">
        <v>0</v>
      </c>
      <c r="AN396" s="10">
        <v>0</v>
      </c>
      <c r="AO396" s="11">
        <v>0</v>
      </c>
      <c r="AP396" s="10">
        <v>0</v>
      </c>
      <c r="AQ396" s="11">
        <v>0</v>
      </c>
      <c r="AR396" s="10">
        <v>0</v>
      </c>
      <c r="AS396" s="11">
        <v>0</v>
      </c>
      <c r="AT396" s="10">
        <v>0</v>
      </c>
      <c r="AU396" s="11">
        <v>0</v>
      </c>
      <c r="AV396" s="10">
        <v>0</v>
      </c>
      <c r="AW396" s="11">
        <v>0</v>
      </c>
      <c r="AX396" s="10">
        <v>0</v>
      </c>
      <c r="AY396" s="11">
        <v>0</v>
      </c>
      <c r="AZ396" s="10">
        <v>0</v>
      </c>
      <c r="BA396" s="11">
        <v>0</v>
      </c>
      <c r="BB396" s="10">
        <v>0</v>
      </c>
      <c r="BC396" s="11">
        <v>0</v>
      </c>
      <c r="BD396" s="10">
        <v>0</v>
      </c>
      <c r="BE396" s="11">
        <v>0</v>
      </c>
      <c r="BF396" s="10">
        <v>0</v>
      </c>
      <c r="BG396" s="11">
        <v>0</v>
      </c>
      <c r="BH396" s="11">
        <v>0</v>
      </c>
      <c r="BI396" s="11">
        <v>0</v>
      </c>
      <c r="BJ396" s="10">
        <v>0</v>
      </c>
      <c r="BN396" s="8">
        <f t="shared" si="401"/>
        <v>4851.8472982456151</v>
      </c>
      <c r="BO396" s="8">
        <f t="shared" si="402"/>
        <v>357149.6</v>
      </c>
      <c r="BP396" s="8">
        <f t="shared" si="342"/>
        <v>728.15957894736846</v>
      </c>
      <c r="BQ396" s="12">
        <f t="shared" si="343"/>
        <v>49819.6</v>
      </c>
    </row>
    <row r="397" spans="1:69">
      <c r="A397" s="28">
        <v>2002</v>
      </c>
      <c r="B397" s="27" t="s">
        <v>30</v>
      </c>
      <c r="C397" s="24">
        <f t="shared" si="363"/>
        <v>350</v>
      </c>
      <c r="D397" s="7">
        <f t="shared" ca="1" si="400"/>
        <v>0.41504630405057658</v>
      </c>
      <c r="E397" s="26">
        <f t="array" aca="1" ref="E397" ca="1">AVERAGE(IF(INDIRECT(DatCol&amp;"$"&amp;TEXT(C397,"###")):INDIRECT(DatCol&amp;"$"&amp;TEXT(C397+57,"###"))&gt;0,INDIRECT(DatCol&amp;"$"&amp;TEXT(C397,"###")):INDIRECT(DatCol&amp;"$"&amp;TEXT(C397+57,"###"))))</f>
        <v>85.291688311688318</v>
      </c>
      <c r="F397" s="26" t="str">
        <f t="shared" si="341"/>
        <v>B</v>
      </c>
      <c r="H397" s="9">
        <v>11</v>
      </c>
      <c r="I397" s="9">
        <v>21</v>
      </c>
      <c r="J397" s="9">
        <v>353</v>
      </c>
      <c r="K397" s="9">
        <f t="shared" si="403"/>
        <v>364</v>
      </c>
      <c r="L397" s="10">
        <v>0</v>
      </c>
      <c r="M397" s="11">
        <v>0</v>
      </c>
      <c r="N397" s="10">
        <f>O397/50</f>
        <v>35.4</v>
      </c>
      <c r="O397" s="11">
        <v>1770</v>
      </c>
      <c r="P397" s="10">
        <f>Q397/75</f>
        <v>1143.1466666666668</v>
      </c>
      <c r="Q397" s="11">
        <v>85736</v>
      </c>
      <c r="R397" s="10">
        <f>S397/75</f>
        <v>1733.12</v>
      </c>
      <c r="S397" s="11">
        <v>129984</v>
      </c>
      <c r="T397" s="10">
        <v>0</v>
      </c>
      <c r="U397" s="11">
        <v>0</v>
      </c>
      <c r="V397" s="10">
        <v>0</v>
      </c>
      <c r="W397" s="11">
        <v>0</v>
      </c>
      <c r="X397" s="10">
        <f>Y397/75</f>
        <v>232.61333333333334</v>
      </c>
      <c r="Y397" s="11">
        <v>17446</v>
      </c>
      <c r="Z397" s="10">
        <f>AA397/75</f>
        <v>362</v>
      </c>
      <c r="AA397" s="11">
        <v>27150</v>
      </c>
      <c r="AB397" s="10">
        <v>0</v>
      </c>
      <c r="AC397" s="11">
        <v>0</v>
      </c>
      <c r="AD397" s="10">
        <v>0</v>
      </c>
      <c r="AE397" s="11">
        <v>0</v>
      </c>
      <c r="AF397" s="10">
        <f>AG397/47.5</f>
        <v>74.94736842105263</v>
      </c>
      <c r="AG397" s="11">
        <v>3560</v>
      </c>
      <c r="AH397" s="10">
        <f>AI397/47.5</f>
        <v>19.368421052631579</v>
      </c>
      <c r="AI397" s="11">
        <v>920</v>
      </c>
      <c r="AJ397" s="10">
        <v>0</v>
      </c>
      <c r="AK397" s="11">
        <v>0</v>
      </c>
      <c r="AL397" s="10">
        <v>0</v>
      </c>
      <c r="AM397" s="11">
        <v>0</v>
      </c>
      <c r="AN397" s="10">
        <v>0</v>
      </c>
      <c r="AO397" s="11">
        <v>0</v>
      </c>
      <c r="AP397" s="10">
        <v>0</v>
      </c>
      <c r="AQ397" s="11">
        <v>0</v>
      </c>
      <c r="AR397" s="10">
        <v>0</v>
      </c>
      <c r="AS397" s="11">
        <v>0</v>
      </c>
      <c r="AT397" s="10">
        <v>0</v>
      </c>
      <c r="AU397" s="11">
        <v>0</v>
      </c>
      <c r="AV397" s="10">
        <v>0</v>
      </c>
      <c r="AW397" s="11">
        <v>0</v>
      </c>
      <c r="AX397" s="10">
        <v>0</v>
      </c>
      <c r="AY397" s="11">
        <v>0</v>
      </c>
      <c r="AZ397" s="10">
        <v>0</v>
      </c>
      <c r="BA397" s="11">
        <v>0</v>
      </c>
      <c r="BB397" s="10">
        <v>0</v>
      </c>
      <c r="BC397" s="11">
        <v>0</v>
      </c>
      <c r="BD397" s="10">
        <v>0</v>
      </c>
      <c r="BE397" s="11">
        <v>0</v>
      </c>
      <c r="BN397" s="8">
        <f t="shared" si="401"/>
        <v>3545.8273684210521</v>
      </c>
      <c r="BO397" s="8">
        <f t="shared" si="402"/>
        <v>263876</v>
      </c>
      <c r="BP397" s="8">
        <f t="shared" si="342"/>
        <v>649.38175438596488</v>
      </c>
      <c r="BQ397" s="12">
        <f t="shared" si="343"/>
        <v>47286</v>
      </c>
    </row>
    <row r="398" spans="1:69">
      <c r="A398" s="28">
        <v>2003</v>
      </c>
      <c r="B398" s="27" t="s">
        <v>30</v>
      </c>
      <c r="C398" s="24">
        <f t="shared" si="363"/>
        <v>350</v>
      </c>
      <c r="D398" s="7" t="e">
        <f t="shared" ca="1" si="400"/>
        <v>#N/A</v>
      </c>
      <c r="E398" s="26">
        <f t="array" aca="1" ref="E398" ca="1">AVERAGE(IF(INDIRECT(DatCol&amp;"$"&amp;TEXT(C398,"###")):INDIRECT(DatCol&amp;"$"&amp;TEXT(C398+57,"###"))&gt;0,INDIRECT(DatCol&amp;"$"&amp;TEXT(C398,"###")):INDIRECT(DatCol&amp;"$"&amp;TEXT(C398+57,"###"))))</f>
        <v>85.291688311688318</v>
      </c>
      <c r="F398" s="26" t="str">
        <f t="shared" si="341"/>
        <v>B</v>
      </c>
      <c r="H398" s="9">
        <v>8</v>
      </c>
      <c r="I398" s="9">
        <v>21</v>
      </c>
      <c r="J398" s="9">
        <v>271</v>
      </c>
      <c r="K398" s="9">
        <f t="shared" si="403"/>
        <v>279</v>
      </c>
      <c r="L398" s="10">
        <f>M398/50</f>
        <v>36.799999999999997</v>
      </c>
      <c r="M398" s="11">
        <v>1840</v>
      </c>
      <c r="N398" s="10">
        <v>0</v>
      </c>
      <c r="O398" s="11">
        <v>0</v>
      </c>
      <c r="P398" s="10">
        <f>Q398/75</f>
        <v>282.76</v>
      </c>
      <c r="Q398" s="11">
        <v>21207</v>
      </c>
      <c r="R398" s="10">
        <f>S398/75</f>
        <v>156.36000000000001</v>
      </c>
      <c r="S398" s="11">
        <v>11727</v>
      </c>
      <c r="T398" s="10">
        <v>0</v>
      </c>
      <c r="U398" s="11">
        <v>0</v>
      </c>
      <c r="V398" s="10">
        <v>0</v>
      </c>
      <c r="W398" s="11">
        <v>0</v>
      </c>
      <c r="X398" s="10">
        <f>Y398/75</f>
        <v>1276.4266666666667</v>
      </c>
      <c r="Y398" s="11">
        <v>95732</v>
      </c>
      <c r="Z398" s="10">
        <f>AA398/75</f>
        <v>628.74666666666667</v>
      </c>
      <c r="AA398" s="11">
        <v>47156</v>
      </c>
      <c r="AB398" s="10">
        <v>0</v>
      </c>
      <c r="AC398" s="11">
        <v>0</v>
      </c>
      <c r="AD398" s="10">
        <v>0</v>
      </c>
      <c r="AE398" s="11">
        <v>0</v>
      </c>
      <c r="AF398" s="10">
        <f>AG398/47.5</f>
        <v>7.5789473684210522</v>
      </c>
      <c r="AG398" s="11">
        <v>360</v>
      </c>
      <c r="AH398" s="10">
        <f>AI398/47.5</f>
        <v>2.5263157894736841</v>
      </c>
      <c r="AI398" s="11">
        <v>120</v>
      </c>
      <c r="AJ398" s="10">
        <v>0</v>
      </c>
      <c r="AK398" s="11">
        <v>0</v>
      </c>
      <c r="AL398" s="10">
        <v>0</v>
      </c>
      <c r="AM398" s="11">
        <v>0</v>
      </c>
      <c r="AN398" s="10">
        <v>0</v>
      </c>
      <c r="AO398" s="11">
        <v>0</v>
      </c>
      <c r="AP398" s="10">
        <v>0</v>
      </c>
      <c r="AQ398" s="11">
        <v>0</v>
      </c>
      <c r="AR398" s="10">
        <v>0</v>
      </c>
      <c r="AS398" s="11">
        <v>0</v>
      </c>
      <c r="AT398" s="10">
        <v>0</v>
      </c>
      <c r="AU398" s="11">
        <v>0</v>
      </c>
      <c r="AV398" s="10">
        <v>0</v>
      </c>
      <c r="AW398" s="11">
        <v>0</v>
      </c>
      <c r="AX398" s="10">
        <v>0</v>
      </c>
      <c r="AY398" s="11">
        <v>0</v>
      </c>
      <c r="AZ398" s="10">
        <v>0</v>
      </c>
      <c r="BA398" s="11">
        <v>0</v>
      </c>
      <c r="BB398" s="10">
        <v>0</v>
      </c>
      <c r="BC398" s="11">
        <v>0</v>
      </c>
      <c r="BD398" s="10">
        <v>0</v>
      </c>
      <c r="BE398" s="11">
        <v>0</v>
      </c>
      <c r="BN398" s="8">
        <f t="shared" si="401"/>
        <v>2388.6722807017545</v>
      </c>
      <c r="BO398" s="8">
        <f t="shared" si="402"/>
        <v>178022</v>
      </c>
      <c r="BP398" s="8">
        <f t="shared" si="342"/>
        <v>1907.6996491228072</v>
      </c>
      <c r="BQ398" s="12">
        <f t="shared" si="343"/>
        <v>143008</v>
      </c>
    </row>
    <row r="399" spans="1:69">
      <c r="A399" s="28">
        <v>2004</v>
      </c>
      <c r="B399" s="27" t="s">
        <v>30</v>
      </c>
      <c r="C399" s="24">
        <f t="shared" si="363"/>
        <v>350</v>
      </c>
      <c r="D399" s="7">
        <f t="shared" ca="1" si="400"/>
        <v>0.62033114781056897</v>
      </c>
      <c r="E399" s="26">
        <f t="array" aca="1" ref="E399" ca="1">AVERAGE(IF(INDIRECT(DatCol&amp;"$"&amp;TEXT(C399,"###")):INDIRECT(DatCol&amp;"$"&amp;TEXT(C399+57,"###"))&gt;0,INDIRECT(DatCol&amp;"$"&amp;TEXT(C399,"###")):INDIRECT(DatCol&amp;"$"&amp;TEXT(C399+57,"###"))))</f>
        <v>85.291688311688318</v>
      </c>
      <c r="F399" s="26" t="str">
        <f t="shared" si="341"/>
        <v>B</v>
      </c>
      <c r="I399" s="9">
        <v>19</v>
      </c>
      <c r="J399" s="9">
        <v>331</v>
      </c>
      <c r="K399" s="9">
        <f t="shared" si="403"/>
        <v>331</v>
      </c>
      <c r="L399" s="10">
        <v>0</v>
      </c>
      <c r="M399" s="11">
        <v>0</v>
      </c>
      <c r="N399" s="10">
        <f>O399/55</f>
        <v>52.909090909090907</v>
      </c>
      <c r="O399" s="11">
        <f>180+120+210+270+330+780+360+240+270+60+90</f>
        <v>2910</v>
      </c>
      <c r="P399" s="10">
        <f>Q399/80</f>
        <v>1062.1875</v>
      </c>
      <c r="Q399" s="11">
        <f>75*(27.6+42.8+155.4+101.8+86+80.8+119.6+81.2+89.2+87.8+177.8+83)</f>
        <v>84975</v>
      </c>
      <c r="R399" s="10">
        <f>S399/80</f>
        <v>1593.28125</v>
      </c>
      <c r="S399" s="11">
        <f>75*(41.4+64.2+233.1+152.7+129+121.2+179.4+121.8+133.8+131.7+266.7+124.5)</f>
        <v>127462.5</v>
      </c>
      <c r="T399" s="10">
        <v>0</v>
      </c>
      <c r="U399" s="11">
        <v>0</v>
      </c>
      <c r="V399" s="10">
        <v>0</v>
      </c>
      <c r="W399" s="11">
        <v>0</v>
      </c>
      <c r="X399" s="10">
        <f>Y399/80</f>
        <v>254.43750000000006</v>
      </c>
      <c r="Y399" s="11">
        <f>75*(26+3.4+11.6+11+14.4+29.6+60.8+33.2+28.8+21.8+15.6+15.2)</f>
        <v>20355.000000000004</v>
      </c>
      <c r="Z399" s="10">
        <f>AA399/80</f>
        <v>354.46874999999994</v>
      </c>
      <c r="AA399" s="11">
        <f>75*(39+5.1+17.4+16.5+21.6+44.4+91.2+19.8+43.2+32.7+24.4+22.8)</f>
        <v>28357.499999999996</v>
      </c>
      <c r="AB399" s="10">
        <v>0</v>
      </c>
      <c r="AC399" s="11">
        <v>0</v>
      </c>
      <c r="AD399" s="10">
        <v>0</v>
      </c>
      <c r="AE399" s="11">
        <v>0</v>
      </c>
      <c r="AF399" s="10">
        <v>0</v>
      </c>
      <c r="AG399" s="11">
        <v>0</v>
      </c>
      <c r="AH399" s="10">
        <v>0</v>
      </c>
      <c r="AI399" s="11">
        <v>0</v>
      </c>
      <c r="AJ399" s="10">
        <v>0</v>
      </c>
      <c r="AK399" s="11">
        <v>0</v>
      </c>
      <c r="AL399" s="10">
        <v>0</v>
      </c>
      <c r="AM399" s="11">
        <v>0</v>
      </c>
      <c r="AN399" s="10">
        <v>0</v>
      </c>
      <c r="AO399" s="11">
        <v>0</v>
      </c>
      <c r="AP399" s="10">
        <v>0</v>
      </c>
      <c r="AQ399" s="11">
        <v>0</v>
      </c>
      <c r="AR399" s="10">
        <v>0</v>
      </c>
      <c r="AS399" s="11">
        <v>0</v>
      </c>
      <c r="AT399" s="10">
        <v>0</v>
      </c>
      <c r="AU399" s="11">
        <v>0</v>
      </c>
      <c r="AV399" s="10">
        <v>0</v>
      </c>
      <c r="AW399" s="11">
        <v>0</v>
      </c>
      <c r="AX399" s="10">
        <v>0</v>
      </c>
      <c r="AY399" s="11">
        <v>0</v>
      </c>
      <c r="AZ399" s="10">
        <v>0</v>
      </c>
      <c r="BA399" s="11">
        <v>0</v>
      </c>
      <c r="BB399" s="10">
        <v>0</v>
      </c>
      <c r="BC399" s="11">
        <v>0</v>
      </c>
      <c r="BD399" s="10">
        <v>0</v>
      </c>
      <c r="BE399" s="11">
        <v>0</v>
      </c>
      <c r="BN399" s="8">
        <f t="shared" si="401"/>
        <v>3264.375</v>
      </c>
      <c r="BO399" s="8">
        <f t="shared" si="402"/>
        <v>261150</v>
      </c>
      <c r="BP399" s="8">
        <f t="shared" si="342"/>
        <v>661.81534090909099</v>
      </c>
      <c r="BQ399" s="12">
        <f t="shared" si="343"/>
        <v>51622.5</v>
      </c>
    </row>
    <row r="400" spans="1:69">
      <c r="A400" s="28">
        <v>2005</v>
      </c>
      <c r="B400" s="27" t="s">
        <v>30</v>
      </c>
      <c r="C400" s="24">
        <f t="shared" si="363"/>
        <v>350</v>
      </c>
      <c r="D400" s="7">
        <f t="shared" ca="1" si="400"/>
        <v>0.46428908588708573</v>
      </c>
      <c r="E400" s="26">
        <f t="array" aca="1" ref="E400" ca="1">AVERAGE(IF(INDIRECT(DatCol&amp;"$"&amp;TEXT(C400,"###")):INDIRECT(DatCol&amp;"$"&amp;TEXT(C400+57,"###"))&gt;0,INDIRECT(DatCol&amp;"$"&amp;TEXT(C400,"###")):INDIRECT(DatCol&amp;"$"&amp;TEXT(C400+57,"###"))))</f>
        <v>85.291688311688318</v>
      </c>
      <c r="F400" s="26" t="str">
        <f t="shared" si="341"/>
        <v>B</v>
      </c>
      <c r="I400" s="9">
        <v>14</v>
      </c>
      <c r="J400" s="9">
        <f>318+10</f>
        <v>328</v>
      </c>
      <c r="K400" s="9">
        <f t="shared" si="403"/>
        <v>328</v>
      </c>
      <c r="L400" s="10">
        <v>0</v>
      </c>
      <c r="M400" s="11">
        <v>0</v>
      </c>
      <c r="N400" s="10">
        <f>O400/50</f>
        <v>39.6</v>
      </c>
      <c r="O400" s="11">
        <v>1980</v>
      </c>
      <c r="P400" s="10">
        <f>Q400/75</f>
        <v>5114.666666666667</v>
      </c>
      <c r="Q400" s="11">
        <v>383600</v>
      </c>
      <c r="R400" s="10">
        <f>S400/80</f>
        <v>2113</v>
      </c>
      <c r="S400" s="11">
        <v>169040</v>
      </c>
      <c r="T400" s="10">
        <v>0</v>
      </c>
      <c r="U400" s="11">
        <v>0</v>
      </c>
      <c r="V400" s="10">
        <v>0</v>
      </c>
      <c r="W400" s="11">
        <v>0</v>
      </c>
      <c r="X400" s="10">
        <f>Y400/80</f>
        <v>392</v>
      </c>
      <c r="Y400" s="11">
        <v>31360</v>
      </c>
      <c r="Z400" s="10">
        <f>3.4+0.4+4.8+2+7.4+18.8+54.8+29.2+6+26+3.2</f>
        <v>156</v>
      </c>
      <c r="AA400" s="11">
        <f>Z400*75</f>
        <v>11700</v>
      </c>
      <c r="AB400" s="10">
        <v>0</v>
      </c>
      <c r="AC400" s="11">
        <v>0</v>
      </c>
      <c r="AD400" s="10">
        <v>0</v>
      </c>
      <c r="AE400" s="11">
        <v>0</v>
      </c>
      <c r="AF400" s="10">
        <v>0</v>
      </c>
      <c r="AG400" s="11">
        <v>0</v>
      </c>
      <c r="AH400" s="10">
        <v>0</v>
      </c>
      <c r="AI400" s="11">
        <v>0</v>
      </c>
      <c r="AJ400" s="10">
        <v>0</v>
      </c>
      <c r="AK400" s="13">
        <v>0</v>
      </c>
      <c r="AL400" s="10">
        <v>0</v>
      </c>
      <c r="AM400" s="13">
        <v>0</v>
      </c>
      <c r="AN400" s="10">
        <v>0</v>
      </c>
      <c r="AO400" s="11">
        <v>0</v>
      </c>
      <c r="AP400" s="10">
        <v>0</v>
      </c>
      <c r="AQ400" s="11">
        <v>0</v>
      </c>
      <c r="AR400" s="10">
        <v>0</v>
      </c>
      <c r="AS400" s="11">
        <v>0</v>
      </c>
      <c r="AT400" s="10">
        <v>0</v>
      </c>
      <c r="AU400" s="11">
        <v>0</v>
      </c>
      <c r="AV400" s="10">
        <v>0</v>
      </c>
      <c r="AW400" s="11">
        <v>0</v>
      </c>
      <c r="AX400" s="10">
        <v>0</v>
      </c>
      <c r="AY400" s="11">
        <v>0</v>
      </c>
      <c r="AZ400" s="10">
        <v>0</v>
      </c>
      <c r="BA400" s="11">
        <v>0</v>
      </c>
      <c r="BB400" s="10">
        <v>0</v>
      </c>
      <c r="BC400" s="11">
        <v>0</v>
      </c>
      <c r="BD400" s="10">
        <v>0</v>
      </c>
      <c r="BE400" s="11">
        <v>0</v>
      </c>
      <c r="BN400" s="8">
        <f t="shared" si="401"/>
        <v>7775.666666666667</v>
      </c>
      <c r="BO400" s="8">
        <f t="shared" si="402"/>
        <v>595700</v>
      </c>
      <c r="BP400" s="8">
        <f t="shared" si="342"/>
        <v>587.6</v>
      </c>
      <c r="BQ400" s="12">
        <f t="shared" si="343"/>
        <v>45040</v>
      </c>
    </row>
    <row r="401" spans="1:69">
      <c r="A401" s="28">
        <v>2006</v>
      </c>
      <c r="B401" s="27" t="s">
        <v>30</v>
      </c>
      <c r="C401" s="24">
        <f t="shared" si="363"/>
        <v>350</v>
      </c>
      <c r="D401" s="7" t="e">
        <f t="shared" ca="1" si="400"/>
        <v>#N/A</v>
      </c>
      <c r="E401" s="26">
        <f t="array" aca="1" ref="E401" ca="1">AVERAGE(IF(INDIRECT(DatCol&amp;"$"&amp;TEXT(C401,"###")):INDIRECT(DatCol&amp;"$"&amp;TEXT(C401+57,"###"))&gt;0,INDIRECT(DatCol&amp;"$"&amp;TEXT(C401,"###")):INDIRECT(DatCol&amp;"$"&amp;TEXT(C401+57,"###"))))</f>
        <v>85.291688311688318</v>
      </c>
      <c r="F401" s="26" t="str">
        <f t="shared" si="341"/>
        <v>B</v>
      </c>
      <c r="K401" s="9">
        <f t="shared" si="403"/>
        <v>0</v>
      </c>
      <c r="AK401" s="13"/>
      <c r="AM401" s="13"/>
      <c r="BN401" s="8">
        <f t="shared" si="401"/>
        <v>0</v>
      </c>
      <c r="BO401" s="8">
        <f t="shared" si="402"/>
        <v>0</v>
      </c>
      <c r="BP401" s="8">
        <f t="shared" si="342"/>
        <v>0</v>
      </c>
      <c r="BQ401" s="12">
        <f t="shared" si="343"/>
        <v>0</v>
      </c>
    </row>
    <row r="402" spans="1:69">
      <c r="A402" s="28">
        <v>2007</v>
      </c>
      <c r="B402" s="27" t="s">
        <v>30</v>
      </c>
      <c r="C402" s="24">
        <f t="shared" si="363"/>
        <v>350</v>
      </c>
      <c r="D402" s="7" t="e">
        <f t="shared" ca="1" si="400"/>
        <v>#N/A</v>
      </c>
      <c r="E402" s="26">
        <f t="array" aca="1" ref="E402" ca="1">AVERAGE(IF(INDIRECT(DatCol&amp;"$"&amp;TEXT(C402,"###")):INDIRECT(DatCol&amp;"$"&amp;TEXT(C402+57,"###"))&gt;0,INDIRECT(DatCol&amp;"$"&amp;TEXT(C402,"###")):INDIRECT(DatCol&amp;"$"&amp;TEXT(C402+57,"###"))))</f>
        <v>85.291688311688318</v>
      </c>
      <c r="F402" s="26" t="str">
        <f t="shared" si="341"/>
        <v>B</v>
      </c>
      <c r="K402" s="9">
        <f t="shared" si="403"/>
        <v>0</v>
      </c>
      <c r="AK402" s="13"/>
      <c r="AM402" s="13"/>
      <c r="BN402" s="8">
        <f t="shared" si="401"/>
        <v>0</v>
      </c>
      <c r="BO402" s="8">
        <f t="shared" si="402"/>
        <v>0</v>
      </c>
      <c r="BP402" s="8">
        <f t="shared" ref="BP402:BP467" si="404">(N402+X402+Z402+AB402+AD402+AH402+AL402+AP402+AT402+AX402+BB402+BF402)</f>
        <v>0</v>
      </c>
      <c r="BQ402" s="12">
        <f t="shared" ref="BQ402:BQ467" si="405">(O402+Y402+AA402+AC402+AE402+AI402+AM402+AQ402+AU402+AY402+BC402+BG402)</f>
        <v>0</v>
      </c>
    </row>
    <row r="403" spans="1:69">
      <c r="A403" s="28">
        <v>2008</v>
      </c>
      <c r="B403" s="27" t="s">
        <v>30</v>
      </c>
      <c r="C403" s="24">
        <f t="shared" si="363"/>
        <v>350</v>
      </c>
      <c r="D403" s="7" t="e">
        <f t="shared" ca="1" si="400"/>
        <v>#N/A</v>
      </c>
      <c r="E403" s="26">
        <f t="array" aca="1" ref="E403" ca="1">AVERAGE(IF(INDIRECT(DatCol&amp;"$"&amp;TEXT(C403,"###")):INDIRECT(DatCol&amp;"$"&amp;TEXT(C403+57,"###"))&gt;0,INDIRECT(DatCol&amp;"$"&amp;TEXT(C403,"###")):INDIRECT(DatCol&amp;"$"&amp;TEXT(C403+57,"###"))))</f>
        <v>85.291688311688318</v>
      </c>
      <c r="F403" s="26" t="str">
        <f t="shared" si="341"/>
        <v>B</v>
      </c>
      <c r="K403" s="9">
        <f t="shared" si="403"/>
        <v>0</v>
      </c>
      <c r="AK403" s="13"/>
      <c r="AM403" s="13"/>
      <c r="BN403" s="8">
        <f t="shared" si="401"/>
        <v>0</v>
      </c>
      <c r="BO403" s="8">
        <f t="shared" si="402"/>
        <v>0</v>
      </c>
      <c r="BP403" s="8">
        <f t="shared" si="404"/>
        <v>0</v>
      </c>
      <c r="BQ403" s="12">
        <f t="shared" si="405"/>
        <v>0</v>
      </c>
    </row>
    <row r="404" spans="1:69">
      <c r="A404" s="28">
        <v>2009</v>
      </c>
      <c r="B404" s="27" t="s">
        <v>30</v>
      </c>
      <c r="C404" s="24">
        <f t="shared" si="363"/>
        <v>350</v>
      </c>
      <c r="D404" s="7" t="e">
        <f t="shared" ca="1" si="400"/>
        <v>#N/A</v>
      </c>
      <c r="E404" s="26">
        <f t="array" aca="1" ref="E404" ca="1">AVERAGE(IF(INDIRECT(DatCol&amp;"$"&amp;TEXT(C404,"###")):INDIRECT(DatCol&amp;"$"&amp;TEXT(C404+57,"###"))&gt;0,INDIRECT(DatCol&amp;"$"&amp;TEXT(C404,"###")):INDIRECT(DatCol&amp;"$"&amp;TEXT(C404+57,"###"))))</f>
        <v>85.291688311688318</v>
      </c>
      <c r="F404" s="26" t="str">
        <f t="shared" ref="F404:F473" si="406">VLOOKUP(B404,town_region,2,FALSE)</f>
        <v>B</v>
      </c>
      <c r="K404" s="9">
        <f t="shared" si="403"/>
        <v>0</v>
      </c>
      <c r="AK404" s="13"/>
      <c r="AM404" s="13"/>
      <c r="BN404" s="8">
        <f t="shared" si="401"/>
        <v>0</v>
      </c>
      <c r="BO404" s="8">
        <f t="shared" si="402"/>
        <v>0</v>
      </c>
      <c r="BP404" s="8">
        <f t="shared" si="404"/>
        <v>0</v>
      </c>
      <c r="BQ404" s="12">
        <f t="shared" si="405"/>
        <v>0</v>
      </c>
    </row>
    <row r="405" spans="1:69">
      <c r="A405" s="28">
        <v>2010</v>
      </c>
      <c r="B405" s="27" t="s">
        <v>30</v>
      </c>
      <c r="C405" s="24">
        <f t="shared" si="363"/>
        <v>350</v>
      </c>
      <c r="D405" s="7" t="e">
        <f t="shared" ca="1" si="400"/>
        <v>#N/A</v>
      </c>
      <c r="E405" s="26">
        <f t="array" aca="1" ref="E405" ca="1">AVERAGE(IF(INDIRECT(DatCol&amp;"$"&amp;TEXT(C405,"###")):INDIRECT(DatCol&amp;"$"&amp;TEXT(C405+57,"###"))&gt;0,INDIRECT(DatCol&amp;"$"&amp;TEXT(C405,"###")):INDIRECT(DatCol&amp;"$"&amp;TEXT(C405+57,"###"))))</f>
        <v>85.291688311688318</v>
      </c>
      <c r="F405" s="26" t="str">
        <f t="shared" si="406"/>
        <v>B</v>
      </c>
      <c r="AK405" s="13"/>
      <c r="AM405" s="13"/>
      <c r="BN405" s="8"/>
      <c r="BO405" s="8"/>
      <c r="BP405" s="8"/>
      <c r="BQ405" s="12"/>
    </row>
    <row r="406" spans="1:69">
      <c r="A406" s="28">
        <v>2011</v>
      </c>
      <c r="B406" s="27" t="s">
        <v>30</v>
      </c>
      <c r="C406" s="24">
        <f t="shared" si="363"/>
        <v>350</v>
      </c>
      <c r="D406" s="7" t="e">
        <f t="shared" ca="1" si="400"/>
        <v>#N/A</v>
      </c>
      <c r="E406" s="26">
        <f t="array" aca="1" ref="E406" ca="1">AVERAGE(IF(INDIRECT(DatCol&amp;"$"&amp;TEXT(C406,"###")):INDIRECT(DatCol&amp;"$"&amp;TEXT(C406+57,"###"))&gt;0,INDIRECT(DatCol&amp;"$"&amp;TEXT(C406,"###")):INDIRECT(DatCol&amp;"$"&amp;TEXT(C406+57,"###"))))</f>
        <v>85.291688311688318</v>
      </c>
      <c r="F406" s="26" t="str">
        <f t="shared" ref="F406:F407" si="407">VLOOKUP(B406,town_region,2,FALSE)</f>
        <v>B</v>
      </c>
      <c r="AK406" s="13"/>
      <c r="AM406" s="13"/>
      <c r="BN406" s="8"/>
      <c r="BO406" s="8"/>
      <c r="BP406" s="8"/>
      <c r="BQ406" s="12"/>
    </row>
    <row r="407" spans="1:69">
      <c r="A407" s="28">
        <v>2012</v>
      </c>
      <c r="B407" s="27" t="s">
        <v>30</v>
      </c>
      <c r="C407" s="24">
        <f t="shared" si="363"/>
        <v>350</v>
      </c>
      <c r="D407" s="7" t="e">
        <f t="shared" ca="1" si="400"/>
        <v>#N/A</v>
      </c>
      <c r="E407" s="26">
        <f t="array" aca="1" ref="E407" ca="1">AVERAGE(IF(INDIRECT(DatCol&amp;"$"&amp;TEXT(C407,"###")):INDIRECT(DatCol&amp;"$"&amp;TEXT(C407+57,"###"))&gt;0,INDIRECT(DatCol&amp;"$"&amp;TEXT(C407,"###")):INDIRECT(DatCol&amp;"$"&amp;TEXT(C407+57,"###"))))</f>
        <v>85.291688311688318</v>
      </c>
      <c r="F407" s="26" t="str">
        <f t="shared" si="407"/>
        <v>B</v>
      </c>
      <c r="AK407" s="13"/>
      <c r="AM407" s="13"/>
      <c r="BN407" s="8"/>
      <c r="BO407" s="8"/>
      <c r="BP407" s="8"/>
      <c r="BQ407" s="12"/>
    </row>
    <row r="408" spans="1:69">
      <c r="A408" s="28">
        <v>1955</v>
      </c>
      <c r="B408" s="27" t="s">
        <v>31</v>
      </c>
      <c r="C408" s="24">
        <f>ROW()</f>
        <v>408</v>
      </c>
      <c r="D408" s="7" t="e">
        <f t="shared" ca="1" si="400"/>
        <v>#N/A</v>
      </c>
      <c r="E408" s="26">
        <f t="array" aca="1" ref="E408" ca="1">AVERAGE(IF(INDIRECT(DatCol&amp;"$"&amp;TEXT(C408,"###")):INDIRECT(DatCol&amp;"$"&amp;TEXT(C408+57,"###"))&gt;0,INDIRECT(DatCol&amp;"$"&amp;TEXT(C408,"###")):INDIRECT(DatCol&amp;"$"&amp;TEXT(C408+57,"###"))))</f>
        <v>194.51351351351352</v>
      </c>
      <c r="F408" s="26" t="str">
        <f t="shared" si="406"/>
        <v>C</v>
      </c>
      <c r="G408" s="8"/>
      <c r="H408" s="8">
        <v>775</v>
      </c>
      <c r="I408" s="8">
        <v>109</v>
      </c>
      <c r="J408" s="8">
        <v>467</v>
      </c>
      <c r="K408" s="9">
        <f t="shared" si="403"/>
        <v>1242</v>
      </c>
      <c r="M408" s="11">
        <f t="shared" si="382"/>
        <v>0</v>
      </c>
      <c r="O408" s="11">
        <f t="shared" si="383"/>
        <v>0</v>
      </c>
      <c r="P408" s="12" t="s">
        <v>32</v>
      </c>
      <c r="Q408" s="11">
        <f t="shared" si="384"/>
        <v>0</v>
      </c>
      <c r="X408" s="12" t="s">
        <v>33</v>
      </c>
      <c r="Y408" s="11">
        <f t="shared" si="385"/>
        <v>0</v>
      </c>
      <c r="AF408" s="12" t="s">
        <v>34</v>
      </c>
      <c r="AG408" s="11">
        <f t="shared" si="386"/>
        <v>0</v>
      </c>
      <c r="AI408" s="11">
        <f t="shared" si="387"/>
        <v>0</v>
      </c>
      <c r="AJ408" s="12" t="s">
        <v>3</v>
      </c>
      <c r="AK408" s="13">
        <f t="shared" si="388"/>
        <v>0</v>
      </c>
      <c r="AM408" s="13">
        <f t="shared" si="389"/>
        <v>0</v>
      </c>
      <c r="AO408" s="11">
        <f t="shared" si="390"/>
        <v>0</v>
      </c>
      <c r="AQ408" s="11">
        <f t="shared" si="391"/>
        <v>0</v>
      </c>
      <c r="AS408" s="11">
        <f t="shared" si="392"/>
        <v>0</v>
      </c>
      <c r="AU408" s="11">
        <f t="shared" si="393"/>
        <v>0</v>
      </c>
      <c r="AW408" s="11">
        <f t="shared" si="394"/>
        <v>0</v>
      </c>
      <c r="AY408" s="11">
        <f t="shared" si="395"/>
        <v>0</v>
      </c>
      <c r="BA408" s="11">
        <f t="shared" si="396"/>
        <v>0</v>
      </c>
      <c r="BC408" s="11">
        <f t="shared" si="397"/>
        <v>0</v>
      </c>
      <c r="BE408" s="11">
        <f t="shared" si="398"/>
        <v>0</v>
      </c>
      <c r="BG408" s="11">
        <f t="shared" si="399"/>
        <v>0</v>
      </c>
      <c r="BN408" s="8">
        <f t="shared" si="401"/>
        <v>0</v>
      </c>
      <c r="BO408" s="8">
        <f t="shared" si="402"/>
        <v>0</v>
      </c>
      <c r="BP408" s="8">
        <f t="shared" si="404"/>
        <v>0</v>
      </c>
      <c r="BQ408" s="12">
        <f t="shared" si="405"/>
        <v>0</v>
      </c>
    </row>
    <row r="409" spans="1:69">
      <c r="A409" s="28">
        <v>1956</v>
      </c>
      <c r="B409" s="27" t="s">
        <v>31</v>
      </c>
      <c r="C409" s="24">
        <f t="shared" ref="C409:C465" si="408">C408</f>
        <v>408</v>
      </c>
      <c r="D409" s="7" t="e">
        <f t="shared" ca="1" si="400"/>
        <v>#N/A</v>
      </c>
      <c r="E409" s="26">
        <f t="array" aca="1" ref="E409" ca="1">AVERAGE(IF(INDIRECT(DatCol&amp;"$"&amp;TEXT(C409,"###")):INDIRECT(DatCol&amp;"$"&amp;TEXT(C409+57,"###"))&gt;0,INDIRECT(DatCol&amp;"$"&amp;TEXT(C409,"###")):INDIRECT(DatCol&amp;"$"&amp;TEXT(C409+57,"###"))))</f>
        <v>194.51351351351352</v>
      </c>
      <c r="F409" s="26" t="str">
        <f t="shared" si="406"/>
        <v>C</v>
      </c>
      <c r="G409" s="8"/>
      <c r="H409" s="8">
        <v>897</v>
      </c>
      <c r="I409" s="8">
        <v>35</v>
      </c>
      <c r="J409" s="8">
        <v>445</v>
      </c>
      <c r="K409" s="9">
        <f t="shared" si="403"/>
        <v>1342</v>
      </c>
      <c r="M409" s="11">
        <f t="shared" si="382"/>
        <v>0</v>
      </c>
      <c r="O409" s="11">
        <f t="shared" si="383"/>
        <v>0</v>
      </c>
      <c r="P409" s="12" t="s">
        <v>35</v>
      </c>
      <c r="Q409" s="11">
        <f t="shared" si="384"/>
        <v>0</v>
      </c>
      <c r="X409" s="12" t="s">
        <v>33</v>
      </c>
      <c r="Y409" s="11">
        <f t="shared" si="385"/>
        <v>0</v>
      </c>
      <c r="AF409" s="12" t="s">
        <v>34</v>
      </c>
      <c r="AG409" s="11">
        <f t="shared" si="386"/>
        <v>0</v>
      </c>
      <c r="AI409" s="11">
        <f t="shared" si="387"/>
        <v>0</v>
      </c>
      <c r="AJ409" s="12" t="s">
        <v>3</v>
      </c>
      <c r="AK409" s="13">
        <f t="shared" si="388"/>
        <v>0</v>
      </c>
      <c r="AM409" s="13">
        <f t="shared" si="389"/>
        <v>0</v>
      </c>
      <c r="AO409" s="11">
        <f t="shared" si="390"/>
        <v>0</v>
      </c>
      <c r="AQ409" s="11">
        <f t="shared" si="391"/>
        <v>0</v>
      </c>
      <c r="AS409" s="11">
        <f t="shared" si="392"/>
        <v>0</v>
      </c>
      <c r="AU409" s="11">
        <f t="shared" si="393"/>
        <v>0</v>
      </c>
      <c r="AW409" s="11">
        <f t="shared" si="394"/>
        <v>0</v>
      </c>
      <c r="AY409" s="11">
        <f t="shared" si="395"/>
        <v>0</v>
      </c>
      <c r="BA409" s="11">
        <f t="shared" si="396"/>
        <v>0</v>
      </c>
      <c r="BC409" s="11">
        <f t="shared" si="397"/>
        <v>0</v>
      </c>
      <c r="BE409" s="11">
        <f t="shared" si="398"/>
        <v>0</v>
      </c>
      <c r="BG409" s="11">
        <f t="shared" si="399"/>
        <v>0</v>
      </c>
      <c r="BN409" s="8">
        <f t="shared" si="401"/>
        <v>0</v>
      </c>
      <c r="BO409" s="8">
        <f t="shared" si="402"/>
        <v>0</v>
      </c>
      <c r="BP409" s="8">
        <f t="shared" si="404"/>
        <v>0</v>
      </c>
      <c r="BQ409" s="12">
        <f t="shared" si="405"/>
        <v>0</v>
      </c>
    </row>
    <row r="410" spans="1:69">
      <c r="A410" s="28">
        <v>1957</v>
      </c>
      <c r="B410" s="27" t="s">
        <v>31</v>
      </c>
      <c r="C410" s="24">
        <f t="shared" si="408"/>
        <v>408</v>
      </c>
      <c r="D410" s="7" t="e">
        <f t="shared" ca="1" si="400"/>
        <v>#N/A</v>
      </c>
      <c r="E410" s="26">
        <f t="array" aca="1" ref="E410" ca="1">AVERAGE(IF(INDIRECT(DatCol&amp;"$"&amp;TEXT(C410,"###")):INDIRECT(DatCol&amp;"$"&amp;TEXT(C410+57,"###"))&gt;0,INDIRECT(DatCol&amp;"$"&amp;TEXT(C410,"###")):INDIRECT(DatCol&amp;"$"&amp;TEXT(C410+57,"###"))))</f>
        <v>194.51351351351352</v>
      </c>
      <c r="F410" s="26" t="str">
        <f t="shared" si="406"/>
        <v>C</v>
      </c>
      <c r="G410" s="8"/>
      <c r="K410" s="9">
        <f t="shared" si="403"/>
        <v>0</v>
      </c>
      <c r="M410" s="11">
        <f t="shared" si="382"/>
        <v>0</v>
      </c>
      <c r="O410" s="11">
        <f t="shared" si="383"/>
        <v>0</v>
      </c>
      <c r="P410" s="12" t="s">
        <v>36</v>
      </c>
      <c r="Q410" s="11">
        <f t="shared" si="384"/>
        <v>0</v>
      </c>
      <c r="X410" s="12" t="s">
        <v>33</v>
      </c>
      <c r="Y410" s="11">
        <f t="shared" si="385"/>
        <v>0</v>
      </c>
      <c r="AF410" s="12" t="s">
        <v>34</v>
      </c>
      <c r="AG410" s="11">
        <f t="shared" si="386"/>
        <v>0</v>
      </c>
      <c r="AI410" s="11">
        <f t="shared" si="387"/>
        <v>0</v>
      </c>
      <c r="AJ410" s="12">
        <v>7200</v>
      </c>
      <c r="AK410" s="13">
        <f t="shared" si="388"/>
        <v>64800</v>
      </c>
      <c r="AM410" s="13">
        <f t="shared" si="389"/>
        <v>0</v>
      </c>
      <c r="AO410" s="11">
        <f t="shared" si="390"/>
        <v>0</v>
      </c>
      <c r="AQ410" s="11">
        <f t="shared" si="391"/>
        <v>0</v>
      </c>
      <c r="AS410" s="11">
        <f t="shared" si="392"/>
        <v>0</v>
      </c>
      <c r="AU410" s="11">
        <f t="shared" si="393"/>
        <v>0</v>
      </c>
      <c r="AW410" s="11">
        <f t="shared" si="394"/>
        <v>0</v>
      </c>
      <c r="AY410" s="11">
        <f t="shared" si="395"/>
        <v>0</v>
      </c>
      <c r="BA410" s="11">
        <f t="shared" si="396"/>
        <v>0</v>
      </c>
      <c r="BC410" s="11">
        <f t="shared" si="397"/>
        <v>0</v>
      </c>
      <c r="BE410" s="11">
        <f t="shared" si="398"/>
        <v>0</v>
      </c>
      <c r="BG410" s="11">
        <f t="shared" si="399"/>
        <v>0</v>
      </c>
      <c r="BN410" s="8">
        <f t="shared" si="401"/>
        <v>7200</v>
      </c>
      <c r="BO410" s="8">
        <f t="shared" si="402"/>
        <v>64800</v>
      </c>
      <c r="BP410" s="8">
        <f t="shared" si="404"/>
        <v>0</v>
      </c>
      <c r="BQ410" s="12">
        <f t="shared" si="405"/>
        <v>0</v>
      </c>
    </row>
    <row r="411" spans="1:69">
      <c r="A411" s="28">
        <v>1958</v>
      </c>
      <c r="B411" s="27" t="s">
        <v>31</v>
      </c>
      <c r="C411" s="24">
        <f t="shared" si="408"/>
        <v>408</v>
      </c>
      <c r="D411" s="7" t="e">
        <f t="shared" ca="1" si="400"/>
        <v>#N/A</v>
      </c>
      <c r="E411" s="26">
        <f t="array" aca="1" ref="E411" ca="1">AVERAGE(IF(INDIRECT(DatCol&amp;"$"&amp;TEXT(C411,"###")):INDIRECT(DatCol&amp;"$"&amp;TEXT(C411+57,"###"))&gt;0,INDIRECT(DatCol&amp;"$"&amp;TEXT(C411,"###")):INDIRECT(DatCol&amp;"$"&amp;TEXT(C411+57,"###"))))</f>
        <v>194.51351351351352</v>
      </c>
      <c r="F411" s="26" t="str">
        <f t="shared" si="406"/>
        <v>C</v>
      </c>
      <c r="G411" s="8"/>
      <c r="H411" s="8">
        <v>1044</v>
      </c>
      <c r="I411" s="8">
        <v>107</v>
      </c>
      <c r="J411" s="8">
        <v>432</v>
      </c>
      <c r="K411" s="9">
        <f t="shared" si="403"/>
        <v>1476</v>
      </c>
      <c r="M411" s="11">
        <f t="shared" si="382"/>
        <v>0</v>
      </c>
      <c r="O411" s="11">
        <f t="shared" si="383"/>
        <v>0</v>
      </c>
      <c r="P411" s="12" t="s">
        <v>37</v>
      </c>
      <c r="Q411" s="11">
        <f t="shared" si="384"/>
        <v>0</v>
      </c>
      <c r="X411" s="12" t="s">
        <v>33</v>
      </c>
      <c r="Y411" s="11">
        <f t="shared" si="385"/>
        <v>0</v>
      </c>
      <c r="AF411" s="12" t="s">
        <v>34</v>
      </c>
      <c r="AG411" s="11">
        <f t="shared" si="386"/>
        <v>0</v>
      </c>
      <c r="AI411" s="11">
        <f t="shared" si="387"/>
        <v>0</v>
      </c>
      <c r="AJ411" s="12" t="s">
        <v>8</v>
      </c>
      <c r="AK411" s="13">
        <f t="shared" si="388"/>
        <v>0</v>
      </c>
      <c r="AM411" s="13">
        <f t="shared" si="389"/>
        <v>0</v>
      </c>
      <c r="AO411" s="11">
        <f t="shared" si="390"/>
        <v>0</v>
      </c>
      <c r="AQ411" s="11">
        <f t="shared" si="391"/>
        <v>0</v>
      </c>
      <c r="AS411" s="11">
        <f t="shared" si="392"/>
        <v>0</v>
      </c>
      <c r="AU411" s="11">
        <f t="shared" si="393"/>
        <v>0</v>
      </c>
      <c r="AW411" s="11">
        <f t="shared" si="394"/>
        <v>0</v>
      </c>
      <c r="AY411" s="11">
        <f t="shared" si="395"/>
        <v>0</v>
      </c>
      <c r="BA411" s="11">
        <f t="shared" si="396"/>
        <v>0</v>
      </c>
      <c r="BC411" s="11">
        <f t="shared" si="397"/>
        <v>0</v>
      </c>
      <c r="BE411" s="11">
        <f t="shared" si="398"/>
        <v>0</v>
      </c>
      <c r="BG411" s="11">
        <f t="shared" si="399"/>
        <v>0</v>
      </c>
      <c r="BN411" s="8">
        <f t="shared" si="401"/>
        <v>0</v>
      </c>
      <c r="BO411" s="8">
        <f t="shared" si="402"/>
        <v>0</v>
      </c>
      <c r="BP411" s="8">
        <f t="shared" si="404"/>
        <v>0</v>
      </c>
      <c r="BQ411" s="12">
        <f t="shared" si="405"/>
        <v>0</v>
      </c>
    </row>
    <row r="412" spans="1:69">
      <c r="A412" s="28">
        <v>1959</v>
      </c>
      <c r="B412" s="27" t="s">
        <v>31</v>
      </c>
      <c r="C412" s="24">
        <f t="shared" si="408"/>
        <v>408</v>
      </c>
      <c r="D412" s="7" t="e">
        <f t="shared" ca="1" si="400"/>
        <v>#N/A</v>
      </c>
      <c r="E412" s="26">
        <f t="array" aca="1" ref="E412" ca="1">AVERAGE(IF(INDIRECT(DatCol&amp;"$"&amp;TEXT(C412,"###")):INDIRECT(DatCol&amp;"$"&amp;TEXT(C412+57,"###"))&gt;0,INDIRECT(DatCol&amp;"$"&amp;TEXT(C412,"###")):INDIRECT(DatCol&amp;"$"&amp;TEXT(C412+57,"###"))))</f>
        <v>194.51351351351352</v>
      </c>
      <c r="F412" s="26" t="str">
        <f t="shared" si="406"/>
        <v>C</v>
      </c>
      <c r="G412" s="8"/>
      <c r="H412" s="8" t="s">
        <v>38</v>
      </c>
      <c r="J412" s="8">
        <v>1641</v>
      </c>
      <c r="K412" s="9">
        <f t="shared" si="403"/>
        <v>1641</v>
      </c>
      <c r="M412" s="11">
        <f t="shared" ref="M412:M427" si="409">(L412*50)</f>
        <v>0</v>
      </c>
      <c r="O412" s="11">
        <f t="shared" ref="O412:O427" si="410">(N412*50)</f>
        <v>0</v>
      </c>
      <c r="P412" s="12" t="s">
        <v>39</v>
      </c>
      <c r="Q412" s="11">
        <f t="shared" ref="Q412:Q427" si="411">((P412*330)/5.5)</f>
        <v>0</v>
      </c>
      <c r="X412" s="12" t="s">
        <v>40</v>
      </c>
      <c r="Y412" s="11">
        <f t="shared" ref="Y412:Y427" si="412">((X412*330)/5.5)</f>
        <v>0</v>
      </c>
      <c r="AF412" s="12" t="s">
        <v>34</v>
      </c>
      <c r="AG412" s="11">
        <f t="shared" ref="AG412:AG427" si="413">(AF412*65)</f>
        <v>0</v>
      </c>
      <c r="AI412" s="11">
        <f t="shared" ref="AI412:AI427" si="414">(AH412*65)</f>
        <v>0</v>
      </c>
      <c r="AJ412" s="12" t="s">
        <v>1</v>
      </c>
      <c r="AK412" s="13">
        <f t="shared" ref="AK412:AK427" si="415">(AJ412*9)</f>
        <v>0</v>
      </c>
      <c r="AL412" s="12" t="s">
        <v>41</v>
      </c>
      <c r="AM412" s="13">
        <f t="shared" ref="AM412:AM427" si="416">(AL412*9)</f>
        <v>0</v>
      </c>
      <c r="AO412" s="11">
        <f t="shared" ref="AO412:AO427" si="417">(AN412*80)</f>
        <v>0</v>
      </c>
      <c r="AQ412" s="11">
        <f t="shared" ref="AQ412:AQ427" si="418">(AP412*80)</f>
        <v>0</v>
      </c>
      <c r="AS412" s="11">
        <f t="shared" ref="AS412:AS427" si="419">(AR412*50)</f>
        <v>0</v>
      </c>
      <c r="AU412" s="11">
        <f t="shared" ref="AU412:AU427" si="420">(AT412*50)</f>
        <v>0</v>
      </c>
      <c r="AW412" s="11">
        <f t="shared" ref="AW412:AW427" si="421">(AV412*60)</f>
        <v>0</v>
      </c>
      <c r="AY412" s="11">
        <f t="shared" ref="AY412:AY427" si="422">(AX412*60)</f>
        <v>0</v>
      </c>
      <c r="BA412" s="11">
        <f t="shared" ref="BA412:BA427" si="423">(AZ412*40)</f>
        <v>0</v>
      </c>
      <c r="BC412" s="11">
        <f t="shared" ref="BC412:BC427" si="424">(BB412*40)</f>
        <v>0</v>
      </c>
      <c r="BE412" s="11">
        <f t="shared" ref="BE412:BE427" si="425">(BD412*95)</f>
        <v>0</v>
      </c>
      <c r="BG412" s="11">
        <f t="shared" ref="BG412:BG427" si="426">(BF412*95)</f>
        <v>0</v>
      </c>
      <c r="BN412" s="8">
        <f t="shared" si="401"/>
        <v>0</v>
      </c>
      <c r="BO412" s="8">
        <f t="shared" si="402"/>
        <v>0</v>
      </c>
      <c r="BP412" s="8">
        <f t="shared" si="404"/>
        <v>0</v>
      </c>
      <c r="BQ412" s="12">
        <f t="shared" si="405"/>
        <v>0</v>
      </c>
    </row>
    <row r="413" spans="1:69">
      <c r="A413" s="28">
        <v>1960</v>
      </c>
      <c r="B413" s="27" t="s">
        <v>31</v>
      </c>
      <c r="C413" s="24">
        <f t="shared" si="408"/>
        <v>408</v>
      </c>
      <c r="D413" s="7" t="e">
        <f t="shared" ca="1" si="400"/>
        <v>#N/A</v>
      </c>
      <c r="E413" s="26">
        <f t="array" aca="1" ref="E413" ca="1">AVERAGE(IF(INDIRECT(DatCol&amp;"$"&amp;TEXT(C413,"###")):INDIRECT(DatCol&amp;"$"&amp;TEXT(C413+57,"###"))&gt;0,INDIRECT(DatCol&amp;"$"&amp;TEXT(C413,"###")):INDIRECT(DatCol&amp;"$"&amp;TEXT(C413+57,"###"))))</f>
        <v>194.51351351351352</v>
      </c>
      <c r="F413" s="26" t="str">
        <f t="shared" si="406"/>
        <v>C</v>
      </c>
      <c r="G413" s="8"/>
      <c r="H413" s="8">
        <v>1260</v>
      </c>
      <c r="I413" s="8">
        <v>133</v>
      </c>
      <c r="J413" s="8">
        <v>650</v>
      </c>
      <c r="K413" s="9">
        <f t="shared" si="403"/>
        <v>1910</v>
      </c>
      <c r="L413" s="12">
        <v>650</v>
      </c>
      <c r="M413" s="11">
        <f t="shared" si="409"/>
        <v>32500</v>
      </c>
      <c r="O413" s="11">
        <f t="shared" si="410"/>
        <v>0</v>
      </c>
      <c r="P413" s="12">
        <v>750</v>
      </c>
      <c r="Q413" s="11">
        <f t="shared" si="411"/>
        <v>45000</v>
      </c>
      <c r="Y413" s="11">
        <f t="shared" si="412"/>
        <v>0</v>
      </c>
      <c r="AF413" s="12">
        <v>500</v>
      </c>
      <c r="AG413" s="11">
        <f t="shared" si="413"/>
        <v>32500</v>
      </c>
      <c r="AI413" s="11">
        <f t="shared" si="414"/>
        <v>0</v>
      </c>
      <c r="AJ413" s="12">
        <v>10000</v>
      </c>
      <c r="AK413" s="13">
        <f t="shared" si="415"/>
        <v>90000</v>
      </c>
      <c r="AM413" s="13">
        <f t="shared" si="416"/>
        <v>0</v>
      </c>
      <c r="AO413" s="11">
        <f t="shared" si="417"/>
        <v>0</v>
      </c>
      <c r="AQ413" s="11">
        <f t="shared" si="418"/>
        <v>0</v>
      </c>
      <c r="AS413" s="11">
        <f t="shared" si="419"/>
        <v>0</v>
      </c>
      <c r="AU413" s="11">
        <f t="shared" si="420"/>
        <v>0</v>
      </c>
      <c r="AW413" s="11">
        <f t="shared" si="421"/>
        <v>0</v>
      </c>
      <c r="AY413" s="11">
        <f t="shared" si="422"/>
        <v>0</v>
      </c>
      <c r="BA413" s="11">
        <f t="shared" si="423"/>
        <v>0</v>
      </c>
      <c r="BC413" s="11">
        <f t="shared" si="424"/>
        <v>0</v>
      </c>
      <c r="BE413" s="11">
        <f t="shared" si="425"/>
        <v>0</v>
      </c>
      <c r="BG413" s="11">
        <f t="shared" si="426"/>
        <v>0</v>
      </c>
      <c r="BN413" s="8">
        <f t="shared" si="401"/>
        <v>11900</v>
      </c>
      <c r="BO413" s="8">
        <f t="shared" si="402"/>
        <v>200000</v>
      </c>
      <c r="BP413" s="8">
        <f t="shared" si="404"/>
        <v>0</v>
      </c>
      <c r="BQ413" s="12">
        <f t="shared" si="405"/>
        <v>0</v>
      </c>
    </row>
    <row r="414" spans="1:69">
      <c r="A414" s="28">
        <v>1961</v>
      </c>
      <c r="B414" s="27" t="s">
        <v>31</v>
      </c>
      <c r="C414" s="24">
        <f t="shared" si="408"/>
        <v>408</v>
      </c>
      <c r="D414" s="7" t="e">
        <f t="shared" ca="1" si="400"/>
        <v>#N/A</v>
      </c>
      <c r="E414" s="26">
        <f t="array" aca="1" ref="E414" ca="1">AVERAGE(IF(INDIRECT(DatCol&amp;"$"&amp;TEXT(C414,"###")):INDIRECT(DatCol&amp;"$"&amp;TEXT(C414+57,"###"))&gt;0,INDIRECT(DatCol&amp;"$"&amp;TEXT(C414,"###")):INDIRECT(DatCol&amp;"$"&amp;TEXT(C414+57,"###"))))</f>
        <v>194.51351351351352</v>
      </c>
      <c r="F414" s="26" t="str">
        <f t="shared" si="406"/>
        <v>C</v>
      </c>
      <c r="G414" s="8"/>
      <c r="H414" s="8">
        <v>1237</v>
      </c>
      <c r="I414" s="8">
        <v>32</v>
      </c>
      <c r="J414" s="8">
        <v>521</v>
      </c>
      <c r="K414" s="9">
        <f t="shared" si="403"/>
        <v>1758</v>
      </c>
      <c r="M414" s="11">
        <f t="shared" si="409"/>
        <v>0</v>
      </c>
      <c r="O414" s="11">
        <f t="shared" si="410"/>
        <v>0</v>
      </c>
      <c r="Q414" s="11">
        <f t="shared" si="411"/>
        <v>0</v>
      </c>
      <c r="Y414" s="11">
        <f t="shared" si="412"/>
        <v>0</v>
      </c>
      <c r="AG414" s="11">
        <f t="shared" si="413"/>
        <v>0</v>
      </c>
      <c r="AI414" s="11">
        <f t="shared" si="414"/>
        <v>0</v>
      </c>
      <c r="AJ414" s="12" t="s">
        <v>0</v>
      </c>
      <c r="AK414" s="13">
        <f t="shared" si="415"/>
        <v>0</v>
      </c>
      <c r="AM414" s="13">
        <f t="shared" si="416"/>
        <v>0</v>
      </c>
      <c r="AO414" s="11">
        <f t="shared" si="417"/>
        <v>0</v>
      </c>
      <c r="AQ414" s="11">
        <f t="shared" si="418"/>
        <v>0</v>
      </c>
      <c r="AS414" s="11">
        <f t="shared" si="419"/>
        <v>0</v>
      </c>
      <c r="AU414" s="11">
        <f t="shared" si="420"/>
        <v>0</v>
      </c>
      <c r="AW414" s="11">
        <f t="shared" si="421"/>
        <v>0</v>
      </c>
      <c r="AY414" s="11">
        <f t="shared" si="422"/>
        <v>0</v>
      </c>
      <c r="BA414" s="11">
        <f t="shared" si="423"/>
        <v>0</v>
      </c>
      <c r="BC414" s="11">
        <f t="shared" si="424"/>
        <v>0</v>
      </c>
      <c r="BE414" s="11">
        <f t="shared" si="425"/>
        <v>0</v>
      </c>
      <c r="BG414" s="11">
        <f t="shared" si="426"/>
        <v>0</v>
      </c>
      <c r="BN414" s="8">
        <f t="shared" si="401"/>
        <v>0</v>
      </c>
      <c r="BO414" s="8">
        <f t="shared" si="402"/>
        <v>0</v>
      </c>
      <c r="BP414" s="8">
        <f t="shared" si="404"/>
        <v>0</v>
      </c>
      <c r="BQ414" s="12">
        <f t="shared" si="405"/>
        <v>0</v>
      </c>
    </row>
    <row r="415" spans="1:69">
      <c r="A415" s="28">
        <v>1962</v>
      </c>
      <c r="B415" s="27" t="s">
        <v>31</v>
      </c>
      <c r="C415" s="24">
        <f t="shared" si="408"/>
        <v>408</v>
      </c>
      <c r="D415" s="7" t="e">
        <f t="shared" ca="1" si="400"/>
        <v>#N/A</v>
      </c>
      <c r="E415" s="26">
        <f t="array" aca="1" ref="E415" ca="1">AVERAGE(IF(INDIRECT(DatCol&amp;"$"&amp;TEXT(C415,"###")):INDIRECT(DatCol&amp;"$"&amp;TEXT(C415+57,"###"))&gt;0,INDIRECT(DatCol&amp;"$"&amp;TEXT(C415,"###")):INDIRECT(DatCol&amp;"$"&amp;TEXT(C415+57,"###"))))</f>
        <v>194.51351351351352</v>
      </c>
      <c r="F415" s="26" t="str">
        <f t="shared" si="406"/>
        <v>C</v>
      </c>
      <c r="G415" s="8"/>
      <c r="H415" s="8">
        <v>747</v>
      </c>
      <c r="I415" s="8">
        <v>107</v>
      </c>
      <c r="J415" s="8">
        <v>1165</v>
      </c>
      <c r="K415" s="9">
        <f t="shared" si="403"/>
        <v>1912</v>
      </c>
      <c r="M415" s="11">
        <f t="shared" si="409"/>
        <v>0</v>
      </c>
      <c r="O415" s="11">
        <f t="shared" si="410"/>
        <v>0</v>
      </c>
      <c r="Q415" s="11">
        <f t="shared" si="411"/>
        <v>0</v>
      </c>
      <c r="Y415" s="11">
        <f t="shared" si="412"/>
        <v>0</v>
      </c>
      <c r="AG415" s="11">
        <f t="shared" si="413"/>
        <v>0</v>
      </c>
      <c r="AI415" s="11">
        <f t="shared" si="414"/>
        <v>0</v>
      </c>
      <c r="AJ415" s="12" t="s">
        <v>9</v>
      </c>
      <c r="AK415" s="13">
        <f t="shared" si="415"/>
        <v>0</v>
      </c>
      <c r="AM415" s="13">
        <f t="shared" si="416"/>
        <v>0</v>
      </c>
      <c r="AO415" s="11">
        <f t="shared" si="417"/>
        <v>0</v>
      </c>
      <c r="AQ415" s="11">
        <f t="shared" si="418"/>
        <v>0</v>
      </c>
      <c r="AS415" s="11">
        <f t="shared" si="419"/>
        <v>0</v>
      </c>
      <c r="AU415" s="11">
        <f t="shared" si="420"/>
        <v>0</v>
      </c>
      <c r="AW415" s="11">
        <f t="shared" si="421"/>
        <v>0</v>
      </c>
      <c r="AY415" s="11">
        <f t="shared" si="422"/>
        <v>0</v>
      </c>
      <c r="BA415" s="11">
        <f t="shared" si="423"/>
        <v>0</v>
      </c>
      <c r="BC415" s="11">
        <f t="shared" si="424"/>
        <v>0</v>
      </c>
      <c r="BE415" s="11">
        <f t="shared" si="425"/>
        <v>0</v>
      </c>
      <c r="BG415" s="11">
        <f t="shared" si="426"/>
        <v>0</v>
      </c>
      <c r="BN415" s="8">
        <f t="shared" si="401"/>
        <v>0</v>
      </c>
      <c r="BO415" s="8">
        <f t="shared" si="402"/>
        <v>0</v>
      </c>
      <c r="BP415" s="8">
        <f t="shared" si="404"/>
        <v>0</v>
      </c>
      <c r="BQ415" s="12">
        <f t="shared" si="405"/>
        <v>0</v>
      </c>
    </row>
    <row r="416" spans="1:69">
      <c r="A416" s="28">
        <v>1963</v>
      </c>
      <c r="B416" s="27" t="s">
        <v>31</v>
      </c>
      <c r="C416" s="24">
        <f t="shared" si="408"/>
        <v>408</v>
      </c>
      <c r="D416" s="7" t="e">
        <f t="shared" ca="1" si="400"/>
        <v>#N/A</v>
      </c>
      <c r="E416" s="26">
        <f t="array" aca="1" ref="E416" ca="1">AVERAGE(IF(INDIRECT(DatCol&amp;"$"&amp;TEXT(C416,"###")):INDIRECT(DatCol&amp;"$"&amp;TEXT(C416+57,"###"))&gt;0,INDIRECT(DatCol&amp;"$"&amp;TEXT(C416,"###")):INDIRECT(DatCol&amp;"$"&amp;TEXT(C416+57,"###"))))</f>
        <v>194.51351351351352</v>
      </c>
      <c r="F416" s="26" t="str">
        <f t="shared" si="406"/>
        <v>C</v>
      </c>
      <c r="G416" s="8"/>
      <c r="H416" s="8">
        <v>622</v>
      </c>
      <c r="I416" s="8">
        <v>12</v>
      </c>
      <c r="J416" s="8">
        <v>1143</v>
      </c>
      <c r="K416" s="9">
        <f t="shared" si="403"/>
        <v>1765</v>
      </c>
      <c r="L416" s="12">
        <v>1700</v>
      </c>
      <c r="M416" s="11">
        <f t="shared" si="409"/>
        <v>85000</v>
      </c>
      <c r="O416" s="11">
        <f t="shared" si="410"/>
        <v>0</v>
      </c>
      <c r="P416" s="12">
        <v>800</v>
      </c>
      <c r="Q416" s="11">
        <f t="shared" si="411"/>
        <v>48000</v>
      </c>
      <c r="Y416" s="11">
        <f t="shared" si="412"/>
        <v>0</v>
      </c>
      <c r="AF416" s="12">
        <v>350</v>
      </c>
      <c r="AG416" s="11">
        <f t="shared" si="413"/>
        <v>22750</v>
      </c>
      <c r="AI416" s="11">
        <f t="shared" si="414"/>
        <v>0</v>
      </c>
      <c r="AJ416" s="12" t="s">
        <v>1</v>
      </c>
      <c r="AK416" s="13">
        <f t="shared" si="415"/>
        <v>0</v>
      </c>
      <c r="AM416" s="13">
        <f t="shared" si="416"/>
        <v>0</v>
      </c>
      <c r="AO416" s="11">
        <f t="shared" si="417"/>
        <v>0</v>
      </c>
      <c r="AQ416" s="11">
        <f t="shared" si="418"/>
        <v>0</v>
      </c>
      <c r="AS416" s="11">
        <f t="shared" si="419"/>
        <v>0</v>
      </c>
      <c r="AU416" s="11">
        <f t="shared" si="420"/>
        <v>0</v>
      </c>
      <c r="AW416" s="11">
        <f t="shared" si="421"/>
        <v>0</v>
      </c>
      <c r="AY416" s="11">
        <f t="shared" si="422"/>
        <v>0</v>
      </c>
      <c r="BA416" s="11">
        <f t="shared" si="423"/>
        <v>0</v>
      </c>
      <c r="BC416" s="11">
        <f t="shared" si="424"/>
        <v>0</v>
      </c>
      <c r="BE416" s="11">
        <f t="shared" si="425"/>
        <v>0</v>
      </c>
      <c r="BG416" s="11">
        <f t="shared" si="426"/>
        <v>0</v>
      </c>
      <c r="BN416" s="8">
        <f t="shared" si="401"/>
        <v>2850</v>
      </c>
      <c r="BO416" s="8">
        <f t="shared" si="402"/>
        <v>155750</v>
      </c>
      <c r="BP416" s="8">
        <f t="shared" si="404"/>
        <v>0</v>
      </c>
      <c r="BQ416" s="12">
        <f t="shared" si="405"/>
        <v>0</v>
      </c>
    </row>
    <row r="417" spans="1:69">
      <c r="A417" s="28">
        <v>1964</v>
      </c>
      <c r="B417" s="27" t="s">
        <v>31</v>
      </c>
      <c r="C417" s="24">
        <f t="shared" si="408"/>
        <v>408</v>
      </c>
      <c r="D417" s="7" t="e">
        <f t="shared" ca="1" si="400"/>
        <v>#N/A</v>
      </c>
      <c r="E417" s="26">
        <f t="array" aca="1" ref="E417" ca="1">AVERAGE(IF(INDIRECT(DatCol&amp;"$"&amp;TEXT(C417,"###")):INDIRECT(DatCol&amp;"$"&amp;TEXT(C417+57,"###"))&gt;0,INDIRECT(DatCol&amp;"$"&amp;TEXT(C417,"###")):INDIRECT(DatCol&amp;"$"&amp;TEXT(C417+57,"###"))))</f>
        <v>194.51351351351352</v>
      </c>
      <c r="F417" s="26" t="str">
        <f t="shared" si="406"/>
        <v>C</v>
      </c>
      <c r="G417" s="8"/>
      <c r="H417" s="8">
        <v>724</v>
      </c>
      <c r="I417" s="8">
        <v>24</v>
      </c>
      <c r="J417" s="8">
        <v>1197</v>
      </c>
      <c r="K417" s="9">
        <f t="shared" si="403"/>
        <v>1921</v>
      </c>
      <c r="L417" s="12">
        <v>450</v>
      </c>
      <c r="M417" s="11">
        <f t="shared" si="409"/>
        <v>22500</v>
      </c>
      <c r="O417" s="11">
        <f t="shared" si="410"/>
        <v>0</v>
      </c>
      <c r="P417" s="12">
        <v>2300</v>
      </c>
      <c r="Q417" s="11">
        <f t="shared" si="411"/>
        <v>138000</v>
      </c>
      <c r="Y417" s="11">
        <f t="shared" si="412"/>
        <v>0</v>
      </c>
      <c r="AF417" s="12">
        <v>250</v>
      </c>
      <c r="AG417" s="11">
        <f t="shared" si="413"/>
        <v>16250</v>
      </c>
      <c r="AI417" s="11">
        <f t="shared" si="414"/>
        <v>0</v>
      </c>
      <c r="AJ417" s="12">
        <v>100</v>
      </c>
      <c r="AK417" s="13">
        <f t="shared" si="415"/>
        <v>900</v>
      </c>
      <c r="AM417" s="13">
        <f t="shared" si="416"/>
        <v>0</v>
      </c>
      <c r="AN417" s="12">
        <v>50</v>
      </c>
      <c r="AO417" s="11">
        <f t="shared" si="417"/>
        <v>4000</v>
      </c>
      <c r="AQ417" s="11">
        <f t="shared" si="418"/>
        <v>0</v>
      </c>
      <c r="AS417" s="11">
        <f t="shared" si="419"/>
        <v>0</v>
      </c>
      <c r="AU417" s="11">
        <f t="shared" si="420"/>
        <v>0</v>
      </c>
      <c r="AW417" s="11">
        <f t="shared" si="421"/>
        <v>0</v>
      </c>
      <c r="AY417" s="11">
        <f t="shared" si="422"/>
        <v>0</v>
      </c>
      <c r="BA417" s="11">
        <f t="shared" si="423"/>
        <v>0</v>
      </c>
      <c r="BC417" s="11">
        <f t="shared" si="424"/>
        <v>0</v>
      </c>
      <c r="BE417" s="11">
        <f t="shared" si="425"/>
        <v>0</v>
      </c>
      <c r="BG417" s="11">
        <f t="shared" si="426"/>
        <v>0</v>
      </c>
      <c r="BN417" s="8">
        <f t="shared" si="401"/>
        <v>3150</v>
      </c>
      <c r="BO417" s="8">
        <f t="shared" si="402"/>
        <v>181650</v>
      </c>
      <c r="BP417" s="8">
        <f t="shared" si="404"/>
        <v>0</v>
      </c>
      <c r="BQ417" s="12">
        <f t="shared" si="405"/>
        <v>0</v>
      </c>
    </row>
    <row r="418" spans="1:69">
      <c r="A418" s="28">
        <v>1965</v>
      </c>
      <c r="B418" s="27" t="s">
        <v>31</v>
      </c>
      <c r="C418" s="24">
        <f t="shared" si="408"/>
        <v>408</v>
      </c>
      <c r="D418" s="7" t="e">
        <f t="shared" ca="1" si="400"/>
        <v>#N/A</v>
      </c>
      <c r="E418" s="26">
        <f t="array" aca="1" ref="E418" ca="1">AVERAGE(IF(INDIRECT(DatCol&amp;"$"&amp;TEXT(C418,"###")):INDIRECT(DatCol&amp;"$"&amp;TEXT(C418+57,"###"))&gt;0,INDIRECT(DatCol&amp;"$"&amp;TEXT(C418,"###")):INDIRECT(DatCol&amp;"$"&amp;TEXT(C418+57,"###"))))</f>
        <v>194.51351351351352</v>
      </c>
      <c r="F418" s="26" t="str">
        <f t="shared" si="406"/>
        <v>C</v>
      </c>
      <c r="G418" s="8"/>
      <c r="H418" s="8">
        <v>581</v>
      </c>
      <c r="I418" s="8">
        <v>58</v>
      </c>
      <c r="J418" s="8">
        <v>7790</v>
      </c>
      <c r="K418" s="9">
        <f t="shared" si="403"/>
        <v>8371</v>
      </c>
      <c r="M418" s="11">
        <f t="shared" si="409"/>
        <v>0</v>
      </c>
      <c r="O418" s="11">
        <f t="shared" si="410"/>
        <v>0</v>
      </c>
      <c r="Q418" s="11">
        <f t="shared" si="411"/>
        <v>0</v>
      </c>
      <c r="Y418" s="11">
        <f t="shared" si="412"/>
        <v>0</v>
      </c>
      <c r="AG418" s="11">
        <f t="shared" si="413"/>
        <v>0</v>
      </c>
      <c r="AI418" s="11">
        <f t="shared" si="414"/>
        <v>0</v>
      </c>
      <c r="AK418" s="13">
        <f t="shared" si="415"/>
        <v>0</v>
      </c>
      <c r="AM418" s="13">
        <f t="shared" si="416"/>
        <v>0</v>
      </c>
      <c r="AO418" s="11">
        <f t="shared" si="417"/>
        <v>0</v>
      </c>
      <c r="AQ418" s="11">
        <f t="shared" si="418"/>
        <v>0</v>
      </c>
      <c r="AS418" s="11">
        <f t="shared" si="419"/>
        <v>0</v>
      </c>
      <c r="AU418" s="11">
        <f t="shared" si="420"/>
        <v>0</v>
      </c>
      <c r="AW418" s="11">
        <f t="shared" si="421"/>
        <v>0</v>
      </c>
      <c r="AY418" s="11">
        <f t="shared" si="422"/>
        <v>0</v>
      </c>
      <c r="BA418" s="11">
        <f t="shared" si="423"/>
        <v>0</v>
      </c>
      <c r="BC418" s="11">
        <f t="shared" si="424"/>
        <v>0</v>
      </c>
      <c r="BE418" s="11">
        <f t="shared" si="425"/>
        <v>0</v>
      </c>
      <c r="BG418" s="11">
        <f t="shared" si="426"/>
        <v>0</v>
      </c>
      <c r="BN418" s="8">
        <f t="shared" si="401"/>
        <v>0</v>
      </c>
      <c r="BO418" s="8">
        <f t="shared" si="402"/>
        <v>0</v>
      </c>
      <c r="BP418" s="8">
        <f t="shared" si="404"/>
        <v>0</v>
      </c>
      <c r="BQ418" s="12">
        <f t="shared" si="405"/>
        <v>0</v>
      </c>
    </row>
    <row r="419" spans="1:69">
      <c r="A419" s="28">
        <v>1966</v>
      </c>
      <c r="B419" s="27" t="s">
        <v>31</v>
      </c>
      <c r="C419" s="24">
        <f t="shared" si="408"/>
        <v>408</v>
      </c>
      <c r="D419" s="7" t="e">
        <f t="shared" ca="1" si="400"/>
        <v>#N/A</v>
      </c>
      <c r="E419" s="26">
        <f t="array" aca="1" ref="E419" ca="1">AVERAGE(IF(INDIRECT(DatCol&amp;"$"&amp;TEXT(C419,"###")):INDIRECT(DatCol&amp;"$"&amp;TEXT(C419+57,"###"))&gt;0,INDIRECT(DatCol&amp;"$"&amp;TEXT(C419,"###")):INDIRECT(DatCol&amp;"$"&amp;TEXT(C419+57,"###"))))</f>
        <v>194.51351351351352</v>
      </c>
      <c r="F419" s="26" t="str">
        <f t="shared" si="406"/>
        <v>C</v>
      </c>
      <c r="G419" s="8"/>
      <c r="H419" s="8">
        <v>1044</v>
      </c>
      <c r="I419" s="8">
        <v>28</v>
      </c>
      <c r="J419" s="8">
        <v>1459</v>
      </c>
      <c r="K419" s="9">
        <f t="shared" si="403"/>
        <v>2503</v>
      </c>
      <c r="L419" s="12">
        <v>400</v>
      </c>
      <c r="M419" s="11">
        <f t="shared" si="409"/>
        <v>20000</v>
      </c>
      <c r="O419" s="11">
        <f t="shared" si="410"/>
        <v>0</v>
      </c>
      <c r="P419" s="12">
        <v>650</v>
      </c>
      <c r="Q419" s="11">
        <f t="shared" si="411"/>
        <v>39000</v>
      </c>
      <c r="Y419" s="11">
        <f t="shared" si="412"/>
        <v>0</v>
      </c>
      <c r="AG419" s="11">
        <f t="shared" si="413"/>
        <v>0</v>
      </c>
      <c r="AI419" s="11">
        <f t="shared" si="414"/>
        <v>0</v>
      </c>
      <c r="AJ419" s="12">
        <v>1500</v>
      </c>
      <c r="AK419" s="13">
        <f t="shared" si="415"/>
        <v>13500</v>
      </c>
      <c r="AM419" s="13">
        <f t="shared" si="416"/>
        <v>0</v>
      </c>
      <c r="AO419" s="11">
        <f t="shared" si="417"/>
        <v>0</v>
      </c>
      <c r="AQ419" s="11">
        <f t="shared" si="418"/>
        <v>0</v>
      </c>
      <c r="AS419" s="11">
        <f t="shared" si="419"/>
        <v>0</v>
      </c>
      <c r="AU419" s="11">
        <f t="shared" si="420"/>
        <v>0</v>
      </c>
      <c r="AW419" s="11">
        <f t="shared" si="421"/>
        <v>0</v>
      </c>
      <c r="AY419" s="11">
        <f t="shared" si="422"/>
        <v>0</v>
      </c>
      <c r="BA419" s="11">
        <f t="shared" si="423"/>
        <v>0</v>
      </c>
      <c r="BC419" s="11">
        <f t="shared" si="424"/>
        <v>0</v>
      </c>
      <c r="BE419" s="11">
        <f t="shared" si="425"/>
        <v>0</v>
      </c>
      <c r="BG419" s="11">
        <f t="shared" si="426"/>
        <v>0</v>
      </c>
      <c r="BN419" s="8">
        <f t="shared" si="401"/>
        <v>2550</v>
      </c>
      <c r="BO419" s="8">
        <f t="shared" si="402"/>
        <v>72500</v>
      </c>
      <c r="BP419" s="8">
        <f t="shared" si="404"/>
        <v>0</v>
      </c>
      <c r="BQ419" s="12">
        <f t="shared" si="405"/>
        <v>0</v>
      </c>
    </row>
    <row r="420" spans="1:69">
      <c r="A420" s="28">
        <v>1967</v>
      </c>
      <c r="B420" s="27" t="s">
        <v>31</v>
      </c>
      <c r="C420" s="24">
        <f t="shared" si="408"/>
        <v>408</v>
      </c>
      <c r="D420" s="7" t="e">
        <f t="shared" ca="1" si="400"/>
        <v>#N/A</v>
      </c>
      <c r="E420" s="26">
        <f t="array" aca="1" ref="E420" ca="1">AVERAGE(IF(INDIRECT(DatCol&amp;"$"&amp;TEXT(C420,"###")):INDIRECT(DatCol&amp;"$"&amp;TEXT(C420+57,"###"))&gt;0,INDIRECT(DatCol&amp;"$"&amp;TEXT(C420,"###")):INDIRECT(DatCol&amp;"$"&amp;TEXT(C420+57,"###"))))</f>
        <v>194.51351351351352</v>
      </c>
      <c r="F420" s="26" t="str">
        <f t="shared" si="406"/>
        <v>C</v>
      </c>
      <c r="G420" s="8"/>
      <c r="H420" s="8">
        <v>458</v>
      </c>
      <c r="I420" s="8">
        <v>75</v>
      </c>
      <c r="J420" s="8">
        <v>1304</v>
      </c>
      <c r="K420" s="9">
        <f t="shared" si="403"/>
        <v>1762</v>
      </c>
      <c r="M420" s="11">
        <f t="shared" si="409"/>
        <v>0</v>
      </c>
      <c r="N420" s="12">
        <v>200</v>
      </c>
      <c r="O420" s="11">
        <f t="shared" si="410"/>
        <v>10000</v>
      </c>
      <c r="P420" s="12">
        <v>200</v>
      </c>
      <c r="Q420" s="11">
        <f t="shared" si="411"/>
        <v>12000</v>
      </c>
      <c r="Y420" s="11">
        <f t="shared" si="412"/>
        <v>0</v>
      </c>
      <c r="AG420" s="11">
        <f t="shared" si="413"/>
        <v>0</v>
      </c>
      <c r="AH420" s="12">
        <v>250</v>
      </c>
      <c r="AI420" s="11">
        <f t="shared" si="414"/>
        <v>16250</v>
      </c>
      <c r="AJ420" s="12">
        <v>1000</v>
      </c>
      <c r="AK420" s="13">
        <f t="shared" si="415"/>
        <v>9000</v>
      </c>
      <c r="AL420" s="12">
        <v>500</v>
      </c>
      <c r="AM420" s="13">
        <f t="shared" si="416"/>
        <v>4500</v>
      </c>
      <c r="AO420" s="11">
        <f t="shared" si="417"/>
        <v>0</v>
      </c>
      <c r="AP420" s="12">
        <v>100</v>
      </c>
      <c r="AQ420" s="11">
        <f t="shared" si="418"/>
        <v>8000</v>
      </c>
      <c r="AS420" s="11">
        <f t="shared" si="419"/>
        <v>0</v>
      </c>
      <c r="AU420" s="11">
        <f t="shared" si="420"/>
        <v>0</v>
      </c>
      <c r="AW420" s="11">
        <f t="shared" si="421"/>
        <v>0</v>
      </c>
      <c r="AY420" s="11">
        <f t="shared" si="422"/>
        <v>0</v>
      </c>
      <c r="BA420" s="11">
        <f t="shared" si="423"/>
        <v>0</v>
      </c>
      <c r="BC420" s="11">
        <f t="shared" si="424"/>
        <v>0</v>
      </c>
      <c r="BE420" s="11">
        <f t="shared" si="425"/>
        <v>0</v>
      </c>
      <c r="BG420" s="11">
        <f t="shared" si="426"/>
        <v>0</v>
      </c>
      <c r="BN420" s="8">
        <f t="shared" si="401"/>
        <v>1200</v>
      </c>
      <c r="BO420" s="8">
        <f t="shared" si="402"/>
        <v>21000</v>
      </c>
      <c r="BP420" s="8">
        <f t="shared" si="404"/>
        <v>1050</v>
      </c>
      <c r="BQ420" s="12">
        <f t="shared" si="405"/>
        <v>38750</v>
      </c>
    </row>
    <row r="421" spans="1:69">
      <c r="A421" s="28">
        <v>1968</v>
      </c>
      <c r="B421" s="27" t="s">
        <v>31</v>
      </c>
      <c r="C421" s="24">
        <f t="shared" si="408"/>
        <v>408</v>
      </c>
      <c r="D421" s="7" t="e">
        <f t="shared" ca="1" si="400"/>
        <v>#N/A</v>
      </c>
      <c r="E421" s="26">
        <f t="array" aca="1" ref="E421" ca="1">AVERAGE(IF(INDIRECT(DatCol&amp;"$"&amp;TEXT(C421,"###")):INDIRECT(DatCol&amp;"$"&amp;TEXT(C421+57,"###"))&gt;0,INDIRECT(DatCol&amp;"$"&amp;TEXT(C421,"###")):INDIRECT(DatCol&amp;"$"&amp;TEXT(C421+57,"###"))))</f>
        <v>194.51351351351352</v>
      </c>
      <c r="F421" s="26" t="str">
        <f t="shared" si="406"/>
        <v>C</v>
      </c>
      <c r="G421" s="8"/>
      <c r="H421" s="8">
        <v>393</v>
      </c>
      <c r="I421" s="8">
        <v>49</v>
      </c>
      <c r="J421" s="8">
        <v>1460</v>
      </c>
      <c r="K421" s="9">
        <f t="shared" si="403"/>
        <v>1853</v>
      </c>
      <c r="M421" s="11">
        <f t="shared" si="409"/>
        <v>0</v>
      </c>
      <c r="N421" s="12">
        <v>200</v>
      </c>
      <c r="O421" s="11">
        <f t="shared" si="410"/>
        <v>10000</v>
      </c>
      <c r="P421" s="12">
        <v>300</v>
      </c>
      <c r="Q421" s="11">
        <f t="shared" si="411"/>
        <v>18000</v>
      </c>
      <c r="Y421" s="11">
        <f t="shared" si="412"/>
        <v>0</v>
      </c>
      <c r="AG421" s="11">
        <f t="shared" si="413"/>
        <v>0</v>
      </c>
      <c r="AH421" s="12">
        <v>250</v>
      </c>
      <c r="AI421" s="11">
        <f t="shared" si="414"/>
        <v>16250</v>
      </c>
      <c r="AK421" s="13">
        <f t="shared" si="415"/>
        <v>0</v>
      </c>
      <c r="AL421" s="12">
        <v>50</v>
      </c>
      <c r="AM421" s="13">
        <f t="shared" si="416"/>
        <v>450</v>
      </c>
      <c r="AO421" s="11">
        <f t="shared" si="417"/>
        <v>0</v>
      </c>
      <c r="AP421" s="12">
        <v>100</v>
      </c>
      <c r="AQ421" s="11">
        <f t="shared" si="418"/>
        <v>8000</v>
      </c>
      <c r="AS421" s="11">
        <f t="shared" si="419"/>
        <v>0</v>
      </c>
      <c r="AU421" s="11">
        <f t="shared" si="420"/>
        <v>0</v>
      </c>
      <c r="AW421" s="11">
        <f t="shared" si="421"/>
        <v>0</v>
      </c>
      <c r="AY421" s="11">
        <f t="shared" si="422"/>
        <v>0</v>
      </c>
      <c r="BA421" s="11">
        <f t="shared" si="423"/>
        <v>0</v>
      </c>
      <c r="BC421" s="11">
        <f t="shared" si="424"/>
        <v>0</v>
      </c>
      <c r="BE421" s="11">
        <f t="shared" si="425"/>
        <v>0</v>
      </c>
      <c r="BG421" s="11">
        <f t="shared" si="426"/>
        <v>0</v>
      </c>
      <c r="BN421" s="8">
        <f t="shared" si="401"/>
        <v>300</v>
      </c>
      <c r="BO421" s="8">
        <f t="shared" si="402"/>
        <v>18000</v>
      </c>
      <c r="BP421" s="8">
        <f t="shared" si="404"/>
        <v>600</v>
      </c>
      <c r="BQ421" s="12">
        <f t="shared" si="405"/>
        <v>34700</v>
      </c>
    </row>
    <row r="422" spans="1:69">
      <c r="A422" s="28">
        <v>1969</v>
      </c>
      <c r="B422" s="27" t="s">
        <v>31</v>
      </c>
      <c r="C422" s="24">
        <f t="shared" si="408"/>
        <v>408</v>
      </c>
      <c r="D422" s="7" t="e">
        <f t="shared" ca="1" si="400"/>
        <v>#N/A</v>
      </c>
      <c r="E422" s="26">
        <f t="array" aca="1" ref="E422" ca="1">AVERAGE(IF(INDIRECT(DatCol&amp;"$"&amp;TEXT(C422,"###")):INDIRECT(DatCol&amp;"$"&amp;TEXT(C422+57,"###"))&gt;0,INDIRECT(DatCol&amp;"$"&amp;TEXT(C422,"###")):INDIRECT(DatCol&amp;"$"&amp;TEXT(C422+57,"###"))))</f>
        <v>194.51351351351352</v>
      </c>
      <c r="F422" s="26" t="str">
        <f t="shared" si="406"/>
        <v>C</v>
      </c>
      <c r="G422" s="8"/>
      <c r="H422" s="8">
        <v>359</v>
      </c>
      <c r="I422" s="8">
        <v>106</v>
      </c>
      <c r="J422" s="8">
        <v>1798</v>
      </c>
      <c r="K422" s="9">
        <f t="shared" si="403"/>
        <v>2157</v>
      </c>
      <c r="M422" s="11">
        <f t="shared" si="409"/>
        <v>0</v>
      </c>
      <c r="N422" s="12">
        <v>250</v>
      </c>
      <c r="O422" s="11">
        <f t="shared" si="410"/>
        <v>12500</v>
      </c>
      <c r="P422" s="12">
        <v>200</v>
      </c>
      <c r="Q422" s="11">
        <f t="shared" si="411"/>
        <v>12000</v>
      </c>
      <c r="X422" s="12">
        <v>700</v>
      </c>
      <c r="Y422" s="11">
        <f t="shared" si="412"/>
        <v>42000</v>
      </c>
      <c r="AG422" s="11">
        <f t="shared" si="413"/>
        <v>0</v>
      </c>
      <c r="AH422" s="12">
        <v>300</v>
      </c>
      <c r="AI422" s="11">
        <f t="shared" si="414"/>
        <v>19500</v>
      </c>
      <c r="AJ422" s="12">
        <v>500</v>
      </c>
      <c r="AK422" s="13">
        <f t="shared" si="415"/>
        <v>4500</v>
      </c>
      <c r="AL422" s="12">
        <v>800</v>
      </c>
      <c r="AM422" s="13">
        <f t="shared" si="416"/>
        <v>7200</v>
      </c>
      <c r="AO422" s="11">
        <f t="shared" si="417"/>
        <v>0</v>
      </c>
      <c r="AP422" s="12">
        <v>100</v>
      </c>
      <c r="AQ422" s="11">
        <f t="shared" si="418"/>
        <v>8000</v>
      </c>
      <c r="AS422" s="11">
        <f t="shared" si="419"/>
        <v>0</v>
      </c>
      <c r="AU422" s="11">
        <f t="shared" si="420"/>
        <v>0</v>
      </c>
      <c r="AW422" s="11">
        <f t="shared" si="421"/>
        <v>0</v>
      </c>
      <c r="AY422" s="11">
        <f t="shared" si="422"/>
        <v>0</v>
      </c>
      <c r="BA422" s="11">
        <f t="shared" si="423"/>
        <v>0</v>
      </c>
      <c r="BC422" s="11">
        <f t="shared" si="424"/>
        <v>0</v>
      </c>
      <c r="BE422" s="11">
        <f t="shared" si="425"/>
        <v>0</v>
      </c>
      <c r="BG422" s="11">
        <f t="shared" si="426"/>
        <v>0</v>
      </c>
      <c r="BN422" s="8">
        <f t="shared" si="401"/>
        <v>1400</v>
      </c>
      <c r="BO422" s="8">
        <f t="shared" si="402"/>
        <v>58500</v>
      </c>
      <c r="BP422" s="8">
        <f t="shared" si="404"/>
        <v>2150</v>
      </c>
      <c r="BQ422" s="12">
        <f t="shared" si="405"/>
        <v>89200</v>
      </c>
    </row>
    <row r="423" spans="1:69">
      <c r="A423" s="28">
        <v>1970</v>
      </c>
      <c r="B423" s="27" t="s">
        <v>31</v>
      </c>
      <c r="C423" s="24">
        <f t="shared" si="408"/>
        <v>408</v>
      </c>
      <c r="D423" s="7" t="e">
        <f t="shared" ca="1" si="400"/>
        <v>#N/A</v>
      </c>
      <c r="E423" s="26">
        <f t="array" aca="1" ref="E423" ca="1">AVERAGE(IF(INDIRECT(DatCol&amp;"$"&amp;TEXT(C423,"###")):INDIRECT(DatCol&amp;"$"&amp;TEXT(C423+57,"###"))&gt;0,INDIRECT(DatCol&amp;"$"&amp;TEXT(C423,"###")):INDIRECT(DatCol&amp;"$"&amp;TEXT(C423+57,"###"))))</f>
        <v>194.51351351351352</v>
      </c>
      <c r="F423" s="26" t="str">
        <f t="shared" si="406"/>
        <v>C</v>
      </c>
      <c r="G423" s="8"/>
      <c r="H423" s="8">
        <v>336</v>
      </c>
      <c r="I423" s="8">
        <v>99</v>
      </c>
      <c r="J423" s="8">
        <v>1956</v>
      </c>
      <c r="K423" s="9">
        <f t="shared" si="403"/>
        <v>2292</v>
      </c>
      <c r="L423" s="12">
        <v>100</v>
      </c>
      <c r="M423" s="11">
        <f t="shared" si="409"/>
        <v>5000</v>
      </c>
      <c r="N423" s="12">
        <v>250</v>
      </c>
      <c r="O423" s="11">
        <f t="shared" si="410"/>
        <v>12500</v>
      </c>
      <c r="P423" s="12">
        <v>200</v>
      </c>
      <c r="Q423" s="11">
        <f t="shared" si="411"/>
        <v>12000</v>
      </c>
      <c r="X423" s="12">
        <v>700</v>
      </c>
      <c r="Y423" s="11">
        <f t="shared" si="412"/>
        <v>42000</v>
      </c>
      <c r="AF423" s="12">
        <v>1000</v>
      </c>
      <c r="AG423" s="11">
        <f t="shared" si="413"/>
        <v>65000</v>
      </c>
      <c r="AH423" s="12">
        <v>250</v>
      </c>
      <c r="AI423" s="11">
        <f t="shared" si="414"/>
        <v>16250</v>
      </c>
      <c r="AJ423" s="12">
        <v>600</v>
      </c>
      <c r="AK423" s="13">
        <f t="shared" si="415"/>
        <v>5400</v>
      </c>
      <c r="AL423" s="12">
        <v>650</v>
      </c>
      <c r="AM423" s="13">
        <f t="shared" si="416"/>
        <v>5850</v>
      </c>
      <c r="AO423" s="11">
        <f t="shared" si="417"/>
        <v>0</v>
      </c>
      <c r="AP423" s="12">
        <v>150</v>
      </c>
      <c r="AQ423" s="11">
        <f t="shared" si="418"/>
        <v>12000</v>
      </c>
      <c r="AS423" s="11">
        <f t="shared" si="419"/>
        <v>0</v>
      </c>
      <c r="AU423" s="11">
        <f t="shared" si="420"/>
        <v>0</v>
      </c>
      <c r="AW423" s="11">
        <f t="shared" si="421"/>
        <v>0</v>
      </c>
      <c r="AY423" s="11">
        <f t="shared" si="422"/>
        <v>0</v>
      </c>
      <c r="BA423" s="11">
        <f t="shared" si="423"/>
        <v>0</v>
      </c>
      <c r="BC423" s="11">
        <f t="shared" si="424"/>
        <v>0</v>
      </c>
      <c r="BE423" s="11">
        <f t="shared" si="425"/>
        <v>0</v>
      </c>
      <c r="BG423" s="11">
        <f t="shared" si="426"/>
        <v>0</v>
      </c>
      <c r="BN423" s="8">
        <f t="shared" si="401"/>
        <v>2600</v>
      </c>
      <c r="BO423" s="8">
        <f t="shared" si="402"/>
        <v>129400</v>
      </c>
      <c r="BP423" s="8">
        <f t="shared" si="404"/>
        <v>2000</v>
      </c>
      <c r="BQ423" s="12">
        <f t="shared" si="405"/>
        <v>88600</v>
      </c>
    </row>
    <row r="424" spans="1:69">
      <c r="A424" s="28">
        <v>1971</v>
      </c>
      <c r="B424" s="27" t="s">
        <v>31</v>
      </c>
      <c r="C424" s="24">
        <f t="shared" si="408"/>
        <v>408</v>
      </c>
      <c r="D424" s="7" t="e">
        <f t="shared" ca="1" si="400"/>
        <v>#N/A</v>
      </c>
      <c r="E424" s="26">
        <f t="array" aca="1" ref="E424" ca="1">AVERAGE(IF(INDIRECT(DatCol&amp;"$"&amp;TEXT(C424,"###")):INDIRECT(DatCol&amp;"$"&amp;TEXT(C424+57,"###"))&gt;0,INDIRECT(DatCol&amp;"$"&amp;TEXT(C424,"###")):INDIRECT(DatCol&amp;"$"&amp;TEXT(C424+57,"###"))))</f>
        <v>194.51351351351352</v>
      </c>
      <c r="F424" s="26" t="str">
        <f t="shared" si="406"/>
        <v>C</v>
      </c>
      <c r="G424" s="8"/>
      <c r="H424" s="8">
        <v>181</v>
      </c>
      <c r="I424" s="8">
        <v>100</v>
      </c>
      <c r="J424" s="8">
        <v>1847</v>
      </c>
      <c r="K424" s="9">
        <f t="shared" si="403"/>
        <v>2028</v>
      </c>
      <c r="L424" s="12">
        <v>150</v>
      </c>
      <c r="M424" s="11">
        <f t="shared" si="409"/>
        <v>7500</v>
      </c>
      <c r="N424" s="12">
        <v>200</v>
      </c>
      <c r="O424" s="11">
        <f t="shared" si="410"/>
        <v>10000</v>
      </c>
      <c r="P424" s="12">
        <v>500</v>
      </c>
      <c r="Q424" s="11">
        <f t="shared" si="411"/>
        <v>30000</v>
      </c>
      <c r="X424" s="12">
        <v>750</v>
      </c>
      <c r="Y424" s="11">
        <f t="shared" si="412"/>
        <v>45000</v>
      </c>
      <c r="AG424" s="11">
        <f t="shared" si="413"/>
        <v>0</v>
      </c>
      <c r="AH424" s="12">
        <v>250</v>
      </c>
      <c r="AI424" s="11">
        <f t="shared" si="414"/>
        <v>16250</v>
      </c>
      <c r="AK424" s="13">
        <f t="shared" si="415"/>
        <v>0</v>
      </c>
      <c r="AL424" s="12">
        <v>800</v>
      </c>
      <c r="AM424" s="13">
        <f t="shared" si="416"/>
        <v>7200</v>
      </c>
      <c r="AN424" s="12">
        <v>125</v>
      </c>
      <c r="AO424" s="11">
        <f t="shared" si="417"/>
        <v>10000</v>
      </c>
      <c r="AP424" s="12">
        <v>175</v>
      </c>
      <c r="AQ424" s="11">
        <f t="shared" si="418"/>
        <v>14000</v>
      </c>
      <c r="AS424" s="11">
        <f t="shared" si="419"/>
        <v>0</v>
      </c>
      <c r="AU424" s="11">
        <f t="shared" si="420"/>
        <v>0</v>
      </c>
      <c r="AW424" s="11">
        <f t="shared" si="421"/>
        <v>0</v>
      </c>
      <c r="AY424" s="11">
        <f t="shared" si="422"/>
        <v>0</v>
      </c>
      <c r="BA424" s="11">
        <f t="shared" si="423"/>
        <v>0</v>
      </c>
      <c r="BC424" s="11">
        <f t="shared" si="424"/>
        <v>0</v>
      </c>
      <c r="BE424" s="11">
        <f t="shared" si="425"/>
        <v>0</v>
      </c>
      <c r="BG424" s="11">
        <f t="shared" si="426"/>
        <v>0</v>
      </c>
      <c r="BN424" s="8">
        <f t="shared" si="401"/>
        <v>1525</v>
      </c>
      <c r="BO424" s="8">
        <f t="shared" si="402"/>
        <v>92500</v>
      </c>
      <c r="BP424" s="8">
        <f t="shared" si="404"/>
        <v>2175</v>
      </c>
      <c r="BQ424" s="12">
        <f t="shared" si="405"/>
        <v>92450</v>
      </c>
    </row>
    <row r="425" spans="1:69">
      <c r="A425" s="28">
        <v>1972</v>
      </c>
      <c r="B425" s="27" t="s">
        <v>31</v>
      </c>
      <c r="C425" s="24">
        <f t="shared" si="408"/>
        <v>408</v>
      </c>
      <c r="D425" s="7" t="e">
        <f t="shared" ca="1" si="400"/>
        <v>#N/A</v>
      </c>
      <c r="E425" s="26">
        <f t="array" aca="1" ref="E425" ca="1">AVERAGE(IF(INDIRECT(DatCol&amp;"$"&amp;TEXT(C425,"###")):INDIRECT(DatCol&amp;"$"&amp;TEXT(C425+57,"###"))&gt;0,INDIRECT(DatCol&amp;"$"&amp;TEXT(C425,"###")):INDIRECT(DatCol&amp;"$"&amp;TEXT(C425+57,"###"))))</f>
        <v>194.51351351351352</v>
      </c>
      <c r="F425" s="26" t="str">
        <f t="shared" si="406"/>
        <v>C</v>
      </c>
      <c r="G425" s="8"/>
      <c r="H425" s="8">
        <v>135</v>
      </c>
      <c r="I425" s="8">
        <v>97</v>
      </c>
      <c r="J425" s="8">
        <v>1757</v>
      </c>
      <c r="K425" s="9">
        <f t="shared" si="403"/>
        <v>1892</v>
      </c>
      <c r="M425" s="11">
        <f t="shared" si="409"/>
        <v>0</v>
      </c>
      <c r="O425" s="11">
        <f t="shared" si="410"/>
        <v>0</v>
      </c>
      <c r="Q425" s="11">
        <f t="shared" si="411"/>
        <v>0</v>
      </c>
      <c r="Y425" s="11">
        <f t="shared" si="412"/>
        <v>0</v>
      </c>
      <c r="AG425" s="11">
        <f t="shared" si="413"/>
        <v>0</v>
      </c>
      <c r="AI425" s="11">
        <f t="shared" si="414"/>
        <v>0</v>
      </c>
      <c r="AK425" s="13">
        <f t="shared" si="415"/>
        <v>0</v>
      </c>
      <c r="AM425" s="13">
        <f t="shared" si="416"/>
        <v>0</v>
      </c>
      <c r="AO425" s="11">
        <f t="shared" si="417"/>
        <v>0</v>
      </c>
      <c r="AQ425" s="11">
        <f t="shared" si="418"/>
        <v>0</v>
      </c>
      <c r="AS425" s="11">
        <f t="shared" si="419"/>
        <v>0</v>
      </c>
      <c r="AU425" s="11">
        <f t="shared" si="420"/>
        <v>0</v>
      </c>
      <c r="AW425" s="11">
        <f t="shared" si="421"/>
        <v>0</v>
      </c>
      <c r="AY425" s="11">
        <f t="shared" si="422"/>
        <v>0</v>
      </c>
      <c r="BA425" s="11">
        <f t="shared" si="423"/>
        <v>0</v>
      </c>
      <c r="BC425" s="11">
        <f t="shared" si="424"/>
        <v>0</v>
      </c>
      <c r="BE425" s="11">
        <f t="shared" si="425"/>
        <v>0</v>
      </c>
      <c r="BG425" s="11">
        <f t="shared" si="426"/>
        <v>0</v>
      </c>
      <c r="BN425" s="8">
        <f t="shared" si="401"/>
        <v>0</v>
      </c>
      <c r="BO425" s="8">
        <f t="shared" si="402"/>
        <v>0</v>
      </c>
      <c r="BP425" s="8">
        <f t="shared" si="404"/>
        <v>0</v>
      </c>
      <c r="BQ425" s="12">
        <f t="shared" si="405"/>
        <v>0</v>
      </c>
    </row>
    <row r="426" spans="1:69">
      <c r="A426" s="28">
        <v>1973</v>
      </c>
      <c r="B426" s="27" t="s">
        <v>31</v>
      </c>
      <c r="C426" s="24">
        <f t="shared" si="408"/>
        <v>408</v>
      </c>
      <c r="D426" s="7" t="e">
        <f t="shared" ca="1" si="400"/>
        <v>#N/A</v>
      </c>
      <c r="E426" s="26">
        <f t="array" aca="1" ref="E426" ca="1">AVERAGE(IF(INDIRECT(DatCol&amp;"$"&amp;TEXT(C426,"###")):INDIRECT(DatCol&amp;"$"&amp;TEXT(C426+57,"###"))&gt;0,INDIRECT(DatCol&amp;"$"&amp;TEXT(C426,"###")):INDIRECT(DatCol&amp;"$"&amp;TEXT(C426+57,"###"))))</f>
        <v>194.51351351351352</v>
      </c>
      <c r="F426" s="26" t="str">
        <f t="shared" si="406"/>
        <v>C</v>
      </c>
      <c r="G426" s="8"/>
      <c r="H426" s="8">
        <v>25</v>
      </c>
      <c r="I426" s="8">
        <v>109</v>
      </c>
      <c r="J426" s="8">
        <v>1933</v>
      </c>
      <c r="K426" s="9">
        <f t="shared" si="403"/>
        <v>1958</v>
      </c>
      <c r="M426" s="11">
        <f t="shared" si="409"/>
        <v>0</v>
      </c>
      <c r="O426" s="11">
        <f t="shared" si="410"/>
        <v>0</v>
      </c>
      <c r="Q426" s="11">
        <f t="shared" si="411"/>
        <v>0</v>
      </c>
      <c r="Y426" s="11">
        <f t="shared" si="412"/>
        <v>0</v>
      </c>
      <c r="AG426" s="11">
        <f t="shared" si="413"/>
        <v>0</v>
      </c>
      <c r="AI426" s="11">
        <f t="shared" si="414"/>
        <v>0</v>
      </c>
      <c r="AJ426" s="12">
        <v>900</v>
      </c>
      <c r="AK426" s="13">
        <f t="shared" si="415"/>
        <v>8100</v>
      </c>
      <c r="AM426" s="13">
        <f t="shared" si="416"/>
        <v>0</v>
      </c>
      <c r="AO426" s="11">
        <f t="shared" si="417"/>
        <v>0</v>
      </c>
      <c r="AQ426" s="11">
        <f t="shared" si="418"/>
        <v>0</v>
      </c>
      <c r="AS426" s="11">
        <f t="shared" si="419"/>
        <v>0</v>
      </c>
      <c r="AU426" s="11">
        <f t="shared" si="420"/>
        <v>0</v>
      </c>
      <c r="AW426" s="11">
        <f t="shared" si="421"/>
        <v>0</v>
      </c>
      <c r="AY426" s="11">
        <f t="shared" si="422"/>
        <v>0</v>
      </c>
      <c r="BA426" s="11">
        <f t="shared" si="423"/>
        <v>0</v>
      </c>
      <c r="BC426" s="11">
        <f t="shared" si="424"/>
        <v>0</v>
      </c>
      <c r="BE426" s="11">
        <f t="shared" si="425"/>
        <v>0</v>
      </c>
      <c r="BG426" s="11">
        <f t="shared" si="426"/>
        <v>0</v>
      </c>
      <c r="BN426" s="8">
        <f t="shared" si="401"/>
        <v>900</v>
      </c>
      <c r="BO426" s="8">
        <f t="shared" si="402"/>
        <v>8100</v>
      </c>
      <c r="BP426" s="8">
        <f t="shared" si="404"/>
        <v>0</v>
      </c>
      <c r="BQ426" s="12">
        <f t="shared" si="405"/>
        <v>0</v>
      </c>
    </row>
    <row r="427" spans="1:69">
      <c r="A427" s="28">
        <v>1974</v>
      </c>
      <c r="B427" s="27" t="s">
        <v>31</v>
      </c>
      <c r="C427" s="24">
        <f t="shared" si="408"/>
        <v>408</v>
      </c>
      <c r="D427" s="7" t="e">
        <f t="shared" ca="1" si="400"/>
        <v>#N/A</v>
      </c>
      <c r="E427" s="26">
        <f t="array" aca="1" ref="E427" ca="1">AVERAGE(IF(INDIRECT(DatCol&amp;"$"&amp;TEXT(C427,"###")):INDIRECT(DatCol&amp;"$"&amp;TEXT(C427+57,"###"))&gt;0,INDIRECT(DatCol&amp;"$"&amp;TEXT(C427,"###")):INDIRECT(DatCol&amp;"$"&amp;TEXT(C427+57,"###"))))</f>
        <v>194.51351351351352</v>
      </c>
      <c r="F427" s="26" t="str">
        <f t="shared" si="406"/>
        <v>C</v>
      </c>
      <c r="G427" s="8"/>
      <c r="H427" s="8">
        <v>17</v>
      </c>
      <c r="I427" s="8">
        <v>10</v>
      </c>
      <c r="J427" s="8">
        <v>1518</v>
      </c>
      <c r="K427" s="9">
        <f t="shared" si="403"/>
        <v>1535</v>
      </c>
      <c r="L427" s="12">
        <v>250</v>
      </c>
      <c r="M427" s="11">
        <f t="shared" si="409"/>
        <v>12500</v>
      </c>
      <c r="N427" s="12">
        <v>75</v>
      </c>
      <c r="O427" s="11">
        <f t="shared" si="410"/>
        <v>3750</v>
      </c>
      <c r="P427" s="12">
        <v>300</v>
      </c>
      <c r="Q427" s="11">
        <f t="shared" si="411"/>
        <v>18000</v>
      </c>
      <c r="X427" s="12">
        <v>560</v>
      </c>
      <c r="Y427" s="11">
        <f t="shared" si="412"/>
        <v>33600</v>
      </c>
      <c r="AG427" s="11">
        <f t="shared" si="413"/>
        <v>0</v>
      </c>
      <c r="AH427" s="12">
        <v>150</v>
      </c>
      <c r="AI427" s="11">
        <f t="shared" si="414"/>
        <v>9750</v>
      </c>
      <c r="AJ427" s="12">
        <v>900</v>
      </c>
      <c r="AK427" s="13">
        <f t="shared" si="415"/>
        <v>8100</v>
      </c>
      <c r="AL427" s="12">
        <v>960</v>
      </c>
      <c r="AM427" s="13">
        <f t="shared" si="416"/>
        <v>8640</v>
      </c>
      <c r="AN427" s="12">
        <v>160</v>
      </c>
      <c r="AO427" s="11">
        <f t="shared" si="417"/>
        <v>12800</v>
      </c>
      <c r="AP427" s="12">
        <v>100</v>
      </c>
      <c r="AQ427" s="11">
        <f t="shared" si="418"/>
        <v>8000</v>
      </c>
      <c r="AS427" s="11">
        <f t="shared" si="419"/>
        <v>0</v>
      </c>
      <c r="AU427" s="11">
        <f t="shared" si="420"/>
        <v>0</v>
      </c>
      <c r="AW427" s="11">
        <f t="shared" si="421"/>
        <v>0</v>
      </c>
      <c r="AY427" s="11">
        <f t="shared" si="422"/>
        <v>0</v>
      </c>
      <c r="BA427" s="11">
        <f t="shared" si="423"/>
        <v>0</v>
      </c>
      <c r="BC427" s="11">
        <f t="shared" si="424"/>
        <v>0</v>
      </c>
      <c r="BE427" s="11">
        <f t="shared" si="425"/>
        <v>0</v>
      </c>
      <c r="BG427" s="11">
        <f t="shared" si="426"/>
        <v>0</v>
      </c>
      <c r="BN427" s="8">
        <f t="shared" si="401"/>
        <v>2170</v>
      </c>
      <c r="BO427" s="8">
        <f t="shared" si="402"/>
        <v>85000</v>
      </c>
      <c r="BP427" s="8">
        <f t="shared" si="404"/>
        <v>1845</v>
      </c>
      <c r="BQ427" s="12">
        <f t="shared" si="405"/>
        <v>63740</v>
      </c>
    </row>
    <row r="428" spans="1:69">
      <c r="A428" s="28">
        <v>1975</v>
      </c>
      <c r="B428" s="27" t="s">
        <v>31</v>
      </c>
      <c r="C428" s="24">
        <f t="shared" si="408"/>
        <v>408</v>
      </c>
      <c r="D428" s="7" t="e">
        <f t="shared" ca="1" si="400"/>
        <v>#N/A</v>
      </c>
      <c r="E428" s="26">
        <f t="array" aca="1" ref="E428" ca="1">AVERAGE(IF(INDIRECT(DatCol&amp;"$"&amp;TEXT(C428,"###")):INDIRECT(DatCol&amp;"$"&amp;TEXT(C428+57,"###"))&gt;0,INDIRECT(DatCol&amp;"$"&amp;TEXT(C428,"###")):INDIRECT(DatCol&amp;"$"&amp;TEXT(C428+57,"###"))))</f>
        <v>194.51351351351352</v>
      </c>
      <c r="F428" s="26" t="str">
        <f t="shared" si="406"/>
        <v>C</v>
      </c>
      <c r="G428" s="8"/>
      <c r="H428" s="8">
        <v>14</v>
      </c>
      <c r="I428" s="8">
        <v>75</v>
      </c>
      <c r="J428" s="8">
        <v>1738</v>
      </c>
      <c r="K428" s="9">
        <f t="shared" si="403"/>
        <v>1752</v>
      </c>
      <c r="L428" s="12" t="s">
        <v>42</v>
      </c>
      <c r="M428" s="11">
        <f t="shared" ref="M428:M443" si="427">(L428*50)</f>
        <v>0</v>
      </c>
      <c r="O428" s="11">
        <f t="shared" ref="O428:O443" si="428">(N428*50)</f>
        <v>0</v>
      </c>
      <c r="P428" s="12" t="s">
        <v>43</v>
      </c>
      <c r="Q428" s="11">
        <f t="shared" ref="Q428:Q443" si="429">((P428*330)/5.5)</f>
        <v>0</v>
      </c>
      <c r="Y428" s="11">
        <f t="shared" ref="Y428:Y443" si="430">((X428*330)/5.5)</f>
        <v>0</v>
      </c>
      <c r="AF428" s="12" t="s">
        <v>44</v>
      </c>
      <c r="AG428" s="11">
        <f t="shared" ref="AG428:AG443" si="431">(AF428*65)</f>
        <v>0</v>
      </c>
      <c r="AI428" s="11">
        <f t="shared" ref="AI428:AI443" si="432">(AH428*65)</f>
        <v>0</v>
      </c>
      <c r="AJ428" s="12" t="s">
        <v>45</v>
      </c>
      <c r="AK428" s="13">
        <f t="shared" ref="AK428:AK443" si="433">(AJ428*9)</f>
        <v>0</v>
      </c>
      <c r="AM428" s="13">
        <f t="shared" ref="AM428:AM443" si="434">(AL428*9)</f>
        <v>0</v>
      </c>
      <c r="AO428" s="11">
        <f t="shared" ref="AO428:AO443" si="435">(AN428*80)</f>
        <v>0</v>
      </c>
      <c r="AQ428" s="11">
        <f t="shared" ref="AQ428:AQ443" si="436">(AP428*80)</f>
        <v>0</v>
      </c>
      <c r="AS428" s="11">
        <f t="shared" ref="AS428:AS443" si="437">(AR428*50)</f>
        <v>0</v>
      </c>
      <c r="AU428" s="11">
        <f t="shared" ref="AU428:AU443" si="438">(AT428*50)</f>
        <v>0</v>
      </c>
      <c r="AW428" s="11">
        <f t="shared" ref="AW428:AW443" si="439">(AV428*60)</f>
        <v>0</v>
      </c>
      <c r="AY428" s="11">
        <f t="shared" ref="AY428:AY443" si="440">(AX428*60)</f>
        <v>0</v>
      </c>
      <c r="BA428" s="11">
        <f t="shared" ref="BA428:BA443" si="441">(AZ428*40)</f>
        <v>0</v>
      </c>
      <c r="BC428" s="11">
        <f t="shared" ref="BC428:BC443" si="442">(BB428*40)</f>
        <v>0</v>
      </c>
      <c r="BE428" s="11">
        <f t="shared" ref="BE428:BE443" si="443">(BD428*95)</f>
        <v>0</v>
      </c>
      <c r="BG428" s="11">
        <f t="shared" ref="BG428:BG443" si="444">(BF428*95)</f>
        <v>0</v>
      </c>
      <c r="BN428" s="8">
        <f t="shared" si="401"/>
        <v>0</v>
      </c>
      <c r="BO428" s="8">
        <f t="shared" si="402"/>
        <v>0</v>
      </c>
      <c r="BP428" s="8">
        <f t="shared" si="404"/>
        <v>0</v>
      </c>
      <c r="BQ428" s="12">
        <f t="shared" si="405"/>
        <v>0</v>
      </c>
    </row>
    <row r="429" spans="1:69">
      <c r="A429" s="28">
        <v>1976</v>
      </c>
      <c r="B429" s="27" t="s">
        <v>31</v>
      </c>
      <c r="C429" s="24">
        <f t="shared" si="408"/>
        <v>408</v>
      </c>
      <c r="D429" s="7" t="e">
        <f t="shared" ca="1" si="400"/>
        <v>#N/A</v>
      </c>
      <c r="E429" s="26">
        <f t="array" aca="1" ref="E429" ca="1">AVERAGE(IF(INDIRECT(DatCol&amp;"$"&amp;TEXT(C429,"###")):INDIRECT(DatCol&amp;"$"&amp;TEXT(C429+57,"###"))&gt;0,INDIRECT(DatCol&amp;"$"&amp;TEXT(C429,"###")):INDIRECT(DatCol&amp;"$"&amp;TEXT(C429+57,"###"))))</f>
        <v>194.51351351351352</v>
      </c>
      <c r="F429" s="26" t="str">
        <f t="shared" si="406"/>
        <v>C</v>
      </c>
      <c r="G429" s="8"/>
      <c r="H429" s="8">
        <v>4</v>
      </c>
      <c r="I429" s="8">
        <v>12</v>
      </c>
      <c r="J429" s="8">
        <v>1172</v>
      </c>
      <c r="K429" s="9">
        <f t="shared" si="403"/>
        <v>1176</v>
      </c>
      <c r="L429" s="12">
        <v>1000</v>
      </c>
      <c r="M429" s="11">
        <f t="shared" si="427"/>
        <v>50000</v>
      </c>
      <c r="N429" s="12">
        <v>300</v>
      </c>
      <c r="O429" s="11">
        <f t="shared" si="428"/>
        <v>15000</v>
      </c>
      <c r="Q429" s="11">
        <f t="shared" si="429"/>
        <v>0</v>
      </c>
      <c r="X429" s="12">
        <v>600</v>
      </c>
      <c r="Y429" s="11">
        <f t="shared" si="430"/>
        <v>36000</v>
      </c>
      <c r="AG429" s="11">
        <f t="shared" si="431"/>
        <v>0</v>
      </c>
      <c r="AH429" s="12">
        <v>275</v>
      </c>
      <c r="AI429" s="11">
        <f t="shared" si="432"/>
        <v>17875</v>
      </c>
      <c r="AK429" s="13">
        <f t="shared" si="433"/>
        <v>0</v>
      </c>
      <c r="AM429" s="13">
        <f t="shared" si="434"/>
        <v>0</v>
      </c>
      <c r="AN429" s="12">
        <v>150</v>
      </c>
      <c r="AO429" s="11">
        <f t="shared" si="435"/>
        <v>12000</v>
      </c>
      <c r="AP429" s="12">
        <v>500</v>
      </c>
      <c r="AQ429" s="11">
        <f t="shared" si="436"/>
        <v>40000</v>
      </c>
      <c r="AS429" s="11">
        <f t="shared" si="437"/>
        <v>0</v>
      </c>
      <c r="AU429" s="11">
        <f t="shared" si="438"/>
        <v>0</v>
      </c>
      <c r="AW429" s="11">
        <f t="shared" si="439"/>
        <v>0</v>
      </c>
      <c r="AY429" s="11">
        <f t="shared" si="440"/>
        <v>0</v>
      </c>
      <c r="BA429" s="11">
        <f t="shared" si="441"/>
        <v>0</v>
      </c>
      <c r="BC429" s="11">
        <f t="shared" si="442"/>
        <v>0</v>
      </c>
      <c r="BE429" s="11">
        <f t="shared" si="443"/>
        <v>0</v>
      </c>
      <c r="BG429" s="11">
        <f t="shared" si="444"/>
        <v>0</v>
      </c>
      <c r="BN429" s="8">
        <f t="shared" si="401"/>
        <v>1750</v>
      </c>
      <c r="BO429" s="8">
        <f t="shared" si="402"/>
        <v>98000</v>
      </c>
      <c r="BP429" s="8">
        <f t="shared" si="404"/>
        <v>1675</v>
      </c>
      <c r="BQ429" s="12">
        <f t="shared" si="405"/>
        <v>108875</v>
      </c>
    </row>
    <row r="430" spans="1:69">
      <c r="A430" s="28">
        <v>1977</v>
      </c>
      <c r="B430" s="27" t="s">
        <v>31</v>
      </c>
      <c r="C430" s="24">
        <f t="shared" si="408"/>
        <v>408</v>
      </c>
      <c r="D430" s="7" t="e">
        <f t="shared" ca="1" si="400"/>
        <v>#N/A</v>
      </c>
      <c r="E430" s="26">
        <f t="array" aca="1" ref="E430" ca="1">AVERAGE(IF(INDIRECT(DatCol&amp;"$"&amp;TEXT(C430,"###")):INDIRECT(DatCol&amp;"$"&amp;TEXT(C430+57,"###"))&gt;0,INDIRECT(DatCol&amp;"$"&amp;TEXT(C430,"###")):INDIRECT(DatCol&amp;"$"&amp;TEXT(C430+57,"###"))))</f>
        <v>194.51351351351352</v>
      </c>
      <c r="F430" s="26" t="str">
        <f t="shared" si="406"/>
        <v>C</v>
      </c>
      <c r="G430" s="8"/>
      <c r="H430" s="8">
        <v>7</v>
      </c>
      <c r="I430" s="8">
        <v>69</v>
      </c>
      <c r="J430" s="8">
        <v>1800</v>
      </c>
      <c r="K430" s="9">
        <f t="shared" si="403"/>
        <v>1807</v>
      </c>
      <c r="L430" s="12">
        <v>350</v>
      </c>
      <c r="M430" s="11">
        <f t="shared" si="427"/>
        <v>17500</v>
      </c>
      <c r="N430" s="12">
        <v>135</v>
      </c>
      <c r="O430" s="11">
        <f t="shared" si="428"/>
        <v>6750</v>
      </c>
      <c r="P430" s="12">
        <v>150</v>
      </c>
      <c r="Q430" s="11">
        <f t="shared" si="429"/>
        <v>9000</v>
      </c>
      <c r="X430" s="12">
        <v>500</v>
      </c>
      <c r="Y430" s="11">
        <f t="shared" si="430"/>
        <v>30000</v>
      </c>
      <c r="AG430" s="11">
        <f t="shared" si="431"/>
        <v>0</v>
      </c>
      <c r="AH430" s="12">
        <v>350</v>
      </c>
      <c r="AI430" s="11">
        <f t="shared" si="432"/>
        <v>22750</v>
      </c>
      <c r="AJ430" s="12">
        <v>1200</v>
      </c>
      <c r="AK430" s="13">
        <f t="shared" si="433"/>
        <v>10800</v>
      </c>
      <c r="AL430" s="12">
        <v>2000</v>
      </c>
      <c r="AM430" s="13">
        <f t="shared" si="434"/>
        <v>18000</v>
      </c>
      <c r="AO430" s="11">
        <f t="shared" si="435"/>
        <v>0</v>
      </c>
      <c r="AP430" s="12">
        <v>250</v>
      </c>
      <c r="AQ430" s="11">
        <f t="shared" si="436"/>
        <v>20000</v>
      </c>
      <c r="AS430" s="11">
        <f t="shared" si="437"/>
        <v>0</v>
      </c>
      <c r="AU430" s="11">
        <f t="shared" si="438"/>
        <v>0</v>
      </c>
      <c r="AW430" s="11">
        <f t="shared" si="439"/>
        <v>0</v>
      </c>
      <c r="AY430" s="11">
        <f t="shared" si="440"/>
        <v>0</v>
      </c>
      <c r="BA430" s="11">
        <f t="shared" si="441"/>
        <v>0</v>
      </c>
      <c r="BC430" s="11">
        <f t="shared" si="442"/>
        <v>0</v>
      </c>
      <c r="BE430" s="11">
        <f t="shared" si="443"/>
        <v>0</v>
      </c>
      <c r="BG430" s="11">
        <f t="shared" si="444"/>
        <v>0</v>
      </c>
      <c r="BN430" s="8">
        <f t="shared" si="401"/>
        <v>2200</v>
      </c>
      <c r="BO430" s="8">
        <f t="shared" si="402"/>
        <v>67300</v>
      </c>
      <c r="BP430" s="8">
        <f t="shared" si="404"/>
        <v>3235</v>
      </c>
      <c r="BQ430" s="12">
        <f t="shared" si="405"/>
        <v>97500</v>
      </c>
    </row>
    <row r="431" spans="1:69">
      <c r="A431" s="28">
        <v>1978</v>
      </c>
      <c r="B431" s="27" t="s">
        <v>31</v>
      </c>
      <c r="C431" s="24">
        <f t="shared" si="408"/>
        <v>408</v>
      </c>
      <c r="D431" s="7" t="e">
        <f t="shared" ca="1" si="400"/>
        <v>#N/A</v>
      </c>
      <c r="E431" s="26">
        <f t="array" aca="1" ref="E431" ca="1">AVERAGE(IF(INDIRECT(DatCol&amp;"$"&amp;TEXT(C431,"###")):INDIRECT(DatCol&amp;"$"&amp;TEXT(C431+57,"###"))&gt;0,INDIRECT(DatCol&amp;"$"&amp;TEXT(C431,"###")):INDIRECT(DatCol&amp;"$"&amp;TEXT(C431+57,"###"))))</f>
        <v>194.51351351351352</v>
      </c>
      <c r="F431" s="26" t="str">
        <f t="shared" si="406"/>
        <v>C</v>
      </c>
      <c r="G431" s="8"/>
      <c r="H431" s="8">
        <v>10</v>
      </c>
      <c r="I431" s="8">
        <v>55</v>
      </c>
      <c r="J431" s="8">
        <v>1530</v>
      </c>
      <c r="K431" s="9">
        <f t="shared" si="403"/>
        <v>1540</v>
      </c>
      <c r="L431" s="12">
        <v>640</v>
      </c>
      <c r="M431" s="11">
        <f t="shared" si="427"/>
        <v>32000</v>
      </c>
      <c r="N431" s="12">
        <v>150</v>
      </c>
      <c r="O431" s="11">
        <f t="shared" si="428"/>
        <v>7500</v>
      </c>
      <c r="P431" s="12">
        <v>300</v>
      </c>
      <c r="Q431" s="11">
        <f t="shared" si="429"/>
        <v>18000</v>
      </c>
      <c r="X431" s="12">
        <v>600</v>
      </c>
      <c r="Y431" s="11">
        <f t="shared" si="430"/>
        <v>36000</v>
      </c>
      <c r="AG431" s="11">
        <f t="shared" si="431"/>
        <v>0</v>
      </c>
      <c r="AH431" s="12">
        <v>250</v>
      </c>
      <c r="AI431" s="11">
        <f t="shared" si="432"/>
        <v>16250</v>
      </c>
      <c r="AJ431" s="12">
        <v>150</v>
      </c>
      <c r="AK431" s="13">
        <f t="shared" si="433"/>
        <v>1350</v>
      </c>
      <c r="AL431" s="12">
        <v>175</v>
      </c>
      <c r="AM431" s="13">
        <f t="shared" si="434"/>
        <v>1575</v>
      </c>
      <c r="AO431" s="11">
        <f t="shared" si="435"/>
        <v>0</v>
      </c>
      <c r="AP431" s="12">
        <v>200</v>
      </c>
      <c r="AQ431" s="11">
        <f t="shared" si="436"/>
        <v>16000</v>
      </c>
      <c r="AS431" s="11">
        <f t="shared" si="437"/>
        <v>0</v>
      </c>
      <c r="AU431" s="11">
        <f t="shared" si="438"/>
        <v>0</v>
      </c>
      <c r="AW431" s="11">
        <f t="shared" si="439"/>
        <v>0</v>
      </c>
      <c r="AY431" s="11">
        <f t="shared" si="440"/>
        <v>0</v>
      </c>
      <c r="BA431" s="11">
        <f t="shared" si="441"/>
        <v>0</v>
      </c>
      <c r="BC431" s="11">
        <f t="shared" si="442"/>
        <v>0</v>
      </c>
      <c r="BE431" s="11">
        <f t="shared" si="443"/>
        <v>0</v>
      </c>
      <c r="BG431" s="11">
        <f t="shared" si="444"/>
        <v>0</v>
      </c>
      <c r="BN431" s="8">
        <f t="shared" si="401"/>
        <v>1690</v>
      </c>
      <c r="BO431" s="8">
        <f t="shared" si="402"/>
        <v>87350</v>
      </c>
      <c r="BP431" s="8">
        <f t="shared" si="404"/>
        <v>1375</v>
      </c>
      <c r="BQ431" s="12">
        <f t="shared" si="405"/>
        <v>77325</v>
      </c>
    </row>
    <row r="432" spans="1:69">
      <c r="A432" s="28">
        <v>1979</v>
      </c>
      <c r="B432" s="27" t="s">
        <v>31</v>
      </c>
      <c r="C432" s="24">
        <f t="shared" si="408"/>
        <v>408</v>
      </c>
      <c r="D432" s="7" t="e">
        <f t="shared" ca="1" si="400"/>
        <v>#N/A</v>
      </c>
      <c r="E432" s="26">
        <f t="array" aca="1" ref="E432" ca="1">AVERAGE(IF(INDIRECT(DatCol&amp;"$"&amp;TEXT(C432,"###")):INDIRECT(DatCol&amp;"$"&amp;TEXT(C432+57,"###"))&gt;0,INDIRECT(DatCol&amp;"$"&amp;TEXT(C432,"###")):INDIRECT(DatCol&amp;"$"&amp;TEXT(C432+57,"###"))))</f>
        <v>194.51351351351352</v>
      </c>
      <c r="F432" s="26" t="str">
        <f t="shared" si="406"/>
        <v>C</v>
      </c>
      <c r="G432" s="8"/>
      <c r="H432" s="8">
        <v>15</v>
      </c>
      <c r="I432" s="8">
        <v>97</v>
      </c>
      <c r="J432" s="8">
        <v>1796</v>
      </c>
      <c r="K432" s="9">
        <f t="shared" si="403"/>
        <v>1811</v>
      </c>
      <c r="L432" s="12">
        <v>1200</v>
      </c>
      <c r="M432" s="11">
        <f t="shared" si="427"/>
        <v>60000</v>
      </c>
      <c r="N432" s="12">
        <v>400</v>
      </c>
      <c r="O432" s="11">
        <f t="shared" si="428"/>
        <v>20000</v>
      </c>
      <c r="P432" s="12">
        <v>500</v>
      </c>
      <c r="Q432" s="11">
        <f t="shared" si="429"/>
        <v>30000</v>
      </c>
      <c r="X432" s="12">
        <v>500</v>
      </c>
      <c r="Y432" s="11">
        <f t="shared" si="430"/>
        <v>30000</v>
      </c>
      <c r="AG432" s="11">
        <f t="shared" si="431"/>
        <v>0</v>
      </c>
      <c r="AH432" s="12">
        <v>250</v>
      </c>
      <c r="AI432" s="11">
        <f t="shared" si="432"/>
        <v>16250</v>
      </c>
      <c r="AJ432" s="12">
        <v>2800</v>
      </c>
      <c r="AK432" s="13">
        <f t="shared" si="433"/>
        <v>25200</v>
      </c>
      <c r="AL432" s="12">
        <v>1200</v>
      </c>
      <c r="AM432" s="13">
        <f t="shared" si="434"/>
        <v>10800</v>
      </c>
      <c r="AN432" s="12">
        <v>150</v>
      </c>
      <c r="AO432" s="11">
        <f t="shared" si="435"/>
        <v>12000</v>
      </c>
      <c r="AP432" s="12">
        <v>350</v>
      </c>
      <c r="AQ432" s="11">
        <f t="shared" si="436"/>
        <v>28000</v>
      </c>
      <c r="AS432" s="11">
        <f t="shared" si="437"/>
        <v>0</v>
      </c>
      <c r="AT432" s="12">
        <v>50</v>
      </c>
      <c r="AU432" s="11">
        <f t="shared" si="438"/>
        <v>2500</v>
      </c>
      <c r="AV432" s="12">
        <v>1500</v>
      </c>
      <c r="AW432" s="11">
        <f t="shared" si="439"/>
        <v>90000</v>
      </c>
      <c r="AY432" s="11">
        <f t="shared" si="440"/>
        <v>0</v>
      </c>
      <c r="BA432" s="11">
        <f t="shared" si="441"/>
        <v>0</v>
      </c>
      <c r="BC432" s="11">
        <f t="shared" si="442"/>
        <v>0</v>
      </c>
      <c r="BE432" s="11">
        <f t="shared" si="443"/>
        <v>0</v>
      </c>
      <c r="BG432" s="11">
        <f t="shared" si="444"/>
        <v>0</v>
      </c>
      <c r="BN432" s="8">
        <f t="shared" si="401"/>
        <v>6650</v>
      </c>
      <c r="BO432" s="8">
        <f t="shared" si="402"/>
        <v>247200</v>
      </c>
      <c r="BP432" s="8">
        <f t="shared" si="404"/>
        <v>2750</v>
      </c>
      <c r="BQ432" s="12">
        <f t="shared" si="405"/>
        <v>107550</v>
      </c>
    </row>
    <row r="433" spans="1:69">
      <c r="A433" s="28">
        <v>1980</v>
      </c>
      <c r="B433" s="27" t="s">
        <v>31</v>
      </c>
      <c r="C433" s="24">
        <f t="shared" si="408"/>
        <v>408</v>
      </c>
      <c r="D433" s="7" t="e">
        <f t="shared" ca="1" si="400"/>
        <v>#N/A</v>
      </c>
      <c r="E433" s="26">
        <f t="array" aca="1" ref="E433" ca="1">AVERAGE(IF(INDIRECT(DatCol&amp;"$"&amp;TEXT(C433,"###")):INDIRECT(DatCol&amp;"$"&amp;TEXT(C433+57,"###"))&gt;0,INDIRECT(DatCol&amp;"$"&amp;TEXT(C433,"###")):INDIRECT(DatCol&amp;"$"&amp;TEXT(C433+57,"###"))))</f>
        <v>194.51351351351352</v>
      </c>
      <c r="F433" s="26" t="str">
        <f t="shared" si="406"/>
        <v>C</v>
      </c>
      <c r="G433" s="8"/>
      <c r="H433" s="8">
        <v>30</v>
      </c>
      <c r="I433" s="8">
        <v>95</v>
      </c>
      <c r="J433" s="8">
        <v>2148</v>
      </c>
      <c r="K433" s="9">
        <f t="shared" si="403"/>
        <v>2178</v>
      </c>
      <c r="L433" s="12">
        <v>2200</v>
      </c>
      <c r="M433" s="11">
        <f t="shared" si="427"/>
        <v>110000</v>
      </c>
      <c r="N433" s="12">
        <v>150</v>
      </c>
      <c r="O433" s="11">
        <f t="shared" si="428"/>
        <v>7500</v>
      </c>
      <c r="P433" s="12">
        <v>550</v>
      </c>
      <c r="Q433" s="11">
        <f t="shared" si="429"/>
        <v>33000</v>
      </c>
      <c r="X433" s="12">
        <v>500</v>
      </c>
      <c r="Y433" s="11">
        <f t="shared" si="430"/>
        <v>30000</v>
      </c>
      <c r="AG433" s="11">
        <f t="shared" si="431"/>
        <v>0</v>
      </c>
      <c r="AH433" s="12">
        <v>125</v>
      </c>
      <c r="AI433" s="11">
        <f t="shared" si="432"/>
        <v>8125</v>
      </c>
      <c r="AJ433" s="12">
        <v>1050</v>
      </c>
      <c r="AK433" s="13">
        <f t="shared" si="433"/>
        <v>9450</v>
      </c>
      <c r="AL433" s="12">
        <v>600</v>
      </c>
      <c r="AM433" s="13">
        <f t="shared" si="434"/>
        <v>5400</v>
      </c>
      <c r="AN433" s="12">
        <v>5</v>
      </c>
      <c r="AO433" s="11">
        <f t="shared" si="435"/>
        <v>400</v>
      </c>
      <c r="AP433" s="12">
        <v>100</v>
      </c>
      <c r="AQ433" s="11">
        <f t="shared" si="436"/>
        <v>8000</v>
      </c>
      <c r="AS433" s="11">
        <f t="shared" si="437"/>
        <v>0</v>
      </c>
      <c r="AT433" s="12">
        <v>25</v>
      </c>
      <c r="AU433" s="11">
        <f t="shared" si="438"/>
        <v>1250</v>
      </c>
      <c r="AW433" s="11">
        <f t="shared" si="439"/>
        <v>0</v>
      </c>
      <c r="AY433" s="11">
        <f t="shared" si="440"/>
        <v>0</v>
      </c>
      <c r="AZ433" s="12">
        <v>1500</v>
      </c>
      <c r="BA433" s="11">
        <f t="shared" si="441"/>
        <v>60000</v>
      </c>
      <c r="BC433" s="11">
        <f t="shared" si="442"/>
        <v>0</v>
      </c>
      <c r="BE433" s="11">
        <f t="shared" si="443"/>
        <v>0</v>
      </c>
      <c r="BG433" s="11">
        <f t="shared" si="444"/>
        <v>0</v>
      </c>
      <c r="BN433" s="8">
        <f t="shared" si="401"/>
        <v>5805</v>
      </c>
      <c r="BO433" s="8">
        <f t="shared" si="402"/>
        <v>242850</v>
      </c>
      <c r="BP433" s="8">
        <f t="shared" si="404"/>
        <v>1500</v>
      </c>
      <c r="BQ433" s="12">
        <f t="shared" si="405"/>
        <v>60275</v>
      </c>
    </row>
    <row r="434" spans="1:69">
      <c r="A434" s="28">
        <v>1981</v>
      </c>
      <c r="B434" s="27" t="s">
        <v>31</v>
      </c>
      <c r="C434" s="24">
        <f t="shared" si="408"/>
        <v>408</v>
      </c>
      <c r="D434" s="7" t="e">
        <f t="shared" ca="1" si="400"/>
        <v>#N/A</v>
      </c>
      <c r="E434" s="26">
        <f t="array" aca="1" ref="E434" ca="1">AVERAGE(IF(INDIRECT(DatCol&amp;"$"&amp;TEXT(C434,"###")):INDIRECT(DatCol&amp;"$"&amp;TEXT(C434+57,"###"))&gt;0,INDIRECT(DatCol&amp;"$"&amp;TEXT(C434,"###")):INDIRECT(DatCol&amp;"$"&amp;TEXT(C434+57,"###"))))</f>
        <v>194.51351351351352</v>
      </c>
      <c r="F434" s="26" t="str">
        <f t="shared" si="406"/>
        <v>C</v>
      </c>
      <c r="G434" s="8"/>
      <c r="H434" s="8">
        <v>25</v>
      </c>
      <c r="I434" s="8">
        <v>29</v>
      </c>
      <c r="J434" s="8">
        <v>2180</v>
      </c>
      <c r="K434" s="9">
        <f t="shared" si="403"/>
        <v>2205</v>
      </c>
      <c r="L434" s="12">
        <v>2275</v>
      </c>
      <c r="M434" s="11">
        <f t="shared" si="427"/>
        <v>113750</v>
      </c>
      <c r="N434" s="12">
        <v>165</v>
      </c>
      <c r="O434" s="11">
        <f t="shared" si="428"/>
        <v>8250</v>
      </c>
      <c r="P434" s="12">
        <v>550</v>
      </c>
      <c r="Q434" s="11">
        <f t="shared" si="429"/>
        <v>33000</v>
      </c>
      <c r="X434" s="12">
        <v>1075</v>
      </c>
      <c r="Y434" s="11">
        <f t="shared" si="430"/>
        <v>64500</v>
      </c>
      <c r="AG434" s="11">
        <f t="shared" si="431"/>
        <v>0</v>
      </c>
      <c r="AH434" s="12">
        <v>310</v>
      </c>
      <c r="AI434" s="11">
        <f t="shared" si="432"/>
        <v>20150</v>
      </c>
      <c r="AJ434" s="12">
        <v>10</v>
      </c>
      <c r="AK434" s="13">
        <f t="shared" si="433"/>
        <v>90</v>
      </c>
      <c r="AL434" s="12">
        <v>25</v>
      </c>
      <c r="AM434" s="13">
        <f t="shared" si="434"/>
        <v>225</v>
      </c>
      <c r="AO434" s="11">
        <f t="shared" si="435"/>
        <v>0</v>
      </c>
      <c r="AP434" s="12">
        <v>130</v>
      </c>
      <c r="AQ434" s="11">
        <f t="shared" si="436"/>
        <v>10400</v>
      </c>
      <c r="AS434" s="11">
        <f t="shared" si="437"/>
        <v>0</v>
      </c>
      <c r="AT434" s="12">
        <v>25</v>
      </c>
      <c r="AU434" s="11">
        <f t="shared" si="438"/>
        <v>1250</v>
      </c>
      <c r="AW434" s="11">
        <f t="shared" si="439"/>
        <v>0</v>
      </c>
      <c r="AY434" s="11">
        <f t="shared" si="440"/>
        <v>0</v>
      </c>
      <c r="BA434" s="11">
        <f t="shared" si="441"/>
        <v>0</v>
      </c>
      <c r="BB434" s="12">
        <v>5</v>
      </c>
      <c r="BC434" s="11">
        <f t="shared" si="442"/>
        <v>200</v>
      </c>
      <c r="BE434" s="11">
        <f t="shared" si="443"/>
        <v>0</v>
      </c>
      <c r="BG434" s="11">
        <f t="shared" si="444"/>
        <v>0</v>
      </c>
      <c r="BN434" s="8">
        <f t="shared" si="401"/>
        <v>3910</v>
      </c>
      <c r="BO434" s="8">
        <f t="shared" si="402"/>
        <v>211340</v>
      </c>
      <c r="BP434" s="8">
        <f t="shared" si="404"/>
        <v>1735</v>
      </c>
      <c r="BQ434" s="12">
        <f t="shared" si="405"/>
        <v>104975</v>
      </c>
    </row>
    <row r="435" spans="1:69">
      <c r="A435" s="28">
        <v>1982</v>
      </c>
      <c r="B435" s="27" t="s">
        <v>31</v>
      </c>
      <c r="C435" s="24">
        <f t="shared" si="408"/>
        <v>408</v>
      </c>
      <c r="D435" s="7" t="e">
        <f t="shared" ca="1" si="400"/>
        <v>#N/A</v>
      </c>
      <c r="E435" s="26">
        <f t="array" aca="1" ref="E435" ca="1">AVERAGE(IF(INDIRECT(DatCol&amp;"$"&amp;TEXT(C435,"###")):INDIRECT(DatCol&amp;"$"&amp;TEXT(C435+57,"###"))&gt;0,INDIRECT(DatCol&amp;"$"&amp;TEXT(C435,"###")):INDIRECT(DatCol&amp;"$"&amp;TEXT(C435+57,"###"))))</f>
        <v>194.51351351351352</v>
      </c>
      <c r="F435" s="26" t="str">
        <f t="shared" si="406"/>
        <v>C</v>
      </c>
      <c r="G435" s="8"/>
      <c r="H435" s="8">
        <v>42</v>
      </c>
      <c r="I435" s="8">
        <v>28</v>
      </c>
      <c r="J435" s="8">
        <v>1839</v>
      </c>
      <c r="K435" s="9">
        <f t="shared" si="403"/>
        <v>1881</v>
      </c>
      <c r="L435" s="12">
        <v>1760</v>
      </c>
      <c r="M435" s="11">
        <f t="shared" si="427"/>
        <v>88000</v>
      </c>
      <c r="N435" s="12">
        <v>125</v>
      </c>
      <c r="O435" s="11">
        <f t="shared" si="428"/>
        <v>6250</v>
      </c>
      <c r="P435" s="12">
        <v>600</v>
      </c>
      <c r="Q435" s="11">
        <f t="shared" si="429"/>
        <v>36000</v>
      </c>
      <c r="X435" s="12">
        <v>1100</v>
      </c>
      <c r="Y435" s="11">
        <f t="shared" si="430"/>
        <v>66000</v>
      </c>
      <c r="AG435" s="11">
        <f t="shared" si="431"/>
        <v>0</v>
      </c>
      <c r="AH435" s="12">
        <v>290</v>
      </c>
      <c r="AI435" s="11">
        <f t="shared" si="432"/>
        <v>18850</v>
      </c>
      <c r="AJ435" s="12">
        <v>2000</v>
      </c>
      <c r="AK435" s="13">
        <f t="shared" si="433"/>
        <v>18000</v>
      </c>
      <c r="AL435" s="12">
        <v>1050</v>
      </c>
      <c r="AM435" s="13">
        <f t="shared" si="434"/>
        <v>9450</v>
      </c>
      <c r="AN435" s="12">
        <v>2500</v>
      </c>
      <c r="AO435" s="11">
        <f t="shared" si="435"/>
        <v>200000</v>
      </c>
      <c r="AP435" s="12">
        <v>125</v>
      </c>
      <c r="AQ435" s="11">
        <f t="shared" si="436"/>
        <v>10000</v>
      </c>
      <c r="AS435" s="11">
        <f t="shared" si="437"/>
        <v>0</v>
      </c>
      <c r="AT435" s="12">
        <v>25</v>
      </c>
      <c r="AU435" s="11">
        <f t="shared" si="438"/>
        <v>1250</v>
      </c>
      <c r="AW435" s="11">
        <f t="shared" si="439"/>
        <v>0</v>
      </c>
      <c r="AY435" s="11">
        <f t="shared" si="440"/>
        <v>0</v>
      </c>
      <c r="BA435" s="11">
        <f t="shared" si="441"/>
        <v>0</v>
      </c>
      <c r="BB435" s="12">
        <v>5</v>
      </c>
      <c r="BC435" s="11">
        <f t="shared" si="442"/>
        <v>200</v>
      </c>
      <c r="BE435" s="11">
        <f t="shared" si="443"/>
        <v>0</v>
      </c>
      <c r="BG435" s="11">
        <f t="shared" si="444"/>
        <v>0</v>
      </c>
      <c r="BH435" s="13" t="s">
        <v>46</v>
      </c>
      <c r="BN435" s="8">
        <f t="shared" si="401"/>
        <v>7960</v>
      </c>
      <c r="BO435" s="8">
        <f t="shared" si="402"/>
        <v>408000</v>
      </c>
      <c r="BP435" s="8">
        <f t="shared" si="404"/>
        <v>2720</v>
      </c>
      <c r="BQ435" s="12">
        <f t="shared" si="405"/>
        <v>112000</v>
      </c>
    </row>
    <row r="436" spans="1:69">
      <c r="A436" s="28">
        <v>1983</v>
      </c>
      <c r="B436" s="27" t="s">
        <v>31</v>
      </c>
      <c r="C436" s="24">
        <f t="shared" si="408"/>
        <v>408</v>
      </c>
      <c r="D436" s="7" t="e">
        <f t="shared" ca="1" si="400"/>
        <v>#N/A</v>
      </c>
      <c r="E436" s="26">
        <f t="array" aca="1" ref="E436" ca="1">AVERAGE(IF(INDIRECT(DatCol&amp;"$"&amp;TEXT(C436,"###")):INDIRECT(DatCol&amp;"$"&amp;TEXT(C436+57,"###"))&gt;0,INDIRECT(DatCol&amp;"$"&amp;TEXT(C436,"###")):INDIRECT(DatCol&amp;"$"&amp;TEXT(C436+57,"###"))))</f>
        <v>194.51351351351352</v>
      </c>
      <c r="F436" s="26" t="str">
        <f t="shared" si="406"/>
        <v>C</v>
      </c>
      <c r="G436" s="8"/>
      <c r="H436" s="8">
        <v>33</v>
      </c>
      <c r="I436" s="8">
        <v>23</v>
      </c>
      <c r="J436" s="8">
        <v>1695</v>
      </c>
      <c r="K436" s="9">
        <f t="shared" si="403"/>
        <v>1728</v>
      </c>
      <c r="L436" s="12">
        <v>1760</v>
      </c>
      <c r="M436" s="11">
        <f t="shared" si="427"/>
        <v>88000</v>
      </c>
      <c r="N436" s="12">
        <v>185</v>
      </c>
      <c r="O436" s="11">
        <f t="shared" si="428"/>
        <v>9250</v>
      </c>
      <c r="P436" s="12">
        <v>450</v>
      </c>
      <c r="Q436" s="11">
        <f t="shared" si="429"/>
        <v>27000</v>
      </c>
      <c r="X436" s="12">
        <v>1175</v>
      </c>
      <c r="Y436" s="11">
        <f t="shared" si="430"/>
        <v>70500</v>
      </c>
      <c r="AG436" s="11">
        <f t="shared" si="431"/>
        <v>0</v>
      </c>
      <c r="AH436" s="12">
        <v>310</v>
      </c>
      <c r="AI436" s="11">
        <f t="shared" si="432"/>
        <v>20150</v>
      </c>
      <c r="AJ436" s="12">
        <v>410</v>
      </c>
      <c r="AK436" s="13">
        <f t="shared" si="433"/>
        <v>3690</v>
      </c>
      <c r="AL436" s="12">
        <v>310</v>
      </c>
      <c r="AM436" s="13">
        <f t="shared" si="434"/>
        <v>2790</v>
      </c>
      <c r="AO436" s="11">
        <f t="shared" si="435"/>
        <v>0</v>
      </c>
      <c r="AP436" s="12">
        <v>75</v>
      </c>
      <c r="AQ436" s="11">
        <f t="shared" si="436"/>
        <v>6000</v>
      </c>
      <c r="AS436" s="11">
        <f t="shared" si="437"/>
        <v>0</v>
      </c>
      <c r="AT436" s="12">
        <v>30</v>
      </c>
      <c r="AU436" s="11">
        <f t="shared" si="438"/>
        <v>1500</v>
      </c>
      <c r="AW436" s="11">
        <f t="shared" si="439"/>
        <v>0</v>
      </c>
      <c r="AX436" s="12">
        <v>10</v>
      </c>
      <c r="AY436" s="11">
        <f t="shared" si="440"/>
        <v>600</v>
      </c>
      <c r="BA436" s="11">
        <f t="shared" si="441"/>
        <v>0</v>
      </c>
      <c r="BB436" s="12">
        <v>5</v>
      </c>
      <c r="BC436" s="11">
        <f t="shared" si="442"/>
        <v>200</v>
      </c>
      <c r="BE436" s="11">
        <f t="shared" si="443"/>
        <v>0</v>
      </c>
      <c r="BG436" s="11">
        <f t="shared" si="444"/>
        <v>0</v>
      </c>
      <c r="BN436" s="8">
        <f t="shared" si="401"/>
        <v>3795</v>
      </c>
      <c r="BO436" s="8">
        <f t="shared" si="402"/>
        <v>189190</v>
      </c>
      <c r="BP436" s="8">
        <f t="shared" si="404"/>
        <v>2100</v>
      </c>
      <c r="BQ436" s="12">
        <f t="shared" si="405"/>
        <v>110990</v>
      </c>
    </row>
    <row r="437" spans="1:69">
      <c r="A437" s="28">
        <v>1984</v>
      </c>
      <c r="B437" s="27" t="s">
        <v>31</v>
      </c>
      <c r="C437" s="24">
        <f t="shared" si="408"/>
        <v>408</v>
      </c>
      <c r="D437" s="7" t="e">
        <f t="shared" ca="1" si="400"/>
        <v>#N/A</v>
      </c>
      <c r="E437" s="26">
        <f t="array" aca="1" ref="E437" ca="1">AVERAGE(IF(INDIRECT(DatCol&amp;"$"&amp;TEXT(C437,"###")):INDIRECT(DatCol&amp;"$"&amp;TEXT(C437+57,"###"))&gt;0,INDIRECT(DatCol&amp;"$"&amp;TEXT(C437,"###")):INDIRECT(DatCol&amp;"$"&amp;TEXT(C437+57,"###"))))</f>
        <v>194.51351351351352</v>
      </c>
      <c r="F437" s="26" t="str">
        <f t="shared" si="406"/>
        <v>C</v>
      </c>
      <c r="G437" s="8"/>
      <c r="H437" s="8">
        <v>32</v>
      </c>
      <c r="I437" s="8">
        <v>24</v>
      </c>
      <c r="J437" s="8">
        <v>1421</v>
      </c>
      <c r="K437" s="9">
        <f t="shared" si="403"/>
        <v>1453</v>
      </c>
      <c r="L437" s="12">
        <v>1888</v>
      </c>
      <c r="M437" s="11">
        <f t="shared" si="427"/>
        <v>94400</v>
      </c>
      <c r="N437" s="12">
        <v>185</v>
      </c>
      <c r="O437" s="11">
        <f t="shared" si="428"/>
        <v>9250</v>
      </c>
      <c r="P437" s="12">
        <v>311</v>
      </c>
      <c r="Q437" s="11">
        <f t="shared" si="429"/>
        <v>18660</v>
      </c>
      <c r="X437" s="12">
        <v>685</v>
      </c>
      <c r="Y437" s="11">
        <f t="shared" si="430"/>
        <v>41100</v>
      </c>
      <c r="AF437" s="12">
        <v>95</v>
      </c>
      <c r="AG437" s="11">
        <f t="shared" si="431"/>
        <v>6175</v>
      </c>
      <c r="AH437" s="12">
        <v>310</v>
      </c>
      <c r="AI437" s="11">
        <f t="shared" si="432"/>
        <v>20150</v>
      </c>
      <c r="AJ437" s="12">
        <v>69</v>
      </c>
      <c r="AK437" s="13">
        <f t="shared" si="433"/>
        <v>621</v>
      </c>
      <c r="AL437" s="12">
        <v>11</v>
      </c>
      <c r="AM437" s="13">
        <f t="shared" si="434"/>
        <v>99</v>
      </c>
      <c r="AO437" s="11">
        <f t="shared" si="435"/>
        <v>0</v>
      </c>
      <c r="AP437" s="12">
        <v>64</v>
      </c>
      <c r="AQ437" s="11">
        <f t="shared" si="436"/>
        <v>5120</v>
      </c>
      <c r="AS437" s="11">
        <f t="shared" si="437"/>
        <v>0</v>
      </c>
      <c r="AT437" s="12">
        <v>25</v>
      </c>
      <c r="AU437" s="11">
        <f t="shared" si="438"/>
        <v>1250</v>
      </c>
      <c r="AW437" s="11">
        <f t="shared" si="439"/>
        <v>0</v>
      </c>
      <c r="AX437" s="12">
        <v>10</v>
      </c>
      <c r="AY437" s="11">
        <f t="shared" si="440"/>
        <v>600</v>
      </c>
      <c r="BA437" s="11">
        <f t="shared" si="441"/>
        <v>0</v>
      </c>
      <c r="BB437" s="12">
        <v>5</v>
      </c>
      <c r="BC437" s="11">
        <f t="shared" si="442"/>
        <v>200</v>
      </c>
      <c r="BE437" s="11">
        <f t="shared" si="443"/>
        <v>0</v>
      </c>
      <c r="BG437" s="11">
        <f t="shared" si="444"/>
        <v>0</v>
      </c>
      <c r="BN437" s="8">
        <f t="shared" si="401"/>
        <v>3048</v>
      </c>
      <c r="BO437" s="8">
        <f t="shared" si="402"/>
        <v>160956</v>
      </c>
      <c r="BP437" s="8">
        <f t="shared" si="404"/>
        <v>1295</v>
      </c>
      <c r="BQ437" s="12">
        <f t="shared" si="405"/>
        <v>77769</v>
      </c>
    </row>
    <row r="438" spans="1:69">
      <c r="A438" s="28">
        <v>1985</v>
      </c>
      <c r="B438" s="27" t="s">
        <v>31</v>
      </c>
      <c r="C438" s="24">
        <f t="shared" si="408"/>
        <v>408</v>
      </c>
      <c r="D438" s="7" t="e">
        <f t="shared" ca="1" si="400"/>
        <v>#N/A</v>
      </c>
      <c r="E438" s="26">
        <f t="array" aca="1" ref="E438" ca="1">AVERAGE(IF(INDIRECT(DatCol&amp;"$"&amp;TEXT(C438,"###")):INDIRECT(DatCol&amp;"$"&amp;TEXT(C438+57,"###"))&gt;0,INDIRECT(DatCol&amp;"$"&amp;TEXT(C438,"###")):INDIRECT(DatCol&amp;"$"&amp;TEXT(C438+57,"###"))))</f>
        <v>194.51351351351352</v>
      </c>
      <c r="F438" s="26" t="str">
        <f t="shared" si="406"/>
        <v>C</v>
      </c>
      <c r="G438" s="8">
        <v>233</v>
      </c>
      <c r="H438" s="8">
        <v>49</v>
      </c>
      <c r="I438" s="8">
        <v>33</v>
      </c>
      <c r="J438" s="8">
        <v>1955</v>
      </c>
      <c r="K438" s="9">
        <f t="shared" si="403"/>
        <v>2237</v>
      </c>
      <c r="M438" s="11">
        <f t="shared" si="427"/>
        <v>0</v>
      </c>
      <c r="N438" s="12">
        <v>180</v>
      </c>
      <c r="O438" s="11">
        <f t="shared" si="428"/>
        <v>9000</v>
      </c>
      <c r="P438" s="12">
        <v>334</v>
      </c>
      <c r="Q438" s="11">
        <f t="shared" si="429"/>
        <v>20040</v>
      </c>
      <c r="X438" s="12">
        <v>1205</v>
      </c>
      <c r="Y438" s="11">
        <f t="shared" si="430"/>
        <v>72300</v>
      </c>
      <c r="AG438" s="11">
        <f t="shared" si="431"/>
        <v>0</v>
      </c>
      <c r="AH438" s="12">
        <v>311</v>
      </c>
      <c r="AI438" s="11">
        <f t="shared" si="432"/>
        <v>20215</v>
      </c>
      <c r="AJ438" s="12">
        <v>2687</v>
      </c>
      <c r="AK438" s="13">
        <f t="shared" si="433"/>
        <v>24183</v>
      </c>
      <c r="AL438" s="12">
        <v>2334</v>
      </c>
      <c r="AM438" s="13">
        <f t="shared" si="434"/>
        <v>21006</v>
      </c>
      <c r="AO438" s="11">
        <f t="shared" si="435"/>
        <v>0</v>
      </c>
      <c r="AP438" s="12">
        <v>60</v>
      </c>
      <c r="AQ438" s="11">
        <f t="shared" si="436"/>
        <v>4800</v>
      </c>
      <c r="AS438" s="11">
        <f t="shared" si="437"/>
        <v>0</v>
      </c>
      <c r="AT438" s="12">
        <v>30</v>
      </c>
      <c r="AU438" s="11">
        <f t="shared" si="438"/>
        <v>1500</v>
      </c>
      <c r="AW438" s="11">
        <f t="shared" si="439"/>
        <v>0</v>
      </c>
      <c r="AX438" s="12">
        <v>2</v>
      </c>
      <c r="AY438" s="11">
        <f t="shared" si="440"/>
        <v>120</v>
      </c>
      <c r="BA438" s="11">
        <f t="shared" si="441"/>
        <v>0</v>
      </c>
      <c r="BB438" s="12">
        <v>5</v>
      </c>
      <c r="BC438" s="11">
        <f t="shared" si="442"/>
        <v>200</v>
      </c>
      <c r="BE438" s="11">
        <f t="shared" si="443"/>
        <v>0</v>
      </c>
      <c r="BG438" s="11">
        <f t="shared" si="444"/>
        <v>0</v>
      </c>
      <c r="BH438" s="13">
        <v>75</v>
      </c>
      <c r="BN438" s="8">
        <f t="shared" si="401"/>
        <v>4226</v>
      </c>
      <c r="BO438" s="8">
        <f t="shared" si="402"/>
        <v>116523</v>
      </c>
      <c r="BP438" s="8">
        <f t="shared" si="404"/>
        <v>4127</v>
      </c>
      <c r="BQ438" s="12">
        <f t="shared" si="405"/>
        <v>129141</v>
      </c>
    </row>
    <row r="439" spans="1:69">
      <c r="A439" s="28">
        <v>1986</v>
      </c>
      <c r="B439" s="27" t="s">
        <v>31</v>
      </c>
      <c r="C439" s="24">
        <f t="shared" si="408"/>
        <v>408</v>
      </c>
      <c r="D439" s="7" t="e">
        <f t="shared" ca="1" si="400"/>
        <v>#N/A</v>
      </c>
      <c r="E439" s="26">
        <f t="array" aca="1" ref="E439" ca="1">AVERAGE(IF(INDIRECT(DatCol&amp;"$"&amp;TEXT(C439,"###")):INDIRECT(DatCol&amp;"$"&amp;TEXT(C439+57,"###"))&gt;0,INDIRECT(DatCol&amp;"$"&amp;TEXT(C439,"###")):INDIRECT(DatCol&amp;"$"&amp;TEXT(C439+57,"###"))))</f>
        <v>194.51351351351352</v>
      </c>
      <c r="F439" s="26" t="str">
        <f t="shared" si="406"/>
        <v>C</v>
      </c>
      <c r="G439" s="8">
        <v>206</v>
      </c>
      <c r="H439" s="8">
        <v>31</v>
      </c>
      <c r="I439" s="8">
        <v>31</v>
      </c>
      <c r="J439" s="8">
        <v>1087</v>
      </c>
      <c r="K439" s="9">
        <f t="shared" si="403"/>
        <v>1324</v>
      </c>
      <c r="L439" s="12">
        <v>1625</v>
      </c>
      <c r="M439" s="11">
        <f t="shared" si="427"/>
        <v>81250</v>
      </c>
      <c r="N439" s="12">
        <v>101</v>
      </c>
      <c r="O439" s="11">
        <f t="shared" si="428"/>
        <v>5050</v>
      </c>
      <c r="P439" s="12">
        <v>101</v>
      </c>
      <c r="Q439" s="11">
        <f t="shared" si="429"/>
        <v>6060</v>
      </c>
      <c r="X439" s="12">
        <v>1111</v>
      </c>
      <c r="Y439" s="11">
        <f t="shared" si="430"/>
        <v>66660</v>
      </c>
      <c r="AF439" s="12">
        <v>0</v>
      </c>
      <c r="AG439" s="11">
        <f t="shared" si="431"/>
        <v>0</v>
      </c>
      <c r="AH439" s="12">
        <v>345</v>
      </c>
      <c r="AI439" s="11">
        <f t="shared" si="432"/>
        <v>22425</v>
      </c>
      <c r="AJ439" s="12">
        <v>18</v>
      </c>
      <c r="AK439" s="13">
        <f t="shared" si="433"/>
        <v>162</v>
      </c>
      <c r="AL439" s="12">
        <v>9</v>
      </c>
      <c r="AM439" s="13">
        <f t="shared" si="434"/>
        <v>81</v>
      </c>
      <c r="AO439" s="11">
        <f t="shared" si="435"/>
        <v>0</v>
      </c>
      <c r="AP439" s="12">
        <v>60</v>
      </c>
      <c r="AQ439" s="11">
        <f t="shared" si="436"/>
        <v>4800</v>
      </c>
      <c r="AS439" s="11">
        <f t="shared" si="437"/>
        <v>0</v>
      </c>
      <c r="AT439" s="12">
        <v>30</v>
      </c>
      <c r="AU439" s="11">
        <f t="shared" si="438"/>
        <v>1500</v>
      </c>
      <c r="AW439" s="11">
        <f t="shared" si="439"/>
        <v>0</v>
      </c>
      <c r="AX439" s="12">
        <v>2</v>
      </c>
      <c r="AY439" s="11">
        <f t="shared" si="440"/>
        <v>120</v>
      </c>
      <c r="BA439" s="11">
        <f t="shared" si="441"/>
        <v>0</v>
      </c>
      <c r="BB439" s="12">
        <v>5</v>
      </c>
      <c r="BC439" s="11">
        <f t="shared" si="442"/>
        <v>200</v>
      </c>
      <c r="BE439" s="11">
        <f t="shared" si="443"/>
        <v>0</v>
      </c>
      <c r="BG439" s="11">
        <f t="shared" si="444"/>
        <v>0</v>
      </c>
      <c r="BH439" s="13">
        <v>75</v>
      </c>
      <c r="BN439" s="8">
        <f t="shared" si="401"/>
        <v>2855</v>
      </c>
      <c r="BO439" s="8">
        <f t="shared" si="402"/>
        <v>154132</v>
      </c>
      <c r="BP439" s="8">
        <f t="shared" si="404"/>
        <v>1663</v>
      </c>
      <c r="BQ439" s="12">
        <f t="shared" si="405"/>
        <v>100836</v>
      </c>
    </row>
    <row r="440" spans="1:69">
      <c r="A440" s="28">
        <v>1987</v>
      </c>
      <c r="B440" s="27" t="s">
        <v>31</v>
      </c>
      <c r="C440" s="24">
        <f t="shared" si="408"/>
        <v>408</v>
      </c>
      <c r="D440" s="7" t="e">
        <f t="shared" ca="1" si="400"/>
        <v>#N/A</v>
      </c>
      <c r="E440" s="26">
        <f t="array" aca="1" ref="E440" ca="1">AVERAGE(IF(INDIRECT(DatCol&amp;"$"&amp;TEXT(C440,"###")):INDIRECT(DatCol&amp;"$"&amp;TEXT(C440+57,"###"))&gt;0,INDIRECT(DatCol&amp;"$"&amp;TEXT(C440,"###")):INDIRECT(DatCol&amp;"$"&amp;TEXT(C440+57,"###"))))</f>
        <v>194.51351351351352</v>
      </c>
      <c r="F440" s="26" t="str">
        <f t="shared" si="406"/>
        <v>C</v>
      </c>
      <c r="G440" s="8">
        <v>95</v>
      </c>
      <c r="H440" s="8">
        <v>18</v>
      </c>
      <c r="I440" s="8">
        <v>27</v>
      </c>
      <c r="J440" s="8">
        <v>718</v>
      </c>
      <c r="K440" s="9">
        <f t="shared" si="403"/>
        <v>831</v>
      </c>
      <c r="L440" s="12">
        <v>1219</v>
      </c>
      <c r="M440" s="11">
        <f t="shared" si="427"/>
        <v>60950</v>
      </c>
      <c r="N440" s="12">
        <v>28</v>
      </c>
      <c r="O440" s="11">
        <f t="shared" si="428"/>
        <v>1400</v>
      </c>
      <c r="P440" s="12">
        <v>145</v>
      </c>
      <c r="Q440" s="11">
        <f t="shared" si="429"/>
        <v>8700</v>
      </c>
      <c r="X440" s="12">
        <v>45</v>
      </c>
      <c r="Y440" s="11">
        <f t="shared" si="430"/>
        <v>2700</v>
      </c>
      <c r="AF440" s="12">
        <v>0</v>
      </c>
      <c r="AG440" s="11">
        <f t="shared" si="431"/>
        <v>0</v>
      </c>
      <c r="AH440" s="12">
        <v>65</v>
      </c>
      <c r="AI440" s="11">
        <f t="shared" si="432"/>
        <v>4225</v>
      </c>
      <c r="AJ440" s="12">
        <v>30</v>
      </c>
      <c r="AK440" s="13">
        <f t="shared" si="433"/>
        <v>270</v>
      </c>
      <c r="AL440" s="12">
        <v>32</v>
      </c>
      <c r="AM440" s="13">
        <f t="shared" si="434"/>
        <v>288</v>
      </c>
      <c r="AO440" s="11">
        <f t="shared" si="435"/>
        <v>0</v>
      </c>
      <c r="AP440" s="12">
        <v>55</v>
      </c>
      <c r="AQ440" s="11">
        <f t="shared" si="436"/>
        <v>4400</v>
      </c>
      <c r="AS440" s="11">
        <f t="shared" si="437"/>
        <v>0</v>
      </c>
      <c r="AT440" s="12">
        <v>35</v>
      </c>
      <c r="AU440" s="11">
        <f t="shared" si="438"/>
        <v>1750</v>
      </c>
      <c r="AW440" s="11">
        <f t="shared" si="439"/>
        <v>0</v>
      </c>
      <c r="AX440" s="12">
        <v>2</v>
      </c>
      <c r="AY440" s="11">
        <f t="shared" si="440"/>
        <v>120</v>
      </c>
      <c r="BA440" s="11">
        <f t="shared" si="441"/>
        <v>0</v>
      </c>
      <c r="BB440" s="12">
        <v>5</v>
      </c>
      <c r="BC440" s="11">
        <f t="shared" si="442"/>
        <v>200</v>
      </c>
      <c r="BE440" s="11">
        <f t="shared" si="443"/>
        <v>0</v>
      </c>
      <c r="BG440" s="11">
        <f t="shared" si="444"/>
        <v>0</v>
      </c>
      <c r="BH440" s="13">
        <v>20</v>
      </c>
      <c r="BN440" s="8">
        <f t="shared" si="401"/>
        <v>1439</v>
      </c>
      <c r="BO440" s="8">
        <f t="shared" si="402"/>
        <v>72620</v>
      </c>
      <c r="BP440" s="8">
        <f t="shared" si="404"/>
        <v>267</v>
      </c>
      <c r="BQ440" s="12">
        <f t="shared" si="405"/>
        <v>15083</v>
      </c>
    </row>
    <row r="441" spans="1:69">
      <c r="A441" s="28">
        <v>1988</v>
      </c>
      <c r="B441" s="27" t="s">
        <v>31</v>
      </c>
      <c r="C441" s="24">
        <f t="shared" si="408"/>
        <v>408</v>
      </c>
      <c r="D441" s="7" t="e">
        <f t="shared" ca="1" si="400"/>
        <v>#N/A</v>
      </c>
      <c r="E441" s="26">
        <f t="array" aca="1" ref="E441" ca="1">AVERAGE(IF(INDIRECT(DatCol&amp;"$"&amp;TEXT(C441,"###")):INDIRECT(DatCol&amp;"$"&amp;TEXT(C441+57,"###"))&gt;0,INDIRECT(DatCol&amp;"$"&amp;TEXT(C441,"###")):INDIRECT(DatCol&amp;"$"&amp;TEXT(C441+57,"###"))))</f>
        <v>194.51351351351352</v>
      </c>
      <c r="F441" s="26" t="str">
        <f t="shared" si="406"/>
        <v>C</v>
      </c>
      <c r="G441" s="8">
        <v>180</v>
      </c>
      <c r="H441" s="8">
        <v>16</v>
      </c>
      <c r="I441" s="8">
        <v>23</v>
      </c>
      <c r="J441" s="8">
        <v>583</v>
      </c>
      <c r="K441" s="9">
        <f t="shared" si="403"/>
        <v>779</v>
      </c>
      <c r="L441" s="12">
        <v>1395</v>
      </c>
      <c r="M441" s="11">
        <f t="shared" si="427"/>
        <v>69750</v>
      </c>
      <c r="N441" s="12">
        <v>25</v>
      </c>
      <c r="O441" s="11">
        <f t="shared" si="428"/>
        <v>1250</v>
      </c>
      <c r="P441" s="12">
        <v>92</v>
      </c>
      <c r="Q441" s="11">
        <f t="shared" si="429"/>
        <v>5520</v>
      </c>
      <c r="X441" s="12">
        <v>88</v>
      </c>
      <c r="Y441" s="11">
        <f t="shared" si="430"/>
        <v>5280</v>
      </c>
      <c r="AG441" s="11">
        <f t="shared" si="431"/>
        <v>0</v>
      </c>
      <c r="AH441" s="12">
        <v>85</v>
      </c>
      <c r="AI441" s="11">
        <f t="shared" si="432"/>
        <v>5525</v>
      </c>
      <c r="AJ441" s="12">
        <v>5</v>
      </c>
      <c r="AK441" s="13">
        <f t="shared" si="433"/>
        <v>45</v>
      </c>
      <c r="AL441" s="12">
        <v>2</v>
      </c>
      <c r="AM441" s="13">
        <f t="shared" si="434"/>
        <v>18</v>
      </c>
      <c r="AO441" s="11">
        <f t="shared" si="435"/>
        <v>0</v>
      </c>
      <c r="AP441" s="12">
        <v>57</v>
      </c>
      <c r="AQ441" s="11">
        <f t="shared" si="436"/>
        <v>4560</v>
      </c>
      <c r="AS441" s="11">
        <f t="shared" si="437"/>
        <v>0</v>
      </c>
      <c r="AT441" s="12">
        <v>20</v>
      </c>
      <c r="AU441" s="11">
        <f t="shared" si="438"/>
        <v>1000</v>
      </c>
      <c r="AW441" s="11">
        <f t="shared" si="439"/>
        <v>0</v>
      </c>
      <c r="AX441" s="12">
        <v>2</v>
      </c>
      <c r="AY441" s="11">
        <f t="shared" si="440"/>
        <v>120</v>
      </c>
      <c r="BA441" s="11">
        <f t="shared" si="441"/>
        <v>0</v>
      </c>
      <c r="BB441" s="12">
        <v>5</v>
      </c>
      <c r="BC441" s="11">
        <f t="shared" si="442"/>
        <v>200</v>
      </c>
      <c r="BE441" s="11">
        <f t="shared" si="443"/>
        <v>0</v>
      </c>
      <c r="BG441" s="11">
        <f t="shared" si="444"/>
        <v>0</v>
      </c>
      <c r="BH441" s="13">
        <v>10</v>
      </c>
      <c r="BN441" s="8">
        <f t="shared" si="401"/>
        <v>1580</v>
      </c>
      <c r="BO441" s="8">
        <f t="shared" si="402"/>
        <v>80595</v>
      </c>
      <c r="BP441" s="8">
        <f t="shared" si="404"/>
        <v>284</v>
      </c>
      <c r="BQ441" s="12">
        <f t="shared" si="405"/>
        <v>17953</v>
      </c>
    </row>
    <row r="442" spans="1:69">
      <c r="A442" s="28">
        <v>1989</v>
      </c>
      <c r="B442" s="27" t="s">
        <v>31</v>
      </c>
      <c r="C442" s="24">
        <f t="shared" si="408"/>
        <v>408</v>
      </c>
      <c r="D442" s="7" t="e">
        <f t="shared" ca="1" si="400"/>
        <v>#N/A</v>
      </c>
      <c r="E442" s="26">
        <f t="array" aca="1" ref="E442" ca="1">AVERAGE(IF(INDIRECT(DatCol&amp;"$"&amp;TEXT(C442,"###")):INDIRECT(DatCol&amp;"$"&amp;TEXT(C442+57,"###"))&gt;0,INDIRECT(DatCol&amp;"$"&amp;TEXT(C442,"###")):INDIRECT(DatCol&amp;"$"&amp;TEXT(C442+57,"###"))))</f>
        <v>194.51351351351352</v>
      </c>
      <c r="F442" s="26" t="str">
        <f t="shared" si="406"/>
        <v>C</v>
      </c>
      <c r="G442" s="8">
        <v>151</v>
      </c>
      <c r="H442" s="8">
        <v>9</v>
      </c>
      <c r="I442" s="8">
        <v>22</v>
      </c>
      <c r="J442" s="8">
        <v>482</v>
      </c>
      <c r="K442" s="9">
        <f t="shared" si="403"/>
        <v>642</v>
      </c>
      <c r="L442" s="12">
        <v>1717</v>
      </c>
      <c r="M442" s="11">
        <f t="shared" si="427"/>
        <v>85850</v>
      </c>
      <c r="N442" s="12">
        <v>27</v>
      </c>
      <c r="O442" s="11">
        <f t="shared" si="428"/>
        <v>1350</v>
      </c>
      <c r="P442" s="12">
        <v>54</v>
      </c>
      <c r="Q442" s="11">
        <f t="shared" si="429"/>
        <v>3240</v>
      </c>
      <c r="X442" s="12">
        <v>318</v>
      </c>
      <c r="Y442" s="11">
        <f t="shared" si="430"/>
        <v>19080</v>
      </c>
      <c r="AF442" s="12">
        <v>0</v>
      </c>
      <c r="AG442" s="11">
        <f t="shared" si="431"/>
        <v>0</v>
      </c>
      <c r="AH442" s="12">
        <v>63</v>
      </c>
      <c r="AI442" s="11">
        <f t="shared" si="432"/>
        <v>4095</v>
      </c>
      <c r="AJ442" s="12">
        <v>7</v>
      </c>
      <c r="AK442" s="13">
        <f t="shared" si="433"/>
        <v>63</v>
      </c>
      <c r="AL442" s="12">
        <v>5</v>
      </c>
      <c r="AM442" s="13">
        <f t="shared" si="434"/>
        <v>45</v>
      </c>
      <c r="AN442" s="12">
        <v>0</v>
      </c>
      <c r="AO442" s="11">
        <f t="shared" si="435"/>
        <v>0</v>
      </c>
      <c r="AP442" s="12">
        <v>54</v>
      </c>
      <c r="AQ442" s="11">
        <f t="shared" si="436"/>
        <v>4320</v>
      </c>
      <c r="AR442" s="12">
        <v>0</v>
      </c>
      <c r="AS442" s="11">
        <f t="shared" si="437"/>
        <v>0</v>
      </c>
      <c r="AT442" s="12">
        <v>16</v>
      </c>
      <c r="AU442" s="11">
        <f t="shared" si="438"/>
        <v>800</v>
      </c>
      <c r="AV442" s="12">
        <v>0</v>
      </c>
      <c r="AW442" s="11">
        <f t="shared" si="439"/>
        <v>0</v>
      </c>
      <c r="AX442" s="12">
        <v>0</v>
      </c>
      <c r="AY442" s="11">
        <f t="shared" si="440"/>
        <v>0</v>
      </c>
      <c r="AZ442" s="12">
        <v>0</v>
      </c>
      <c r="BA442" s="11">
        <f t="shared" si="441"/>
        <v>0</v>
      </c>
      <c r="BB442" s="12">
        <v>5</v>
      </c>
      <c r="BC442" s="11">
        <f t="shared" si="442"/>
        <v>200</v>
      </c>
      <c r="BE442" s="11">
        <f t="shared" si="443"/>
        <v>0</v>
      </c>
      <c r="BG442" s="11">
        <f t="shared" si="444"/>
        <v>0</v>
      </c>
      <c r="BN442" s="8">
        <f t="shared" si="401"/>
        <v>2096</v>
      </c>
      <c r="BO442" s="8">
        <f t="shared" si="402"/>
        <v>108233</v>
      </c>
      <c r="BP442" s="8">
        <f t="shared" si="404"/>
        <v>488</v>
      </c>
      <c r="BQ442" s="12">
        <f t="shared" si="405"/>
        <v>29890</v>
      </c>
    </row>
    <row r="443" spans="1:69">
      <c r="A443" s="28">
        <v>1990</v>
      </c>
      <c r="B443" s="27" t="s">
        <v>31</v>
      </c>
      <c r="C443" s="24">
        <f t="shared" si="408"/>
        <v>408</v>
      </c>
      <c r="D443" s="7" t="e">
        <f t="shared" ca="1" si="400"/>
        <v>#N/A</v>
      </c>
      <c r="E443" s="26">
        <f t="array" aca="1" ref="E443" ca="1">AVERAGE(IF(INDIRECT(DatCol&amp;"$"&amp;TEXT(C443,"###")):INDIRECT(DatCol&amp;"$"&amp;TEXT(C443+57,"###"))&gt;0,INDIRECT(DatCol&amp;"$"&amp;TEXT(C443,"###")):INDIRECT(DatCol&amp;"$"&amp;TEXT(C443+57,"###"))))</f>
        <v>194.51351351351352</v>
      </c>
      <c r="F443" s="26" t="str">
        <f t="shared" si="406"/>
        <v>C</v>
      </c>
      <c r="G443" s="8">
        <v>52</v>
      </c>
      <c r="H443" s="8">
        <v>6</v>
      </c>
      <c r="I443" s="8">
        <v>29</v>
      </c>
      <c r="J443" s="8">
        <v>427</v>
      </c>
      <c r="K443" s="9">
        <f t="shared" si="403"/>
        <v>485</v>
      </c>
      <c r="L443" s="12">
        <v>418</v>
      </c>
      <c r="M443" s="11">
        <f t="shared" si="427"/>
        <v>20900</v>
      </c>
      <c r="N443" s="12">
        <v>111</v>
      </c>
      <c r="O443" s="11">
        <f t="shared" si="428"/>
        <v>5550</v>
      </c>
      <c r="P443" s="12">
        <v>42</v>
      </c>
      <c r="Q443" s="11">
        <f t="shared" si="429"/>
        <v>2520</v>
      </c>
      <c r="X443" s="12">
        <v>163</v>
      </c>
      <c r="Y443" s="11">
        <f t="shared" si="430"/>
        <v>9780</v>
      </c>
      <c r="AF443" s="12">
        <v>0</v>
      </c>
      <c r="AG443" s="11">
        <f t="shared" si="431"/>
        <v>0</v>
      </c>
      <c r="AH443" s="12">
        <v>17</v>
      </c>
      <c r="AI443" s="11">
        <f t="shared" si="432"/>
        <v>1105</v>
      </c>
      <c r="AJ443" s="12">
        <v>15</v>
      </c>
      <c r="AK443" s="13">
        <f t="shared" si="433"/>
        <v>135</v>
      </c>
      <c r="AL443" s="12">
        <v>7</v>
      </c>
      <c r="AM443" s="13">
        <f t="shared" si="434"/>
        <v>63</v>
      </c>
      <c r="AN443" s="12">
        <v>0</v>
      </c>
      <c r="AO443" s="11">
        <f t="shared" si="435"/>
        <v>0</v>
      </c>
      <c r="AP443" s="12">
        <v>52</v>
      </c>
      <c r="AQ443" s="11">
        <f t="shared" si="436"/>
        <v>4160</v>
      </c>
      <c r="AR443" s="12">
        <v>0</v>
      </c>
      <c r="AS443" s="11">
        <f t="shared" si="437"/>
        <v>0</v>
      </c>
      <c r="AT443" s="12">
        <v>15</v>
      </c>
      <c r="AU443" s="11">
        <f t="shared" si="438"/>
        <v>750</v>
      </c>
      <c r="AV443" s="12">
        <v>0</v>
      </c>
      <c r="AW443" s="11">
        <f t="shared" si="439"/>
        <v>0</v>
      </c>
      <c r="AX443" s="12">
        <v>2</v>
      </c>
      <c r="AY443" s="11">
        <f t="shared" si="440"/>
        <v>120</v>
      </c>
      <c r="AZ443" s="12">
        <v>0</v>
      </c>
      <c r="BA443" s="11">
        <f t="shared" si="441"/>
        <v>0</v>
      </c>
      <c r="BB443" s="12">
        <v>2</v>
      </c>
      <c r="BC443" s="11">
        <f t="shared" si="442"/>
        <v>80</v>
      </c>
      <c r="BE443" s="11">
        <f t="shared" si="443"/>
        <v>0</v>
      </c>
      <c r="BG443" s="11">
        <f t="shared" si="444"/>
        <v>0</v>
      </c>
      <c r="BN443" s="8">
        <f t="shared" si="401"/>
        <v>638</v>
      </c>
      <c r="BO443" s="8">
        <f t="shared" si="402"/>
        <v>33335</v>
      </c>
      <c r="BP443" s="8">
        <f t="shared" si="404"/>
        <v>369</v>
      </c>
      <c r="BQ443" s="12">
        <f t="shared" si="405"/>
        <v>21608</v>
      </c>
    </row>
    <row r="444" spans="1:69">
      <c r="A444" s="28">
        <v>1991</v>
      </c>
      <c r="B444" s="27" t="s">
        <v>31</v>
      </c>
      <c r="C444" s="24">
        <f t="shared" si="408"/>
        <v>408</v>
      </c>
      <c r="D444" s="7" t="e">
        <f t="shared" ca="1" si="400"/>
        <v>#N/A</v>
      </c>
      <c r="E444" s="26">
        <f t="array" aca="1" ref="E444" ca="1">AVERAGE(IF(INDIRECT(DatCol&amp;"$"&amp;TEXT(C444,"###")):INDIRECT(DatCol&amp;"$"&amp;TEXT(C444+57,"###"))&gt;0,INDIRECT(DatCol&amp;"$"&amp;TEXT(C444,"###")):INDIRECT(DatCol&amp;"$"&amp;TEXT(C444+57,"###"))))</f>
        <v>194.51351351351352</v>
      </c>
      <c r="F444" s="26" t="str">
        <f t="shared" si="406"/>
        <v>C</v>
      </c>
      <c r="G444" s="8">
        <v>119</v>
      </c>
      <c r="H444" s="8">
        <v>2</v>
      </c>
      <c r="I444" s="8">
        <v>20</v>
      </c>
      <c r="J444" s="8">
        <v>306</v>
      </c>
      <c r="K444" s="9">
        <f t="shared" si="403"/>
        <v>427</v>
      </c>
      <c r="L444" s="12">
        <v>1835</v>
      </c>
      <c r="M444" s="11">
        <f t="shared" ref="M444:M474" si="445">(L444*50)</f>
        <v>91750</v>
      </c>
      <c r="N444" s="12">
        <v>71</v>
      </c>
      <c r="O444" s="11">
        <f t="shared" ref="O444:O474" si="446">(N444*50)</f>
        <v>3550</v>
      </c>
      <c r="P444" s="12">
        <v>34</v>
      </c>
      <c r="Q444" s="11">
        <f t="shared" ref="Q444:Q474" si="447">((P444*330)/5.5)</f>
        <v>2040</v>
      </c>
      <c r="X444" s="12">
        <v>147</v>
      </c>
      <c r="Y444" s="11">
        <f t="shared" ref="Y444:Y474" si="448">((X444*330)/5.5)</f>
        <v>8820</v>
      </c>
      <c r="AF444" s="12">
        <v>0</v>
      </c>
      <c r="AG444" s="11">
        <f>(AF444*65)</f>
        <v>0</v>
      </c>
      <c r="AH444" s="12">
        <v>27</v>
      </c>
      <c r="AI444" s="11">
        <f t="shared" ref="AI444:AI474" si="449">(AH444*65)</f>
        <v>1755</v>
      </c>
      <c r="AJ444" s="12">
        <v>4</v>
      </c>
      <c r="AK444" s="13">
        <f t="shared" ref="AK444:AK474" si="450">(AJ444*9)</f>
        <v>36</v>
      </c>
      <c r="AL444" s="12">
        <v>2</v>
      </c>
      <c r="AM444" s="13">
        <f t="shared" ref="AM444:AM474" si="451">(AL444*9)</f>
        <v>18</v>
      </c>
      <c r="AN444" s="12">
        <v>0</v>
      </c>
      <c r="AO444" s="11">
        <f t="shared" ref="AO444:AO474" si="452">(AN444*80)</f>
        <v>0</v>
      </c>
      <c r="AP444" s="12">
        <v>64</v>
      </c>
      <c r="AQ444" s="11">
        <f t="shared" ref="AQ444:AQ474" si="453">(AP444*80)</f>
        <v>5120</v>
      </c>
      <c r="AR444" s="12">
        <v>0</v>
      </c>
      <c r="AS444" s="11">
        <f t="shared" ref="AS444:AS474" si="454">(AR444*50)</f>
        <v>0</v>
      </c>
      <c r="AT444" s="12">
        <v>18</v>
      </c>
      <c r="AU444" s="11">
        <f t="shared" ref="AU444:AU474" si="455">(AT444*50)</f>
        <v>900</v>
      </c>
      <c r="AV444" s="12">
        <v>0</v>
      </c>
      <c r="AW444" s="11">
        <f t="shared" ref="AW444:AW474" si="456">(AV444*60)</f>
        <v>0</v>
      </c>
      <c r="AX444" s="12">
        <v>2</v>
      </c>
      <c r="AY444" s="11">
        <f t="shared" ref="AY444:AY474" si="457">(AX444*60)</f>
        <v>120</v>
      </c>
      <c r="AZ444" s="12">
        <v>0</v>
      </c>
      <c r="BA444" s="11">
        <f t="shared" ref="BA444:BA474" si="458">(AZ444*40)</f>
        <v>0</v>
      </c>
      <c r="BB444" s="12">
        <v>8</v>
      </c>
      <c r="BC444" s="11">
        <f t="shared" ref="BC444:BC474" si="459">(BB444*40)</f>
        <v>320</v>
      </c>
      <c r="BE444" s="11">
        <f t="shared" ref="BE444:BE474" si="460">(BD444*95)</f>
        <v>0</v>
      </c>
      <c r="BG444" s="11">
        <f t="shared" ref="BG444:BG474" si="461">(BF444*95)</f>
        <v>0</v>
      </c>
      <c r="BN444" s="8">
        <f t="shared" si="401"/>
        <v>2020</v>
      </c>
      <c r="BO444" s="8">
        <f t="shared" si="402"/>
        <v>102646</v>
      </c>
      <c r="BP444" s="8">
        <f t="shared" si="404"/>
        <v>339</v>
      </c>
      <c r="BQ444" s="12">
        <f t="shared" si="405"/>
        <v>20603</v>
      </c>
    </row>
    <row r="445" spans="1:69">
      <c r="A445" s="28">
        <v>1992</v>
      </c>
      <c r="B445" s="27" t="s">
        <v>31</v>
      </c>
      <c r="C445" s="24">
        <f t="shared" si="408"/>
        <v>408</v>
      </c>
      <c r="D445" s="7" t="e">
        <f t="shared" ca="1" si="400"/>
        <v>#N/A</v>
      </c>
      <c r="E445" s="26">
        <f t="array" aca="1" ref="E445" ca="1">AVERAGE(IF(INDIRECT(DatCol&amp;"$"&amp;TEXT(C445,"###")):INDIRECT(DatCol&amp;"$"&amp;TEXT(C445+57,"###"))&gt;0,INDIRECT(DatCol&amp;"$"&amp;TEXT(C445,"###")):INDIRECT(DatCol&amp;"$"&amp;TEXT(C445+57,"###"))))</f>
        <v>194.51351351351352</v>
      </c>
      <c r="F445" s="26" t="str">
        <f t="shared" si="406"/>
        <v>C</v>
      </c>
      <c r="G445" s="8">
        <v>144</v>
      </c>
      <c r="H445" s="8">
        <v>3</v>
      </c>
      <c r="I445" s="8">
        <v>16</v>
      </c>
      <c r="J445" s="8">
        <v>371</v>
      </c>
      <c r="K445" s="9">
        <f t="shared" si="403"/>
        <v>518</v>
      </c>
      <c r="L445" s="12">
        <v>1610</v>
      </c>
      <c r="M445" s="11">
        <f t="shared" si="445"/>
        <v>80500</v>
      </c>
      <c r="N445" s="12">
        <v>169</v>
      </c>
      <c r="O445" s="11">
        <f t="shared" si="446"/>
        <v>8450</v>
      </c>
      <c r="P445" s="12">
        <v>28</v>
      </c>
      <c r="Q445" s="11">
        <f t="shared" si="447"/>
        <v>1680</v>
      </c>
      <c r="X445" s="12">
        <v>205</v>
      </c>
      <c r="Y445" s="11">
        <f t="shared" si="448"/>
        <v>12300</v>
      </c>
      <c r="AF445" s="12">
        <v>0</v>
      </c>
      <c r="AG445" s="11">
        <f>(AF445*65)</f>
        <v>0</v>
      </c>
      <c r="AH445" s="12">
        <v>24</v>
      </c>
      <c r="AI445" s="11">
        <f t="shared" si="449"/>
        <v>1560</v>
      </c>
      <c r="AJ445" s="12">
        <v>0</v>
      </c>
      <c r="AK445" s="13">
        <f t="shared" si="450"/>
        <v>0</v>
      </c>
      <c r="AL445" s="12">
        <v>0</v>
      </c>
      <c r="AM445" s="13">
        <f t="shared" si="451"/>
        <v>0</v>
      </c>
      <c r="AN445" s="12">
        <v>0</v>
      </c>
      <c r="AO445" s="11">
        <f t="shared" si="452"/>
        <v>0</v>
      </c>
      <c r="AP445" s="12">
        <v>66</v>
      </c>
      <c r="AQ445" s="11">
        <f t="shared" si="453"/>
        <v>5280</v>
      </c>
      <c r="AR445" s="12">
        <v>0</v>
      </c>
      <c r="AS445" s="11">
        <f t="shared" si="454"/>
        <v>0</v>
      </c>
      <c r="AT445" s="12">
        <v>22</v>
      </c>
      <c r="AU445" s="11">
        <f t="shared" si="455"/>
        <v>1100</v>
      </c>
      <c r="AV445" s="12">
        <v>0</v>
      </c>
      <c r="AW445" s="11">
        <f t="shared" si="456"/>
        <v>0</v>
      </c>
      <c r="AX445" s="12">
        <v>2</v>
      </c>
      <c r="AY445" s="11">
        <f t="shared" si="457"/>
        <v>120</v>
      </c>
      <c r="AZ445" s="12">
        <v>0</v>
      </c>
      <c r="BA445" s="11">
        <f t="shared" si="458"/>
        <v>0</v>
      </c>
      <c r="BB445" s="12">
        <v>10</v>
      </c>
      <c r="BC445" s="11">
        <f t="shared" si="459"/>
        <v>400</v>
      </c>
      <c r="BE445" s="11">
        <f t="shared" si="460"/>
        <v>0</v>
      </c>
      <c r="BG445" s="11">
        <f t="shared" si="461"/>
        <v>0</v>
      </c>
      <c r="BN445" s="8">
        <f t="shared" si="401"/>
        <v>1843</v>
      </c>
      <c r="BO445" s="8">
        <f t="shared" si="402"/>
        <v>94480</v>
      </c>
      <c r="BP445" s="8">
        <f t="shared" si="404"/>
        <v>498</v>
      </c>
      <c r="BQ445" s="12">
        <f t="shared" si="405"/>
        <v>29210</v>
      </c>
    </row>
    <row r="446" spans="1:69">
      <c r="A446" s="28">
        <v>1993</v>
      </c>
      <c r="B446" s="27" t="s">
        <v>31</v>
      </c>
      <c r="C446" s="24">
        <f t="shared" si="408"/>
        <v>408</v>
      </c>
      <c r="D446" s="7" t="e">
        <f t="shared" ca="1" si="400"/>
        <v>#N/A</v>
      </c>
      <c r="E446" s="26">
        <f t="array" aca="1" ref="E446" ca="1">AVERAGE(IF(INDIRECT(DatCol&amp;"$"&amp;TEXT(C446,"###")):INDIRECT(DatCol&amp;"$"&amp;TEXT(C446+57,"###"))&gt;0,INDIRECT(DatCol&amp;"$"&amp;TEXT(C446,"###")):INDIRECT(DatCol&amp;"$"&amp;TEXT(C446+57,"###"))))</f>
        <v>194.51351351351352</v>
      </c>
      <c r="F446" s="26" t="str">
        <f t="shared" si="406"/>
        <v>C</v>
      </c>
      <c r="G446" s="8">
        <v>126</v>
      </c>
      <c r="H446" s="8">
        <v>2</v>
      </c>
      <c r="I446" s="8">
        <v>17</v>
      </c>
      <c r="J446" s="8">
        <v>372</v>
      </c>
      <c r="K446" s="9">
        <f t="shared" si="403"/>
        <v>500</v>
      </c>
      <c r="L446" s="12">
        <v>1492</v>
      </c>
      <c r="M446" s="11">
        <f t="shared" si="445"/>
        <v>74600</v>
      </c>
      <c r="N446" s="12">
        <v>254</v>
      </c>
      <c r="O446" s="11">
        <f t="shared" si="446"/>
        <v>12700</v>
      </c>
      <c r="P446" s="12">
        <v>132</v>
      </c>
      <c r="Q446" s="11">
        <f t="shared" si="447"/>
        <v>7920</v>
      </c>
      <c r="X446" s="12">
        <v>201</v>
      </c>
      <c r="Y446" s="11">
        <f t="shared" si="448"/>
        <v>12060</v>
      </c>
      <c r="AF446" s="12">
        <v>0</v>
      </c>
      <c r="AG446" s="11">
        <f>(AF446*65)</f>
        <v>0</v>
      </c>
      <c r="AH446" s="12">
        <v>21</v>
      </c>
      <c r="AI446" s="11">
        <f t="shared" si="449"/>
        <v>1365</v>
      </c>
      <c r="AJ446" s="12">
        <v>0</v>
      </c>
      <c r="AK446" s="13">
        <f t="shared" si="450"/>
        <v>0</v>
      </c>
      <c r="AL446" s="12">
        <v>0</v>
      </c>
      <c r="AM446" s="13">
        <f t="shared" si="451"/>
        <v>0</v>
      </c>
      <c r="AN446" s="12">
        <v>0</v>
      </c>
      <c r="AO446" s="11">
        <f t="shared" si="452"/>
        <v>0</v>
      </c>
      <c r="AP446" s="12">
        <v>73</v>
      </c>
      <c r="AQ446" s="11">
        <f t="shared" si="453"/>
        <v>5840</v>
      </c>
      <c r="AR446" s="12">
        <v>0</v>
      </c>
      <c r="AS446" s="11">
        <f t="shared" si="454"/>
        <v>0</v>
      </c>
      <c r="AT446" s="12">
        <v>18</v>
      </c>
      <c r="AU446" s="11">
        <f t="shared" si="455"/>
        <v>900</v>
      </c>
      <c r="AV446" s="12">
        <v>0</v>
      </c>
      <c r="AW446" s="11">
        <f t="shared" si="456"/>
        <v>0</v>
      </c>
      <c r="AX446" s="12">
        <v>2</v>
      </c>
      <c r="AY446" s="11">
        <f t="shared" si="457"/>
        <v>120</v>
      </c>
      <c r="AZ446" s="12">
        <v>0</v>
      </c>
      <c r="BA446" s="11">
        <f t="shared" si="458"/>
        <v>0</v>
      </c>
      <c r="BB446" s="12">
        <v>9</v>
      </c>
      <c r="BC446" s="11">
        <f t="shared" si="459"/>
        <v>360</v>
      </c>
      <c r="BD446" s="12">
        <v>0</v>
      </c>
      <c r="BE446" s="11">
        <f t="shared" si="460"/>
        <v>0</v>
      </c>
      <c r="BF446" s="12">
        <v>0</v>
      </c>
      <c r="BG446" s="11">
        <f t="shared" si="461"/>
        <v>0</v>
      </c>
      <c r="BH446" s="13">
        <v>2845</v>
      </c>
      <c r="BI446" s="13">
        <v>0</v>
      </c>
      <c r="BN446" s="8">
        <f t="shared" si="401"/>
        <v>1825</v>
      </c>
      <c r="BO446" s="8">
        <f t="shared" si="402"/>
        <v>94580</v>
      </c>
      <c r="BP446" s="8">
        <f t="shared" si="404"/>
        <v>578</v>
      </c>
      <c r="BQ446" s="12">
        <f t="shared" si="405"/>
        <v>33345</v>
      </c>
    </row>
    <row r="447" spans="1:69" ht="12" customHeight="1">
      <c r="A447" s="28">
        <v>1994</v>
      </c>
      <c r="B447" s="27" t="s">
        <v>31</v>
      </c>
      <c r="C447" s="24">
        <f t="shared" si="408"/>
        <v>408</v>
      </c>
      <c r="D447" s="7" t="e">
        <f t="shared" ca="1" si="400"/>
        <v>#N/A</v>
      </c>
      <c r="E447" s="26">
        <f t="array" aca="1" ref="E447" ca="1">AVERAGE(IF(INDIRECT(DatCol&amp;"$"&amp;TEXT(C447,"###")):INDIRECT(DatCol&amp;"$"&amp;TEXT(C447+57,"###"))&gt;0,INDIRECT(DatCol&amp;"$"&amp;TEXT(C447,"###")):INDIRECT(DatCol&amp;"$"&amp;TEXT(C447+57,"###"))))</f>
        <v>194.51351351351352</v>
      </c>
      <c r="F447" s="26" t="str">
        <f t="shared" si="406"/>
        <v>C</v>
      </c>
      <c r="G447" s="8">
        <v>127</v>
      </c>
      <c r="H447" s="8">
        <v>5</v>
      </c>
      <c r="I447" s="8">
        <v>22</v>
      </c>
      <c r="J447" s="8">
        <v>370</v>
      </c>
      <c r="K447" s="9">
        <f t="shared" si="403"/>
        <v>502</v>
      </c>
      <c r="L447" s="12">
        <v>1473</v>
      </c>
      <c r="M447" s="11">
        <f t="shared" si="445"/>
        <v>73650</v>
      </c>
      <c r="N447" s="12">
        <v>181</v>
      </c>
      <c r="O447" s="11">
        <f t="shared" si="446"/>
        <v>9050</v>
      </c>
      <c r="P447" s="12">
        <v>269</v>
      </c>
      <c r="Q447" s="11">
        <f t="shared" si="447"/>
        <v>16140</v>
      </c>
      <c r="X447" s="12">
        <v>140</v>
      </c>
      <c r="Y447" s="11">
        <f t="shared" si="448"/>
        <v>8400</v>
      </c>
      <c r="AF447" s="12">
        <v>0</v>
      </c>
      <c r="AG447" s="11">
        <f>(AF447*65)</f>
        <v>0</v>
      </c>
      <c r="AH447" s="12">
        <v>12</v>
      </c>
      <c r="AI447" s="11">
        <f t="shared" si="449"/>
        <v>780</v>
      </c>
      <c r="AJ447" s="12">
        <v>44</v>
      </c>
      <c r="AK447" s="13">
        <f t="shared" si="450"/>
        <v>396</v>
      </c>
      <c r="AL447" s="12">
        <v>4</v>
      </c>
      <c r="AM447" s="13">
        <f t="shared" si="451"/>
        <v>36</v>
      </c>
      <c r="AN447" s="12">
        <v>0</v>
      </c>
      <c r="AO447" s="11">
        <f t="shared" si="452"/>
        <v>0</v>
      </c>
      <c r="AP447" s="12">
        <v>69</v>
      </c>
      <c r="AQ447" s="11">
        <f t="shared" si="453"/>
        <v>5520</v>
      </c>
      <c r="AR447" s="12">
        <v>0</v>
      </c>
      <c r="AS447" s="11">
        <f t="shared" si="454"/>
        <v>0</v>
      </c>
      <c r="AT447" s="12">
        <v>20</v>
      </c>
      <c r="AU447" s="11">
        <f t="shared" si="455"/>
        <v>1000</v>
      </c>
      <c r="AV447" s="12">
        <v>2535</v>
      </c>
      <c r="AW447" s="11">
        <f t="shared" si="456"/>
        <v>152100</v>
      </c>
      <c r="AX447" s="12">
        <v>2</v>
      </c>
      <c r="AY447" s="11">
        <f t="shared" si="457"/>
        <v>120</v>
      </c>
      <c r="AZ447" s="12">
        <v>0</v>
      </c>
      <c r="BA447" s="11">
        <f t="shared" si="458"/>
        <v>0</v>
      </c>
      <c r="BB447" s="12">
        <v>8</v>
      </c>
      <c r="BC447" s="11">
        <f t="shared" si="459"/>
        <v>320</v>
      </c>
      <c r="BD447" s="12">
        <v>0</v>
      </c>
      <c r="BE447" s="11">
        <f t="shared" si="460"/>
        <v>0</v>
      </c>
      <c r="BF447" s="12">
        <v>0</v>
      </c>
      <c r="BG447" s="11">
        <f t="shared" si="461"/>
        <v>0</v>
      </c>
      <c r="BH447" s="13">
        <v>0</v>
      </c>
      <c r="BI447" s="13">
        <v>0</v>
      </c>
      <c r="BN447" s="8">
        <f t="shared" si="401"/>
        <v>4461</v>
      </c>
      <c r="BO447" s="8">
        <f t="shared" si="402"/>
        <v>250686</v>
      </c>
      <c r="BP447" s="8">
        <f t="shared" si="404"/>
        <v>436</v>
      </c>
      <c r="BQ447" s="12">
        <f t="shared" si="405"/>
        <v>25226</v>
      </c>
    </row>
    <row r="448" spans="1:69" ht="12" customHeight="1">
      <c r="A448" s="28">
        <v>1995</v>
      </c>
      <c r="B448" s="27" t="s">
        <v>31</v>
      </c>
      <c r="C448" s="24">
        <f t="shared" si="408"/>
        <v>408</v>
      </c>
      <c r="D448" s="7" t="e">
        <f t="shared" ca="1" si="400"/>
        <v>#N/A</v>
      </c>
      <c r="E448" s="26">
        <f t="array" aca="1" ref="E448" ca="1">AVERAGE(IF(INDIRECT(DatCol&amp;"$"&amp;TEXT(C448,"###")):INDIRECT(DatCol&amp;"$"&amp;TEXT(C448+57,"###"))&gt;0,INDIRECT(DatCol&amp;"$"&amp;TEXT(C448,"###")):INDIRECT(DatCol&amp;"$"&amp;TEXT(C448+57,"###"))))</f>
        <v>194.51351351351352</v>
      </c>
      <c r="F448" s="26" t="str">
        <f t="shared" si="406"/>
        <v>C</v>
      </c>
      <c r="G448" s="9">
        <v>160</v>
      </c>
      <c r="H448" s="9">
        <v>7</v>
      </c>
      <c r="I448" s="9">
        <v>41</v>
      </c>
      <c r="J448" s="9">
        <v>459</v>
      </c>
      <c r="K448" s="9">
        <f t="shared" si="403"/>
        <v>626</v>
      </c>
      <c r="L448" s="10">
        <v>2294</v>
      </c>
      <c r="M448" s="11">
        <f t="shared" si="445"/>
        <v>114700</v>
      </c>
      <c r="N448" s="10">
        <v>302</v>
      </c>
      <c r="O448" s="11">
        <f t="shared" si="446"/>
        <v>15100</v>
      </c>
      <c r="P448" s="10">
        <v>512</v>
      </c>
      <c r="Q448" s="11">
        <f t="shared" si="447"/>
        <v>30720</v>
      </c>
      <c r="X448" s="10">
        <v>190</v>
      </c>
      <c r="Y448" s="11">
        <f t="shared" si="448"/>
        <v>11400</v>
      </c>
      <c r="AF448" s="10">
        <v>0</v>
      </c>
      <c r="AG448" s="11">
        <v>0</v>
      </c>
      <c r="AH448" s="10">
        <v>13</v>
      </c>
      <c r="AI448" s="11">
        <f t="shared" si="449"/>
        <v>845</v>
      </c>
      <c r="AJ448" s="10">
        <v>0</v>
      </c>
      <c r="AK448" s="13">
        <f t="shared" si="450"/>
        <v>0</v>
      </c>
      <c r="AL448" s="10">
        <v>4</v>
      </c>
      <c r="AM448" s="13">
        <f t="shared" si="451"/>
        <v>36</v>
      </c>
      <c r="AN448" s="10">
        <v>0</v>
      </c>
      <c r="AO448" s="11">
        <f t="shared" si="452"/>
        <v>0</v>
      </c>
      <c r="AP448" s="10">
        <v>45</v>
      </c>
      <c r="AQ448" s="11">
        <f t="shared" si="453"/>
        <v>3600</v>
      </c>
      <c r="AR448" s="10">
        <v>244</v>
      </c>
      <c r="AS448" s="11">
        <f t="shared" si="454"/>
        <v>12200</v>
      </c>
      <c r="AT448" s="10">
        <v>20</v>
      </c>
      <c r="AU448" s="11">
        <f t="shared" si="455"/>
        <v>1000</v>
      </c>
      <c r="AV448" s="10">
        <v>0</v>
      </c>
      <c r="AW448" s="11">
        <f t="shared" si="456"/>
        <v>0</v>
      </c>
      <c r="AX448" s="10">
        <v>2</v>
      </c>
      <c r="AY448" s="11">
        <f t="shared" si="457"/>
        <v>120</v>
      </c>
      <c r="AZ448" s="10">
        <v>0</v>
      </c>
      <c r="BA448" s="11">
        <f t="shared" si="458"/>
        <v>0</v>
      </c>
      <c r="BB448" s="10">
        <v>5</v>
      </c>
      <c r="BC448" s="11">
        <f t="shared" si="459"/>
        <v>200</v>
      </c>
      <c r="BD448" s="10">
        <v>0</v>
      </c>
      <c r="BE448" s="11">
        <f t="shared" si="460"/>
        <v>0</v>
      </c>
      <c r="BF448" s="10">
        <v>0</v>
      </c>
      <c r="BG448" s="11">
        <f t="shared" si="461"/>
        <v>0</v>
      </c>
      <c r="BH448" s="11">
        <v>3921</v>
      </c>
      <c r="BN448" s="8">
        <f t="shared" si="401"/>
        <v>3240</v>
      </c>
      <c r="BO448" s="8">
        <f t="shared" si="402"/>
        <v>169020</v>
      </c>
      <c r="BP448" s="8">
        <f t="shared" si="404"/>
        <v>581</v>
      </c>
      <c r="BQ448" s="12">
        <f t="shared" si="405"/>
        <v>32301</v>
      </c>
    </row>
    <row r="449" spans="1:69" ht="12" customHeight="1">
      <c r="A449" s="28">
        <v>1996</v>
      </c>
      <c r="B449" s="27" t="s">
        <v>31</v>
      </c>
      <c r="C449" s="24">
        <f t="shared" si="408"/>
        <v>408</v>
      </c>
      <c r="D449" s="7" t="e">
        <f t="shared" ca="1" si="400"/>
        <v>#N/A</v>
      </c>
      <c r="E449" s="26">
        <f t="array" aca="1" ref="E449" ca="1">AVERAGE(IF(INDIRECT(DatCol&amp;"$"&amp;TEXT(C449,"###")):INDIRECT(DatCol&amp;"$"&amp;TEXT(C449+57,"###"))&gt;0,INDIRECT(DatCol&amp;"$"&amp;TEXT(C449,"###")):INDIRECT(DatCol&amp;"$"&amp;TEXT(C449+57,"###"))))</f>
        <v>194.51351351351352</v>
      </c>
      <c r="F449" s="26" t="str">
        <f t="shared" si="406"/>
        <v>C</v>
      </c>
      <c r="G449" s="9">
        <v>165</v>
      </c>
      <c r="H449" s="9">
        <v>6</v>
      </c>
      <c r="I449" s="9">
        <v>38</v>
      </c>
      <c r="J449" s="9">
        <v>456</v>
      </c>
      <c r="K449" s="9">
        <f t="shared" si="403"/>
        <v>627</v>
      </c>
      <c r="L449" s="10">
        <v>1424</v>
      </c>
      <c r="M449" s="11">
        <f t="shared" si="445"/>
        <v>71200</v>
      </c>
      <c r="N449" s="10">
        <v>313</v>
      </c>
      <c r="O449" s="11">
        <f t="shared" si="446"/>
        <v>15650</v>
      </c>
      <c r="P449" s="10">
        <f>400+85+7</f>
        <v>492</v>
      </c>
      <c r="Q449" s="11">
        <f t="shared" si="447"/>
        <v>29520</v>
      </c>
      <c r="X449" s="10">
        <v>227</v>
      </c>
      <c r="Y449" s="11">
        <f t="shared" si="448"/>
        <v>13620</v>
      </c>
      <c r="AF449" s="10">
        <v>0</v>
      </c>
      <c r="AG449" s="11">
        <v>0</v>
      </c>
      <c r="AH449" s="10">
        <v>15</v>
      </c>
      <c r="AI449" s="11">
        <f t="shared" si="449"/>
        <v>975</v>
      </c>
      <c r="AJ449" s="10">
        <v>46</v>
      </c>
      <c r="AK449" s="13">
        <f t="shared" si="450"/>
        <v>414</v>
      </c>
      <c r="AL449" s="10">
        <v>10</v>
      </c>
      <c r="AM449" s="13">
        <f t="shared" si="451"/>
        <v>90</v>
      </c>
      <c r="AN449" s="10">
        <v>0</v>
      </c>
      <c r="AO449" s="11">
        <f t="shared" si="452"/>
        <v>0</v>
      </c>
      <c r="AP449" s="10">
        <v>40</v>
      </c>
      <c r="AQ449" s="11">
        <f t="shared" si="453"/>
        <v>3200</v>
      </c>
      <c r="AR449" s="10">
        <v>5885</v>
      </c>
      <c r="AS449" s="11">
        <f t="shared" si="454"/>
        <v>294250</v>
      </c>
      <c r="AT449" s="10">
        <v>21</v>
      </c>
      <c r="AU449" s="11">
        <f t="shared" si="455"/>
        <v>1050</v>
      </c>
      <c r="AV449" s="10">
        <v>0</v>
      </c>
      <c r="AW449" s="11">
        <f t="shared" si="456"/>
        <v>0</v>
      </c>
      <c r="AX449" s="10">
        <v>4</v>
      </c>
      <c r="AY449" s="11">
        <f t="shared" si="457"/>
        <v>240</v>
      </c>
      <c r="AZ449" s="10">
        <v>0</v>
      </c>
      <c r="BA449" s="11">
        <f t="shared" si="458"/>
        <v>0</v>
      </c>
      <c r="BB449" s="10">
        <v>5</v>
      </c>
      <c r="BC449" s="11">
        <f t="shared" si="459"/>
        <v>200</v>
      </c>
      <c r="BD449" s="10">
        <v>0</v>
      </c>
      <c r="BE449" s="11">
        <f t="shared" si="460"/>
        <v>0</v>
      </c>
      <c r="BF449" s="10">
        <v>0</v>
      </c>
      <c r="BG449" s="11">
        <f t="shared" si="461"/>
        <v>0</v>
      </c>
      <c r="BH449" s="11">
        <v>2495</v>
      </c>
      <c r="BN449" s="8">
        <f t="shared" si="401"/>
        <v>8074</v>
      </c>
      <c r="BO449" s="8">
        <f t="shared" si="402"/>
        <v>409004</v>
      </c>
      <c r="BP449" s="8">
        <f t="shared" si="404"/>
        <v>635</v>
      </c>
      <c r="BQ449" s="12">
        <f t="shared" si="405"/>
        <v>35025</v>
      </c>
    </row>
    <row r="450" spans="1:69" ht="12" customHeight="1">
      <c r="A450" s="28">
        <v>1997</v>
      </c>
      <c r="B450" s="27" t="s">
        <v>31</v>
      </c>
      <c r="C450" s="24">
        <f t="shared" si="408"/>
        <v>408</v>
      </c>
      <c r="D450" s="7" t="e">
        <f t="shared" ref="D450:D513" ca="1" si="462">IF(AND((INDIRECT(DatCol&amp;TEXT(ROW(),"###"))&gt;0),((F450=RegionSelect)+(RegionSelect="A"))),INDIRECT(DatCol&amp;TEXT(ROW(),"###"))/E450,NA())</f>
        <v>#N/A</v>
      </c>
      <c r="E450" s="26">
        <f t="array" aca="1" ref="E450" ca="1">AVERAGE(IF(INDIRECT(DatCol&amp;"$"&amp;TEXT(C450,"###")):INDIRECT(DatCol&amp;"$"&amp;TEXT(C450+57,"###"))&gt;0,INDIRECT(DatCol&amp;"$"&amp;TEXT(C450,"###")):INDIRECT(DatCol&amp;"$"&amp;TEXT(C450+57,"###"))))</f>
        <v>194.51351351351352</v>
      </c>
      <c r="F450" s="26" t="str">
        <f t="shared" si="406"/>
        <v>C</v>
      </c>
      <c r="G450" s="9">
        <v>153</v>
      </c>
      <c r="H450" s="9">
        <v>12</v>
      </c>
      <c r="I450" s="9">
        <v>30</v>
      </c>
      <c r="J450" s="9">
        <v>477</v>
      </c>
      <c r="K450" s="9">
        <f t="shared" si="403"/>
        <v>642</v>
      </c>
      <c r="L450" s="10">
        <v>1830</v>
      </c>
      <c r="M450" s="11">
        <f t="shared" si="445"/>
        <v>91500</v>
      </c>
      <c r="N450" s="10">
        <v>365</v>
      </c>
      <c r="O450" s="11">
        <f t="shared" si="446"/>
        <v>18250</v>
      </c>
      <c r="P450" s="10">
        <f>600+3+8</f>
        <v>611</v>
      </c>
      <c r="Q450" s="11">
        <f t="shared" si="447"/>
        <v>36660</v>
      </c>
      <c r="X450" s="10">
        <v>252</v>
      </c>
      <c r="Y450" s="11">
        <f t="shared" si="448"/>
        <v>15120</v>
      </c>
      <c r="AF450" s="10">
        <v>0</v>
      </c>
      <c r="AG450" s="11">
        <v>0</v>
      </c>
      <c r="AH450" s="10">
        <v>27</v>
      </c>
      <c r="AI450" s="11">
        <f t="shared" si="449"/>
        <v>1755</v>
      </c>
      <c r="AJ450" s="10">
        <v>42</v>
      </c>
      <c r="AK450" s="13">
        <f t="shared" si="450"/>
        <v>378</v>
      </c>
      <c r="AL450" s="10">
        <v>10</v>
      </c>
      <c r="AM450" s="13">
        <f t="shared" si="451"/>
        <v>90</v>
      </c>
      <c r="AN450" s="10">
        <v>0</v>
      </c>
      <c r="AO450" s="11">
        <f t="shared" si="452"/>
        <v>0</v>
      </c>
      <c r="AP450" s="10">
        <v>32</v>
      </c>
      <c r="AQ450" s="11">
        <f t="shared" si="453"/>
        <v>2560</v>
      </c>
      <c r="AR450" s="10">
        <v>13282</v>
      </c>
      <c r="AS450" s="11">
        <f t="shared" si="454"/>
        <v>664100</v>
      </c>
      <c r="AT450" s="10">
        <v>22</v>
      </c>
      <c r="AU450" s="11">
        <f t="shared" si="455"/>
        <v>1100</v>
      </c>
      <c r="AV450" s="10">
        <v>0</v>
      </c>
      <c r="AW450" s="11">
        <f t="shared" si="456"/>
        <v>0</v>
      </c>
      <c r="AX450" s="10">
        <v>4</v>
      </c>
      <c r="AY450" s="11">
        <f t="shared" si="457"/>
        <v>240</v>
      </c>
      <c r="AZ450" s="10">
        <v>0</v>
      </c>
      <c r="BA450" s="11">
        <f t="shared" si="458"/>
        <v>0</v>
      </c>
      <c r="BB450" s="10">
        <v>5</v>
      </c>
      <c r="BC450" s="11">
        <f t="shared" si="459"/>
        <v>200</v>
      </c>
      <c r="BD450" s="10">
        <v>0</v>
      </c>
      <c r="BE450" s="11">
        <f t="shared" si="460"/>
        <v>0</v>
      </c>
      <c r="BF450" s="10">
        <v>0</v>
      </c>
      <c r="BG450" s="11">
        <f t="shared" si="461"/>
        <v>0</v>
      </c>
      <c r="BH450" s="11">
        <v>2975</v>
      </c>
      <c r="BN450" s="8">
        <f t="shared" si="401"/>
        <v>16017</v>
      </c>
      <c r="BO450" s="8">
        <f t="shared" si="402"/>
        <v>807758</v>
      </c>
      <c r="BP450" s="8">
        <f t="shared" si="404"/>
        <v>717</v>
      </c>
      <c r="BQ450" s="12">
        <f t="shared" si="405"/>
        <v>39315</v>
      </c>
    </row>
    <row r="451" spans="1:69" ht="12" customHeight="1">
      <c r="A451" s="28">
        <v>1998</v>
      </c>
      <c r="B451" s="27" t="s">
        <v>31</v>
      </c>
      <c r="C451" s="24">
        <f t="shared" si="408"/>
        <v>408</v>
      </c>
      <c r="D451" s="7" t="e">
        <f t="shared" ca="1" si="462"/>
        <v>#N/A</v>
      </c>
      <c r="E451" s="26">
        <f t="array" aca="1" ref="E451" ca="1">AVERAGE(IF(INDIRECT(DatCol&amp;"$"&amp;TEXT(C451,"###")):INDIRECT(DatCol&amp;"$"&amp;TEXT(C451+57,"###"))&gt;0,INDIRECT(DatCol&amp;"$"&amp;TEXT(C451,"###")):INDIRECT(DatCol&amp;"$"&amp;TEXT(C451+57,"###"))))</f>
        <v>194.51351351351352</v>
      </c>
      <c r="F451" s="26" t="str">
        <f t="shared" si="406"/>
        <v>C</v>
      </c>
      <c r="G451" s="9">
        <v>164</v>
      </c>
      <c r="H451" s="9">
        <v>15</v>
      </c>
      <c r="I451" s="9">
        <v>28</v>
      </c>
      <c r="J451" s="9">
        <v>507</v>
      </c>
      <c r="K451" s="9">
        <f t="shared" si="403"/>
        <v>686</v>
      </c>
      <c r="L451" s="10">
        <f>M451/50</f>
        <v>1618</v>
      </c>
      <c r="M451" s="11">
        <v>80900</v>
      </c>
      <c r="N451" s="10">
        <f>O451/50</f>
        <v>396</v>
      </c>
      <c r="O451" s="11">
        <v>19800</v>
      </c>
      <c r="P451" s="10">
        <v>0</v>
      </c>
      <c r="Q451" s="11">
        <v>0</v>
      </c>
      <c r="R451" s="10">
        <v>509</v>
      </c>
      <c r="S451" s="11">
        <f>R451*60</f>
        <v>30540</v>
      </c>
      <c r="T451" s="10">
        <v>34</v>
      </c>
      <c r="U451" s="11">
        <f>T451*60</f>
        <v>2040</v>
      </c>
      <c r="V451" s="10">
        <v>9</v>
      </c>
      <c r="W451" s="11">
        <f>V451*60</f>
        <v>540</v>
      </c>
      <c r="X451" s="10">
        <v>0</v>
      </c>
      <c r="Y451" s="11">
        <v>0</v>
      </c>
      <c r="Z451" s="10">
        <f>(AA451/60)</f>
        <v>107.4</v>
      </c>
      <c r="AA451" s="11">
        <f>21480*0.3</f>
        <v>6444</v>
      </c>
      <c r="AB451" s="10">
        <f>(AC451/60)</f>
        <v>143.19999999999999</v>
      </c>
      <c r="AC451" s="11">
        <f>21480*0.4</f>
        <v>8592</v>
      </c>
      <c r="AD451" s="10">
        <f>(AE451/60)</f>
        <v>107.4</v>
      </c>
      <c r="AE451" s="11">
        <f>21480*0.3</f>
        <v>6444</v>
      </c>
      <c r="AF451" s="10">
        <v>0</v>
      </c>
      <c r="AG451" s="11">
        <v>0</v>
      </c>
      <c r="AH451" s="10">
        <f>AI451/65</f>
        <v>26.923076923076923</v>
      </c>
      <c r="AI451" s="11">
        <v>1750</v>
      </c>
      <c r="AJ451" s="10">
        <v>0</v>
      </c>
      <c r="AK451" s="13">
        <v>0</v>
      </c>
      <c r="AL451" s="10">
        <f>AM451/9</f>
        <v>11.111111111111111</v>
      </c>
      <c r="AM451" s="13">
        <v>100</v>
      </c>
      <c r="AN451" s="10">
        <v>0</v>
      </c>
      <c r="AO451" s="11">
        <v>0</v>
      </c>
      <c r="AP451" s="10">
        <f>AQ451/80</f>
        <v>34</v>
      </c>
      <c r="AQ451" s="11">
        <v>2720</v>
      </c>
      <c r="AR451" s="10">
        <f>AS451/50</f>
        <v>9157.5</v>
      </c>
      <c r="AS451" s="11">
        <v>457875</v>
      </c>
      <c r="AT451" s="10">
        <f>AU451/50</f>
        <v>24.2</v>
      </c>
      <c r="AU451" s="11">
        <v>1210</v>
      </c>
      <c r="AV451" s="10">
        <v>0</v>
      </c>
      <c r="AW451" s="11">
        <v>0</v>
      </c>
      <c r="AX451" s="10">
        <f>AY451/60</f>
        <v>2.6666666666666665</v>
      </c>
      <c r="AY451" s="11">
        <v>160</v>
      </c>
      <c r="AZ451" s="10">
        <v>0</v>
      </c>
      <c r="BA451" s="11">
        <v>0</v>
      </c>
      <c r="BB451" s="10">
        <f>BC451/40</f>
        <v>2</v>
      </c>
      <c r="BC451" s="11">
        <v>80</v>
      </c>
      <c r="BD451" s="10">
        <v>0</v>
      </c>
      <c r="BE451" s="11">
        <v>0</v>
      </c>
      <c r="BF451" s="10">
        <v>0</v>
      </c>
      <c r="BG451" s="11">
        <v>0</v>
      </c>
      <c r="BH451" s="11">
        <v>1403</v>
      </c>
      <c r="BI451" s="11">
        <v>20</v>
      </c>
      <c r="BN451" s="8">
        <f t="shared" si="401"/>
        <v>11685.5</v>
      </c>
      <c r="BO451" s="8">
        <f t="shared" si="402"/>
        <v>586931</v>
      </c>
      <c r="BP451" s="8">
        <f t="shared" si="404"/>
        <v>854.90085470085455</v>
      </c>
      <c r="BQ451" s="12">
        <f t="shared" si="405"/>
        <v>47300</v>
      </c>
    </row>
    <row r="452" spans="1:69" ht="12" customHeight="1">
      <c r="A452" s="28">
        <v>1999</v>
      </c>
      <c r="B452" s="27" t="s">
        <v>31</v>
      </c>
      <c r="C452" s="24">
        <f t="shared" si="408"/>
        <v>408</v>
      </c>
      <c r="D452" s="7" t="e">
        <f t="shared" ca="1" si="462"/>
        <v>#N/A</v>
      </c>
      <c r="E452" s="26">
        <f t="array" aca="1" ref="E452" ca="1">AVERAGE(IF(INDIRECT(DatCol&amp;"$"&amp;TEXT(C452,"###")):INDIRECT(DatCol&amp;"$"&amp;TEXT(C452+57,"###"))&gt;0,INDIRECT(DatCol&amp;"$"&amp;TEXT(C452,"###")):INDIRECT(DatCol&amp;"$"&amp;TEXT(C452+57,"###"))))</f>
        <v>194.51351351351352</v>
      </c>
      <c r="F452" s="26" t="str">
        <f t="shared" si="406"/>
        <v>C</v>
      </c>
      <c r="G452" s="9">
        <v>147</v>
      </c>
      <c r="H452" s="9">
        <v>14</v>
      </c>
      <c r="I452" s="9">
        <v>24</v>
      </c>
      <c r="J452" s="9">
        <v>388</v>
      </c>
      <c r="K452" s="9">
        <f t="shared" si="403"/>
        <v>549</v>
      </c>
      <c r="L452" s="10">
        <f>M452/50</f>
        <v>1852</v>
      </c>
      <c r="M452" s="11">
        <v>92600</v>
      </c>
      <c r="N452" s="10">
        <f>O452/50</f>
        <v>396</v>
      </c>
      <c r="O452" s="11">
        <v>19800</v>
      </c>
      <c r="P452" s="10">
        <v>0</v>
      </c>
      <c r="Q452" s="11">
        <v>0</v>
      </c>
      <c r="R452" s="10">
        <f>S452/60</f>
        <v>489.16666666666669</v>
      </c>
      <c r="S452" s="11">
        <v>29350</v>
      </c>
      <c r="T452" s="10">
        <f>U452/60</f>
        <v>9.3333333333333339</v>
      </c>
      <c r="U452" s="11">
        <v>560</v>
      </c>
      <c r="V452" s="10">
        <f>W452/60</f>
        <v>1.5</v>
      </c>
      <c r="W452" s="11">
        <v>90</v>
      </c>
      <c r="X452" s="10">
        <v>0</v>
      </c>
      <c r="Y452" s="11">
        <v>0</v>
      </c>
      <c r="Z452" s="10">
        <f>AA452/60</f>
        <v>107.4</v>
      </c>
      <c r="AA452" s="11">
        <f>21480*0.3</f>
        <v>6444</v>
      </c>
      <c r="AB452" s="10">
        <f>AC452/60</f>
        <v>143.21333333333334</v>
      </c>
      <c r="AC452" s="11">
        <f>21482*0.4</f>
        <v>8592.8000000000011</v>
      </c>
      <c r="AD452" s="10">
        <f>AE452/60</f>
        <v>107.4</v>
      </c>
      <c r="AE452" s="11">
        <f>21480*0.3</f>
        <v>6444</v>
      </c>
      <c r="AF452" s="10">
        <v>0</v>
      </c>
      <c r="AG452" s="11">
        <v>0</v>
      </c>
      <c r="AH452" s="10">
        <f>AI452/50</f>
        <v>42</v>
      </c>
      <c r="AI452" s="11">
        <v>2100</v>
      </c>
      <c r="AJ452" s="10">
        <f>AK452/9</f>
        <v>55.555555555555557</v>
      </c>
      <c r="AK452" s="13">
        <v>500</v>
      </c>
      <c r="AL452" s="10">
        <f>AM452/9</f>
        <v>66.666666666666671</v>
      </c>
      <c r="AM452" s="13">
        <v>600</v>
      </c>
      <c r="AN452" s="10">
        <v>0</v>
      </c>
      <c r="AO452" s="11">
        <v>0</v>
      </c>
      <c r="AP452" s="10">
        <f>AQ452/80</f>
        <v>32</v>
      </c>
      <c r="AQ452" s="11">
        <v>2560</v>
      </c>
      <c r="AR452" s="10">
        <v>0</v>
      </c>
      <c r="AS452" s="11">
        <v>0</v>
      </c>
      <c r="AT452" s="10">
        <f>AU452/55</f>
        <v>20</v>
      </c>
      <c r="AU452" s="11">
        <v>1100</v>
      </c>
      <c r="AV452" s="10">
        <v>0</v>
      </c>
      <c r="AW452" s="11">
        <v>0</v>
      </c>
      <c r="AX452" s="10">
        <v>0</v>
      </c>
      <c r="AY452" s="11">
        <v>0</v>
      </c>
      <c r="AZ452" s="10">
        <v>0</v>
      </c>
      <c r="BA452" s="11">
        <v>0</v>
      </c>
      <c r="BB452" s="10">
        <f>BC452/40</f>
        <v>5</v>
      </c>
      <c r="BC452" s="11">
        <v>200</v>
      </c>
      <c r="BD452" s="10">
        <v>0</v>
      </c>
      <c r="BE452" s="11">
        <v>0</v>
      </c>
      <c r="BN452" s="8">
        <f t="shared" si="401"/>
        <v>2765.568888888889</v>
      </c>
      <c r="BO452" s="8">
        <f t="shared" si="402"/>
        <v>138136.79999999999</v>
      </c>
      <c r="BP452" s="8">
        <f t="shared" si="404"/>
        <v>919.68</v>
      </c>
      <c r="BQ452" s="12">
        <f t="shared" si="405"/>
        <v>47840.800000000003</v>
      </c>
    </row>
    <row r="453" spans="1:69" ht="12" customHeight="1">
      <c r="A453" s="28">
        <v>2000</v>
      </c>
      <c r="B453" s="27" t="s">
        <v>31</v>
      </c>
      <c r="C453" s="24">
        <f t="shared" si="408"/>
        <v>408</v>
      </c>
      <c r="D453" s="7" t="e">
        <f t="shared" ca="1" si="462"/>
        <v>#N/A</v>
      </c>
      <c r="E453" s="26">
        <f t="array" aca="1" ref="E453" ca="1">AVERAGE(IF(INDIRECT(DatCol&amp;"$"&amp;TEXT(C453,"###")):INDIRECT(DatCol&amp;"$"&amp;TEXT(C453+57,"###"))&gt;0,INDIRECT(DatCol&amp;"$"&amp;TEXT(C453,"###")):INDIRECT(DatCol&amp;"$"&amp;TEXT(C453+57,"###"))))</f>
        <v>194.51351351351352</v>
      </c>
      <c r="F453" s="26" t="str">
        <f t="shared" si="406"/>
        <v>C</v>
      </c>
      <c r="G453" s="9">
        <v>153</v>
      </c>
      <c r="H453" s="9">
        <v>15</v>
      </c>
      <c r="I453" s="9">
        <v>23</v>
      </c>
      <c r="J453" s="9">
        <v>451</v>
      </c>
      <c r="K453" s="9">
        <f t="shared" si="403"/>
        <v>619</v>
      </c>
      <c r="L453" s="10">
        <f>M453/50</f>
        <v>1747</v>
      </c>
      <c r="M453" s="11">
        <v>87350</v>
      </c>
      <c r="N453" s="10">
        <f>O453/50</f>
        <v>351</v>
      </c>
      <c r="O453" s="11">
        <v>17550</v>
      </c>
      <c r="P453" s="10">
        <v>0</v>
      </c>
      <c r="Q453" s="11">
        <v>0</v>
      </c>
      <c r="R453" s="10">
        <v>412</v>
      </c>
      <c r="S453" s="11">
        <f>R453*49.5</f>
        <v>20394</v>
      </c>
      <c r="T453" s="10">
        <v>67</v>
      </c>
      <c r="U453" s="11">
        <f>T453*57.5</f>
        <v>3852.5</v>
      </c>
      <c r="V453" s="10">
        <v>19</v>
      </c>
      <c r="W453" s="11">
        <f>V453*57.5</f>
        <v>1092.5</v>
      </c>
      <c r="X453" s="10">
        <v>0</v>
      </c>
      <c r="Y453" s="11">
        <v>0</v>
      </c>
      <c r="Z453" s="10">
        <v>109.2</v>
      </c>
      <c r="AA453" s="11">
        <f>Z453*49.5</f>
        <v>5405.4000000000005</v>
      </c>
      <c r="AB453" s="10">
        <v>145.6</v>
      </c>
      <c r="AC453" s="11">
        <f>AB453*57.5</f>
        <v>8372</v>
      </c>
      <c r="AD453" s="10">
        <v>109.2</v>
      </c>
      <c r="AE453" s="11">
        <f>AD453*57.5</f>
        <v>6279</v>
      </c>
      <c r="AF453" s="10">
        <v>0</v>
      </c>
      <c r="AG453" s="11">
        <v>0</v>
      </c>
      <c r="AH453" s="10">
        <f>AI453/47.5</f>
        <v>53.684210526315788</v>
      </c>
      <c r="AI453" s="11">
        <v>2550</v>
      </c>
      <c r="AJ453" s="10">
        <f>AK453/9</f>
        <v>177.77777777777777</v>
      </c>
      <c r="AK453" s="13">
        <v>1600</v>
      </c>
      <c r="AL453" s="10">
        <f>AM453/9</f>
        <v>122.22222222222223</v>
      </c>
      <c r="AM453" s="13">
        <v>1100</v>
      </c>
      <c r="AN453" s="10">
        <v>0</v>
      </c>
      <c r="AO453" s="11">
        <v>0</v>
      </c>
      <c r="AP453" s="10">
        <f>AQ453/80</f>
        <v>47</v>
      </c>
      <c r="AQ453" s="11">
        <v>3760</v>
      </c>
      <c r="AR453" s="10">
        <f>AS453/55</f>
        <v>50</v>
      </c>
      <c r="AS453" s="11">
        <v>2750</v>
      </c>
      <c r="AT453" s="10">
        <f>AU453/55</f>
        <v>30</v>
      </c>
      <c r="AU453" s="11">
        <v>1650</v>
      </c>
      <c r="AV453" s="10">
        <v>0</v>
      </c>
      <c r="AW453" s="11">
        <v>0</v>
      </c>
      <c r="AX453" s="10">
        <v>0</v>
      </c>
      <c r="AY453" s="11">
        <v>0</v>
      </c>
      <c r="AZ453" s="10">
        <v>0</v>
      </c>
      <c r="BA453" s="11">
        <v>0</v>
      </c>
      <c r="BB453" s="10">
        <v>5</v>
      </c>
      <c r="BC453" s="11">
        <v>200</v>
      </c>
      <c r="BD453" s="10">
        <v>0</v>
      </c>
      <c r="BE453" s="11">
        <v>0</v>
      </c>
      <c r="BH453" s="11">
        <v>1710</v>
      </c>
      <c r="BI453" s="11">
        <v>18</v>
      </c>
      <c r="BN453" s="8">
        <f t="shared" si="401"/>
        <v>2836.7777777777774</v>
      </c>
      <c r="BO453" s="8">
        <f t="shared" si="402"/>
        <v>130816.4</v>
      </c>
      <c r="BP453" s="8">
        <f t="shared" si="404"/>
        <v>972.90643274853801</v>
      </c>
      <c r="BQ453" s="12">
        <f t="shared" si="405"/>
        <v>46866.400000000001</v>
      </c>
    </row>
    <row r="454" spans="1:69" ht="12" customHeight="1">
      <c r="A454" s="28">
        <v>2001</v>
      </c>
      <c r="B454" s="27" t="s">
        <v>31</v>
      </c>
      <c r="C454" s="24">
        <f t="shared" si="408"/>
        <v>408</v>
      </c>
      <c r="D454" s="7" t="e">
        <f t="shared" ca="1" si="462"/>
        <v>#N/A</v>
      </c>
      <c r="E454" s="26">
        <f t="array" aca="1" ref="E454" ca="1">AVERAGE(IF(INDIRECT(DatCol&amp;"$"&amp;TEXT(C454,"###")):INDIRECT(DatCol&amp;"$"&amp;TEXT(C454+57,"###"))&gt;0,INDIRECT(DatCol&amp;"$"&amp;TEXT(C454,"###")):INDIRECT(DatCol&amp;"$"&amp;TEXT(C454+57,"###"))))</f>
        <v>194.51351351351352</v>
      </c>
      <c r="F454" s="26" t="str">
        <f t="shared" si="406"/>
        <v>C</v>
      </c>
      <c r="G454" s="9">
        <v>0</v>
      </c>
      <c r="H454" s="9">
        <v>19</v>
      </c>
      <c r="I454" s="9">
        <v>21</v>
      </c>
      <c r="J454" s="9">
        <v>613</v>
      </c>
      <c r="K454" s="9">
        <f t="shared" si="403"/>
        <v>632</v>
      </c>
      <c r="L454" s="10">
        <f>M454/50</f>
        <v>1310.4000000000001</v>
      </c>
      <c r="M454" s="11">
        <v>65520</v>
      </c>
      <c r="N454" s="10">
        <f>O454/50</f>
        <v>249.6</v>
      </c>
      <c r="O454" s="11">
        <v>12480</v>
      </c>
      <c r="P454" s="10">
        <v>0</v>
      </c>
      <c r="Q454" s="11">
        <v>0</v>
      </c>
      <c r="R454" s="10">
        <f>S454/75</f>
        <v>363</v>
      </c>
      <c r="S454" s="11">
        <v>27225</v>
      </c>
      <c r="T454" s="10">
        <f>U454/75</f>
        <v>57.226666666666667</v>
      </c>
      <c r="U454" s="11">
        <v>4292</v>
      </c>
      <c r="V454" s="10">
        <f>W454/75</f>
        <v>22</v>
      </c>
      <c r="W454" s="11">
        <v>1650</v>
      </c>
      <c r="X454" s="10">
        <v>0</v>
      </c>
      <c r="Y454" s="11">
        <v>0</v>
      </c>
      <c r="Z454" s="10">
        <f>AA454/75</f>
        <v>154</v>
      </c>
      <c r="AA454" s="11">
        <v>11550</v>
      </c>
      <c r="AB454" s="10">
        <f>AC454/75</f>
        <v>151.94666666666666</v>
      </c>
      <c r="AC454" s="11">
        <v>11396</v>
      </c>
      <c r="AD454" s="10">
        <f>AE454/75</f>
        <v>77</v>
      </c>
      <c r="AE454" s="11">
        <v>5775</v>
      </c>
      <c r="AF454" s="10">
        <v>0</v>
      </c>
      <c r="AG454" s="11">
        <v>0</v>
      </c>
      <c r="AH454" s="10">
        <f>AI454/47.5</f>
        <v>69.263157894736835</v>
      </c>
      <c r="AI454" s="11">
        <v>3290</v>
      </c>
      <c r="AJ454" s="10">
        <f>AK454/50</f>
        <v>211.6</v>
      </c>
      <c r="AK454" s="13">
        <v>10580</v>
      </c>
      <c r="AL454" s="10">
        <f>AM454/50</f>
        <v>32</v>
      </c>
      <c r="AM454" s="13">
        <v>1600</v>
      </c>
      <c r="AN454" s="10">
        <v>0</v>
      </c>
      <c r="AO454" s="11">
        <v>0</v>
      </c>
      <c r="AP454" s="10">
        <f>AQ454/80</f>
        <v>42</v>
      </c>
      <c r="AQ454" s="11">
        <v>3360</v>
      </c>
      <c r="AR454" s="10">
        <v>0</v>
      </c>
      <c r="AS454" s="11">
        <v>0</v>
      </c>
      <c r="AT454" s="10">
        <f>AU454/55</f>
        <v>34.363636363636367</v>
      </c>
      <c r="AU454" s="11">
        <v>1890</v>
      </c>
      <c r="AV454" s="10">
        <v>0</v>
      </c>
      <c r="AW454" s="11">
        <v>0</v>
      </c>
      <c r="AX454" s="10">
        <v>0</v>
      </c>
      <c r="AY454" s="11">
        <v>0</v>
      </c>
      <c r="AZ454" s="10">
        <v>0</v>
      </c>
      <c r="BA454" s="11">
        <v>0</v>
      </c>
      <c r="BB454" s="10">
        <f>BC454/40</f>
        <v>5.625</v>
      </c>
      <c r="BC454" s="11">
        <v>225</v>
      </c>
      <c r="BD454" s="10">
        <v>0</v>
      </c>
      <c r="BE454" s="11">
        <v>0</v>
      </c>
      <c r="BH454" s="11">
        <v>1500</v>
      </c>
      <c r="BI454" s="11">
        <v>10</v>
      </c>
      <c r="BN454" s="8">
        <f t="shared" si="401"/>
        <v>2347.1733333333332</v>
      </c>
      <c r="BO454" s="8">
        <f t="shared" si="402"/>
        <v>132213</v>
      </c>
      <c r="BP454" s="8">
        <f t="shared" si="404"/>
        <v>815.79846092503988</v>
      </c>
      <c r="BQ454" s="12">
        <f t="shared" si="405"/>
        <v>51566</v>
      </c>
    </row>
    <row r="455" spans="1:69" ht="12" customHeight="1">
      <c r="A455" s="28">
        <v>2002</v>
      </c>
      <c r="B455" s="27" t="s">
        <v>31</v>
      </c>
      <c r="C455" s="24">
        <f t="shared" si="408"/>
        <v>408</v>
      </c>
      <c r="D455" s="7" t="e">
        <f t="shared" ca="1" si="462"/>
        <v>#N/A</v>
      </c>
      <c r="E455" s="26">
        <f t="array" aca="1" ref="E455" ca="1">AVERAGE(IF(INDIRECT(DatCol&amp;"$"&amp;TEXT(C455,"###")):INDIRECT(DatCol&amp;"$"&amp;TEXT(C455+57,"###"))&gt;0,INDIRECT(DatCol&amp;"$"&amp;TEXT(C455,"###")):INDIRECT(DatCol&amp;"$"&amp;TEXT(C455+57,"###"))))</f>
        <v>194.51351351351352</v>
      </c>
      <c r="F455" s="26" t="str">
        <f t="shared" si="406"/>
        <v>C</v>
      </c>
      <c r="G455" s="9">
        <v>0</v>
      </c>
      <c r="H455" s="9">
        <v>17</v>
      </c>
      <c r="I455" s="9">
        <v>28</v>
      </c>
      <c r="J455" s="9">
        <v>659</v>
      </c>
      <c r="K455" s="9">
        <f t="shared" si="403"/>
        <v>676</v>
      </c>
      <c r="L455" s="10">
        <f>M455/50</f>
        <v>303.60000000000002</v>
      </c>
      <c r="M455" s="11">
        <v>15180</v>
      </c>
      <c r="N455" s="10">
        <f>O455/50</f>
        <v>226.8</v>
      </c>
      <c r="O455" s="11">
        <v>11340</v>
      </c>
      <c r="P455" s="10">
        <v>0</v>
      </c>
      <c r="Q455" s="11">
        <v>0</v>
      </c>
      <c r="R455" s="10">
        <f>S455/75</f>
        <v>321</v>
      </c>
      <c r="S455" s="11">
        <v>24075</v>
      </c>
      <c r="T455" s="10">
        <f>U455/75</f>
        <v>60.186666666666667</v>
      </c>
      <c r="U455" s="11">
        <v>4514</v>
      </c>
      <c r="V455" s="10">
        <f>W455/75</f>
        <v>42</v>
      </c>
      <c r="W455" s="11">
        <v>3150</v>
      </c>
      <c r="X455" s="10">
        <v>355</v>
      </c>
      <c r="Y455" s="11">
        <f>X455*75</f>
        <v>26625</v>
      </c>
      <c r="Z455" s="10">
        <f>AA455/75</f>
        <v>105.57333333333334</v>
      </c>
      <c r="AA455" s="11">
        <v>7918</v>
      </c>
      <c r="AB455" s="10">
        <f>AC455/75</f>
        <v>177</v>
      </c>
      <c r="AC455" s="11">
        <v>13275</v>
      </c>
      <c r="AD455" s="10">
        <f>AE455/75</f>
        <v>71</v>
      </c>
      <c r="AE455" s="11">
        <v>5325</v>
      </c>
      <c r="AF455" s="10">
        <v>0</v>
      </c>
      <c r="AG455" s="11">
        <v>0</v>
      </c>
      <c r="AH455" s="10">
        <f>AI455/47.5</f>
        <v>64.84210526315789</v>
      </c>
      <c r="AI455" s="11">
        <v>3080</v>
      </c>
      <c r="AJ455" s="10">
        <f>AK455/50</f>
        <v>224</v>
      </c>
      <c r="AK455" s="13">
        <v>11200</v>
      </c>
      <c r="AL455" s="10">
        <f>AM455/50</f>
        <v>65</v>
      </c>
      <c r="AM455" s="13">
        <v>3250</v>
      </c>
      <c r="AN455" s="10">
        <v>0</v>
      </c>
      <c r="AO455" s="11">
        <v>0</v>
      </c>
      <c r="AP455" s="10">
        <f>AQ455/80</f>
        <v>45</v>
      </c>
      <c r="AQ455" s="11">
        <v>3600</v>
      </c>
      <c r="AR455" s="10">
        <f>AS455/55</f>
        <v>21.818181818181817</v>
      </c>
      <c r="AS455" s="11">
        <v>1200</v>
      </c>
      <c r="AT455" s="10">
        <f>AU455/55</f>
        <v>38.727272727272727</v>
      </c>
      <c r="AU455" s="11">
        <v>2130</v>
      </c>
      <c r="AV455" s="10">
        <v>0</v>
      </c>
      <c r="AW455" s="11">
        <v>0</v>
      </c>
      <c r="AX455" s="10">
        <v>0</v>
      </c>
      <c r="AY455" s="11">
        <v>0</v>
      </c>
      <c r="AZ455" s="10">
        <v>0</v>
      </c>
      <c r="BA455" s="11">
        <v>0</v>
      </c>
      <c r="BB455" s="10">
        <v>5</v>
      </c>
      <c r="BC455" s="11">
        <v>200</v>
      </c>
      <c r="BD455" s="10">
        <v>0</v>
      </c>
      <c r="BE455" s="11">
        <v>0</v>
      </c>
      <c r="BF455" s="10">
        <v>0</v>
      </c>
      <c r="BG455" s="11">
        <v>0</v>
      </c>
      <c r="BH455" s="11">
        <v>380</v>
      </c>
      <c r="BI455" s="11">
        <v>10</v>
      </c>
      <c r="BN455" s="8">
        <f t="shared" si="401"/>
        <v>1681.1781818181817</v>
      </c>
      <c r="BO455" s="8">
        <f t="shared" si="402"/>
        <v>107137</v>
      </c>
      <c r="BP455" s="8">
        <f t="shared" si="404"/>
        <v>1153.9427113237641</v>
      </c>
      <c r="BQ455" s="12">
        <f t="shared" si="405"/>
        <v>76743</v>
      </c>
    </row>
    <row r="456" spans="1:69" ht="12" customHeight="1">
      <c r="A456" s="28">
        <v>2003</v>
      </c>
      <c r="B456" s="27" t="s">
        <v>31</v>
      </c>
      <c r="C456" s="24">
        <f t="shared" si="408"/>
        <v>408</v>
      </c>
      <c r="D456" s="7" t="e">
        <f t="shared" ca="1" si="462"/>
        <v>#N/A</v>
      </c>
      <c r="E456" s="26">
        <f t="array" aca="1" ref="E456" ca="1">AVERAGE(IF(INDIRECT(DatCol&amp;"$"&amp;TEXT(C456,"###")):INDIRECT(DatCol&amp;"$"&amp;TEXT(C456+57,"###"))&gt;0,INDIRECT(DatCol&amp;"$"&amp;TEXT(C456,"###")):INDIRECT(DatCol&amp;"$"&amp;TEXT(C456+57,"###"))))</f>
        <v>194.51351351351352</v>
      </c>
      <c r="F456" s="26" t="str">
        <f t="shared" si="406"/>
        <v>C</v>
      </c>
      <c r="H456" s="9">
        <v>15</v>
      </c>
      <c r="I456" s="9">
        <v>17</v>
      </c>
      <c r="J456" s="9">
        <v>634</v>
      </c>
      <c r="K456" s="9">
        <f t="shared" si="403"/>
        <v>649</v>
      </c>
      <c r="L456" s="10">
        <v>104</v>
      </c>
      <c r="M456" s="11">
        <f>L456*50</f>
        <v>5200</v>
      </c>
      <c r="N456" s="10">
        <v>169</v>
      </c>
      <c r="O456" s="11">
        <f>N456*50</f>
        <v>8450</v>
      </c>
      <c r="P456" s="10">
        <v>454</v>
      </c>
      <c r="Q456" s="11">
        <f>P456*75</f>
        <v>34050</v>
      </c>
      <c r="R456" s="10">
        <v>0</v>
      </c>
      <c r="S456" s="11">
        <v>0</v>
      </c>
      <c r="T456" s="10">
        <v>0</v>
      </c>
      <c r="U456" s="11">
        <v>0</v>
      </c>
      <c r="V456" s="10">
        <v>0</v>
      </c>
      <c r="W456" s="11">
        <v>0</v>
      </c>
      <c r="Z456" s="10">
        <f>AA456/75</f>
        <v>98.8</v>
      </c>
      <c r="AA456" s="11">
        <f>(247*75)*0.4</f>
        <v>7410</v>
      </c>
      <c r="AB456" s="10">
        <v>98.8</v>
      </c>
      <c r="AC456" s="11">
        <v>7410</v>
      </c>
      <c r="AD456" s="10">
        <f>AE456/75</f>
        <v>49.4</v>
      </c>
      <c r="AE456" s="11">
        <f>(247*75)*0.2</f>
        <v>3705</v>
      </c>
      <c r="AF456" s="10">
        <v>0</v>
      </c>
      <c r="AG456" s="11">
        <v>0</v>
      </c>
      <c r="AH456" s="10">
        <v>331</v>
      </c>
      <c r="AI456" s="11">
        <f>AH456*47.5</f>
        <v>15722.5</v>
      </c>
      <c r="AJ456" s="10">
        <v>83</v>
      </c>
      <c r="AK456" s="13">
        <f>AJ456*50</f>
        <v>4150</v>
      </c>
      <c r="AL456" s="10">
        <v>37</v>
      </c>
      <c r="AM456" s="13">
        <f>AL456*50</f>
        <v>1850</v>
      </c>
      <c r="AN456" s="10">
        <v>0</v>
      </c>
      <c r="AO456" s="11">
        <v>0</v>
      </c>
      <c r="AP456" s="10">
        <v>47</v>
      </c>
      <c r="AQ456" s="11">
        <f>AP456*80</f>
        <v>3760</v>
      </c>
      <c r="AR456" s="10">
        <v>0</v>
      </c>
      <c r="AS456" s="11">
        <v>0</v>
      </c>
      <c r="AT456" s="10">
        <v>38</v>
      </c>
      <c r="AU456" s="11">
        <f>AT456*55</f>
        <v>2090</v>
      </c>
      <c r="AV456" s="10">
        <v>0</v>
      </c>
      <c r="AW456" s="11">
        <v>0</v>
      </c>
      <c r="AX456" s="10">
        <v>0</v>
      </c>
      <c r="AY456" s="11">
        <v>0</v>
      </c>
      <c r="AZ456" s="10">
        <v>0</v>
      </c>
      <c r="BA456" s="11">
        <v>0</v>
      </c>
      <c r="BB456" s="10">
        <v>5</v>
      </c>
      <c r="BC456" s="11">
        <v>200</v>
      </c>
      <c r="BN456" s="8">
        <f t="shared" ref="BN456:BN520" si="463">(L456+P456+R456+T456+V456+X456+Z456+AB456+AD456+AF456+AJ456+AN456+AR456+AV456+AZ456+BD456)</f>
        <v>887.99999999999989</v>
      </c>
      <c r="BO456" s="8">
        <f t="shared" si="402"/>
        <v>58220</v>
      </c>
      <c r="BP456" s="8">
        <f t="shared" si="404"/>
        <v>874</v>
      </c>
      <c r="BQ456" s="12">
        <f t="shared" si="405"/>
        <v>50597.5</v>
      </c>
    </row>
    <row r="457" spans="1:69" ht="12" customHeight="1">
      <c r="A457" s="28">
        <v>2004</v>
      </c>
      <c r="B457" s="27" t="s">
        <v>31</v>
      </c>
      <c r="C457" s="24">
        <f t="shared" si="408"/>
        <v>408</v>
      </c>
      <c r="D457" s="7" t="e">
        <f t="shared" ca="1" si="462"/>
        <v>#N/A</v>
      </c>
      <c r="E457" s="26">
        <f t="array" aca="1" ref="E457" ca="1">AVERAGE(IF(INDIRECT(DatCol&amp;"$"&amp;TEXT(C457,"###")):INDIRECT(DatCol&amp;"$"&amp;TEXT(C457+57,"###"))&gt;0,INDIRECT(DatCol&amp;"$"&amp;TEXT(C457,"###")):INDIRECT(DatCol&amp;"$"&amp;TEXT(C457+57,"###"))))</f>
        <v>194.51351351351352</v>
      </c>
      <c r="F457" s="26" t="str">
        <f t="shared" si="406"/>
        <v>C</v>
      </c>
      <c r="H457" s="9">
        <v>10</v>
      </c>
      <c r="I457" s="9">
        <v>13</v>
      </c>
      <c r="J457" s="9">
        <v>520</v>
      </c>
      <c r="K457" s="9">
        <f t="shared" si="403"/>
        <v>530</v>
      </c>
      <c r="L457" s="10">
        <v>199</v>
      </c>
      <c r="M457" s="11">
        <f>L457*50</f>
        <v>9950</v>
      </c>
      <c r="N457" s="10">
        <v>145</v>
      </c>
      <c r="O457" s="11">
        <f>N457*50</f>
        <v>7250</v>
      </c>
      <c r="R457" s="10">
        <v>290</v>
      </c>
      <c r="S457" s="11">
        <f>R457*75</f>
        <v>21750</v>
      </c>
      <c r="T457" s="10">
        <v>20</v>
      </c>
      <c r="U457" s="11">
        <f>T457*75</f>
        <v>1500</v>
      </c>
      <c r="V457" s="10">
        <v>11</v>
      </c>
      <c r="W457" s="11">
        <f>V457*75</f>
        <v>825</v>
      </c>
      <c r="Z457" s="10">
        <v>151</v>
      </c>
      <c r="AA457" s="11">
        <f>Z457*75</f>
        <v>11325</v>
      </c>
      <c r="AB457" s="10">
        <v>95</v>
      </c>
      <c r="AC457" s="11">
        <f>AB457*75</f>
        <v>7125</v>
      </c>
      <c r="AD457" s="10">
        <v>55</v>
      </c>
      <c r="AE457" s="11">
        <f>AD457*75</f>
        <v>4125</v>
      </c>
      <c r="AF457" s="10">
        <v>0</v>
      </c>
      <c r="AG457" s="11">
        <v>0</v>
      </c>
      <c r="AH457" s="10">
        <v>33</v>
      </c>
      <c r="AI457" s="11">
        <f>AH457*47.5</f>
        <v>1567.5</v>
      </c>
      <c r="AJ457" s="10">
        <v>54</v>
      </c>
      <c r="AK457" s="13">
        <f>AJ457*50</f>
        <v>2700</v>
      </c>
      <c r="AL457" s="10">
        <v>22</v>
      </c>
      <c r="AM457" s="13">
        <f>AL457*50</f>
        <v>1100</v>
      </c>
      <c r="AN457" s="10">
        <v>0</v>
      </c>
      <c r="AO457" s="11">
        <v>0</v>
      </c>
      <c r="AP457" s="10">
        <v>45</v>
      </c>
      <c r="AQ457" s="11">
        <f>AP457*80</f>
        <v>3600</v>
      </c>
      <c r="AR457" s="10">
        <v>0</v>
      </c>
      <c r="AS457" s="11">
        <v>0</v>
      </c>
      <c r="AT457" s="10">
        <v>35</v>
      </c>
      <c r="AU457" s="11">
        <f>AT457*55</f>
        <v>1925</v>
      </c>
      <c r="AV457" s="10">
        <v>0</v>
      </c>
      <c r="AW457" s="11">
        <v>0</v>
      </c>
      <c r="AX457" s="10">
        <v>0</v>
      </c>
      <c r="AY457" s="11">
        <v>0</v>
      </c>
      <c r="AZ457" s="10">
        <v>0</v>
      </c>
      <c r="BA457" s="11">
        <v>0</v>
      </c>
      <c r="BB457" s="10">
        <v>8</v>
      </c>
      <c r="BC457" s="11">
        <f>BB457*40</f>
        <v>320</v>
      </c>
      <c r="BD457" s="10">
        <v>0</v>
      </c>
      <c r="BN457" s="8">
        <f t="shared" si="463"/>
        <v>875</v>
      </c>
      <c r="BO457" s="8">
        <f t="shared" ref="BO457:BO520" si="464">(M457+Q457+S457+U457+W457+Y457+AA457+AC457+AG457+AK457+AO457+AS457+AW457+BA457+BE457)</f>
        <v>55175</v>
      </c>
      <c r="BP457" s="8">
        <f t="shared" si="404"/>
        <v>589</v>
      </c>
      <c r="BQ457" s="12">
        <f t="shared" si="405"/>
        <v>38337.5</v>
      </c>
    </row>
    <row r="458" spans="1:69" ht="12" customHeight="1">
      <c r="A458" s="28">
        <v>2005</v>
      </c>
      <c r="B458" s="27" t="s">
        <v>31</v>
      </c>
      <c r="C458" s="24">
        <f t="shared" si="408"/>
        <v>408</v>
      </c>
      <c r="D458" s="7" t="e">
        <f t="shared" ca="1" si="462"/>
        <v>#N/A</v>
      </c>
      <c r="E458" s="26">
        <f t="array" aca="1" ref="E458" ca="1">AVERAGE(IF(INDIRECT(DatCol&amp;"$"&amp;TEXT(C458,"###")):INDIRECT(DatCol&amp;"$"&amp;TEXT(C458+57,"###"))&gt;0,INDIRECT(DatCol&amp;"$"&amp;TEXT(C458,"###")):INDIRECT(DatCol&amp;"$"&amp;TEXT(C458+57,"###"))))</f>
        <v>194.51351351351352</v>
      </c>
      <c r="F458" s="26" t="str">
        <f t="shared" si="406"/>
        <v>C</v>
      </c>
      <c r="K458" s="9">
        <f t="shared" ref="K458:K520" si="465">G458+H458+J458</f>
        <v>0</v>
      </c>
      <c r="L458" s="10">
        <f>M458/50</f>
        <v>250.8</v>
      </c>
      <c r="M458" s="11">
        <v>12540</v>
      </c>
      <c r="N458" s="10">
        <f>O458/50</f>
        <v>50.4</v>
      </c>
      <c r="O458" s="11">
        <v>2520</v>
      </c>
      <c r="P458" s="10">
        <v>0</v>
      </c>
      <c r="Q458" s="11">
        <v>0</v>
      </c>
      <c r="R458" s="10">
        <f>S458/75</f>
        <v>148.47999999999999</v>
      </c>
      <c r="S458" s="11">
        <f>0.6*18560</f>
        <v>11136</v>
      </c>
      <c r="T458" s="10">
        <f>U458/75</f>
        <v>74.239999999999995</v>
      </c>
      <c r="U458" s="11">
        <f>0.3*18560</f>
        <v>5568</v>
      </c>
      <c r="V458" s="10">
        <f>W458/75</f>
        <v>24.746666666666666</v>
      </c>
      <c r="W458" s="11">
        <v>1856</v>
      </c>
      <c r="Z458" s="10">
        <f>AA458/75</f>
        <v>117.33333333333333</v>
      </c>
      <c r="AA458" s="11">
        <f>0.4*22000</f>
        <v>8800</v>
      </c>
      <c r="AB458" s="10">
        <f>AC458/75</f>
        <v>117.33333333333333</v>
      </c>
      <c r="AC458" s="11">
        <v>8800</v>
      </c>
      <c r="AD458" s="10">
        <f>AE458/75</f>
        <v>58.666666666666664</v>
      </c>
      <c r="AE458" s="11">
        <f>0.2*22000</f>
        <v>4400</v>
      </c>
      <c r="AF458" s="10">
        <f>AG458/47.5</f>
        <v>509.89473684210526</v>
      </c>
      <c r="AG458" s="11">
        <v>24220</v>
      </c>
      <c r="AH458" s="10">
        <f>AI458/47.5</f>
        <v>17.684210526315791</v>
      </c>
      <c r="AI458" s="11">
        <v>840</v>
      </c>
      <c r="AJ458" s="10">
        <v>0</v>
      </c>
      <c r="AK458" s="13">
        <v>0</v>
      </c>
      <c r="AL458" s="10">
        <f>AM458/9</f>
        <v>5.5555555555555554</v>
      </c>
      <c r="AM458" s="13">
        <v>50</v>
      </c>
      <c r="AN458" s="10">
        <v>0</v>
      </c>
      <c r="AO458" s="11">
        <v>0</v>
      </c>
      <c r="AP458" s="10">
        <f>AQ458/80</f>
        <v>14</v>
      </c>
      <c r="AQ458" s="11">
        <v>1120</v>
      </c>
      <c r="AR458" s="10">
        <v>0</v>
      </c>
      <c r="AS458" s="11">
        <v>0</v>
      </c>
      <c r="AT458" s="10">
        <f>AU458/55</f>
        <v>12.727272727272727</v>
      </c>
      <c r="AU458" s="11">
        <v>700</v>
      </c>
      <c r="AV458" s="10">
        <v>0</v>
      </c>
      <c r="AW458" s="11">
        <v>0</v>
      </c>
      <c r="AX458" s="10">
        <v>0</v>
      </c>
      <c r="AY458" s="11">
        <v>0</v>
      </c>
      <c r="AZ458" s="10">
        <v>0</v>
      </c>
      <c r="BA458" s="11">
        <v>0</v>
      </c>
      <c r="BB458" s="10">
        <f>BC458/40</f>
        <v>6.75</v>
      </c>
      <c r="BC458" s="11">
        <v>270</v>
      </c>
      <c r="BD458" s="10">
        <v>0</v>
      </c>
      <c r="BE458" s="11">
        <v>0</v>
      </c>
      <c r="BF458" s="10">
        <v>0</v>
      </c>
      <c r="BG458" s="11">
        <v>0</v>
      </c>
      <c r="BH458" s="11">
        <v>0</v>
      </c>
      <c r="BI458" s="11">
        <v>0</v>
      </c>
      <c r="BJ458" s="10">
        <v>0</v>
      </c>
      <c r="BN458" s="8">
        <f t="shared" si="463"/>
        <v>1301.4947368421053</v>
      </c>
      <c r="BO458" s="8">
        <f t="shared" si="464"/>
        <v>72920</v>
      </c>
      <c r="BP458" s="8">
        <f t="shared" si="404"/>
        <v>400.45037214247742</v>
      </c>
      <c r="BQ458" s="12">
        <f t="shared" si="405"/>
        <v>27500</v>
      </c>
    </row>
    <row r="459" spans="1:69" ht="12" customHeight="1">
      <c r="A459" s="28">
        <v>2006</v>
      </c>
      <c r="B459" s="27" t="s">
        <v>31</v>
      </c>
      <c r="C459" s="24">
        <f t="shared" si="408"/>
        <v>408</v>
      </c>
      <c r="D459" s="7" t="e">
        <f t="shared" ca="1" si="462"/>
        <v>#N/A</v>
      </c>
      <c r="E459" s="26">
        <f t="array" aca="1" ref="E459" ca="1">AVERAGE(IF(INDIRECT(DatCol&amp;"$"&amp;TEXT(C459,"###")):INDIRECT(DatCol&amp;"$"&amp;TEXT(C459+57,"###"))&gt;0,INDIRECT(DatCol&amp;"$"&amp;TEXT(C459,"###")):INDIRECT(DatCol&amp;"$"&amp;TEXT(C459+57,"###"))))</f>
        <v>194.51351351351352</v>
      </c>
      <c r="F459" s="26" t="str">
        <f t="shared" si="406"/>
        <v>C</v>
      </c>
      <c r="H459" s="9">
        <v>65</v>
      </c>
      <c r="I459" s="9">
        <v>14</v>
      </c>
      <c r="J459" s="9">
        <v>353</v>
      </c>
      <c r="K459" s="9">
        <f t="shared" si="465"/>
        <v>418</v>
      </c>
      <c r="L459" s="10">
        <f>M459/50</f>
        <v>264.60000000000002</v>
      </c>
      <c r="M459" s="11">
        <v>13230</v>
      </c>
      <c r="N459" s="10">
        <f>O459/50</f>
        <v>116.2</v>
      </c>
      <c r="O459" s="11">
        <v>5810</v>
      </c>
      <c r="R459" s="10">
        <f>S459/75</f>
        <v>162.66666666666666</v>
      </c>
      <c r="S459" s="11">
        <v>12200</v>
      </c>
      <c r="T459" s="10">
        <f>U459/75</f>
        <v>130.13333333333333</v>
      </c>
      <c r="U459" s="11">
        <v>9760</v>
      </c>
      <c r="V459" s="10">
        <f>W459/75</f>
        <v>32.533333333333331</v>
      </c>
      <c r="W459" s="11">
        <v>2440</v>
      </c>
      <c r="Z459" s="10">
        <f>AA459/75</f>
        <v>90.88</v>
      </c>
      <c r="AA459" s="11">
        <v>6816</v>
      </c>
      <c r="AB459" s="10">
        <f>AC459/75</f>
        <v>90.88</v>
      </c>
      <c r="AC459" s="11">
        <v>6816</v>
      </c>
      <c r="AD459" s="10">
        <f>AE459/75</f>
        <v>22.72</v>
      </c>
      <c r="AE459" s="11">
        <v>1704</v>
      </c>
      <c r="AF459" s="10">
        <f>AG459/47.54</f>
        <v>795.11989903239373</v>
      </c>
      <c r="AG459" s="11">
        <v>37800</v>
      </c>
      <c r="AH459" s="10">
        <f>AI459/47.5</f>
        <v>25.05263157894737</v>
      </c>
      <c r="AI459" s="11">
        <v>1190</v>
      </c>
      <c r="AJ459" s="10">
        <v>0</v>
      </c>
      <c r="AK459" s="13">
        <v>0</v>
      </c>
      <c r="AL459" s="10">
        <v>0</v>
      </c>
      <c r="AM459" s="13">
        <v>0</v>
      </c>
      <c r="AN459" s="10">
        <v>0</v>
      </c>
      <c r="AO459" s="11">
        <v>0</v>
      </c>
      <c r="AP459" s="10">
        <f>AQ459/80</f>
        <v>21</v>
      </c>
      <c r="AQ459" s="11">
        <v>1680</v>
      </c>
      <c r="AR459" s="10">
        <v>0</v>
      </c>
      <c r="AS459" s="11">
        <v>0</v>
      </c>
      <c r="AT459" s="10">
        <f>AU459/55</f>
        <v>19.09090909090909</v>
      </c>
      <c r="AU459" s="11">
        <v>1050</v>
      </c>
      <c r="AV459" s="10">
        <v>0</v>
      </c>
      <c r="AW459" s="11">
        <v>0</v>
      </c>
      <c r="AX459" s="10">
        <v>0</v>
      </c>
      <c r="AY459" s="11">
        <v>0</v>
      </c>
      <c r="AZ459" s="10">
        <v>0</v>
      </c>
      <c r="BA459" s="11">
        <v>0</v>
      </c>
      <c r="BB459" s="10">
        <f>BC459/40</f>
        <v>4.5</v>
      </c>
      <c r="BC459" s="11">
        <v>180</v>
      </c>
      <c r="BD459" s="10">
        <v>0</v>
      </c>
      <c r="BE459" s="11">
        <v>0</v>
      </c>
      <c r="BF459" s="10">
        <v>0</v>
      </c>
      <c r="BG459" s="11">
        <v>0</v>
      </c>
      <c r="BH459" s="11">
        <v>1100</v>
      </c>
      <c r="BI459" s="11">
        <v>0</v>
      </c>
      <c r="BN459" s="8">
        <f t="shared" si="463"/>
        <v>1589.5332323657271</v>
      </c>
      <c r="BO459" s="8">
        <f t="shared" si="464"/>
        <v>89062</v>
      </c>
      <c r="BP459" s="8">
        <f t="shared" si="404"/>
        <v>390.32354066985641</v>
      </c>
      <c r="BQ459" s="12">
        <f t="shared" si="405"/>
        <v>25246</v>
      </c>
    </row>
    <row r="460" spans="1:69" ht="12" customHeight="1">
      <c r="A460" s="28">
        <v>2007</v>
      </c>
      <c r="B460" s="27" t="s">
        <v>31</v>
      </c>
      <c r="C460" s="24">
        <f t="shared" si="408"/>
        <v>408</v>
      </c>
      <c r="D460" s="7" t="e">
        <f t="shared" ca="1" si="462"/>
        <v>#N/A</v>
      </c>
      <c r="E460" s="26">
        <f t="array" aca="1" ref="E460" ca="1">AVERAGE(IF(INDIRECT(DatCol&amp;"$"&amp;TEXT(C460,"###")):INDIRECT(DatCol&amp;"$"&amp;TEXT(C460+57,"###"))&gt;0,INDIRECT(DatCol&amp;"$"&amp;TEXT(C460,"###")):INDIRECT(DatCol&amp;"$"&amp;TEXT(C460+57,"###"))))</f>
        <v>194.51351351351352</v>
      </c>
      <c r="F460" s="26" t="str">
        <f t="shared" si="406"/>
        <v>C</v>
      </c>
      <c r="K460" s="9">
        <f t="shared" si="465"/>
        <v>0</v>
      </c>
      <c r="AK460" s="13"/>
      <c r="AM460" s="13"/>
      <c r="BN460" s="8">
        <f t="shared" si="463"/>
        <v>0</v>
      </c>
      <c r="BO460" s="8">
        <f t="shared" si="464"/>
        <v>0</v>
      </c>
      <c r="BP460" s="8">
        <f t="shared" si="404"/>
        <v>0</v>
      </c>
      <c r="BQ460" s="12">
        <f t="shared" si="405"/>
        <v>0</v>
      </c>
    </row>
    <row r="461" spans="1:69" ht="12" customHeight="1">
      <c r="A461" s="28">
        <v>2008</v>
      </c>
      <c r="B461" s="27" t="s">
        <v>31</v>
      </c>
      <c r="C461" s="24">
        <f t="shared" si="408"/>
        <v>408</v>
      </c>
      <c r="D461" s="7" t="e">
        <f t="shared" ca="1" si="462"/>
        <v>#N/A</v>
      </c>
      <c r="E461" s="26">
        <f t="array" aca="1" ref="E461" ca="1">AVERAGE(IF(INDIRECT(DatCol&amp;"$"&amp;TEXT(C461,"###")):INDIRECT(DatCol&amp;"$"&amp;TEXT(C461+57,"###"))&gt;0,INDIRECT(DatCol&amp;"$"&amp;TEXT(C461,"###")):INDIRECT(DatCol&amp;"$"&amp;TEXT(C461+57,"###"))))</f>
        <v>194.51351351351352</v>
      </c>
      <c r="F461" s="26" t="str">
        <f t="shared" si="406"/>
        <v>C</v>
      </c>
      <c r="K461" s="9">
        <f t="shared" si="465"/>
        <v>0</v>
      </c>
      <c r="AK461" s="13"/>
      <c r="AM461" s="13"/>
      <c r="BN461" s="8">
        <f t="shared" si="463"/>
        <v>0</v>
      </c>
      <c r="BO461" s="8">
        <f t="shared" si="464"/>
        <v>0</v>
      </c>
      <c r="BP461" s="8">
        <f t="shared" si="404"/>
        <v>0</v>
      </c>
      <c r="BQ461" s="12">
        <f t="shared" si="405"/>
        <v>0</v>
      </c>
    </row>
    <row r="462" spans="1:69">
      <c r="A462" s="28">
        <v>2009</v>
      </c>
      <c r="B462" s="27" t="s">
        <v>31</v>
      </c>
      <c r="C462" s="24">
        <f t="shared" si="408"/>
        <v>408</v>
      </c>
      <c r="D462" s="7" t="e">
        <f t="shared" ca="1" si="462"/>
        <v>#N/A</v>
      </c>
      <c r="E462" s="26">
        <f t="array" aca="1" ref="E462" ca="1">AVERAGE(IF(INDIRECT(DatCol&amp;"$"&amp;TEXT(C462,"###")):INDIRECT(DatCol&amp;"$"&amp;TEXT(C462+57,"###"))&gt;0,INDIRECT(DatCol&amp;"$"&amp;TEXT(C462,"###")):INDIRECT(DatCol&amp;"$"&amp;TEXT(C462+57,"###"))))</f>
        <v>194.51351351351352</v>
      </c>
      <c r="F462" s="26" t="str">
        <f t="shared" si="406"/>
        <v>C</v>
      </c>
      <c r="K462" s="9">
        <f t="shared" si="465"/>
        <v>0</v>
      </c>
      <c r="AK462" s="13"/>
      <c r="AM462" s="13"/>
      <c r="BN462" s="8">
        <f t="shared" si="463"/>
        <v>0</v>
      </c>
      <c r="BO462" s="8">
        <f t="shared" si="464"/>
        <v>0</v>
      </c>
      <c r="BP462" s="8">
        <f t="shared" si="404"/>
        <v>0</v>
      </c>
      <c r="BQ462" s="12">
        <f t="shared" si="405"/>
        <v>0</v>
      </c>
    </row>
    <row r="463" spans="1:69">
      <c r="A463" s="28">
        <v>2010</v>
      </c>
      <c r="B463" s="27" t="s">
        <v>31</v>
      </c>
      <c r="C463" s="24">
        <f t="shared" si="408"/>
        <v>408</v>
      </c>
      <c r="D463" s="7" t="e">
        <f t="shared" ca="1" si="462"/>
        <v>#N/A</v>
      </c>
      <c r="E463" s="26">
        <f t="array" aca="1" ref="E463" ca="1">AVERAGE(IF(INDIRECT(DatCol&amp;"$"&amp;TEXT(C463,"###")):INDIRECT(DatCol&amp;"$"&amp;TEXT(C463+57,"###"))&gt;0,INDIRECT(DatCol&amp;"$"&amp;TEXT(C463,"###")):INDIRECT(DatCol&amp;"$"&amp;TEXT(C463+57,"###"))))</f>
        <v>194.51351351351352</v>
      </c>
      <c r="F463" s="26" t="str">
        <f t="shared" ref="F463:F465" si="466">VLOOKUP(B463,town_region,2,FALSE)</f>
        <v>C</v>
      </c>
      <c r="AK463" s="13"/>
      <c r="AM463" s="13"/>
      <c r="BN463" s="8"/>
      <c r="BO463" s="8"/>
      <c r="BP463" s="8"/>
      <c r="BQ463" s="12"/>
    </row>
    <row r="464" spans="1:69">
      <c r="A464" s="28">
        <v>2011</v>
      </c>
      <c r="B464" s="27" t="s">
        <v>31</v>
      </c>
      <c r="C464" s="24">
        <f t="shared" si="408"/>
        <v>408</v>
      </c>
      <c r="D464" s="7" t="e">
        <f t="shared" ca="1" si="462"/>
        <v>#N/A</v>
      </c>
      <c r="E464" s="26">
        <f t="array" aca="1" ref="E464" ca="1">AVERAGE(IF(INDIRECT(DatCol&amp;"$"&amp;TEXT(C464,"###")):INDIRECT(DatCol&amp;"$"&amp;TEXT(C464+57,"###"))&gt;0,INDIRECT(DatCol&amp;"$"&amp;TEXT(C464,"###")):INDIRECT(DatCol&amp;"$"&amp;TEXT(C464+57,"###"))))</f>
        <v>194.51351351351352</v>
      </c>
      <c r="F464" s="26" t="str">
        <f t="shared" si="466"/>
        <v>C</v>
      </c>
      <c r="AK464" s="13"/>
      <c r="AM464" s="13"/>
      <c r="BN464" s="8"/>
      <c r="BO464" s="8"/>
      <c r="BP464" s="8"/>
      <c r="BQ464" s="12"/>
    </row>
    <row r="465" spans="1:69">
      <c r="A465" s="28">
        <v>2012</v>
      </c>
      <c r="B465" s="27" t="s">
        <v>31</v>
      </c>
      <c r="C465" s="24">
        <f t="shared" si="408"/>
        <v>408</v>
      </c>
      <c r="D465" s="7" t="e">
        <f t="shared" ca="1" si="462"/>
        <v>#N/A</v>
      </c>
      <c r="E465" s="26">
        <f t="array" aca="1" ref="E465" ca="1">AVERAGE(IF(INDIRECT(DatCol&amp;"$"&amp;TEXT(C465,"###")):INDIRECT(DatCol&amp;"$"&amp;TEXT(C465+57,"###"))&gt;0,INDIRECT(DatCol&amp;"$"&amp;TEXT(C465,"###")):INDIRECT(DatCol&amp;"$"&amp;TEXT(C465+57,"###"))))</f>
        <v>194.51351351351352</v>
      </c>
      <c r="F465" s="26" t="str">
        <f t="shared" si="466"/>
        <v>C</v>
      </c>
      <c r="AK465" s="13"/>
      <c r="AM465" s="13"/>
      <c r="BN465" s="8"/>
      <c r="BO465" s="8"/>
      <c r="BP465" s="8"/>
      <c r="BQ465" s="12"/>
    </row>
    <row r="466" spans="1:69">
      <c r="A466" s="28">
        <v>1955</v>
      </c>
      <c r="B466" s="27" t="s">
        <v>47</v>
      </c>
      <c r="C466" s="24">
        <f>ROW()</f>
        <v>466</v>
      </c>
      <c r="D466" s="7" t="e">
        <f t="shared" ca="1" si="462"/>
        <v>#N/A</v>
      </c>
      <c r="E466" s="26">
        <f t="array" aca="1" ref="E466" ca="1">AVERAGE(IF(INDIRECT(DatCol&amp;"$"&amp;TEXT(C466,"###")):INDIRECT(DatCol&amp;"$"&amp;TEXT(C466+57,"###"))&gt;0,INDIRECT(DatCol&amp;"$"&amp;TEXT(C466,"###")):INDIRECT(DatCol&amp;"$"&amp;TEXT(C466+57,"###"))))</f>
        <v>2059.090909090909</v>
      </c>
      <c r="F466" s="26" t="str">
        <f t="shared" si="406"/>
        <v>S</v>
      </c>
      <c r="G466" s="8"/>
      <c r="I466" s="8">
        <v>256</v>
      </c>
      <c r="J466" s="8">
        <v>723</v>
      </c>
      <c r="K466" s="9">
        <f t="shared" si="465"/>
        <v>723</v>
      </c>
      <c r="M466" s="11">
        <f t="shared" si="445"/>
        <v>0</v>
      </c>
      <c r="O466" s="11">
        <f t="shared" si="446"/>
        <v>0</v>
      </c>
      <c r="P466" s="12">
        <v>221</v>
      </c>
      <c r="Q466" s="11">
        <f t="shared" si="447"/>
        <v>13260</v>
      </c>
      <c r="Y466" s="11">
        <f t="shared" si="448"/>
        <v>0</v>
      </c>
      <c r="AG466" s="11">
        <f t="shared" ref="AG466:AG474" si="467">(AF466*65)</f>
        <v>0</v>
      </c>
      <c r="AI466" s="11">
        <f t="shared" si="449"/>
        <v>0</v>
      </c>
      <c r="AJ466" s="12">
        <v>30033</v>
      </c>
      <c r="AK466" s="13">
        <f t="shared" si="450"/>
        <v>270297</v>
      </c>
      <c r="AM466" s="13">
        <f t="shared" si="451"/>
        <v>0</v>
      </c>
      <c r="AO466" s="11">
        <f t="shared" si="452"/>
        <v>0</v>
      </c>
      <c r="AQ466" s="11">
        <f t="shared" si="453"/>
        <v>0</v>
      </c>
      <c r="AS466" s="11">
        <f t="shared" si="454"/>
        <v>0</v>
      </c>
      <c r="AU466" s="11">
        <f t="shared" si="455"/>
        <v>0</v>
      </c>
      <c r="AW466" s="11">
        <f t="shared" si="456"/>
        <v>0</v>
      </c>
      <c r="AY466" s="11">
        <f t="shared" si="457"/>
        <v>0</v>
      </c>
      <c r="AZ466" s="12">
        <v>330</v>
      </c>
      <c r="BA466" s="11">
        <f t="shared" si="458"/>
        <v>13200</v>
      </c>
      <c r="BC466" s="11">
        <f t="shared" si="459"/>
        <v>0</v>
      </c>
      <c r="BE466" s="11">
        <f t="shared" si="460"/>
        <v>0</v>
      </c>
      <c r="BG466" s="11">
        <f t="shared" si="461"/>
        <v>0</v>
      </c>
      <c r="BN466" s="8">
        <f t="shared" si="463"/>
        <v>30584</v>
      </c>
      <c r="BO466" s="8">
        <f t="shared" si="464"/>
        <v>296757</v>
      </c>
      <c r="BP466" s="8">
        <f t="shared" si="404"/>
        <v>0</v>
      </c>
      <c r="BQ466" s="12">
        <f t="shared" si="405"/>
        <v>0</v>
      </c>
    </row>
    <row r="467" spans="1:69">
      <c r="A467" s="28">
        <v>1956</v>
      </c>
      <c r="B467" s="27" t="s">
        <v>47</v>
      </c>
      <c r="C467" s="24">
        <f t="shared" ref="C467:C523" si="468">C466</f>
        <v>466</v>
      </c>
      <c r="D467" s="7" t="e">
        <f t="shared" ca="1" si="462"/>
        <v>#N/A</v>
      </c>
      <c r="E467" s="26">
        <f t="array" aca="1" ref="E467" ca="1">AVERAGE(IF(INDIRECT(DatCol&amp;"$"&amp;TEXT(C467,"###")):INDIRECT(DatCol&amp;"$"&amp;TEXT(C467+57,"###"))&gt;0,INDIRECT(DatCol&amp;"$"&amp;TEXT(C467,"###")):INDIRECT(DatCol&amp;"$"&amp;TEXT(C467+57,"###"))))</f>
        <v>2059.090909090909</v>
      </c>
      <c r="F467" s="26" t="str">
        <f t="shared" si="406"/>
        <v>S</v>
      </c>
      <c r="G467" s="8"/>
      <c r="I467" s="8">
        <v>64</v>
      </c>
      <c r="J467" s="8">
        <v>774</v>
      </c>
      <c r="K467" s="9">
        <f t="shared" si="465"/>
        <v>774</v>
      </c>
      <c r="L467" s="12">
        <v>23</v>
      </c>
      <c r="M467" s="11">
        <f t="shared" si="445"/>
        <v>1150</v>
      </c>
      <c r="O467" s="11">
        <f t="shared" si="446"/>
        <v>0</v>
      </c>
      <c r="P467" s="12">
        <v>1194</v>
      </c>
      <c r="Q467" s="11">
        <f t="shared" si="447"/>
        <v>71640</v>
      </c>
      <c r="Y467" s="11">
        <f t="shared" si="448"/>
        <v>0</v>
      </c>
      <c r="AG467" s="11">
        <f t="shared" si="467"/>
        <v>0</v>
      </c>
      <c r="AI467" s="11">
        <f t="shared" si="449"/>
        <v>0</v>
      </c>
      <c r="AJ467" s="12">
        <v>2595</v>
      </c>
      <c r="AK467" s="13">
        <f t="shared" si="450"/>
        <v>23355</v>
      </c>
      <c r="AM467" s="13">
        <f t="shared" si="451"/>
        <v>0</v>
      </c>
      <c r="AO467" s="11">
        <f t="shared" si="452"/>
        <v>0</v>
      </c>
      <c r="AQ467" s="11">
        <f t="shared" si="453"/>
        <v>0</v>
      </c>
      <c r="AR467" s="12">
        <v>20</v>
      </c>
      <c r="AS467" s="11">
        <f t="shared" si="454"/>
        <v>1000</v>
      </c>
      <c r="AU467" s="11">
        <f t="shared" si="455"/>
        <v>0</v>
      </c>
      <c r="AW467" s="11">
        <f t="shared" si="456"/>
        <v>0</v>
      </c>
      <c r="AY467" s="11">
        <f t="shared" si="457"/>
        <v>0</v>
      </c>
      <c r="AZ467" s="12">
        <v>107</v>
      </c>
      <c r="BA467" s="11">
        <f t="shared" si="458"/>
        <v>4280</v>
      </c>
      <c r="BC467" s="11">
        <f t="shared" si="459"/>
        <v>0</v>
      </c>
      <c r="BE467" s="11">
        <f t="shared" si="460"/>
        <v>0</v>
      </c>
      <c r="BG467" s="11">
        <f t="shared" si="461"/>
        <v>0</v>
      </c>
      <c r="BN467" s="8">
        <f t="shared" si="463"/>
        <v>3939</v>
      </c>
      <c r="BO467" s="8">
        <f t="shared" si="464"/>
        <v>101425</v>
      </c>
      <c r="BP467" s="8">
        <f t="shared" si="404"/>
        <v>0</v>
      </c>
      <c r="BQ467" s="12">
        <f t="shared" si="405"/>
        <v>0</v>
      </c>
    </row>
    <row r="468" spans="1:69">
      <c r="A468" s="28">
        <v>1957</v>
      </c>
      <c r="B468" s="27" t="s">
        <v>47</v>
      </c>
      <c r="C468" s="24">
        <f t="shared" si="468"/>
        <v>466</v>
      </c>
      <c r="D468" s="7" t="e">
        <f t="shared" ca="1" si="462"/>
        <v>#N/A</v>
      </c>
      <c r="E468" s="26">
        <f t="array" aca="1" ref="E468" ca="1">AVERAGE(IF(INDIRECT(DatCol&amp;"$"&amp;TEXT(C468,"###")):INDIRECT(DatCol&amp;"$"&amp;TEXT(C468+57,"###"))&gt;0,INDIRECT(DatCol&amp;"$"&amp;TEXT(C468,"###")):INDIRECT(DatCol&amp;"$"&amp;TEXT(C468+57,"###"))))</f>
        <v>2059.090909090909</v>
      </c>
      <c r="F468" s="26" t="str">
        <f t="shared" si="406"/>
        <v>S</v>
      </c>
      <c r="G468" s="8"/>
      <c r="I468" s="8">
        <v>56</v>
      </c>
      <c r="J468" s="8">
        <v>957</v>
      </c>
      <c r="K468" s="9">
        <f t="shared" si="465"/>
        <v>957</v>
      </c>
      <c r="L468" s="12">
        <v>4</v>
      </c>
      <c r="M468" s="11">
        <f t="shared" si="445"/>
        <v>200</v>
      </c>
      <c r="O468" s="11">
        <f t="shared" si="446"/>
        <v>0</v>
      </c>
      <c r="P468" s="12">
        <v>1356</v>
      </c>
      <c r="Q468" s="11">
        <f t="shared" si="447"/>
        <v>81360</v>
      </c>
      <c r="Y468" s="11">
        <f t="shared" si="448"/>
        <v>0</v>
      </c>
      <c r="AG468" s="11">
        <f t="shared" si="467"/>
        <v>0</v>
      </c>
      <c r="AI468" s="11">
        <f t="shared" si="449"/>
        <v>0</v>
      </c>
      <c r="AK468" s="13">
        <f t="shared" si="450"/>
        <v>0</v>
      </c>
      <c r="AM468" s="13">
        <f t="shared" si="451"/>
        <v>0</v>
      </c>
      <c r="AO468" s="11">
        <f t="shared" si="452"/>
        <v>0</v>
      </c>
      <c r="AQ468" s="11">
        <f t="shared" si="453"/>
        <v>0</v>
      </c>
      <c r="AR468" s="12">
        <v>10</v>
      </c>
      <c r="AS468" s="11">
        <f t="shared" si="454"/>
        <v>500</v>
      </c>
      <c r="AU468" s="11">
        <f t="shared" si="455"/>
        <v>0</v>
      </c>
      <c r="AW468" s="11">
        <f t="shared" si="456"/>
        <v>0</v>
      </c>
      <c r="AY468" s="11">
        <f t="shared" si="457"/>
        <v>0</v>
      </c>
      <c r="AZ468" s="12">
        <v>313</v>
      </c>
      <c r="BA468" s="11">
        <f t="shared" si="458"/>
        <v>12520</v>
      </c>
      <c r="BC468" s="11">
        <f t="shared" si="459"/>
        <v>0</v>
      </c>
      <c r="BE468" s="11">
        <f t="shared" si="460"/>
        <v>0</v>
      </c>
      <c r="BG468" s="11">
        <f t="shared" si="461"/>
        <v>0</v>
      </c>
      <c r="BN468" s="8">
        <f t="shared" si="463"/>
        <v>1683</v>
      </c>
      <c r="BO468" s="8">
        <f t="shared" si="464"/>
        <v>94580</v>
      </c>
      <c r="BP468" s="8">
        <f t="shared" ref="BP468:BP532" si="469">(N468+X468+Z468+AB468+AD468+AH468+AL468+AP468+AT468+AX468+BB468+BF468)</f>
        <v>0</v>
      </c>
      <c r="BQ468" s="12">
        <f t="shared" ref="BQ468:BQ532" si="470">(O468+Y468+AA468+AC468+AE468+AI468+AM468+AQ468+AU468+AY468+BC468+BG468)</f>
        <v>0</v>
      </c>
    </row>
    <row r="469" spans="1:69">
      <c r="A469" s="28">
        <v>1958</v>
      </c>
      <c r="B469" s="27" t="s">
        <v>47</v>
      </c>
      <c r="C469" s="24">
        <f t="shared" si="468"/>
        <v>466</v>
      </c>
      <c r="D469" s="7" t="e">
        <f t="shared" ca="1" si="462"/>
        <v>#N/A</v>
      </c>
      <c r="E469" s="26">
        <f t="array" aca="1" ref="E469" ca="1">AVERAGE(IF(INDIRECT(DatCol&amp;"$"&amp;TEXT(C469,"###")):INDIRECT(DatCol&amp;"$"&amp;TEXT(C469+57,"###"))&gt;0,INDIRECT(DatCol&amp;"$"&amp;TEXT(C469,"###")):INDIRECT(DatCol&amp;"$"&amp;TEXT(C469+57,"###"))))</f>
        <v>2059.090909090909</v>
      </c>
      <c r="F469" s="26" t="str">
        <f t="shared" si="406"/>
        <v>S</v>
      </c>
      <c r="G469" s="8"/>
      <c r="I469" s="8">
        <v>42</v>
      </c>
      <c r="J469" s="8">
        <v>1134</v>
      </c>
      <c r="K469" s="9">
        <f t="shared" si="465"/>
        <v>1134</v>
      </c>
      <c r="L469" s="12">
        <v>61</v>
      </c>
      <c r="M469" s="11">
        <f t="shared" si="445"/>
        <v>3050</v>
      </c>
      <c r="O469" s="11">
        <f t="shared" si="446"/>
        <v>0</v>
      </c>
      <c r="P469" s="12">
        <v>1912</v>
      </c>
      <c r="Q469" s="11">
        <f t="shared" si="447"/>
        <v>114720</v>
      </c>
      <c r="Y469" s="11">
        <f t="shared" si="448"/>
        <v>0</v>
      </c>
      <c r="AG469" s="11">
        <f t="shared" si="467"/>
        <v>0</v>
      </c>
      <c r="AI469" s="11">
        <f t="shared" si="449"/>
        <v>0</v>
      </c>
      <c r="AK469" s="13">
        <f t="shared" si="450"/>
        <v>0</v>
      </c>
      <c r="AM469" s="13">
        <f t="shared" si="451"/>
        <v>0</v>
      </c>
      <c r="AO469" s="11">
        <f t="shared" si="452"/>
        <v>0</v>
      </c>
      <c r="AQ469" s="11">
        <f t="shared" si="453"/>
        <v>0</v>
      </c>
      <c r="AR469" s="12">
        <v>33</v>
      </c>
      <c r="AS469" s="11">
        <f t="shared" si="454"/>
        <v>1650</v>
      </c>
      <c r="AU469" s="11">
        <f t="shared" si="455"/>
        <v>0</v>
      </c>
      <c r="AW469" s="11">
        <f t="shared" si="456"/>
        <v>0</v>
      </c>
      <c r="AY469" s="11">
        <f t="shared" si="457"/>
        <v>0</v>
      </c>
      <c r="AZ469" s="12">
        <v>151</v>
      </c>
      <c r="BA469" s="11">
        <f t="shared" si="458"/>
        <v>6040</v>
      </c>
      <c r="BC469" s="11">
        <f t="shared" si="459"/>
        <v>0</v>
      </c>
      <c r="BE469" s="11">
        <f t="shared" si="460"/>
        <v>0</v>
      </c>
      <c r="BG469" s="11">
        <f t="shared" si="461"/>
        <v>0</v>
      </c>
      <c r="BN469" s="8">
        <f t="shared" si="463"/>
        <v>2157</v>
      </c>
      <c r="BO469" s="8">
        <f t="shared" si="464"/>
        <v>125460</v>
      </c>
      <c r="BP469" s="8">
        <f t="shared" si="469"/>
        <v>0</v>
      </c>
      <c r="BQ469" s="12">
        <f t="shared" si="470"/>
        <v>0</v>
      </c>
    </row>
    <row r="470" spans="1:69">
      <c r="A470" s="28">
        <v>1959</v>
      </c>
      <c r="B470" s="27" t="s">
        <v>47</v>
      </c>
      <c r="C470" s="24">
        <f t="shared" si="468"/>
        <v>466</v>
      </c>
      <c r="D470" s="7" t="e">
        <f t="shared" ca="1" si="462"/>
        <v>#N/A</v>
      </c>
      <c r="E470" s="26">
        <f t="array" aca="1" ref="E470" ca="1">AVERAGE(IF(INDIRECT(DatCol&amp;"$"&amp;TEXT(C470,"###")):INDIRECT(DatCol&amp;"$"&amp;TEXT(C470+57,"###"))&gt;0,INDIRECT(DatCol&amp;"$"&amp;TEXT(C470,"###")):INDIRECT(DatCol&amp;"$"&amp;TEXT(C470+57,"###"))))</f>
        <v>2059.090909090909</v>
      </c>
      <c r="F470" s="26" t="str">
        <f t="shared" si="406"/>
        <v>S</v>
      </c>
      <c r="G470" s="8"/>
      <c r="I470" s="8">
        <v>50</v>
      </c>
      <c r="J470" s="8">
        <v>1485</v>
      </c>
      <c r="K470" s="9">
        <f t="shared" si="465"/>
        <v>1485</v>
      </c>
      <c r="L470" s="12">
        <v>49</v>
      </c>
      <c r="M470" s="11">
        <f t="shared" si="445"/>
        <v>2450</v>
      </c>
      <c r="O470" s="11">
        <f t="shared" si="446"/>
        <v>0</v>
      </c>
      <c r="P470" s="12">
        <v>1715</v>
      </c>
      <c r="Q470" s="11">
        <f t="shared" si="447"/>
        <v>102900</v>
      </c>
      <c r="Y470" s="11">
        <f t="shared" si="448"/>
        <v>0</v>
      </c>
      <c r="AG470" s="11">
        <f t="shared" si="467"/>
        <v>0</v>
      </c>
      <c r="AI470" s="11">
        <f t="shared" si="449"/>
        <v>0</v>
      </c>
      <c r="AK470" s="13">
        <f t="shared" si="450"/>
        <v>0</v>
      </c>
      <c r="AM470" s="13">
        <f t="shared" si="451"/>
        <v>0</v>
      </c>
      <c r="AO470" s="11">
        <f t="shared" si="452"/>
        <v>0</v>
      </c>
      <c r="AQ470" s="11">
        <f t="shared" si="453"/>
        <v>0</v>
      </c>
      <c r="AR470" s="12">
        <v>61</v>
      </c>
      <c r="AS470" s="11">
        <f t="shared" si="454"/>
        <v>3050</v>
      </c>
      <c r="AU470" s="11">
        <f t="shared" si="455"/>
        <v>0</v>
      </c>
      <c r="AW470" s="11">
        <f t="shared" si="456"/>
        <v>0</v>
      </c>
      <c r="AY470" s="11">
        <f t="shared" si="457"/>
        <v>0</v>
      </c>
      <c r="AZ470" s="12">
        <v>110</v>
      </c>
      <c r="BA470" s="11">
        <f t="shared" si="458"/>
        <v>4400</v>
      </c>
      <c r="BC470" s="11">
        <f t="shared" si="459"/>
        <v>0</v>
      </c>
      <c r="BE470" s="11">
        <f t="shared" si="460"/>
        <v>0</v>
      </c>
      <c r="BG470" s="11">
        <f t="shared" si="461"/>
        <v>0</v>
      </c>
      <c r="BN470" s="8">
        <f t="shared" si="463"/>
        <v>1935</v>
      </c>
      <c r="BO470" s="8">
        <f t="shared" si="464"/>
        <v>112800</v>
      </c>
      <c r="BP470" s="8">
        <f t="shared" si="469"/>
        <v>0</v>
      </c>
      <c r="BQ470" s="12">
        <f t="shared" si="470"/>
        <v>0</v>
      </c>
    </row>
    <row r="471" spans="1:69">
      <c r="A471" s="28">
        <v>1960</v>
      </c>
      <c r="B471" s="27" t="s">
        <v>47</v>
      </c>
      <c r="C471" s="24">
        <f t="shared" si="468"/>
        <v>466</v>
      </c>
      <c r="D471" s="7" t="e">
        <f t="shared" ca="1" si="462"/>
        <v>#N/A</v>
      </c>
      <c r="E471" s="26">
        <f t="array" aca="1" ref="E471" ca="1">AVERAGE(IF(INDIRECT(DatCol&amp;"$"&amp;TEXT(C471,"###")):INDIRECT(DatCol&amp;"$"&amp;TEXT(C471+57,"###"))&gt;0,INDIRECT(DatCol&amp;"$"&amp;TEXT(C471,"###")):INDIRECT(DatCol&amp;"$"&amp;TEXT(C471+57,"###"))))</f>
        <v>2059.090909090909</v>
      </c>
      <c r="F471" s="26" t="str">
        <f t="shared" si="406"/>
        <v>S</v>
      </c>
      <c r="G471" s="8"/>
      <c r="I471" s="8">
        <v>58</v>
      </c>
      <c r="J471" s="8">
        <v>1556</v>
      </c>
      <c r="K471" s="9">
        <f t="shared" si="465"/>
        <v>1556</v>
      </c>
      <c r="L471" s="12">
        <v>57</v>
      </c>
      <c r="M471" s="11">
        <f t="shared" si="445"/>
        <v>2850</v>
      </c>
      <c r="O471" s="11">
        <f t="shared" si="446"/>
        <v>0</v>
      </c>
      <c r="P471" s="12">
        <v>1572</v>
      </c>
      <c r="Q471" s="11">
        <f t="shared" si="447"/>
        <v>94320</v>
      </c>
      <c r="Y471" s="11">
        <f t="shared" si="448"/>
        <v>0</v>
      </c>
      <c r="AG471" s="11">
        <f t="shared" si="467"/>
        <v>0</v>
      </c>
      <c r="AI471" s="11">
        <f t="shared" si="449"/>
        <v>0</v>
      </c>
      <c r="AK471" s="13">
        <f t="shared" si="450"/>
        <v>0</v>
      </c>
      <c r="AM471" s="13">
        <f t="shared" si="451"/>
        <v>0</v>
      </c>
      <c r="AO471" s="11">
        <f t="shared" si="452"/>
        <v>0</v>
      </c>
      <c r="AQ471" s="11">
        <f t="shared" si="453"/>
        <v>0</v>
      </c>
      <c r="AR471" s="12">
        <v>24</v>
      </c>
      <c r="AS471" s="11">
        <f t="shared" si="454"/>
        <v>1200</v>
      </c>
      <c r="AU471" s="11">
        <f t="shared" si="455"/>
        <v>0</v>
      </c>
      <c r="AW471" s="11">
        <f t="shared" si="456"/>
        <v>0</v>
      </c>
      <c r="AY471" s="11">
        <f t="shared" si="457"/>
        <v>0</v>
      </c>
      <c r="AZ471" s="12">
        <v>212</v>
      </c>
      <c r="BA471" s="11">
        <f t="shared" si="458"/>
        <v>8480</v>
      </c>
      <c r="BC471" s="11">
        <f t="shared" si="459"/>
        <v>0</v>
      </c>
      <c r="BE471" s="11">
        <f t="shared" si="460"/>
        <v>0</v>
      </c>
      <c r="BG471" s="11">
        <f t="shared" si="461"/>
        <v>0</v>
      </c>
      <c r="BN471" s="8">
        <f t="shared" si="463"/>
        <v>1865</v>
      </c>
      <c r="BO471" s="8">
        <f t="shared" si="464"/>
        <v>106850</v>
      </c>
      <c r="BP471" s="8">
        <f t="shared" si="469"/>
        <v>0</v>
      </c>
      <c r="BQ471" s="12">
        <f t="shared" si="470"/>
        <v>0</v>
      </c>
    </row>
    <row r="472" spans="1:69">
      <c r="A472" s="28">
        <v>1961</v>
      </c>
      <c r="B472" s="27" t="s">
        <v>47</v>
      </c>
      <c r="C472" s="24">
        <f t="shared" si="468"/>
        <v>466</v>
      </c>
      <c r="D472" s="7" t="e">
        <f t="shared" ca="1" si="462"/>
        <v>#N/A</v>
      </c>
      <c r="E472" s="26">
        <f t="array" aca="1" ref="E472" ca="1">AVERAGE(IF(INDIRECT(DatCol&amp;"$"&amp;TEXT(C472,"###")):INDIRECT(DatCol&amp;"$"&amp;TEXT(C472+57,"###"))&gt;0,INDIRECT(DatCol&amp;"$"&amp;TEXT(C472,"###")):INDIRECT(DatCol&amp;"$"&amp;TEXT(C472+57,"###"))))</f>
        <v>2059.090909090909</v>
      </c>
      <c r="F472" s="26" t="str">
        <f t="shared" si="406"/>
        <v>S</v>
      </c>
      <c r="G472" s="8"/>
      <c r="I472" s="8">
        <v>38</v>
      </c>
      <c r="J472" s="8">
        <v>1372</v>
      </c>
      <c r="K472" s="9">
        <f t="shared" si="465"/>
        <v>1372</v>
      </c>
      <c r="L472" s="12">
        <v>76</v>
      </c>
      <c r="M472" s="11">
        <f t="shared" si="445"/>
        <v>3800</v>
      </c>
      <c r="O472" s="11">
        <f t="shared" si="446"/>
        <v>0</v>
      </c>
      <c r="P472" s="12">
        <v>1745</v>
      </c>
      <c r="Q472" s="11">
        <f t="shared" si="447"/>
        <v>104700</v>
      </c>
      <c r="Y472" s="11">
        <f t="shared" si="448"/>
        <v>0</v>
      </c>
      <c r="AG472" s="11">
        <f t="shared" si="467"/>
        <v>0</v>
      </c>
      <c r="AI472" s="11">
        <f t="shared" si="449"/>
        <v>0</v>
      </c>
      <c r="AK472" s="13">
        <f t="shared" si="450"/>
        <v>0</v>
      </c>
      <c r="AM472" s="13">
        <f t="shared" si="451"/>
        <v>0</v>
      </c>
      <c r="AO472" s="11">
        <f t="shared" si="452"/>
        <v>0</v>
      </c>
      <c r="AQ472" s="11">
        <f t="shared" si="453"/>
        <v>0</v>
      </c>
      <c r="AR472" s="12">
        <v>63</v>
      </c>
      <c r="AS472" s="11">
        <f t="shared" si="454"/>
        <v>3150</v>
      </c>
      <c r="AU472" s="11">
        <f t="shared" si="455"/>
        <v>0</v>
      </c>
      <c r="AW472" s="11">
        <f t="shared" si="456"/>
        <v>0</v>
      </c>
      <c r="AY472" s="11">
        <f t="shared" si="457"/>
        <v>0</v>
      </c>
      <c r="AZ472" s="12">
        <v>80</v>
      </c>
      <c r="BA472" s="11">
        <f t="shared" si="458"/>
        <v>3200</v>
      </c>
      <c r="BC472" s="11">
        <f t="shared" si="459"/>
        <v>0</v>
      </c>
      <c r="BE472" s="11">
        <f t="shared" si="460"/>
        <v>0</v>
      </c>
      <c r="BG472" s="11">
        <f t="shared" si="461"/>
        <v>0</v>
      </c>
      <c r="BN472" s="8">
        <f t="shared" si="463"/>
        <v>1964</v>
      </c>
      <c r="BO472" s="8">
        <f t="shared" si="464"/>
        <v>114850</v>
      </c>
      <c r="BP472" s="8">
        <f t="shared" si="469"/>
        <v>0</v>
      </c>
      <c r="BQ472" s="12">
        <f t="shared" si="470"/>
        <v>0</v>
      </c>
    </row>
    <row r="473" spans="1:69">
      <c r="A473" s="28">
        <v>1962</v>
      </c>
      <c r="B473" s="27" t="s">
        <v>47</v>
      </c>
      <c r="C473" s="24">
        <f t="shared" si="468"/>
        <v>466</v>
      </c>
      <c r="D473" s="7" t="e">
        <f t="shared" ca="1" si="462"/>
        <v>#N/A</v>
      </c>
      <c r="E473" s="26">
        <f t="array" aca="1" ref="E473" ca="1">AVERAGE(IF(INDIRECT(DatCol&amp;"$"&amp;TEXT(C473,"###")):INDIRECT(DatCol&amp;"$"&amp;TEXT(C473+57,"###"))&gt;0,INDIRECT(DatCol&amp;"$"&amp;TEXT(C473,"###")):INDIRECT(DatCol&amp;"$"&amp;TEXT(C473+57,"###"))))</f>
        <v>2059.090909090909</v>
      </c>
      <c r="F473" s="26" t="str">
        <f t="shared" si="406"/>
        <v>S</v>
      </c>
      <c r="G473" s="8"/>
      <c r="I473" s="8">
        <v>30</v>
      </c>
      <c r="J473" s="8">
        <v>1319</v>
      </c>
      <c r="K473" s="9">
        <f t="shared" si="465"/>
        <v>1319</v>
      </c>
      <c r="M473" s="11">
        <f t="shared" si="445"/>
        <v>0</v>
      </c>
      <c r="O473" s="11">
        <f t="shared" si="446"/>
        <v>0</v>
      </c>
      <c r="Q473" s="11">
        <f t="shared" si="447"/>
        <v>0</v>
      </c>
      <c r="Y473" s="11">
        <f t="shared" si="448"/>
        <v>0</v>
      </c>
      <c r="AG473" s="11">
        <f t="shared" si="467"/>
        <v>0</v>
      </c>
      <c r="AI473" s="11">
        <f t="shared" si="449"/>
        <v>0</v>
      </c>
      <c r="AK473" s="13">
        <f t="shared" si="450"/>
        <v>0</v>
      </c>
      <c r="AM473" s="13">
        <f t="shared" si="451"/>
        <v>0</v>
      </c>
      <c r="AO473" s="11">
        <f t="shared" si="452"/>
        <v>0</v>
      </c>
      <c r="AQ473" s="11">
        <f t="shared" si="453"/>
        <v>0</v>
      </c>
      <c r="AR473" s="12">
        <v>10000</v>
      </c>
      <c r="AS473" s="11">
        <f t="shared" si="454"/>
        <v>500000</v>
      </c>
      <c r="AU473" s="11">
        <f t="shared" si="455"/>
        <v>0</v>
      </c>
      <c r="AW473" s="11">
        <f t="shared" si="456"/>
        <v>0</v>
      </c>
      <c r="AY473" s="11">
        <f t="shared" si="457"/>
        <v>0</v>
      </c>
      <c r="BA473" s="11">
        <f t="shared" si="458"/>
        <v>0</v>
      </c>
      <c r="BC473" s="11">
        <f t="shared" si="459"/>
        <v>0</v>
      </c>
      <c r="BE473" s="11">
        <f t="shared" si="460"/>
        <v>0</v>
      </c>
      <c r="BG473" s="11">
        <f t="shared" si="461"/>
        <v>0</v>
      </c>
      <c r="BN473" s="8">
        <f t="shared" si="463"/>
        <v>10000</v>
      </c>
      <c r="BO473" s="8">
        <f t="shared" si="464"/>
        <v>500000</v>
      </c>
      <c r="BP473" s="8">
        <f t="shared" si="469"/>
        <v>0</v>
      </c>
      <c r="BQ473" s="12">
        <f t="shared" si="470"/>
        <v>0</v>
      </c>
    </row>
    <row r="474" spans="1:69">
      <c r="A474" s="28">
        <v>1963</v>
      </c>
      <c r="B474" s="27" t="s">
        <v>47</v>
      </c>
      <c r="C474" s="24">
        <f t="shared" si="468"/>
        <v>466</v>
      </c>
      <c r="D474" s="7" t="e">
        <f t="shared" ca="1" si="462"/>
        <v>#N/A</v>
      </c>
      <c r="E474" s="26">
        <f t="array" aca="1" ref="E474" ca="1">AVERAGE(IF(INDIRECT(DatCol&amp;"$"&amp;TEXT(C474,"###")):INDIRECT(DatCol&amp;"$"&amp;TEXT(C474+57,"###"))&gt;0,INDIRECT(DatCol&amp;"$"&amp;TEXT(C474,"###")):INDIRECT(DatCol&amp;"$"&amp;TEXT(C474+57,"###"))))</f>
        <v>2059.090909090909</v>
      </c>
      <c r="F474" s="26" t="str">
        <f t="shared" ref="F474:F540" si="471">VLOOKUP(B474,town_region,2,FALSE)</f>
        <v>S</v>
      </c>
      <c r="G474" s="8"/>
      <c r="I474" s="8">
        <v>23</v>
      </c>
      <c r="J474" s="8">
        <v>1275</v>
      </c>
      <c r="K474" s="9">
        <f t="shared" si="465"/>
        <v>1275</v>
      </c>
      <c r="M474" s="11">
        <f t="shared" si="445"/>
        <v>0</v>
      </c>
      <c r="N474" s="12">
        <v>600</v>
      </c>
      <c r="O474" s="11">
        <f t="shared" si="446"/>
        <v>30000</v>
      </c>
      <c r="P474" s="12">
        <v>1453</v>
      </c>
      <c r="Q474" s="11">
        <f t="shared" si="447"/>
        <v>87180</v>
      </c>
      <c r="Y474" s="11">
        <f t="shared" si="448"/>
        <v>0</v>
      </c>
      <c r="AG474" s="11">
        <f t="shared" si="467"/>
        <v>0</v>
      </c>
      <c r="AI474" s="11">
        <f t="shared" si="449"/>
        <v>0</v>
      </c>
      <c r="AK474" s="13">
        <f t="shared" si="450"/>
        <v>0</v>
      </c>
      <c r="AM474" s="13">
        <f t="shared" si="451"/>
        <v>0</v>
      </c>
      <c r="AO474" s="11">
        <f t="shared" si="452"/>
        <v>0</v>
      </c>
      <c r="AQ474" s="11">
        <f t="shared" si="453"/>
        <v>0</v>
      </c>
      <c r="AS474" s="11">
        <f t="shared" si="454"/>
        <v>0</v>
      </c>
      <c r="AU474" s="11">
        <f t="shared" si="455"/>
        <v>0</v>
      </c>
      <c r="AW474" s="11">
        <f t="shared" si="456"/>
        <v>0</v>
      </c>
      <c r="AY474" s="11">
        <f t="shared" si="457"/>
        <v>0</v>
      </c>
      <c r="AZ474" s="12">
        <v>63</v>
      </c>
      <c r="BA474" s="11">
        <f t="shared" si="458"/>
        <v>2520</v>
      </c>
      <c r="BC474" s="11">
        <f t="shared" si="459"/>
        <v>0</v>
      </c>
      <c r="BE474" s="11">
        <f t="shared" si="460"/>
        <v>0</v>
      </c>
      <c r="BG474" s="11">
        <f t="shared" si="461"/>
        <v>0</v>
      </c>
      <c r="BN474" s="8">
        <f t="shared" si="463"/>
        <v>1516</v>
      </c>
      <c r="BO474" s="8">
        <f t="shared" si="464"/>
        <v>89700</v>
      </c>
      <c r="BP474" s="8">
        <f t="shared" si="469"/>
        <v>600</v>
      </c>
      <c r="BQ474" s="12">
        <f t="shared" si="470"/>
        <v>30000</v>
      </c>
    </row>
    <row r="475" spans="1:69">
      <c r="A475" s="28">
        <v>1964</v>
      </c>
      <c r="B475" s="27" t="s">
        <v>47</v>
      </c>
      <c r="C475" s="24">
        <f t="shared" si="468"/>
        <v>466</v>
      </c>
      <c r="D475" s="7" t="e">
        <f t="shared" ca="1" si="462"/>
        <v>#N/A</v>
      </c>
      <c r="E475" s="26">
        <f t="array" aca="1" ref="E475" ca="1">AVERAGE(IF(INDIRECT(DatCol&amp;"$"&amp;TEXT(C475,"###")):INDIRECT(DatCol&amp;"$"&amp;TEXT(C475+57,"###"))&gt;0,INDIRECT(DatCol&amp;"$"&amp;TEXT(C475,"###")):INDIRECT(DatCol&amp;"$"&amp;TEXT(C475+57,"###"))))</f>
        <v>2059.090909090909</v>
      </c>
      <c r="F475" s="26" t="str">
        <f t="shared" si="471"/>
        <v>S</v>
      </c>
      <c r="G475" s="8"/>
      <c r="K475" s="9">
        <f t="shared" si="465"/>
        <v>0</v>
      </c>
      <c r="M475" s="11">
        <f t="shared" ref="M475:M490" si="472">(L475*50)</f>
        <v>0</v>
      </c>
      <c r="O475" s="11">
        <f t="shared" ref="O475:O490" si="473">(N475*50)</f>
        <v>0</v>
      </c>
      <c r="P475" s="12">
        <v>1393</v>
      </c>
      <c r="Q475" s="11">
        <f t="shared" ref="Q475:Q490" si="474">((P475*330)/5.5)</f>
        <v>83580</v>
      </c>
      <c r="Y475" s="11">
        <f t="shared" ref="Y475:Y490" si="475">((X475*330)/5.5)</f>
        <v>0</v>
      </c>
      <c r="AG475" s="11">
        <f t="shared" ref="AG475:AG490" si="476">(AF475*65)</f>
        <v>0</v>
      </c>
      <c r="AI475" s="11">
        <f t="shared" ref="AI475:AI490" si="477">(AH475*65)</f>
        <v>0</v>
      </c>
      <c r="AK475" s="13">
        <f t="shared" ref="AK475:AK490" si="478">(AJ475*9)</f>
        <v>0</v>
      </c>
      <c r="AM475" s="13">
        <f t="shared" ref="AM475:AM490" si="479">(AL475*9)</f>
        <v>0</v>
      </c>
      <c r="AO475" s="11">
        <f t="shared" ref="AO475:AO490" si="480">(AN475*80)</f>
        <v>0</v>
      </c>
      <c r="AQ475" s="11">
        <f t="shared" ref="AQ475:AQ490" si="481">(AP475*80)</f>
        <v>0</v>
      </c>
      <c r="AS475" s="11">
        <f t="shared" ref="AS475:AS490" si="482">(AR475*50)</f>
        <v>0</v>
      </c>
      <c r="AU475" s="11">
        <f t="shared" ref="AU475:AU490" si="483">(AT475*50)</f>
        <v>0</v>
      </c>
      <c r="AW475" s="11">
        <f t="shared" ref="AW475:AW490" si="484">(AV475*60)</f>
        <v>0</v>
      </c>
      <c r="AY475" s="11">
        <f t="shared" ref="AY475:AY490" si="485">(AX475*60)</f>
        <v>0</v>
      </c>
      <c r="AZ475" s="12">
        <v>210</v>
      </c>
      <c r="BA475" s="11">
        <f t="shared" ref="BA475:BA490" si="486">(AZ475*40)</f>
        <v>8400</v>
      </c>
      <c r="BC475" s="11">
        <f t="shared" ref="BC475:BC490" si="487">(BB475*40)</f>
        <v>0</v>
      </c>
      <c r="BE475" s="11">
        <f t="shared" ref="BE475:BE490" si="488">(BD475*95)</f>
        <v>0</v>
      </c>
      <c r="BG475" s="11">
        <f t="shared" ref="BG475:BG490" si="489">(BF475*95)</f>
        <v>0</v>
      </c>
      <c r="BN475" s="8">
        <f t="shared" si="463"/>
        <v>1603</v>
      </c>
      <c r="BO475" s="8">
        <f t="shared" si="464"/>
        <v>91980</v>
      </c>
      <c r="BP475" s="8">
        <f t="shared" si="469"/>
        <v>0</v>
      </c>
      <c r="BQ475" s="12">
        <f t="shared" si="470"/>
        <v>0</v>
      </c>
    </row>
    <row r="476" spans="1:69">
      <c r="A476" s="28">
        <v>1965</v>
      </c>
      <c r="B476" s="27" t="s">
        <v>47</v>
      </c>
      <c r="C476" s="24">
        <f t="shared" si="468"/>
        <v>466</v>
      </c>
      <c r="D476" s="7" t="e">
        <f t="shared" ca="1" si="462"/>
        <v>#N/A</v>
      </c>
      <c r="E476" s="26">
        <f t="array" aca="1" ref="E476" ca="1">AVERAGE(IF(INDIRECT(DatCol&amp;"$"&amp;TEXT(C476,"###")):INDIRECT(DatCol&amp;"$"&amp;TEXT(C476+57,"###"))&gt;0,INDIRECT(DatCol&amp;"$"&amp;TEXT(C476,"###")):INDIRECT(DatCol&amp;"$"&amp;TEXT(C476+57,"###"))))</f>
        <v>2059.090909090909</v>
      </c>
      <c r="F476" s="26" t="str">
        <f t="shared" si="471"/>
        <v>S</v>
      </c>
      <c r="G476" s="8"/>
      <c r="J476" s="8">
        <v>1400</v>
      </c>
      <c r="K476" s="9">
        <f t="shared" si="465"/>
        <v>1400</v>
      </c>
      <c r="M476" s="11">
        <f t="shared" si="472"/>
        <v>0</v>
      </c>
      <c r="N476" s="12">
        <v>240</v>
      </c>
      <c r="O476" s="11">
        <f t="shared" si="473"/>
        <v>12000</v>
      </c>
      <c r="P476" s="12">
        <v>1490</v>
      </c>
      <c r="Q476" s="11">
        <f t="shared" si="474"/>
        <v>89400</v>
      </c>
      <c r="X476" s="12">
        <v>150</v>
      </c>
      <c r="Y476" s="11">
        <f t="shared" si="475"/>
        <v>9000</v>
      </c>
      <c r="AG476" s="11">
        <f t="shared" si="476"/>
        <v>0</v>
      </c>
      <c r="AI476" s="11">
        <f t="shared" si="477"/>
        <v>0</v>
      </c>
      <c r="AK476" s="13">
        <f t="shared" si="478"/>
        <v>0</v>
      </c>
      <c r="AM476" s="13">
        <f t="shared" si="479"/>
        <v>0</v>
      </c>
      <c r="AO476" s="11">
        <f t="shared" si="480"/>
        <v>0</v>
      </c>
      <c r="AQ476" s="11">
        <f t="shared" si="481"/>
        <v>0</v>
      </c>
      <c r="AS476" s="11">
        <f t="shared" si="482"/>
        <v>0</v>
      </c>
      <c r="AU476" s="11">
        <f t="shared" si="483"/>
        <v>0</v>
      </c>
      <c r="AW476" s="11">
        <f t="shared" si="484"/>
        <v>0</v>
      </c>
      <c r="AY476" s="11">
        <f t="shared" si="485"/>
        <v>0</v>
      </c>
      <c r="AZ476" s="12">
        <v>31</v>
      </c>
      <c r="BA476" s="11">
        <f t="shared" si="486"/>
        <v>1240</v>
      </c>
      <c r="BB476" s="12">
        <v>20</v>
      </c>
      <c r="BC476" s="11">
        <f t="shared" si="487"/>
        <v>800</v>
      </c>
      <c r="BE476" s="11">
        <f t="shared" si="488"/>
        <v>0</v>
      </c>
      <c r="BG476" s="11">
        <f t="shared" si="489"/>
        <v>0</v>
      </c>
      <c r="BN476" s="8">
        <f t="shared" si="463"/>
        <v>1671</v>
      </c>
      <c r="BO476" s="8">
        <f t="shared" si="464"/>
        <v>99640</v>
      </c>
      <c r="BP476" s="8">
        <f t="shared" si="469"/>
        <v>410</v>
      </c>
      <c r="BQ476" s="12">
        <f t="shared" si="470"/>
        <v>21800</v>
      </c>
    </row>
    <row r="477" spans="1:69">
      <c r="A477" s="28">
        <v>1966</v>
      </c>
      <c r="B477" s="27" t="s">
        <v>47</v>
      </c>
      <c r="C477" s="24">
        <f t="shared" si="468"/>
        <v>466</v>
      </c>
      <c r="D477" s="7" t="e">
        <f t="shared" ca="1" si="462"/>
        <v>#N/A</v>
      </c>
      <c r="E477" s="26">
        <f t="array" aca="1" ref="E477" ca="1">AVERAGE(IF(INDIRECT(DatCol&amp;"$"&amp;TEXT(C477,"###")):INDIRECT(DatCol&amp;"$"&amp;TEXT(C477+57,"###"))&gt;0,INDIRECT(DatCol&amp;"$"&amp;TEXT(C477,"###")):INDIRECT(DatCol&amp;"$"&amp;TEXT(C477+57,"###"))))</f>
        <v>2059.090909090909</v>
      </c>
      <c r="F477" s="26" t="str">
        <f t="shared" si="471"/>
        <v>S</v>
      </c>
      <c r="G477" s="8"/>
      <c r="H477" s="8">
        <v>670</v>
      </c>
      <c r="I477" s="8">
        <v>24</v>
      </c>
      <c r="J477" s="8">
        <v>652</v>
      </c>
      <c r="K477" s="9">
        <f t="shared" si="465"/>
        <v>1322</v>
      </c>
      <c r="M477" s="11">
        <f t="shared" si="472"/>
        <v>0</v>
      </c>
      <c r="N477" s="12">
        <v>200</v>
      </c>
      <c r="O477" s="11">
        <f t="shared" si="473"/>
        <v>10000</v>
      </c>
      <c r="P477" s="12">
        <v>1435</v>
      </c>
      <c r="Q477" s="11">
        <f t="shared" si="474"/>
        <v>86100</v>
      </c>
      <c r="X477" s="12">
        <v>250</v>
      </c>
      <c r="Y477" s="11">
        <f t="shared" si="475"/>
        <v>15000</v>
      </c>
      <c r="AG477" s="11">
        <f t="shared" si="476"/>
        <v>0</v>
      </c>
      <c r="AI477" s="11">
        <f t="shared" si="477"/>
        <v>0</v>
      </c>
      <c r="AK477" s="13">
        <f t="shared" si="478"/>
        <v>0</v>
      </c>
      <c r="AM477" s="13">
        <f t="shared" si="479"/>
        <v>0</v>
      </c>
      <c r="AO477" s="11">
        <f t="shared" si="480"/>
        <v>0</v>
      </c>
      <c r="AQ477" s="11">
        <f t="shared" si="481"/>
        <v>0</v>
      </c>
      <c r="AR477" s="12">
        <v>2000</v>
      </c>
      <c r="AS477" s="11">
        <f t="shared" si="482"/>
        <v>100000</v>
      </c>
      <c r="AU477" s="11">
        <f t="shared" si="483"/>
        <v>0</v>
      </c>
      <c r="AW477" s="11">
        <f t="shared" si="484"/>
        <v>0</v>
      </c>
      <c r="AY477" s="11">
        <f t="shared" si="485"/>
        <v>0</v>
      </c>
      <c r="AZ477" s="12">
        <v>45</v>
      </c>
      <c r="BA477" s="11">
        <f t="shared" si="486"/>
        <v>1800</v>
      </c>
      <c r="BC477" s="11">
        <f t="shared" si="487"/>
        <v>0</v>
      </c>
      <c r="BE477" s="11">
        <f t="shared" si="488"/>
        <v>0</v>
      </c>
      <c r="BG477" s="11">
        <f t="shared" si="489"/>
        <v>0</v>
      </c>
      <c r="BN477" s="8">
        <f t="shared" si="463"/>
        <v>3730</v>
      </c>
      <c r="BO477" s="8">
        <f t="shared" si="464"/>
        <v>202900</v>
      </c>
      <c r="BP477" s="8">
        <f t="shared" si="469"/>
        <v>450</v>
      </c>
      <c r="BQ477" s="12">
        <f t="shared" si="470"/>
        <v>25000</v>
      </c>
    </row>
    <row r="478" spans="1:69">
      <c r="A478" s="28">
        <v>1967</v>
      </c>
      <c r="B478" s="27" t="s">
        <v>47</v>
      </c>
      <c r="C478" s="24">
        <f t="shared" si="468"/>
        <v>466</v>
      </c>
      <c r="D478" s="7" t="e">
        <f t="shared" ca="1" si="462"/>
        <v>#N/A</v>
      </c>
      <c r="E478" s="26">
        <f t="array" aca="1" ref="E478" ca="1">AVERAGE(IF(INDIRECT(DatCol&amp;"$"&amp;TEXT(C478,"###")):INDIRECT(DatCol&amp;"$"&amp;TEXT(C478+57,"###"))&gt;0,INDIRECT(DatCol&amp;"$"&amp;TEXT(C478,"###")):INDIRECT(DatCol&amp;"$"&amp;TEXT(C478+57,"###"))))</f>
        <v>2059.090909090909</v>
      </c>
      <c r="F478" s="26" t="str">
        <f t="shared" si="471"/>
        <v>S</v>
      </c>
      <c r="G478" s="8"/>
      <c r="I478" s="8">
        <v>24</v>
      </c>
      <c r="J478" s="8">
        <v>1313</v>
      </c>
      <c r="K478" s="9">
        <f t="shared" si="465"/>
        <v>1313</v>
      </c>
      <c r="M478" s="11">
        <f t="shared" si="472"/>
        <v>0</v>
      </c>
      <c r="N478" s="12">
        <v>225</v>
      </c>
      <c r="O478" s="11">
        <f t="shared" si="473"/>
        <v>11250</v>
      </c>
      <c r="P478" s="12">
        <v>1560</v>
      </c>
      <c r="Q478" s="11">
        <f t="shared" si="474"/>
        <v>93600</v>
      </c>
      <c r="X478" s="12">
        <v>280</v>
      </c>
      <c r="Y478" s="11">
        <f t="shared" si="475"/>
        <v>16800</v>
      </c>
      <c r="AG478" s="11">
        <f t="shared" si="476"/>
        <v>0</v>
      </c>
      <c r="AI478" s="11">
        <f t="shared" si="477"/>
        <v>0</v>
      </c>
      <c r="AK478" s="13">
        <f t="shared" si="478"/>
        <v>0</v>
      </c>
      <c r="AM478" s="13">
        <f t="shared" si="479"/>
        <v>0</v>
      </c>
      <c r="AN478" s="12">
        <v>95</v>
      </c>
      <c r="AO478" s="11">
        <f t="shared" si="480"/>
        <v>7600</v>
      </c>
      <c r="AQ478" s="11">
        <f t="shared" si="481"/>
        <v>0</v>
      </c>
      <c r="AR478" s="12">
        <v>350</v>
      </c>
      <c r="AS478" s="11">
        <f t="shared" si="482"/>
        <v>17500</v>
      </c>
      <c r="AU478" s="11">
        <f t="shared" si="483"/>
        <v>0</v>
      </c>
      <c r="AW478" s="11">
        <f t="shared" si="484"/>
        <v>0</v>
      </c>
      <c r="AY478" s="11">
        <f t="shared" si="485"/>
        <v>0</v>
      </c>
      <c r="AZ478" s="12">
        <v>42</v>
      </c>
      <c r="BA478" s="11">
        <f t="shared" si="486"/>
        <v>1680</v>
      </c>
      <c r="BB478" s="12">
        <v>30</v>
      </c>
      <c r="BC478" s="11">
        <f t="shared" si="487"/>
        <v>1200</v>
      </c>
      <c r="BE478" s="11">
        <f t="shared" si="488"/>
        <v>0</v>
      </c>
      <c r="BG478" s="11">
        <f t="shared" si="489"/>
        <v>0</v>
      </c>
      <c r="BN478" s="8">
        <f t="shared" si="463"/>
        <v>2327</v>
      </c>
      <c r="BO478" s="8">
        <f t="shared" si="464"/>
        <v>137180</v>
      </c>
      <c r="BP478" s="8">
        <f t="shared" si="469"/>
        <v>535</v>
      </c>
      <c r="BQ478" s="12">
        <f t="shared" si="470"/>
        <v>29250</v>
      </c>
    </row>
    <row r="479" spans="1:69">
      <c r="A479" s="28">
        <v>1968</v>
      </c>
      <c r="B479" s="27" t="s">
        <v>47</v>
      </c>
      <c r="C479" s="24">
        <f t="shared" si="468"/>
        <v>466</v>
      </c>
      <c r="D479" s="7" t="e">
        <f t="shared" ca="1" si="462"/>
        <v>#N/A</v>
      </c>
      <c r="E479" s="26">
        <f t="array" aca="1" ref="E479" ca="1">AVERAGE(IF(INDIRECT(DatCol&amp;"$"&amp;TEXT(C479,"###")):INDIRECT(DatCol&amp;"$"&amp;TEXT(C479+57,"###"))&gt;0,INDIRECT(DatCol&amp;"$"&amp;TEXT(C479,"###")):INDIRECT(DatCol&amp;"$"&amp;TEXT(C479+57,"###"))))</f>
        <v>2059.090909090909</v>
      </c>
      <c r="F479" s="26" t="str">
        <f t="shared" si="471"/>
        <v>S</v>
      </c>
      <c r="G479" s="8"/>
      <c r="H479" s="8">
        <v>625</v>
      </c>
      <c r="I479" s="8">
        <v>18</v>
      </c>
      <c r="J479" s="8">
        <v>760</v>
      </c>
      <c r="K479" s="9">
        <f t="shared" si="465"/>
        <v>1385</v>
      </c>
      <c r="M479" s="11">
        <f t="shared" si="472"/>
        <v>0</v>
      </c>
      <c r="N479" s="12">
        <v>238</v>
      </c>
      <c r="O479" s="11">
        <f t="shared" si="473"/>
        <v>11900</v>
      </c>
      <c r="P479" s="12">
        <v>1483</v>
      </c>
      <c r="Q479" s="11">
        <f t="shared" si="474"/>
        <v>88980</v>
      </c>
      <c r="X479" s="12">
        <v>125</v>
      </c>
      <c r="Y479" s="11">
        <f t="shared" si="475"/>
        <v>7500</v>
      </c>
      <c r="AG479" s="11">
        <f t="shared" si="476"/>
        <v>0</v>
      </c>
      <c r="AI479" s="11">
        <f t="shared" si="477"/>
        <v>0</v>
      </c>
      <c r="AK479" s="13">
        <f t="shared" si="478"/>
        <v>0</v>
      </c>
      <c r="AM479" s="13">
        <f t="shared" si="479"/>
        <v>0</v>
      </c>
      <c r="AO479" s="11">
        <f t="shared" si="480"/>
        <v>0</v>
      </c>
      <c r="AQ479" s="11">
        <f t="shared" si="481"/>
        <v>0</v>
      </c>
      <c r="AR479" s="12">
        <v>316</v>
      </c>
      <c r="AS479" s="11">
        <f t="shared" si="482"/>
        <v>15800</v>
      </c>
      <c r="AT479" s="12">
        <v>10</v>
      </c>
      <c r="AU479" s="11">
        <f t="shared" si="483"/>
        <v>500</v>
      </c>
      <c r="AW479" s="11">
        <f t="shared" si="484"/>
        <v>0</v>
      </c>
      <c r="AY479" s="11">
        <f t="shared" si="485"/>
        <v>0</v>
      </c>
      <c r="AZ479" s="12">
        <v>25</v>
      </c>
      <c r="BA479" s="11">
        <f t="shared" si="486"/>
        <v>1000</v>
      </c>
      <c r="BB479" s="12">
        <v>17</v>
      </c>
      <c r="BC479" s="11">
        <f t="shared" si="487"/>
        <v>680</v>
      </c>
      <c r="BE479" s="11">
        <f t="shared" si="488"/>
        <v>0</v>
      </c>
      <c r="BG479" s="11">
        <f t="shared" si="489"/>
        <v>0</v>
      </c>
      <c r="BN479" s="8">
        <f t="shared" si="463"/>
        <v>1949</v>
      </c>
      <c r="BO479" s="8">
        <f t="shared" si="464"/>
        <v>113280</v>
      </c>
      <c r="BP479" s="8">
        <f t="shared" si="469"/>
        <v>390</v>
      </c>
      <c r="BQ479" s="12">
        <f t="shared" si="470"/>
        <v>20580</v>
      </c>
    </row>
    <row r="480" spans="1:69">
      <c r="A480" s="28">
        <v>1969</v>
      </c>
      <c r="B480" s="27" t="s">
        <v>47</v>
      </c>
      <c r="C480" s="24">
        <f t="shared" si="468"/>
        <v>466</v>
      </c>
      <c r="D480" s="7" t="e">
        <f t="shared" ca="1" si="462"/>
        <v>#N/A</v>
      </c>
      <c r="E480" s="26">
        <f t="array" aca="1" ref="E480" ca="1">AVERAGE(IF(INDIRECT(DatCol&amp;"$"&amp;TEXT(C480,"###")):INDIRECT(DatCol&amp;"$"&amp;TEXT(C480+57,"###"))&gt;0,INDIRECT(DatCol&amp;"$"&amp;TEXT(C480,"###")):INDIRECT(DatCol&amp;"$"&amp;TEXT(C480+57,"###"))))</f>
        <v>2059.090909090909</v>
      </c>
      <c r="F480" s="26" t="str">
        <f t="shared" si="471"/>
        <v>S</v>
      </c>
      <c r="G480" s="8"/>
      <c r="H480" s="8">
        <v>410</v>
      </c>
      <c r="I480" s="8">
        <v>18</v>
      </c>
      <c r="J480" s="8">
        <v>898</v>
      </c>
      <c r="K480" s="9">
        <f t="shared" si="465"/>
        <v>1308</v>
      </c>
      <c r="M480" s="11">
        <f t="shared" si="472"/>
        <v>0</v>
      </c>
      <c r="N480" s="12">
        <v>220</v>
      </c>
      <c r="O480" s="11">
        <f t="shared" si="473"/>
        <v>11000</v>
      </c>
      <c r="P480" s="12">
        <v>1430</v>
      </c>
      <c r="Q480" s="11">
        <f t="shared" si="474"/>
        <v>85800</v>
      </c>
      <c r="X480" s="12">
        <v>278</v>
      </c>
      <c r="Y480" s="11">
        <f t="shared" si="475"/>
        <v>16680</v>
      </c>
      <c r="AG480" s="11">
        <f t="shared" si="476"/>
        <v>0</v>
      </c>
      <c r="AI480" s="11">
        <f t="shared" si="477"/>
        <v>0</v>
      </c>
      <c r="AK480" s="13">
        <f t="shared" si="478"/>
        <v>0</v>
      </c>
      <c r="AM480" s="13">
        <f t="shared" si="479"/>
        <v>0</v>
      </c>
      <c r="AO480" s="11">
        <f t="shared" si="480"/>
        <v>0</v>
      </c>
      <c r="AQ480" s="11">
        <f t="shared" si="481"/>
        <v>0</v>
      </c>
      <c r="AR480" s="12">
        <v>200</v>
      </c>
      <c r="AS480" s="11">
        <f t="shared" si="482"/>
        <v>10000</v>
      </c>
      <c r="AU480" s="11">
        <f t="shared" si="483"/>
        <v>0</v>
      </c>
      <c r="AW480" s="11">
        <f t="shared" si="484"/>
        <v>0</v>
      </c>
      <c r="AY480" s="11">
        <f t="shared" si="485"/>
        <v>0</v>
      </c>
      <c r="AZ480" s="12">
        <v>25</v>
      </c>
      <c r="BA480" s="11">
        <f t="shared" si="486"/>
        <v>1000</v>
      </c>
      <c r="BB480" s="12">
        <v>10</v>
      </c>
      <c r="BC480" s="11">
        <f t="shared" si="487"/>
        <v>400</v>
      </c>
      <c r="BE480" s="11">
        <f t="shared" si="488"/>
        <v>0</v>
      </c>
      <c r="BG480" s="11">
        <f t="shared" si="489"/>
        <v>0</v>
      </c>
      <c r="BN480" s="8">
        <f t="shared" si="463"/>
        <v>1933</v>
      </c>
      <c r="BO480" s="8">
        <f t="shared" si="464"/>
        <v>113480</v>
      </c>
      <c r="BP480" s="8">
        <f t="shared" si="469"/>
        <v>508</v>
      </c>
      <c r="BQ480" s="12">
        <f t="shared" si="470"/>
        <v>28080</v>
      </c>
    </row>
    <row r="481" spans="1:69">
      <c r="A481" s="28">
        <v>1970</v>
      </c>
      <c r="B481" s="27" t="s">
        <v>47</v>
      </c>
      <c r="C481" s="24">
        <f t="shared" si="468"/>
        <v>466</v>
      </c>
      <c r="D481" s="7" t="e">
        <f t="shared" ca="1" si="462"/>
        <v>#N/A</v>
      </c>
      <c r="E481" s="26">
        <f t="array" aca="1" ref="E481" ca="1">AVERAGE(IF(INDIRECT(DatCol&amp;"$"&amp;TEXT(C481,"###")):INDIRECT(DatCol&amp;"$"&amp;TEXT(C481+57,"###"))&gt;0,INDIRECT(DatCol&amp;"$"&amp;TEXT(C481,"###")):INDIRECT(DatCol&amp;"$"&amp;TEXT(C481+57,"###"))))</f>
        <v>2059.090909090909</v>
      </c>
      <c r="F481" s="26" t="str">
        <f t="shared" si="471"/>
        <v>S</v>
      </c>
      <c r="G481" s="8"/>
      <c r="H481" s="8">
        <v>690</v>
      </c>
      <c r="I481" s="8">
        <v>12</v>
      </c>
      <c r="J481" s="8">
        <v>748</v>
      </c>
      <c r="K481" s="9">
        <f t="shared" si="465"/>
        <v>1438</v>
      </c>
      <c r="M481" s="11">
        <f t="shared" si="472"/>
        <v>0</v>
      </c>
      <c r="N481" s="12">
        <v>375</v>
      </c>
      <c r="O481" s="11">
        <f t="shared" si="473"/>
        <v>18750</v>
      </c>
      <c r="P481" s="12">
        <v>1350</v>
      </c>
      <c r="Q481" s="11">
        <f t="shared" si="474"/>
        <v>81000</v>
      </c>
      <c r="X481" s="12">
        <v>450</v>
      </c>
      <c r="Y481" s="11">
        <f t="shared" si="475"/>
        <v>27000</v>
      </c>
      <c r="AG481" s="11">
        <f t="shared" si="476"/>
        <v>0</v>
      </c>
      <c r="AH481" s="12">
        <v>10</v>
      </c>
      <c r="AI481" s="11">
        <f t="shared" si="477"/>
        <v>650</v>
      </c>
      <c r="AK481" s="13">
        <f t="shared" si="478"/>
        <v>0</v>
      </c>
      <c r="AM481" s="13">
        <f t="shared" si="479"/>
        <v>0</v>
      </c>
      <c r="AN481" s="12">
        <v>58</v>
      </c>
      <c r="AO481" s="11">
        <f t="shared" si="480"/>
        <v>4640</v>
      </c>
      <c r="AQ481" s="11">
        <f t="shared" si="481"/>
        <v>0</v>
      </c>
      <c r="AR481" s="12">
        <v>275</v>
      </c>
      <c r="AS481" s="11">
        <f t="shared" si="482"/>
        <v>13750</v>
      </c>
      <c r="AU481" s="11">
        <f t="shared" si="483"/>
        <v>0</v>
      </c>
      <c r="AW481" s="11">
        <f t="shared" si="484"/>
        <v>0</v>
      </c>
      <c r="AY481" s="11">
        <f t="shared" si="485"/>
        <v>0</v>
      </c>
      <c r="AZ481" s="12">
        <v>35</v>
      </c>
      <c r="BA481" s="11">
        <f t="shared" si="486"/>
        <v>1400</v>
      </c>
      <c r="BB481" s="12">
        <v>22</v>
      </c>
      <c r="BC481" s="11">
        <f t="shared" si="487"/>
        <v>880</v>
      </c>
      <c r="BE481" s="11">
        <f t="shared" si="488"/>
        <v>0</v>
      </c>
      <c r="BG481" s="11">
        <f t="shared" si="489"/>
        <v>0</v>
      </c>
      <c r="BN481" s="8">
        <f t="shared" si="463"/>
        <v>2168</v>
      </c>
      <c r="BO481" s="8">
        <f t="shared" si="464"/>
        <v>127790</v>
      </c>
      <c r="BP481" s="8">
        <f t="shared" si="469"/>
        <v>857</v>
      </c>
      <c r="BQ481" s="12">
        <f t="shared" si="470"/>
        <v>47280</v>
      </c>
    </row>
    <row r="482" spans="1:69">
      <c r="A482" s="28">
        <v>1971</v>
      </c>
      <c r="B482" s="27" t="s">
        <v>47</v>
      </c>
      <c r="C482" s="24">
        <f t="shared" si="468"/>
        <v>466</v>
      </c>
      <c r="D482" s="7" t="e">
        <f t="shared" ca="1" si="462"/>
        <v>#N/A</v>
      </c>
      <c r="E482" s="26">
        <f t="array" aca="1" ref="E482" ca="1">AVERAGE(IF(INDIRECT(DatCol&amp;"$"&amp;TEXT(C482,"###")):INDIRECT(DatCol&amp;"$"&amp;TEXT(C482+57,"###"))&gt;0,INDIRECT(DatCol&amp;"$"&amp;TEXT(C482,"###")):INDIRECT(DatCol&amp;"$"&amp;TEXT(C482+57,"###"))))</f>
        <v>2059.090909090909</v>
      </c>
      <c r="F482" s="26" t="str">
        <f t="shared" si="471"/>
        <v>S</v>
      </c>
      <c r="G482" s="8"/>
      <c r="H482" s="8">
        <v>871</v>
      </c>
      <c r="I482" s="8">
        <v>0</v>
      </c>
      <c r="J482" s="8">
        <v>875</v>
      </c>
      <c r="K482" s="9">
        <f t="shared" si="465"/>
        <v>1746</v>
      </c>
      <c r="M482" s="11">
        <f t="shared" si="472"/>
        <v>0</v>
      </c>
      <c r="N482" s="12">
        <v>225</v>
      </c>
      <c r="O482" s="11">
        <f t="shared" si="473"/>
        <v>11250</v>
      </c>
      <c r="P482" s="12">
        <v>455</v>
      </c>
      <c r="Q482" s="11">
        <f t="shared" si="474"/>
        <v>27300</v>
      </c>
      <c r="X482" s="12">
        <v>280</v>
      </c>
      <c r="Y482" s="11">
        <f t="shared" si="475"/>
        <v>16800</v>
      </c>
      <c r="AG482" s="11">
        <f t="shared" si="476"/>
        <v>0</v>
      </c>
      <c r="AH482" s="12">
        <v>7</v>
      </c>
      <c r="AI482" s="11">
        <f t="shared" si="477"/>
        <v>455</v>
      </c>
      <c r="AK482" s="13">
        <f t="shared" si="478"/>
        <v>0</v>
      </c>
      <c r="AM482" s="13">
        <f t="shared" si="479"/>
        <v>0</v>
      </c>
      <c r="AN482" s="12">
        <v>150</v>
      </c>
      <c r="AO482" s="11">
        <f t="shared" si="480"/>
        <v>12000</v>
      </c>
      <c r="AQ482" s="11">
        <f t="shared" si="481"/>
        <v>0</v>
      </c>
      <c r="AR482" s="12">
        <v>2250</v>
      </c>
      <c r="AS482" s="11">
        <f t="shared" si="482"/>
        <v>112500</v>
      </c>
      <c r="AT482" s="12">
        <v>20</v>
      </c>
      <c r="AU482" s="11">
        <f t="shared" si="483"/>
        <v>1000</v>
      </c>
      <c r="AW482" s="11">
        <f t="shared" si="484"/>
        <v>0</v>
      </c>
      <c r="AY482" s="11">
        <f t="shared" si="485"/>
        <v>0</v>
      </c>
      <c r="BA482" s="11">
        <f t="shared" si="486"/>
        <v>0</v>
      </c>
      <c r="BB482" s="12">
        <v>42</v>
      </c>
      <c r="BC482" s="11">
        <f t="shared" si="487"/>
        <v>1680</v>
      </c>
      <c r="BE482" s="11">
        <f t="shared" si="488"/>
        <v>0</v>
      </c>
      <c r="BG482" s="11">
        <f t="shared" si="489"/>
        <v>0</v>
      </c>
      <c r="BN482" s="8">
        <f t="shared" si="463"/>
        <v>3135</v>
      </c>
      <c r="BO482" s="8">
        <f t="shared" si="464"/>
        <v>168600</v>
      </c>
      <c r="BP482" s="8">
        <f t="shared" si="469"/>
        <v>574</v>
      </c>
      <c r="BQ482" s="12">
        <f t="shared" si="470"/>
        <v>31185</v>
      </c>
    </row>
    <row r="483" spans="1:69">
      <c r="A483" s="28">
        <v>1972</v>
      </c>
      <c r="B483" s="27" t="s">
        <v>47</v>
      </c>
      <c r="C483" s="24">
        <f t="shared" si="468"/>
        <v>466</v>
      </c>
      <c r="D483" s="7" t="e">
        <f t="shared" ca="1" si="462"/>
        <v>#N/A</v>
      </c>
      <c r="E483" s="26">
        <f t="array" aca="1" ref="E483" ca="1">AVERAGE(IF(INDIRECT(DatCol&amp;"$"&amp;TEXT(C483,"###")):INDIRECT(DatCol&amp;"$"&amp;TEXT(C483+57,"###"))&gt;0,INDIRECT(DatCol&amp;"$"&amp;TEXT(C483,"###")):INDIRECT(DatCol&amp;"$"&amp;TEXT(C483+57,"###"))))</f>
        <v>2059.090909090909</v>
      </c>
      <c r="F483" s="26" t="str">
        <f t="shared" si="471"/>
        <v>S</v>
      </c>
      <c r="G483" s="8"/>
      <c r="H483" s="8">
        <v>814</v>
      </c>
      <c r="I483" s="8">
        <v>0</v>
      </c>
      <c r="J483" s="8">
        <v>853</v>
      </c>
      <c r="K483" s="9">
        <f t="shared" si="465"/>
        <v>1667</v>
      </c>
      <c r="M483" s="11">
        <f t="shared" si="472"/>
        <v>0</v>
      </c>
      <c r="N483" s="12">
        <v>228</v>
      </c>
      <c r="O483" s="11">
        <f t="shared" si="473"/>
        <v>11400</v>
      </c>
      <c r="Q483" s="11">
        <f t="shared" si="474"/>
        <v>0</v>
      </c>
      <c r="X483" s="12">
        <v>279</v>
      </c>
      <c r="Y483" s="11">
        <f t="shared" si="475"/>
        <v>16740</v>
      </c>
      <c r="AG483" s="11">
        <f t="shared" si="476"/>
        <v>0</v>
      </c>
      <c r="AI483" s="11">
        <f t="shared" si="477"/>
        <v>0</v>
      </c>
      <c r="AK483" s="13">
        <f t="shared" si="478"/>
        <v>0</v>
      </c>
      <c r="AM483" s="13">
        <f t="shared" si="479"/>
        <v>0</v>
      </c>
      <c r="AN483" s="12">
        <v>75</v>
      </c>
      <c r="AO483" s="11">
        <f t="shared" si="480"/>
        <v>6000</v>
      </c>
      <c r="AQ483" s="11">
        <f t="shared" si="481"/>
        <v>0</v>
      </c>
      <c r="AS483" s="11">
        <f t="shared" si="482"/>
        <v>0</v>
      </c>
      <c r="AT483" s="12">
        <v>750</v>
      </c>
      <c r="AU483" s="11">
        <f t="shared" si="483"/>
        <v>37500</v>
      </c>
      <c r="AW483" s="11">
        <f t="shared" si="484"/>
        <v>0</v>
      </c>
      <c r="AY483" s="11">
        <f t="shared" si="485"/>
        <v>0</v>
      </c>
      <c r="BA483" s="11">
        <f t="shared" si="486"/>
        <v>0</v>
      </c>
      <c r="BB483" s="12">
        <v>12</v>
      </c>
      <c r="BC483" s="11">
        <f t="shared" si="487"/>
        <v>480</v>
      </c>
      <c r="BE483" s="11">
        <f t="shared" si="488"/>
        <v>0</v>
      </c>
      <c r="BG483" s="11">
        <f t="shared" si="489"/>
        <v>0</v>
      </c>
      <c r="BN483" s="8">
        <f t="shared" si="463"/>
        <v>354</v>
      </c>
      <c r="BO483" s="8">
        <f t="shared" si="464"/>
        <v>22740</v>
      </c>
      <c r="BP483" s="8">
        <f t="shared" si="469"/>
        <v>1269</v>
      </c>
      <c r="BQ483" s="12">
        <f t="shared" si="470"/>
        <v>66120</v>
      </c>
    </row>
    <row r="484" spans="1:69">
      <c r="A484" s="28">
        <v>1973</v>
      </c>
      <c r="B484" s="27" t="s">
        <v>47</v>
      </c>
      <c r="C484" s="24">
        <f t="shared" si="468"/>
        <v>466</v>
      </c>
      <c r="D484" s="7" t="e">
        <f t="shared" ca="1" si="462"/>
        <v>#N/A</v>
      </c>
      <c r="E484" s="26">
        <f t="array" aca="1" ref="E484" ca="1">AVERAGE(IF(INDIRECT(DatCol&amp;"$"&amp;TEXT(C484,"###")):INDIRECT(DatCol&amp;"$"&amp;TEXT(C484+57,"###"))&gt;0,INDIRECT(DatCol&amp;"$"&amp;TEXT(C484,"###")):INDIRECT(DatCol&amp;"$"&amp;TEXT(C484+57,"###"))))</f>
        <v>2059.090909090909</v>
      </c>
      <c r="F484" s="26" t="str">
        <f t="shared" si="471"/>
        <v>S</v>
      </c>
      <c r="G484" s="8"/>
      <c r="H484" s="8">
        <v>945</v>
      </c>
      <c r="I484" s="8">
        <v>2</v>
      </c>
      <c r="J484" s="8">
        <v>1005</v>
      </c>
      <c r="K484" s="9">
        <f t="shared" si="465"/>
        <v>1950</v>
      </c>
      <c r="M484" s="11">
        <f t="shared" si="472"/>
        <v>0</v>
      </c>
      <c r="N484" s="12">
        <v>2850</v>
      </c>
      <c r="O484" s="11">
        <f t="shared" si="473"/>
        <v>142500</v>
      </c>
      <c r="Q484" s="11">
        <f t="shared" si="474"/>
        <v>0</v>
      </c>
      <c r="X484" s="12">
        <v>2500</v>
      </c>
      <c r="Y484" s="11">
        <f t="shared" si="475"/>
        <v>150000</v>
      </c>
      <c r="AG484" s="11">
        <f t="shared" si="476"/>
        <v>0</v>
      </c>
      <c r="AH484" s="12">
        <v>10</v>
      </c>
      <c r="AI484" s="11">
        <f t="shared" si="477"/>
        <v>650</v>
      </c>
      <c r="AK484" s="13">
        <f t="shared" si="478"/>
        <v>0</v>
      </c>
      <c r="AM484" s="13">
        <f t="shared" si="479"/>
        <v>0</v>
      </c>
      <c r="AN484" s="12">
        <v>75</v>
      </c>
      <c r="AO484" s="11">
        <f t="shared" si="480"/>
        <v>6000</v>
      </c>
      <c r="AQ484" s="11">
        <f t="shared" si="481"/>
        <v>0</v>
      </c>
      <c r="AR484" s="12">
        <v>5000</v>
      </c>
      <c r="AS484" s="11">
        <f t="shared" si="482"/>
        <v>250000</v>
      </c>
      <c r="AT484" s="12">
        <v>110</v>
      </c>
      <c r="AU484" s="11">
        <f t="shared" si="483"/>
        <v>5500</v>
      </c>
      <c r="AW484" s="11">
        <f t="shared" si="484"/>
        <v>0</v>
      </c>
      <c r="AY484" s="11">
        <f t="shared" si="485"/>
        <v>0</v>
      </c>
      <c r="AZ484" s="12">
        <v>32</v>
      </c>
      <c r="BA484" s="11">
        <f t="shared" si="486"/>
        <v>1280</v>
      </c>
      <c r="BB484" s="12">
        <v>40</v>
      </c>
      <c r="BC484" s="11">
        <f t="shared" si="487"/>
        <v>1600</v>
      </c>
      <c r="BE484" s="11">
        <f t="shared" si="488"/>
        <v>0</v>
      </c>
      <c r="BG484" s="11">
        <f t="shared" si="489"/>
        <v>0</v>
      </c>
      <c r="BN484" s="8">
        <f t="shared" si="463"/>
        <v>7607</v>
      </c>
      <c r="BO484" s="8">
        <f t="shared" si="464"/>
        <v>407280</v>
      </c>
      <c r="BP484" s="8">
        <f t="shared" si="469"/>
        <v>5510</v>
      </c>
      <c r="BQ484" s="12">
        <f t="shared" si="470"/>
        <v>300250</v>
      </c>
    </row>
    <row r="485" spans="1:69">
      <c r="A485" s="28">
        <v>1974</v>
      </c>
      <c r="B485" s="27" t="s">
        <v>47</v>
      </c>
      <c r="C485" s="24">
        <f t="shared" si="468"/>
        <v>466</v>
      </c>
      <c r="D485" s="7" t="e">
        <f t="shared" ca="1" si="462"/>
        <v>#N/A</v>
      </c>
      <c r="E485" s="26">
        <f t="array" aca="1" ref="E485" ca="1">AVERAGE(IF(INDIRECT(DatCol&amp;"$"&amp;TEXT(C485,"###")):INDIRECT(DatCol&amp;"$"&amp;TEXT(C485+57,"###"))&gt;0,INDIRECT(DatCol&amp;"$"&amp;TEXT(C485,"###")):INDIRECT(DatCol&amp;"$"&amp;TEXT(C485+57,"###"))))</f>
        <v>2059.090909090909</v>
      </c>
      <c r="F485" s="26" t="str">
        <f t="shared" si="471"/>
        <v>S</v>
      </c>
      <c r="G485" s="8"/>
      <c r="H485" s="8">
        <v>1212</v>
      </c>
      <c r="I485" s="8">
        <v>3</v>
      </c>
      <c r="J485" s="8">
        <v>1230</v>
      </c>
      <c r="K485" s="9">
        <f t="shared" si="465"/>
        <v>2442</v>
      </c>
      <c r="M485" s="11">
        <f t="shared" si="472"/>
        <v>0</v>
      </c>
      <c r="N485" s="12">
        <v>410</v>
      </c>
      <c r="O485" s="11">
        <f t="shared" si="473"/>
        <v>20500</v>
      </c>
      <c r="Q485" s="11">
        <f t="shared" si="474"/>
        <v>0</v>
      </c>
      <c r="X485" s="12">
        <v>300</v>
      </c>
      <c r="Y485" s="11">
        <f t="shared" si="475"/>
        <v>18000</v>
      </c>
      <c r="AG485" s="11">
        <f t="shared" si="476"/>
        <v>0</v>
      </c>
      <c r="AI485" s="11">
        <f t="shared" si="477"/>
        <v>0</v>
      </c>
      <c r="AK485" s="13">
        <f t="shared" si="478"/>
        <v>0</v>
      </c>
      <c r="AM485" s="13">
        <f t="shared" si="479"/>
        <v>0</v>
      </c>
      <c r="AN485" s="12">
        <v>20</v>
      </c>
      <c r="AO485" s="11">
        <f t="shared" si="480"/>
        <v>1600</v>
      </c>
      <c r="AQ485" s="11">
        <f t="shared" si="481"/>
        <v>0</v>
      </c>
      <c r="AR485" s="12">
        <v>4000</v>
      </c>
      <c r="AS485" s="11">
        <f t="shared" si="482"/>
        <v>200000</v>
      </c>
      <c r="AT485" s="12">
        <v>115</v>
      </c>
      <c r="AU485" s="11">
        <f t="shared" si="483"/>
        <v>5750</v>
      </c>
      <c r="AW485" s="11">
        <f t="shared" si="484"/>
        <v>0</v>
      </c>
      <c r="AY485" s="11">
        <f t="shared" si="485"/>
        <v>0</v>
      </c>
      <c r="BA485" s="11">
        <f t="shared" si="486"/>
        <v>0</v>
      </c>
      <c r="BB485" s="12">
        <v>35</v>
      </c>
      <c r="BC485" s="11">
        <f t="shared" si="487"/>
        <v>1400</v>
      </c>
      <c r="BE485" s="11">
        <f t="shared" si="488"/>
        <v>0</v>
      </c>
      <c r="BG485" s="11">
        <f t="shared" si="489"/>
        <v>0</v>
      </c>
      <c r="BN485" s="8">
        <f t="shared" si="463"/>
        <v>4320</v>
      </c>
      <c r="BO485" s="8">
        <f t="shared" si="464"/>
        <v>219600</v>
      </c>
      <c r="BP485" s="8">
        <f t="shared" si="469"/>
        <v>860</v>
      </c>
      <c r="BQ485" s="12">
        <f t="shared" si="470"/>
        <v>45650</v>
      </c>
    </row>
    <row r="486" spans="1:69">
      <c r="A486" s="28">
        <v>1975</v>
      </c>
      <c r="B486" s="27" t="s">
        <v>47</v>
      </c>
      <c r="C486" s="24">
        <f t="shared" si="468"/>
        <v>466</v>
      </c>
      <c r="D486" s="7" t="e">
        <f t="shared" ca="1" si="462"/>
        <v>#N/A</v>
      </c>
      <c r="E486" s="26">
        <f t="array" aca="1" ref="E486" ca="1">AVERAGE(IF(INDIRECT(DatCol&amp;"$"&amp;TEXT(C486,"###")):INDIRECT(DatCol&amp;"$"&amp;TEXT(C486+57,"###"))&gt;0,INDIRECT(DatCol&amp;"$"&amp;TEXT(C486,"###")):INDIRECT(DatCol&amp;"$"&amp;TEXT(C486+57,"###"))))</f>
        <v>2059.090909090909</v>
      </c>
      <c r="F486" s="26" t="str">
        <f t="shared" si="471"/>
        <v>S</v>
      </c>
      <c r="G486" s="8"/>
      <c r="H486" s="8">
        <v>1026</v>
      </c>
      <c r="I486" s="8">
        <v>7</v>
      </c>
      <c r="J486" s="8">
        <v>1521</v>
      </c>
      <c r="K486" s="9">
        <f t="shared" si="465"/>
        <v>2547</v>
      </c>
      <c r="M486" s="11">
        <f t="shared" si="472"/>
        <v>0</v>
      </c>
      <c r="N486" s="12">
        <v>1182</v>
      </c>
      <c r="O486" s="11">
        <f t="shared" si="473"/>
        <v>59100</v>
      </c>
      <c r="Q486" s="11">
        <f t="shared" si="474"/>
        <v>0</v>
      </c>
      <c r="X486" s="12">
        <v>1250</v>
      </c>
      <c r="Y486" s="11">
        <f t="shared" si="475"/>
        <v>75000</v>
      </c>
      <c r="AG486" s="11">
        <f t="shared" si="476"/>
        <v>0</v>
      </c>
      <c r="AI486" s="11">
        <f t="shared" si="477"/>
        <v>0</v>
      </c>
      <c r="AK486" s="13">
        <f t="shared" si="478"/>
        <v>0</v>
      </c>
      <c r="AM486" s="13">
        <f t="shared" si="479"/>
        <v>0</v>
      </c>
      <c r="AN486" s="12">
        <v>53</v>
      </c>
      <c r="AO486" s="11">
        <f t="shared" si="480"/>
        <v>4240</v>
      </c>
      <c r="AQ486" s="11">
        <f t="shared" si="481"/>
        <v>0</v>
      </c>
      <c r="AR486" s="12">
        <v>8000</v>
      </c>
      <c r="AS486" s="11">
        <f t="shared" si="482"/>
        <v>400000</v>
      </c>
      <c r="AT486" s="12">
        <v>150</v>
      </c>
      <c r="AU486" s="11">
        <f t="shared" si="483"/>
        <v>7500</v>
      </c>
      <c r="AW486" s="11">
        <f t="shared" si="484"/>
        <v>0</v>
      </c>
      <c r="AY486" s="11">
        <f t="shared" si="485"/>
        <v>0</v>
      </c>
      <c r="BA486" s="11">
        <f t="shared" si="486"/>
        <v>0</v>
      </c>
      <c r="BB486" s="12">
        <v>90</v>
      </c>
      <c r="BC486" s="11">
        <f t="shared" si="487"/>
        <v>3600</v>
      </c>
      <c r="BE486" s="11">
        <f t="shared" si="488"/>
        <v>0</v>
      </c>
      <c r="BG486" s="11">
        <f t="shared" si="489"/>
        <v>0</v>
      </c>
      <c r="BN486" s="8">
        <f t="shared" si="463"/>
        <v>9303</v>
      </c>
      <c r="BO486" s="8">
        <f t="shared" si="464"/>
        <v>479240</v>
      </c>
      <c r="BP486" s="8">
        <f t="shared" si="469"/>
        <v>2672</v>
      </c>
      <c r="BQ486" s="12">
        <f t="shared" si="470"/>
        <v>145200</v>
      </c>
    </row>
    <row r="487" spans="1:69">
      <c r="A487" s="28">
        <v>1976</v>
      </c>
      <c r="B487" s="27" t="s">
        <v>47</v>
      </c>
      <c r="C487" s="24">
        <f t="shared" si="468"/>
        <v>466</v>
      </c>
      <c r="D487" s="7" t="e">
        <f t="shared" ca="1" si="462"/>
        <v>#N/A</v>
      </c>
      <c r="E487" s="26">
        <f t="array" aca="1" ref="E487" ca="1">AVERAGE(IF(INDIRECT(DatCol&amp;"$"&amp;TEXT(C487,"###")):INDIRECT(DatCol&amp;"$"&amp;TEXT(C487+57,"###"))&gt;0,INDIRECT(DatCol&amp;"$"&amp;TEXT(C487,"###")):INDIRECT(DatCol&amp;"$"&amp;TEXT(C487+57,"###"))))</f>
        <v>2059.090909090909</v>
      </c>
      <c r="F487" s="26" t="str">
        <f t="shared" si="471"/>
        <v>S</v>
      </c>
      <c r="G487" s="8"/>
      <c r="H487" s="8">
        <v>1252</v>
      </c>
      <c r="I487" s="8">
        <v>10</v>
      </c>
      <c r="J487" s="8">
        <v>1210</v>
      </c>
      <c r="K487" s="9">
        <f t="shared" si="465"/>
        <v>2462</v>
      </c>
      <c r="M487" s="11">
        <f t="shared" si="472"/>
        <v>0</v>
      </c>
      <c r="N487" s="12">
        <v>870</v>
      </c>
      <c r="O487" s="11">
        <f t="shared" si="473"/>
        <v>43500</v>
      </c>
      <c r="Q487" s="11">
        <f t="shared" si="474"/>
        <v>0</v>
      </c>
      <c r="X487" s="12">
        <v>950</v>
      </c>
      <c r="Y487" s="11">
        <f t="shared" si="475"/>
        <v>57000</v>
      </c>
      <c r="AG487" s="11">
        <f t="shared" si="476"/>
        <v>0</v>
      </c>
      <c r="AH487" s="12">
        <v>10</v>
      </c>
      <c r="AI487" s="11">
        <f t="shared" si="477"/>
        <v>650</v>
      </c>
      <c r="AK487" s="13">
        <f t="shared" si="478"/>
        <v>0</v>
      </c>
      <c r="AM487" s="13">
        <f t="shared" si="479"/>
        <v>0</v>
      </c>
      <c r="AN487" s="12">
        <v>150</v>
      </c>
      <c r="AO487" s="11">
        <f t="shared" si="480"/>
        <v>12000</v>
      </c>
      <c r="AQ487" s="11">
        <f t="shared" si="481"/>
        <v>0</v>
      </c>
      <c r="AR487" s="12">
        <v>15000</v>
      </c>
      <c r="AS487" s="11">
        <f t="shared" si="482"/>
        <v>750000</v>
      </c>
      <c r="AT487" s="12">
        <v>150</v>
      </c>
      <c r="AU487" s="11">
        <f t="shared" si="483"/>
        <v>7500</v>
      </c>
      <c r="AW487" s="11">
        <f t="shared" si="484"/>
        <v>0</v>
      </c>
      <c r="AY487" s="11">
        <f t="shared" si="485"/>
        <v>0</v>
      </c>
      <c r="AZ487" s="12">
        <v>25</v>
      </c>
      <c r="BA487" s="11">
        <f t="shared" si="486"/>
        <v>1000</v>
      </c>
      <c r="BB487" s="12">
        <v>42</v>
      </c>
      <c r="BC487" s="11">
        <f t="shared" si="487"/>
        <v>1680</v>
      </c>
      <c r="BE487" s="11">
        <f t="shared" si="488"/>
        <v>0</v>
      </c>
      <c r="BG487" s="11">
        <f t="shared" si="489"/>
        <v>0</v>
      </c>
      <c r="BN487" s="8">
        <f t="shared" si="463"/>
        <v>16125</v>
      </c>
      <c r="BO487" s="8">
        <f t="shared" si="464"/>
        <v>820000</v>
      </c>
      <c r="BP487" s="8">
        <f t="shared" si="469"/>
        <v>2022</v>
      </c>
      <c r="BQ487" s="12">
        <f t="shared" si="470"/>
        <v>110330</v>
      </c>
    </row>
    <row r="488" spans="1:69">
      <c r="A488" s="28">
        <v>1977</v>
      </c>
      <c r="B488" s="27" t="s">
        <v>47</v>
      </c>
      <c r="C488" s="24">
        <f t="shared" si="468"/>
        <v>466</v>
      </c>
      <c r="D488" s="7" t="e">
        <f t="shared" ca="1" si="462"/>
        <v>#N/A</v>
      </c>
      <c r="E488" s="26">
        <f t="array" aca="1" ref="E488" ca="1">AVERAGE(IF(INDIRECT(DatCol&amp;"$"&amp;TEXT(C488,"###")):INDIRECT(DatCol&amp;"$"&amp;TEXT(C488+57,"###"))&gt;0,INDIRECT(DatCol&amp;"$"&amp;TEXT(C488,"###")):INDIRECT(DatCol&amp;"$"&amp;TEXT(C488+57,"###"))))</f>
        <v>2059.090909090909</v>
      </c>
      <c r="F488" s="26" t="str">
        <f t="shared" si="471"/>
        <v>S</v>
      </c>
      <c r="G488" s="8"/>
      <c r="H488" s="8">
        <v>1212</v>
      </c>
      <c r="I488" s="8">
        <v>9</v>
      </c>
      <c r="J488" s="8">
        <v>1320</v>
      </c>
      <c r="K488" s="9">
        <f t="shared" si="465"/>
        <v>2532</v>
      </c>
      <c r="M488" s="11">
        <f t="shared" si="472"/>
        <v>0</v>
      </c>
      <c r="N488" s="12">
        <v>982</v>
      </c>
      <c r="O488" s="11">
        <f t="shared" si="473"/>
        <v>49100</v>
      </c>
      <c r="Q488" s="11">
        <f t="shared" si="474"/>
        <v>0</v>
      </c>
      <c r="X488" s="12">
        <v>1570</v>
      </c>
      <c r="Y488" s="11">
        <f t="shared" si="475"/>
        <v>94200</v>
      </c>
      <c r="AG488" s="11">
        <f t="shared" si="476"/>
        <v>0</v>
      </c>
      <c r="AH488" s="12">
        <v>5</v>
      </c>
      <c r="AI488" s="11">
        <f t="shared" si="477"/>
        <v>325</v>
      </c>
      <c r="AK488" s="13">
        <f t="shared" si="478"/>
        <v>0</v>
      </c>
      <c r="AM488" s="13">
        <f t="shared" si="479"/>
        <v>0</v>
      </c>
      <c r="AN488" s="12">
        <v>42</v>
      </c>
      <c r="AO488" s="11">
        <f t="shared" si="480"/>
        <v>3360</v>
      </c>
      <c r="AQ488" s="11">
        <f t="shared" si="481"/>
        <v>0</v>
      </c>
      <c r="AR488" s="12">
        <v>10000</v>
      </c>
      <c r="AS488" s="11">
        <f t="shared" si="482"/>
        <v>500000</v>
      </c>
      <c r="AT488" s="12">
        <v>150</v>
      </c>
      <c r="AU488" s="11">
        <f t="shared" si="483"/>
        <v>7500</v>
      </c>
      <c r="AW488" s="11">
        <f t="shared" si="484"/>
        <v>0</v>
      </c>
      <c r="AY488" s="11">
        <f t="shared" si="485"/>
        <v>0</v>
      </c>
      <c r="AZ488" s="12">
        <v>58</v>
      </c>
      <c r="BA488" s="11">
        <f t="shared" si="486"/>
        <v>2320</v>
      </c>
      <c r="BB488" s="12">
        <v>37</v>
      </c>
      <c r="BC488" s="11">
        <f t="shared" si="487"/>
        <v>1480</v>
      </c>
      <c r="BE488" s="11">
        <f t="shared" si="488"/>
        <v>0</v>
      </c>
      <c r="BG488" s="11">
        <f t="shared" si="489"/>
        <v>0</v>
      </c>
      <c r="BN488" s="8">
        <f t="shared" si="463"/>
        <v>11670</v>
      </c>
      <c r="BO488" s="8">
        <f t="shared" si="464"/>
        <v>599880</v>
      </c>
      <c r="BP488" s="8">
        <f t="shared" si="469"/>
        <v>2744</v>
      </c>
      <c r="BQ488" s="12">
        <f t="shared" si="470"/>
        <v>152605</v>
      </c>
    </row>
    <row r="489" spans="1:69">
      <c r="A489" s="28">
        <v>1978</v>
      </c>
      <c r="B489" s="27" t="s">
        <v>47</v>
      </c>
      <c r="C489" s="24">
        <f t="shared" si="468"/>
        <v>466</v>
      </c>
      <c r="D489" s="7" t="e">
        <f t="shared" ca="1" si="462"/>
        <v>#N/A</v>
      </c>
      <c r="E489" s="26">
        <f t="array" aca="1" ref="E489" ca="1">AVERAGE(IF(INDIRECT(DatCol&amp;"$"&amp;TEXT(C489,"###")):INDIRECT(DatCol&amp;"$"&amp;TEXT(C489+57,"###"))&gt;0,INDIRECT(DatCol&amp;"$"&amp;TEXT(C489,"###")):INDIRECT(DatCol&amp;"$"&amp;TEXT(C489+57,"###"))))</f>
        <v>2059.090909090909</v>
      </c>
      <c r="F489" s="26" t="str">
        <f t="shared" si="471"/>
        <v>S</v>
      </c>
      <c r="G489" s="8"/>
      <c r="H489" s="8">
        <v>509</v>
      </c>
      <c r="I489" s="8">
        <v>5</v>
      </c>
      <c r="J489" s="8">
        <v>840</v>
      </c>
      <c r="K489" s="9">
        <f t="shared" si="465"/>
        <v>1349</v>
      </c>
      <c r="M489" s="11">
        <f t="shared" si="472"/>
        <v>0</v>
      </c>
      <c r="O489" s="11">
        <f t="shared" si="473"/>
        <v>0</v>
      </c>
      <c r="Q489" s="11">
        <f t="shared" si="474"/>
        <v>0</v>
      </c>
      <c r="X489" s="12">
        <v>5000</v>
      </c>
      <c r="Y489" s="11">
        <f t="shared" si="475"/>
        <v>300000</v>
      </c>
      <c r="AG489" s="11">
        <f t="shared" si="476"/>
        <v>0</v>
      </c>
      <c r="AI489" s="11">
        <f t="shared" si="477"/>
        <v>0</v>
      </c>
      <c r="AK489" s="13">
        <f t="shared" si="478"/>
        <v>0</v>
      </c>
      <c r="AM489" s="13">
        <f t="shared" si="479"/>
        <v>0</v>
      </c>
      <c r="AN489" s="12">
        <v>75</v>
      </c>
      <c r="AO489" s="11">
        <f t="shared" si="480"/>
        <v>6000</v>
      </c>
      <c r="AQ489" s="11">
        <f t="shared" si="481"/>
        <v>0</v>
      </c>
      <c r="AR489" s="12">
        <v>10000</v>
      </c>
      <c r="AS489" s="11">
        <f t="shared" si="482"/>
        <v>500000</v>
      </c>
      <c r="AT489" s="12">
        <v>150</v>
      </c>
      <c r="AU489" s="11">
        <f t="shared" si="483"/>
        <v>7500</v>
      </c>
      <c r="AW489" s="11">
        <f t="shared" si="484"/>
        <v>0</v>
      </c>
      <c r="AY489" s="11">
        <f t="shared" si="485"/>
        <v>0</v>
      </c>
      <c r="AZ489" s="12">
        <v>90</v>
      </c>
      <c r="BA489" s="11">
        <f t="shared" si="486"/>
        <v>3600</v>
      </c>
      <c r="BB489" s="12">
        <v>100</v>
      </c>
      <c r="BC489" s="11">
        <f t="shared" si="487"/>
        <v>4000</v>
      </c>
      <c r="BE489" s="11">
        <f t="shared" si="488"/>
        <v>0</v>
      </c>
      <c r="BG489" s="11">
        <f t="shared" si="489"/>
        <v>0</v>
      </c>
      <c r="BN489" s="8">
        <f t="shared" si="463"/>
        <v>15165</v>
      </c>
      <c r="BO489" s="8">
        <f t="shared" si="464"/>
        <v>809600</v>
      </c>
      <c r="BP489" s="8">
        <f t="shared" si="469"/>
        <v>5250</v>
      </c>
      <c r="BQ489" s="12">
        <f t="shared" si="470"/>
        <v>311500</v>
      </c>
    </row>
    <row r="490" spans="1:69">
      <c r="A490" s="28">
        <v>1979</v>
      </c>
      <c r="B490" s="27" t="s">
        <v>47</v>
      </c>
      <c r="C490" s="24">
        <f t="shared" si="468"/>
        <v>466</v>
      </c>
      <c r="D490" s="7" t="e">
        <f t="shared" ca="1" si="462"/>
        <v>#N/A</v>
      </c>
      <c r="E490" s="26">
        <f t="array" aca="1" ref="E490" ca="1">AVERAGE(IF(INDIRECT(DatCol&amp;"$"&amp;TEXT(C490,"###")):INDIRECT(DatCol&amp;"$"&amp;TEXT(C490+57,"###"))&gt;0,INDIRECT(DatCol&amp;"$"&amp;TEXT(C490,"###")):INDIRECT(DatCol&amp;"$"&amp;TEXT(C490+57,"###"))))</f>
        <v>2059.090909090909</v>
      </c>
      <c r="F490" s="26" t="str">
        <f t="shared" si="471"/>
        <v>S</v>
      </c>
      <c r="G490" s="8"/>
      <c r="H490" s="8">
        <v>243</v>
      </c>
      <c r="I490" s="8">
        <v>6</v>
      </c>
      <c r="J490" s="8">
        <v>1101</v>
      </c>
      <c r="K490" s="9">
        <f t="shared" si="465"/>
        <v>1344</v>
      </c>
      <c r="M490" s="11">
        <f t="shared" si="472"/>
        <v>0</v>
      </c>
      <c r="O490" s="11">
        <f t="shared" si="473"/>
        <v>0</v>
      </c>
      <c r="Q490" s="11">
        <f t="shared" si="474"/>
        <v>0</v>
      </c>
      <c r="X490" s="12">
        <v>5600</v>
      </c>
      <c r="Y490" s="11">
        <f t="shared" si="475"/>
        <v>336000</v>
      </c>
      <c r="AG490" s="11">
        <f t="shared" si="476"/>
        <v>0</v>
      </c>
      <c r="AI490" s="11">
        <f t="shared" si="477"/>
        <v>0</v>
      </c>
      <c r="AK490" s="13">
        <f t="shared" si="478"/>
        <v>0</v>
      </c>
      <c r="AM490" s="13">
        <f t="shared" si="479"/>
        <v>0</v>
      </c>
      <c r="AN490" s="12">
        <v>200</v>
      </c>
      <c r="AO490" s="11">
        <f t="shared" si="480"/>
        <v>16000</v>
      </c>
      <c r="AQ490" s="11">
        <f t="shared" si="481"/>
        <v>0</v>
      </c>
      <c r="AR490" s="12">
        <v>14000</v>
      </c>
      <c r="AS490" s="11">
        <f t="shared" si="482"/>
        <v>700000</v>
      </c>
      <c r="AT490" s="12">
        <v>450</v>
      </c>
      <c r="AU490" s="11">
        <f t="shared" si="483"/>
        <v>22500</v>
      </c>
      <c r="AW490" s="11">
        <f t="shared" si="484"/>
        <v>0</v>
      </c>
      <c r="AY490" s="11">
        <f t="shared" si="485"/>
        <v>0</v>
      </c>
      <c r="BA490" s="11">
        <f t="shared" si="486"/>
        <v>0</v>
      </c>
      <c r="BB490" s="12">
        <v>40</v>
      </c>
      <c r="BC490" s="11">
        <f t="shared" si="487"/>
        <v>1600</v>
      </c>
      <c r="BE490" s="11">
        <f t="shared" si="488"/>
        <v>0</v>
      </c>
      <c r="BG490" s="11">
        <f t="shared" si="489"/>
        <v>0</v>
      </c>
      <c r="BN490" s="8">
        <f t="shared" si="463"/>
        <v>19800</v>
      </c>
      <c r="BO490" s="8">
        <f t="shared" si="464"/>
        <v>1052000</v>
      </c>
      <c r="BP490" s="8">
        <f t="shared" si="469"/>
        <v>6090</v>
      </c>
      <c r="BQ490" s="12">
        <f t="shared" si="470"/>
        <v>360100</v>
      </c>
    </row>
    <row r="491" spans="1:69">
      <c r="A491" s="28">
        <v>1980</v>
      </c>
      <c r="B491" s="27" t="s">
        <v>47</v>
      </c>
      <c r="C491" s="24">
        <f t="shared" si="468"/>
        <v>466</v>
      </c>
      <c r="D491" s="7" t="e">
        <f t="shared" ca="1" si="462"/>
        <v>#N/A</v>
      </c>
      <c r="E491" s="26">
        <f t="array" aca="1" ref="E491" ca="1">AVERAGE(IF(INDIRECT(DatCol&amp;"$"&amp;TEXT(C491,"###")):INDIRECT(DatCol&amp;"$"&amp;TEXT(C491+57,"###"))&gt;0,INDIRECT(DatCol&amp;"$"&amp;TEXT(C491,"###")):INDIRECT(DatCol&amp;"$"&amp;TEXT(C491+57,"###"))))</f>
        <v>2059.090909090909</v>
      </c>
      <c r="F491" s="26" t="str">
        <f t="shared" si="471"/>
        <v>S</v>
      </c>
      <c r="G491" s="8"/>
      <c r="H491" s="8">
        <v>324</v>
      </c>
      <c r="I491" s="8">
        <v>16</v>
      </c>
      <c r="J491" s="8">
        <v>450</v>
      </c>
      <c r="K491" s="9">
        <f t="shared" si="465"/>
        <v>774</v>
      </c>
      <c r="M491" s="11">
        <f t="shared" ref="M491:M508" si="490">(L491*50)</f>
        <v>0</v>
      </c>
      <c r="O491" s="11">
        <f t="shared" ref="O491:O508" si="491">(N491*50)</f>
        <v>0</v>
      </c>
      <c r="Q491" s="11">
        <f t="shared" ref="Q491:Q508" si="492">((P491*330)/5.5)</f>
        <v>0</v>
      </c>
      <c r="Y491" s="11">
        <f t="shared" ref="Y491:Y508" si="493">((X491*330)/5.5)</f>
        <v>0</v>
      </c>
      <c r="AG491" s="11">
        <f t="shared" ref="AG491:AG508" si="494">(AF491*65)</f>
        <v>0</v>
      </c>
      <c r="AI491" s="11">
        <f t="shared" ref="AI491:AI508" si="495">(AH491*65)</f>
        <v>0</v>
      </c>
      <c r="AK491" s="13">
        <f t="shared" ref="AK491:AK508" si="496">(AJ491*9)</f>
        <v>0</v>
      </c>
      <c r="AM491" s="13">
        <f t="shared" ref="AM491:AM508" si="497">(AL491*9)</f>
        <v>0</v>
      </c>
      <c r="AO491" s="11">
        <f t="shared" ref="AO491:AO508" si="498">(AN491*80)</f>
        <v>0</v>
      </c>
      <c r="AQ491" s="11">
        <f t="shared" ref="AQ491:AQ508" si="499">(AP491*80)</f>
        <v>0</v>
      </c>
      <c r="AR491" s="12">
        <v>23129</v>
      </c>
      <c r="AS491" s="11">
        <f t="shared" ref="AS491:AS508" si="500">(AR491*50)</f>
        <v>1156450</v>
      </c>
      <c r="AU491" s="11">
        <f t="shared" ref="AU491:AU508" si="501">(AT491*50)</f>
        <v>0</v>
      </c>
      <c r="AW491" s="11">
        <f t="shared" ref="AW491:AW508" si="502">(AV491*60)</f>
        <v>0</v>
      </c>
      <c r="AY491" s="11">
        <f t="shared" ref="AY491:AY508" si="503">(AX491*60)</f>
        <v>0</v>
      </c>
      <c r="AZ491" s="12">
        <v>41</v>
      </c>
      <c r="BA491" s="11">
        <f t="shared" ref="BA491:BA508" si="504">(AZ491*40)</f>
        <v>1640</v>
      </c>
      <c r="BC491" s="11">
        <f t="shared" ref="BC491:BC508" si="505">(BB491*40)</f>
        <v>0</v>
      </c>
      <c r="BE491" s="11">
        <f t="shared" ref="BE491:BE508" si="506">(BD491*95)</f>
        <v>0</v>
      </c>
      <c r="BG491" s="11">
        <f t="shared" ref="BG491:BG508" si="507">(BF491*95)</f>
        <v>0</v>
      </c>
      <c r="BN491" s="8">
        <f t="shared" si="463"/>
        <v>23170</v>
      </c>
      <c r="BO491" s="8">
        <f t="shared" si="464"/>
        <v>1158090</v>
      </c>
      <c r="BP491" s="8">
        <f t="shared" si="469"/>
        <v>0</v>
      </c>
      <c r="BQ491" s="12">
        <f t="shared" si="470"/>
        <v>0</v>
      </c>
    </row>
    <row r="492" spans="1:69">
      <c r="A492" s="28">
        <v>1981</v>
      </c>
      <c r="B492" s="27" t="s">
        <v>47</v>
      </c>
      <c r="C492" s="24">
        <f t="shared" si="468"/>
        <v>466</v>
      </c>
      <c r="D492" s="7" t="e">
        <f t="shared" ca="1" si="462"/>
        <v>#N/A</v>
      </c>
      <c r="E492" s="26">
        <f t="array" aca="1" ref="E492" ca="1">AVERAGE(IF(INDIRECT(DatCol&amp;"$"&amp;TEXT(C492,"###")):INDIRECT(DatCol&amp;"$"&amp;TEXT(C492+57,"###"))&gt;0,INDIRECT(DatCol&amp;"$"&amp;TEXT(C492,"###")):INDIRECT(DatCol&amp;"$"&amp;TEXT(C492+57,"###"))))</f>
        <v>2059.090909090909</v>
      </c>
      <c r="F492" s="26" t="str">
        <f t="shared" si="471"/>
        <v>S</v>
      </c>
      <c r="G492" s="8"/>
      <c r="H492" s="8">
        <v>293</v>
      </c>
      <c r="I492" s="8">
        <v>10</v>
      </c>
      <c r="J492" s="8">
        <v>847</v>
      </c>
      <c r="K492" s="9">
        <f t="shared" si="465"/>
        <v>1140</v>
      </c>
      <c r="M492" s="11">
        <f t="shared" si="490"/>
        <v>0</v>
      </c>
      <c r="N492" s="12">
        <v>693</v>
      </c>
      <c r="O492" s="11">
        <f t="shared" si="491"/>
        <v>34650</v>
      </c>
      <c r="Q492" s="11">
        <f t="shared" si="492"/>
        <v>0</v>
      </c>
      <c r="X492" s="12">
        <v>2701</v>
      </c>
      <c r="Y492" s="11">
        <f t="shared" si="493"/>
        <v>162060</v>
      </c>
      <c r="AG492" s="11">
        <f t="shared" si="494"/>
        <v>0</v>
      </c>
      <c r="AI492" s="11">
        <f t="shared" si="495"/>
        <v>0</v>
      </c>
      <c r="AK492" s="13">
        <f t="shared" si="496"/>
        <v>0</v>
      </c>
      <c r="AM492" s="13">
        <f t="shared" si="497"/>
        <v>0</v>
      </c>
      <c r="AN492" s="12">
        <v>20</v>
      </c>
      <c r="AO492" s="11">
        <f t="shared" si="498"/>
        <v>1600</v>
      </c>
      <c r="AQ492" s="11">
        <f t="shared" si="499"/>
        <v>0</v>
      </c>
      <c r="AR492" s="12">
        <v>20761</v>
      </c>
      <c r="AS492" s="11">
        <f t="shared" si="500"/>
        <v>1038050</v>
      </c>
      <c r="AT492" s="12">
        <v>50</v>
      </c>
      <c r="AU492" s="11">
        <f t="shared" si="501"/>
        <v>2500</v>
      </c>
      <c r="AW492" s="11">
        <f t="shared" si="502"/>
        <v>0</v>
      </c>
      <c r="AY492" s="11">
        <f t="shared" si="503"/>
        <v>0</v>
      </c>
      <c r="AZ492" s="12">
        <v>22</v>
      </c>
      <c r="BA492" s="11">
        <f t="shared" si="504"/>
        <v>880</v>
      </c>
      <c r="BB492" s="12">
        <v>97</v>
      </c>
      <c r="BC492" s="11">
        <f t="shared" si="505"/>
        <v>3880</v>
      </c>
      <c r="BE492" s="11">
        <f t="shared" si="506"/>
        <v>0</v>
      </c>
      <c r="BG492" s="11">
        <f t="shared" si="507"/>
        <v>0</v>
      </c>
      <c r="BN492" s="8">
        <f t="shared" si="463"/>
        <v>23504</v>
      </c>
      <c r="BO492" s="8">
        <f t="shared" si="464"/>
        <v>1202590</v>
      </c>
      <c r="BP492" s="8">
        <f t="shared" si="469"/>
        <v>3541</v>
      </c>
      <c r="BQ492" s="12">
        <f t="shared" si="470"/>
        <v>203090</v>
      </c>
    </row>
    <row r="493" spans="1:69">
      <c r="A493" s="28">
        <v>1982</v>
      </c>
      <c r="B493" s="27" t="s">
        <v>47</v>
      </c>
      <c r="C493" s="24">
        <f t="shared" si="468"/>
        <v>466</v>
      </c>
      <c r="D493" s="7" t="e">
        <f t="shared" ca="1" si="462"/>
        <v>#N/A</v>
      </c>
      <c r="E493" s="26">
        <f t="array" aca="1" ref="E493" ca="1">AVERAGE(IF(INDIRECT(DatCol&amp;"$"&amp;TEXT(C493,"###")):INDIRECT(DatCol&amp;"$"&amp;TEXT(C493+57,"###"))&gt;0,INDIRECT(DatCol&amp;"$"&amp;TEXT(C493,"###")):INDIRECT(DatCol&amp;"$"&amp;TEXT(C493+57,"###"))))</f>
        <v>2059.090909090909</v>
      </c>
      <c r="F493" s="26" t="str">
        <f t="shared" si="471"/>
        <v>S</v>
      </c>
      <c r="G493" s="8"/>
      <c r="H493" s="8">
        <v>299</v>
      </c>
      <c r="I493" s="8">
        <v>15</v>
      </c>
      <c r="J493" s="8">
        <v>671</v>
      </c>
      <c r="K493" s="9">
        <f t="shared" si="465"/>
        <v>970</v>
      </c>
      <c r="M493" s="11">
        <f t="shared" si="490"/>
        <v>0</v>
      </c>
      <c r="N493" s="12">
        <v>262</v>
      </c>
      <c r="O493" s="11">
        <f t="shared" si="491"/>
        <v>13100</v>
      </c>
      <c r="Q493" s="11">
        <f t="shared" si="492"/>
        <v>0</v>
      </c>
      <c r="X493" s="12">
        <v>600</v>
      </c>
      <c r="Y493" s="11">
        <f t="shared" si="493"/>
        <v>36000</v>
      </c>
      <c r="AG493" s="11">
        <f t="shared" si="494"/>
        <v>0</v>
      </c>
      <c r="AI493" s="11">
        <f t="shared" si="495"/>
        <v>0</v>
      </c>
      <c r="AK493" s="13">
        <f t="shared" si="496"/>
        <v>0</v>
      </c>
      <c r="AM493" s="13">
        <f t="shared" si="497"/>
        <v>0</v>
      </c>
      <c r="AN493" s="12">
        <v>40</v>
      </c>
      <c r="AO493" s="11">
        <f t="shared" si="498"/>
        <v>3200</v>
      </c>
      <c r="AQ493" s="11">
        <f t="shared" si="499"/>
        <v>0</v>
      </c>
      <c r="AR493" s="12">
        <v>13334</v>
      </c>
      <c r="AS493" s="11">
        <f t="shared" si="500"/>
        <v>666700</v>
      </c>
      <c r="AT493" s="12">
        <v>40</v>
      </c>
      <c r="AU493" s="11">
        <f t="shared" si="501"/>
        <v>2000</v>
      </c>
      <c r="AW493" s="11">
        <f t="shared" si="502"/>
        <v>0</v>
      </c>
      <c r="AY493" s="11">
        <f t="shared" si="503"/>
        <v>0</v>
      </c>
      <c r="AZ493" s="12">
        <v>40</v>
      </c>
      <c r="BA493" s="11">
        <f t="shared" si="504"/>
        <v>1600</v>
      </c>
      <c r="BB493" s="12">
        <v>116</v>
      </c>
      <c r="BC493" s="11">
        <f t="shared" si="505"/>
        <v>4640</v>
      </c>
      <c r="BE493" s="11">
        <f t="shared" si="506"/>
        <v>0</v>
      </c>
      <c r="BG493" s="11">
        <f t="shared" si="507"/>
        <v>0</v>
      </c>
      <c r="BN493" s="8">
        <f t="shared" si="463"/>
        <v>14014</v>
      </c>
      <c r="BO493" s="8">
        <f t="shared" si="464"/>
        <v>707500</v>
      </c>
      <c r="BP493" s="8">
        <f t="shared" si="469"/>
        <v>1018</v>
      </c>
      <c r="BQ493" s="12">
        <f t="shared" si="470"/>
        <v>55740</v>
      </c>
    </row>
    <row r="494" spans="1:69">
      <c r="A494" s="28">
        <v>1983</v>
      </c>
      <c r="B494" s="27" t="s">
        <v>47</v>
      </c>
      <c r="C494" s="24">
        <f t="shared" si="468"/>
        <v>466</v>
      </c>
      <c r="D494" s="7" t="e">
        <f t="shared" ca="1" si="462"/>
        <v>#N/A</v>
      </c>
      <c r="E494" s="26">
        <f t="array" aca="1" ref="E494" ca="1">AVERAGE(IF(INDIRECT(DatCol&amp;"$"&amp;TEXT(C494,"###")):INDIRECT(DatCol&amp;"$"&amp;TEXT(C494+57,"###"))&gt;0,INDIRECT(DatCol&amp;"$"&amp;TEXT(C494,"###")):INDIRECT(DatCol&amp;"$"&amp;TEXT(C494+57,"###"))))</f>
        <v>2059.090909090909</v>
      </c>
      <c r="F494" s="26" t="str">
        <f t="shared" si="471"/>
        <v>S</v>
      </c>
      <c r="G494" s="8"/>
      <c r="I494" s="8">
        <v>13</v>
      </c>
      <c r="K494" s="9">
        <f t="shared" si="465"/>
        <v>0</v>
      </c>
      <c r="M494" s="11">
        <f t="shared" si="490"/>
        <v>0</v>
      </c>
      <c r="N494" s="12">
        <v>300</v>
      </c>
      <c r="O494" s="11">
        <f t="shared" si="491"/>
        <v>15000</v>
      </c>
      <c r="Q494" s="11">
        <f t="shared" si="492"/>
        <v>0</v>
      </c>
      <c r="X494" s="12">
        <v>1000</v>
      </c>
      <c r="Y494" s="11">
        <f t="shared" si="493"/>
        <v>60000</v>
      </c>
      <c r="AG494" s="11">
        <f t="shared" si="494"/>
        <v>0</v>
      </c>
      <c r="AI494" s="11">
        <f t="shared" si="495"/>
        <v>0</v>
      </c>
      <c r="AK494" s="13">
        <f t="shared" si="496"/>
        <v>0</v>
      </c>
      <c r="AM494" s="13">
        <f t="shared" si="497"/>
        <v>0</v>
      </c>
      <c r="AN494" s="12">
        <v>75</v>
      </c>
      <c r="AO494" s="11">
        <f t="shared" si="498"/>
        <v>6000</v>
      </c>
      <c r="AQ494" s="11">
        <f t="shared" si="499"/>
        <v>0</v>
      </c>
      <c r="AR494" s="12">
        <v>15752</v>
      </c>
      <c r="AS494" s="11">
        <f t="shared" si="500"/>
        <v>787600</v>
      </c>
      <c r="AT494" s="12">
        <v>75</v>
      </c>
      <c r="AU494" s="11">
        <f t="shared" si="501"/>
        <v>3750</v>
      </c>
      <c r="AW494" s="11">
        <f t="shared" si="502"/>
        <v>0</v>
      </c>
      <c r="AY494" s="11">
        <f t="shared" si="503"/>
        <v>0</v>
      </c>
      <c r="AZ494" s="12">
        <v>75</v>
      </c>
      <c r="BA494" s="11">
        <f t="shared" si="504"/>
        <v>3000</v>
      </c>
      <c r="BB494" s="12">
        <v>100</v>
      </c>
      <c r="BC494" s="11">
        <f t="shared" si="505"/>
        <v>4000</v>
      </c>
      <c r="BE494" s="11">
        <f t="shared" si="506"/>
        <v>0</v>
      </c>
      <c r="BG494" s="11">
        <f t="shared" si="507"/>
        <v>0</v>
      </c>
      <c r="BN494" s="8">
        <f t="shared" si="463"/>
        <v>16902</v>
      </c>
      <c r="BO494" s="8">
        <f t="shared" si="464"/>
        <v>856600</v>
      </c>
      <c r="BP494" s="8">
        <f t="shared" si="469"/>
        <v>1475</v>
      </c>
      <c r="BQ494" s="12">
        <f t="shared" si="470"/>
        <v>82750</v>
      </c>
    </row>
    <row r="495" spans="1:69">
      <c r="A495" s="28">
        <v>1984</v>
      </c>
      <c r="B495" s="27" t="s">
        <v>47</v>
      </c>
      <c r="C495" s="24">
        <f t="shared" si="468"/>
        <v>466</v>
      </c>
      <c r="D495" s="7" t="e">
        <f t="shared" ca="1" si="462"/>
        <v>#N/A</v>
      </c>
      <c r="E495" s="26">
        <f t="array" aca="1" ref="E495" ca="1">AVERAGE(IF(INDIRECT(DatCol&amp;"$"&amp;TEXT(C495,"###")):INDIRECT(DatCol&amp;"$"&amp;TEXT(C495+57,"###"))&gt;0,INDIRECT(DatCol&amp;"$"&amp;TEXT(C495,"###")):INDIRECT(DatCol&amp;"$"&amp;TEXT(C495+57,"###"))))</f>
        <v>2059.090909090909</v>
      </c>
      <c r="F495" s="26" t="str">
        <f t="shared" si="471"/>
        <v>S</v>
      </c>
      <c r="G495" s="8"/>
      <c r="I495" s="8">
        <v>15</v>
      </c>
      <c r="K495" s="9">
        <f t="shared" si="465"/>
        <v>0</v>
      </c>
      <c r="M495" s="11">
        <f t="shared" si="490"/>
        <v>0</v>
      </c>
      <c r="N495" s="12">
        <v>278</v>
      </c>
      <c r="O495" s="11">
        <f t="shared" si="491"/>
        <v>13900</v>
      </c>
      <c r="Q495" s="11">
        <f t="shared" si="492"/>
        <v>0</v>
      </c>
      <c r="X495" s="12">
        <v>1063</v>
      </c>
      <c r="Y495" s="11">
        <f t="shared" si="493"/>
        <v>63780</v>
      </c>
      <c r="AG495" s="11">
        <f t="shared" si="494"/>
        <v>0</v>
      </c>
      <c r="AI495" s="11">
        <f t="shared" si="495"/>
        <v>0</v>
      </c>
      <c r="AK495" s="13">
        <f t="shared" si="496"/>
        <v>0</v>
      </c>
      <c r="AM495" s="13">
        <f t="shared" si="497"/>
        <v>0</v>
      </c>
      <c r="AO495" s="11">
        <f t="shared" si="498"/>
        <v>0</v>
      </c>
      <c r="AQ495" s="11">
        <f t="shared" si="499"/>
        <v>0</v>
      </c>
      <c r="AR495" s="12">
        <v>37037</v>
      </c>
      <c r="AS495" s="11">
        <f t="shared" si="500"/>
        <v>1851850</v>
      </c>
      <c r="AT495" s="12">
        <v>104</v>
      </c>
      <c r="AU495" s="11">
        <f t="shared" si="501"/>
        <v>5200</v>
      </c>
      <c r="AW495" s="11">
        <f t="shared" si="502"/>
        <v>0</v>
      </c>
      <c r="AY495" s="11">
        <f t="shared" si="503"/>
        <v>0</v>
      </c>
      <c r="AZ495" s="12">
        <v>82</v>
      </c>
      <c r="BA495" s="11">
        <f t="shared" si="504"/>
        <v>3280</v>
      </c>
      <c r="BB495" s="12">
        <v>173</v>
      </c>
      <c r="BC495" s="11">
        <f t="shared" si="505"/>
        <v>6920</v>
      </c>
      <c r="BE495" s="11">
        <f t="shared" si="506"/>
        <v>0</v>
      </c>
      <c r="BG495" s="11">
        <f t="shared" si="507"/>
        <v>0</v>
      </c>
      <c r="BN495" s="8">
        <f t="shared" si="463"/>
        <v>38182</v>
      </c>
      <c r="BO495" s="8">
        <f t="shared" si="464"/>
        <v>1918910</v>
      </c>
      <c r="BP495" s="8">
        <f t="shared" si="469"/>
        <v>1618</v>
      </c>
      <c r="BQ495" s="12">
        <f t="shared" si="470"/>
        <v>89800</v>
      </c>
    </row>
    <row r="496" spans="1:69">
      <c r="A496" s="28">
        <v>1985</v>
      </c>
      <c r="B496" s="27" t="s">
        <v>47</v>
      </c>
      <c r="C496" s="24">
        <f t="shared" si="468"/>
        <v>466</v>
      </c>
      <c r="D496" s="7" t="e">
        <f t="shared" ca="1" si="462"/>
        <v>#N/A</v>
      </c>
      <c r="E496" s="26">
        <f t="array" aca="1" ref="E496" ca="1">AVERAGE(IF(INDIRECT(DatCol&amp;"$"&amp;TEXT(C496,"###")):INDIRECT(DatCol&amp;"$"&amp;TEXT(C496+57,"###"))&gt;0,INDIRECT(DatCol&amp;"$"&amp;TEXT(C496,"###")):INDIRECT(DatCol&amp;"$"&amp;TEXT(C496+57,"###"))))</f>
        <v>2059.090909090909</v>
      </c>
      <c r="F496" s="26" t="str">
        <f t="shared" si="471"/>
        <v>S</v>
      </c>
      <c r="G496" s="8"/>
      <c r="H496" s="8">
        <v>330</v>
      </c>
      <c r="I496" s="8">
        <v>20</v>
      </c>
      <c r="J496" s="8">
        <v>612</v>
      </c>
      <c r="K496" s="9">
        <f t="shared" si="465"/>
        <v>942</v>
      </c>
      <c r="M496" s="11">
        <f t="shared" si="490"/>
        <v>0</v>
      </c>
      <c r="N496" s="12">
        <v>535</v>
      </c>
      <c r="O496" s="11">
        <f t="shared" si="491"/>
        <v>26750</v>
      </c>
      <c r="Q496" s="11">
        <f t="shared" si="492"/>
        <v>0</v>
      </c>
      <c r="X496" s="12">
        <v>1262</v>
      </c>
      <c r="Y496" s="11">
        <f t="shared" si="493"/>
        <v>75720</v>
      </c>
      <c r="AG496" s="11">
        <f t="shared" si="494"/>
        <v>0</v>
      </c>
      <c r="AH496" s="12">
        <v>24</v>
      </c>
      <c r="AI496" s="11">
        <f t="shared" si="495"/>
        <v>1560</v>
      </c>
      <c r="AK496" s="13">
        <f t="shared" si="496"/>
        <v>0</v>
      </c>
      <c r="AM496" s="13">
        <f t="shared" si="497"/>
        <v>0</v>
      </c>
      <c r="AO496" s="11">
        <f t="shared" si="498"/>
        <v>0</v>
      </c>
      <c r="AQ496" s="11">
        <f t="shared" si="499"/>
        <v>0</v>
      </c>
      <c r="AR496" s="12">
        <v>28452</v>
      </c>
      <c r="AS496" s="11">
        <f t="shared" si="500"/>
        <v>1422600</v>
      </c>
      <c r="AT496" s="12">
        <v>68</v>
      </c>
      <c r="AU496" s="11">
        <f t="shared" si="501"/>
        <v>3400</v>
      </c>
      <c r="AW496" s="11">
        <f t="shared" si="502"/>
        <v>0</v>
      </c>
      <c r="AY496" s="11">
        <f t="shared" si="503"/>
        <v>0</v>
      </c>
      <c r="AZ496" s="12">
        <v>82</v>
      </c>
      <c r="BA496" s="11">
        <f t="shared" si="504"/>
        <v>3280</v>
      </c>
      <c r="BB496" s="12">
        <v>135</v>
      </c>
      <c r="BC496" s="11">
        <f t="shared" si="505"/>
        <v>5400</v>
      </c>
      <c r="BE496" s="11">
        <f t="shared" si="506"/>
        <v>0</v>
      </c>
      <c r="BG496" s="11">
        <f t="shared" si="507"/>
        <v>0</v>
      </c>
      <c r="BN496" s="8">
        <f t="shared" si="463"/>
        <v>29796</v>
      </c>
      <c r="BO496" s="8">
        <f t="shared" si="464"/>
        <v>1501600</v>
      </c>
      <c r="BP496" s="8">
        <f t="shared" si="469"/>
        <v>2024</v>
      </c>
      <c r="BQ496" s="12">
        <f t="shared" si="470"/>
        <v>112830</v>
      </c>
    </row>
    <row r="497" spans="1:69">
      <c r="A497" s="28">
        <v>1986</v>
      </c>
      <c r="B497" s="27" t="s">
        <v>47</v>
      </c>
      <c r="C497" s="24">
        <f t="shared" si="468"/>
        <v>466</v>
      </c>
      <c r="D497" s="7" t="e">
        <f t="shared" ca="1" si="462"/>
        <v>#N/A</v>
      </c>
      <c r="E497" s="26">
        <f t="array" aca="1" ref="E497" ca="1">AVERAGE(IF(INDIRECT(DatCol&amp;"$"&amp;TEXT(C497,"###")):INDIRECT(DatCol&amp;"$"&amp;TEXT(C497+57,"###"))&gt;0,INDIRECT(DatCol&amp;"$"&amp;TEXT(C497,"###")):INDIRECT(DatCol&amp;"$"&amp;TEXT(C497+57,"###"))))</f>
        <v>2059.090909090909</v>
      </c>
      <c r="F497" s="26" t="str">
        <f t="shared" si="471"/>
        <v>S</v>
      </c>
      <c r="G497" s="8"/>
      <c r="H497" s="8">
        <v>586</v>
      </c>
      <c r="I497" s="8">
        <v>20</v>
      </c>
      <c r="J497" s="8">
        <v>556</v>
      </c>
      <c r="K497" s="9">
        <f t="shared" si="465"/>
        <v>1142</v>
      </c>
      <c r="M497" s="11">
        <f t="shared" si="490"/>
        <v>0</v>
      </c>
      <c r="N497" s="12">
        <v>505</v>
      </c>
      <c r="O497" s="11">
        <f t="shared" si="491"/>
        <v>25250</v>
      </c>
      <c r="P497" s="12">
        <v>38</v>
      </c>
      <c r="Q497" s="11">
        <f t="shared" si="492"/>
        <v>2280</v>
      </c>
      <c r="X497" s="12">
        <v>1280</v>
      </c>
      <c r="Y497" s="11">
        <f t="shared" si="493"/>
        <v>76800</v>
      </c>
      <c r="AG497" s="11">
        <f t="shared" si="494"/>
        <v>0</v>
      </c>
      <c r="AH497" s="12">
        <v>90</v>
      </c>
      <c r="AI497" s="11">
        <f t="shared" si="495"/>
        <v>5850</v>
      </c>
      <c r="AK497" s="13">
        <f t="shared" si="496"/>
        <v>0</v>
      </c>
      <c r="AM497" s="13">
        <f t="shared" si="497"/>
        <v>0</v>
      </c>
      <c r="AN497" s="12">
        <v>200</v>
      </c>
      <c r="AO497" s="11">
        <f t="shared" si="498"/>
        <v>16000</v>
      </c>
      <c r="AQ497" s="11">
        <f t="shared" si="499"/>
        <v>0</v>
      </c>
      <c r="AR497" s="12">
        <v>7212.5</v>
      </c>
      <c r="AS497" s="11">
        <f t="shared" si="500"/>
        <v>360625</v>
      </c>
      <c r="AT497" s="12">
        <v>67</v>
      </c>
      <c r="AU497" s="11">
        <f t="shared" si="501"/>
        <v>3350</v>
      </c>
      <c r="AW497" s="11">
        <f t="shared" si="502"/>
        <v>0</v>
      </c>
      <c r="AY497" s="11">
        <f t="shared" si="503"/>
        <v>0</v>
      </c>
      <c r="AZ497" s="12">
        <v>55</v>
      </c>
      <c r="BA497" s="11">
        <f t="shared" si="504"/>
        <v>2200</v>
      </c>
      <c r="BB497" s="12">
        <v>135</v>
      </c>
      <c r="BC497" s="11">
        <f t="shared" si="505"/>
        <v>5400</v>
      </c>
      <c r="BE497" s="11">
        <f t="shared" si="506"/>
        <v>0</v>
      </c>
      <c r="BG497" s="11">
        <f t="shared" si="507"/>
        <v>0</v>
      </c>
      <c r="BN497" s="8">
        <f t="shared" si="463"/>
        <v>8785.5</v>
      </c>
      <c r="BO497" s="8">
        <f t="shared" si="464"/>
        <v>457905</v>
      </c>
      <c r="BP497" s="8">
        <f t="shared" si="469"/>
        <v>2077</v>
      </c>
      <c r="BQ497" s="12">
        <f t="shared" si="470"/>
        <v>116650</v>
      </c>
    </row>
    <row r="498" spans="1:69">
      <c r="A498" s="28">
        <v>1987</v>
      </c>
      <c r="B498" s="27" t="s">
        <v>47</v>
      </c>
      <c r="C498" s="24">
        <f t="shared" si="468"/>
        <v>466</v>
      </c>
      <c r="D498" s="7" t="e">
        <f t="shared" ca="1" si="462"/>
        <v>#N/A</v>
      </c>
      <c r="E498" s="26">
        <f t="array" aca="1" ref="E498" ca="1">AVERAGE(IF(INDIRECT(DatCol&amp;"$"&amp;TEXT(C498,"###")):INDIRECT(DatCol&amp;"$"&amp;TEXT(C498+57,"###"))&gt;0,INDIRECT(DatCol&amp;"$"&amp;TEXT(C498,"###")):INDIRECT(DatCol&amp;"$"&amp;TEXT(C498+57,"###"))))</f>
        <v>2059.090909090909</v>
      </c>
      <c r="F498" s="26" t="str">
        <f t="shared" si="471"/>
        <v>S</v>
      </c>
      <c r="G498" s="8"/>
      <c r="H498" s="8">
        <v>477</v>
      </c>
      <c r="I498" s="8">
        <v>23</v>
      </c>
      <c r="J498" s="8">
        <v>668</v>
      </c>
      <c r="K498" s="9">
        <f t="shared" si="465"/>
        <v>1145</v>
      </c>
      <c r="M498" s="11">
        <f t="shared" si="490"/>
        <v>0</v>
      </c>
      <c r="N498" s="12">
        <v>530</v>
      </c>
      <c r="O498" s="11">
        <f t="shared" si="491"/>
        <v>26500</v>
      </c>
      <c r="P498" s="12">
        <v>70.5</v>
      </c>
      <c r="Q498" s="11">
        <f t="shared" si="492"/>
        <v>4230</v>
      </c>
      <c r="X498" s="12">
        <f>1560+312</f>
        <v>1872</v>
      </c>
      <c r="Y498" s="11">
        <f t="shared" si="493"/>
        <v>112320</v>
      </c>
      <c r="AG498" s="11">
        <f t="shared" si="494"/>
        <v>0</v>
      </c>
      <c r="AH498" s="12">
        <v>119</v>
      </c>
      <c r="AI498" s="11">
        <f t="shared" si="495"/>
        <v>7735</v>
      </c>
      <c r="AK498" s="13">
        <f t="shared" si="496"/>
        <v>0</v>
      </c>
      <c r="AM498" s="13">
        <f t="shared" si="497"/>
        <v>0</v>
      </c>
      <c r="AO498" s="11">
        <f t="shared" si="498"/>
        <v>0</v>
      </c>
      <c r="AP498" s="12">
        <v>104</v>
      </c>
      <c r="AQ498" s="11">
        <f t="shared" si="499"/>
        <v>8320</v>
      </c>
      <c r="AR498" s="12">
        <v>143</v>
      </c>
      <c r="AS498" s="11">
        <f t="shared" si="500"/>
        <v>7150</v>
      </c>
      <c r="AU498" s="11">
        <f t="shared" si="501"/>
        <v>0</v>
      </c>
      <c r="AW498" s="11">
        <f t="shared" si="502"/>
        <v>0</v>
      </c>
      <c r="AY498" s="11">
        <f t="shared" si="503"/>
        <v>0</v>
      </c>
      <c r="AZ498" s="12">
        <v>165</v>
      </c>
      <c r="BA498" s="11">
        <f t="shared" si="504"/>
        <v>6600</v>
      </c>
      <c r="BB498" s="12">
        <v>104</v>
      </c>
      <c r="BC498" s="11">
        <f t="shared" si="505"/>
        <v>4160</v>
      </c>
      <c r="BE498" s="11">
        <f t="shared" si="506"/>
        <v>0</v>
      </c>
      <c r="BG498" s="11">
        <f t="shared" si="507"/>
        <v>0</v>
      </c>
      <c r="BH498" s="13" t="s">
        <v>48</v>
      </c>
      <c r="BN498" s="8">
        <f t="shared" si="463"/>
        <v>2250.5</v>
      </c>
      <c r="BO498" s="8">
        <f t="shared" si="464"/>
        <v>130300</v>
      </c>
      <c r="BP498" s="8">
        <f t="shared" si="469"/>
        <v>2729</v>
      </c>
      <c r="BQ498" s="12">
        <f t="shared" si="470"/>
        <v>159035</v>
      </c>
    </row>
    <row r="499" spans="1:69">
      <c r="A499" s="28">
        <v>1988</v>
      </c>
      <c r="B499" s="27" t="s">
        <v>47</v>
      </c>
      <c r="C499" s="24">
        <f t="shared" si="468"/>
        <v>466</v>
      </c>
      <c r="D499" s="7" t="e">
        <f t="shared" ca="1" si="462"/>
        <v>#N/A</v>
      </c>
      <c r="E499" s="26">
        <f t="array" aca="1" ref="E499" ca="1">AVERAGE(IF(INDIRECT(DatCol&amp;"$"&amp;TEXT(C499,"###")):INDIRECT(DatCol&amp;"$"&amp;TEXT(C499+57,"###"))&gt;0,INDIRECT(DatCol&amp;"$"&amp;TEXT(C499,"###")):INDIRECT(DatCol&amp;"$"&amp;TEXT(C499+57,"###"))))</f>
        <v>2059.090909090909</v>
      </c>
      <c r="F499" s="26" t="str">
        <f t="shared" si="471"/>
        <v>S</v>
      </c>
      <c r="G499" s="8">
        <v>108</v>
      </c>
      <c r="H499" s="8">
        <v>512</v>
      </c>
      <c r="I499" s="8">
        <v>27</v>
      </c>
      <c r="J499" s="8">
        <v>473</v>
      </c>
      <c r="K499" s="9">
        <f t="shared" si="465"/>
        <v>1093</v>
      </c>
      <c r="L499" s="12">
        <v>7</v>
      </c>
      <c r="M499" s="11">
        <f t="shared" si="490"/>
        <v>350</v>
      </c>
      <c r="N499" s="12">
        <v>558</v>
      </c>
      <c r="O499" s="11">
        <f t="shared" si="491"/>
        <v>27900</v>
      </c>
      <c r="P499" s="12">
        <v>40</v>
      </c>
      <c r="Q499" s="11">
        <f t="shared" si="492"/>
        <v>2400</v>
      </c>
      <c r="X499" s="12">
        <v>1882</v>
      </c>
      <c r="Y499" s="11">
        <f t="shared" si="493"/>
        <v>112920</v>
      </c>
      <c r="AG499" s="11">
        <f t="shared" si="494"/>
        <v>0</v>
      </c>
      <c r="AH499" s="12">
        <v>49</v>
      </c>
      <c r="AI499" s="11">
        <f t="shared" si="495"/>
        <v>3185</v>
      </c>
      <c r="AJ499" s="12">
        <v>23</v>
      </c>
      <c r="AK499" s="13">
        <f t="shared" si="496"/>
        <v>207</v>
      </c>
      <c r="AM499" s="13">
        <f t="shared" si="497"/>
        <v>0</v>
      </c>
      <c r="AO499" s="11">
        <f t="shared" si="498"/>
        <v>0</v>
      </c>
      <c r="AP499" s="12">
        <v>90</v>
      </c>
      <c r="AQ499" s="11">
        <f t="shared" si="499"/>
        <v>7200</v>
      </c>
      <c r="AR499" s="12">
        <v>23</v>
      </c>
      <c r="AS499" s="11">
        <f t="shared" si="500"/>
        <v>1150</v>
      </c>
      <c r="AU499" s="11">
        <f t="shared" si="501"/>
        <v>0</v>
      </c>
      <c r="AW499" s="11">
        <f t="shared" si="502"/>
        <v>0</v>
      </c>
      <c r="AY499" s="11">
        <f t="shared" si="503"/>
        <v>0</v>
      </c>
      <c r="AZ499" s="12">
        <v>659</v>
      </c>
      <c r="BA499" s="11">
        <f t="shared" si="504"/>
        <v>26360</v>
      </c>
      <c r="BB499" s="12">
        <v>120</v>
      </c>
      <c r="BC499" s="11">
        <f t="shared" si="505"/>
        <v>4800</v>
      </c>
      <c r="BE499" s="11">
        <f t="shared" si="506"/>
        <v>0</v>
      </c>
      <c r="BG499" s="11">
        <f t="shared" si="507"/>
        <v>0</v>
      </c>
      <c r="BN499" s="8">
        <f t="shared" si="463"/>
        <v>2634</v>
      </c>
      <c r="BO499" s="8">
        <f t="shared" si="464"/>
        <v>143387</v>
      </c>
      <c r="BP499" s="8">
        <f t="shared" si="469"/>
        <v>2699</v>
      </c>
      <c r="BQ499" s="12">
        <f t="shared" si="470"/>
        <v>156005</v>
      </c>
    </row>
    <row r="500" spans="1:69">
      <c r="A500" s="28">
        <v>1989</v>
      </c>
      <c r="B500" s="27" t="s">
        <v>47</v>
      </c>
      <c r="C500" s="24">
        <f t="shared" si="468"/>
        <v>466</v>
      </c>
      <c r="D500" s="7" t="e">
        <f t="shared" ca="1" si="462"/>
        <v>#N/A</v>
      </c>
      <c r="E500" s="26">
        <f t="array" aca="1" ref="E500" ca="1">AVERAGE(IF(INDIRECT(DatCol&amp;"$"&amp;TEXT(C500,"###")):INDIRECT(DatCol&amp;"$"&amp;TEXT(C500+57,"###"))&gt;0,INDIRECT(DatCol&amp;"$"&amp;TEXT(C500,"###")):INDIRECT(DatCol&amp;"$"&amp;TEXT(C500+57,"###"))))</f>
        <v>2059.090909090909</v>
      </c>
      <c r="F500" s="26" t="str">
        <f t="shared" si="471"/>
        <v>S</v>
      </c>
      <c r="G500" s="8"/>
      <c r="H500" s="8">
        <v>0</v>
      </c>
      <c r="I500" s="8">
        <v>29</v>
      </c>
      <c r="J500" s="8">
        <v>1122</v>
      </c>
      <c r="K500" s="9">
        <f t="shared" si="465"/>
        <v>1122</v>
      </c>
      <c r="L500" s="12">
        <v>1.5</v>
      </c>
      <c r="M500" s="11">
        <f t="shared" si="490"/>
        <v>75</v>
      </c>
      <c r="N500" s="12">
        <v>632</v>
      </c>
      <c r="O500" s="11">
        <f t="shared" si="491"/>
        <v>31600</v>
      </c>
      <c r="P500" s="12">
        <v>10.5</v>
      </c>
      <c r="Q500" s="11">
        <f t="shared" si="492"/>
        <v>630</v>
      </c>
      <c r="X500" s="12">
        <v>1954</v>
      </c>
      <c r="Y500" s="11">
        <f t="shared" si="493"/>
        <v>117240</v>
      </c>
      <c r="AF500" s="12">
        <v>0</v>
      </c>
      <c r="AG500" s="11">
        <f t="shared" si="494"/>
        <v>0</v>
      </c>
      <c r="AH500" s="12">
        <v>0</v>
      </c>
      <c r="AI500" s="11">
        <f t="shared" si="495"/>
        <v>0</v>
      </c>
      <c r="AJ500" s="12">
        <v>0</v>
      </c>
      <c r="AK500" s="13">
        <f t="shared" si="496"/>
        <v>0</v>
      </c>
      <c r="AL500" s="12">
        <v>0</v>
      </c>
      <c r="AM500" s="13">
        <f t="shared" si="497"/>
        <v>0</v>
      </c>
      <c r="AN500" s="12">
        <v>0</v>
      </c>
      <c r="AO500" s="11">
        <f t="shared" si="498"/>
        <v>0</v>
      </c>
      <c r="AP500" s="12">
        <v>82</v>
      </c>
      <c r="AQ500" s="11">
        <f t="shared" si="499"/>
        <v>6560</v>
      </c>
      <c r="AR500" s="12">
        <v>7767</v>
      </c>
      <c r="AS500" s="11">
        <f t="shared" si="500"/>
        <v>388350</v>
      </c>
      <c r="AT500" s="12">
        <v>15</v>
      </c>
      <c r="AU500" s="11">
        <f t="shared" si="501"/>
        <v>750</v>
      </c>
      <c r="AV500" s="12">
        <v>0</v>
      </c>
      <c r="AW500" s="11">
        <f t="shared" si="502"/>
        <v>0</v>
      </c>
      <c r="AX500" s="12">
        <v>0</v>
      </c>
      <c r="AY500" s="11">
        <f t="shared" si="503"/>
        <v>0</v>
      </c>
      <c r="AZ500" s="12">
        <v>2691.5</v>
      </c>
      <c r="BA500" s="11">
        <f t="shared" si="504"/>
        <v>107660</v>
      </c>
      <c r="BB500" s="12">
        <v>137</v>
      </c>
      <c r="BC500" s="11">
        <f t="shared" si="505"/>
        <v>5480</v>
      </c>
      <c r="BE500" s="11">
        <f t="shared" si="506"/>
        <v>0</v>
      </c>
      <c r="BG500" s="11">
        <f t="shared" si="507"/>
        <v>0</v>
      </c>
      <c r="BN500" s="8">
        <f t="shared" si="463"/>
        <v>12424.5</v>
      </c>
      <c r="BO500" s="8">
        <f t="shared" si="464"/>
        <v>613955</v>
      </c>
      <c r="BP500" s="8">
        <f t="shared" si="469"/>
        <v>2820</v>
      </c>
      <c r="BQ500" s="12">
        <f t="shared" si="470"/>
        <v>161630</v>
      </c>
    </row>
    <row r="501" spans="1:69">
      <c r="A501" s="28">
        <v>1990</v>
      </c>
      <c r="B501" s="27" t="s">
        <v>47</v>
      </c>
      <c r="C501" s="24">
        <f t="shared" si="468"/>
        <v>466</v>
      </c>
      <c r="D501" s="7" t="e">
        <f t="shared" ca="1" si="462"/>
        <v>#N/A</v>
      </c>
      <c r="E501" s="26">
        <f t="array" aca="1" ref="E501" ca="1">AVERAGE(IF(INDIRECT(DatCol&amp;"$"&amp;TEXT(C501,"###")):INDIRECT(DatCol&amp;"$"&amp;TEXT(C501+57,"###"))&gt;0,INDIRECT(DatCol&amp;"$"&amp;TEXT(C501,"###")):INDIRECT(DatCol&amp;"$"&amp;TEXT(C501+57,"###"))))</f>
        <v>2059.090909090909</v>
      </c>
      <c r="F501" s="26" t="str">
        <f t="shared" si="471"/>
        <v>S</v>
      </c>
      <c r="G501" s="8"/>
      <c r="H501" s="8">
        <v>0</v>
      </c>
      <c r="I501" s="8">
        <v>80</v>
      </c>
      <c r="J501" s="8">
        <v>1103</v>
      </c>
      <c r="K501" s="9">
        <f t="shared" si="465"/>
        <v>1103</v>
      </c>
      <c r="L501" s="12">
        <v>28</v>
      </c>
      <c r="M501" s="11">
        <f t="shared" si="490"/>
        <v>1400</v>
      </c>
      <c r="N501" s="12">
        <v>716</v>
      </c>
      <c r="O501" s="11">
        <f t="shared" si="491"/>
        <v>35800</v>
      </c>
      <c r="P501" s="12">
        <v>110.5</v>
      </c>
      <c r="Q501" s="11">
        <f t="shared" si="492"/>
        <v>6630</v>
      </c>
      <c r="X501" s="12">
        <f>1872+216</f>
        <v>2088</v>
      </c>
      <c r="Y501" s="11">
        <f t="shared" si="493"/>
        <v>125280</v>
      </c>
      <c r="AF501" s="12">
        <v>0</v>
      </c>
      <c r="AG501" s="11">
        <f t="shared" si="494"/>
        <v>0</v>
      </c>
      <c r="AH501" s="12">
        <v>165</v>
      </c>
      <c r="AI501" s="11">
        <f t="shared" si="495"/>
        <v>10725</v>
      </c>
      <c r="AJ501" s="12">
        <v>0</v>
      </c>
      <c r="AK501" s="13">
        <f t="shared" si="496"/>
        <v>0</v>
      </c>
      <c r="AL501" s="12">
        <v>0</v>
      </c>
      <c r="AM501" s="13">
        <f t="shared" si="497"/>
        <v>0</v>
      </c>
      <c r="AN501" s="12">
        <v>0</v>
      </c>
      <c r="AO501" s="11">
        <f t="shared" si="498"/>
        <v>0</v>
      </c>
      <c r="AP501" s="12">
        <v>75</v>
      </c>
      <c r="AQ501" s="11">
        <f t="shared" si="499"/>
        <v>6000</v>
      </c>
      <c r="AR501" s="12">
        <v>16203</v>
      </c>
      <c r="AS501" s="11">
        <f t="shared" si="500"/>
        <v>810150</v>
      </c>
      <c r="AT501" s="12">
        <v>47</v>
      </c>
      <c r="AU501" s="11">
        <f t="shared" si="501"/>
        <v>2350</v>
      </c>
      <c r="AV501" s="12">
        <v>0</v>
      </c>
      <c r="AW501" s="11">
        <f t="shared" si="502"/>
        <v>0</v>
      </c>
      <c r="AX501" s="12">
        <v>0</v>
      </c>
      <c r="AY501" s="11">
        <f t="shared" si="503"/>
        <v>0</v>
      </c>
      <c r="AZ501" s="12">
        <v>4979.5</v>
      </c>
      <c r="BA501" s="11">
        <f t="shared" si="504"/>
        <v>199180</v>
      </c>
      <c r="BB501" s="12">
        <v>154</v>
      </c>
      <c r="BC501" s="11">
        <f t="shared" si="505"/>
        <v>6160</v>
      </c>
      <c r="BE501" s="11">
        <f t="shared" si="506"/>
        <v>0</v>
      </c>
      <c r="BG501" s="11">
        <f t="shared" si="507"/>
        <v>0</v>
      </c>
      <c r="BN501" s="8">
        <f t="shared" si="463"/>
        <v>23409</v>
      </c>
      <c r="BO501" s="8">
        <f t="shared" si="464"/>
        <v>1142640</v>
      </c>
      <c r="BP501" s="8">
        <f t="shared" si="469"/>
        <v>3245</v>
      </c>
      <c r="BQ501" s="12">
        <f t="shared" si="470"/>
        <v>186315</v>
      </c>
    </row>
    <row r="502" spans="1:69">
      <c r="A502" s="28">
        <v>1991</v>
      </c>
      <c r="B502" s="27" t="s">
        <v>47</v>
      </c>
      <c r="C502" s="24">
        <f t="shared" si="468"/>
        <v>466</v>
      </c>
      <c r="D502" s="7" t="e">
        <f t="shared" ca="1" si="462"/>
        <v>#N/A</v>
      </c>
      <c r="E502" s="26">
        <f t="array" aca="1" ref="E502" ca="1">AVERAGE(IF(INDIRECT(DatCol&amp;"$"&amp;TEXT(C502,"###")):INDIRECT(DatCol&amp;"$"&amp;TEXT(C502+57,"###"))&gt;0,INDIRECT(DatCol&amp;"$"&amp;TEXT(C502,"###")):INDIRECT(DatCol&amp;"$"&amp;TEXT(C502+57,"###"))))</f>
        <v>2059.090909090909</v>
      </c>
      <c r="F502" s="26" t="str">
        <f t="shared" si="471"/>
        <v>S</v>
      </c>
      <c r="G502" s="8">
        <v>135</v>
      </c>
      <c r="H502" s="8">
        <v>499</v>
      </c>
      <c r="I502" s="8">
        <v>48</v>
      </c>
      <c r="J502" s="8">
        <f>1108+474</f>
        <v>1582</v>
      </c>
      <c r="K502" s="9">
        <f t="shared" si="465"/>
        <v>2216</v>
      </c>
      <c r="L502" s="12">
        <v>38</v>
      </c>
      <c r="M502" s="11">
        <f t="shared" si="490"/>
        <v>1900</v>
      </c>
      <c r="N502" s="12">
        <v>864</v>
      </c>
      <c r="O502" s="11">
        <f t="shared" si="491"/>
        <v>43200</v>
      </c>
      <c r="P502" s="12">
        <v>88</v>
      </c>
      <c r="Q502" s="11">
        <f t="shared" si="492"/>
        <v>5280</v>
      </c>
      <c r="X502" s="12">
        <f>2035+208</f>
        <v>2243</v>
      </c>
      <c r="Y502" s="11">
        <f t="shared" si="493"/>
        <v>134580</v>
      </c>
      <c r="AF502" s="12">
        <v>0</v>
      </c>
      <c r="AG502" s="11">
        <f t="shared" si="494"/>
        <v>0</v>
      </c>
      <c r="AH502" s="12">
        <v>0</v>
      </c>
      <c r="AI502" s="11">
        <f t="shared" si="495"/>
        <v>0</v>
      </c>
      <c r="AJ502" s="12">
        <v>0</v>
      </c>
      <c r="AK502" s="13">
        <f t="shared" si="496"/>
        <v>0</v>
      </c>
      <c r="AL502" s="12">
        <v>0</v>
      </c>
      <c r="AM502" s="13">
        <f t="shared" si="497"/>
        <v>0</v>
      </c>
      <c r="AN502" s="12">
        <v>0</v>
      </c>
      <c r="AO502" s="11">
        <f t="shared" si="498"/>
        <v>0</v>
      </c>
      <c r="AP502" s="12">
        <v>70</v>
      </c>
      <c r="AQ502" s="11">
        <f t="shared" si="499"/>
        <v>5600</v>
      </c>
      <c r="AR502" s="12">
        <v>13730</v>
      </c>
      <c r="AS502" s="11">
        <f t="shared" si="500"/>
        <v>686500</v>
      </c>
      <c r="AT502" s="12">
        <v>92</v>
      </c>
      <c r="AU502" s="11">
        <f t="shared" si="501"/>
        <v>4600</v>
      </c>
      <c r="AV502" s="12">
        <v>0</v>
      </c>
      <c r="AW502" s="11">
        <f t="shared" si="502"/>
        <v>0</v>
      </c>
      <c r="AX502" s="12">
        <v>0</v>
      </c>
      <c r="AY502" s="11">
        <f t="shared" si="503"/>
        <v>0</v>
      </c>
      <c r="AZ502" s="12">
        <v>4152</v>
      </c>
      <c r="BA502" s="11">
        <f t="shared" si="504"/>
        <v>166080</v>
      </c>
      <c r="BB502" s="12">
        <v>177</v>
      </c>
      <c r="BC502" s="11">
        <f t="shared" si="505"/>
        <v>7080</v>
      </c>
      <c r="BE502" s="11">
        <f t="shared" si="506"/>
        <v>0</v>
      </c>
      <c r="BG502" s="11">
        <f t="shared" si="507"/>
        <v>0</v>
      </c>
      <c r="BN502" s="8">
        <f t="shared" si="463"/>
        <v>20251</v>
      </c>
      <c r="BO502" s="8">
        <f t="shared" si="464"/>
        <v>994340</v>
      </c>
      <c r="BP502" s="8">
        <f t="shared" si="469"/>
        <v>3446</v>
      </c>
      <c r="BQ502" s="12">
        <f t="shared" si="470"/>
        <v>195060</v>
      </c>
    </row>
    <row r="503" spans="1:69">
      <c r="A503" s="28">
        <v>1992</v>
      </c>
      <c r="B503" s="27" t="s">
        <v>47</v>
      </c>
      <c r="C503" s="24">
        <f t="shared" si="468"/>
        <v>466</v>
      </c>
      <c r="D503" s="7" t="e">
        <f t="shared" ca="1" si="462"/>
        <v>#N/A</v>
      </c>
      <c r="E503" s="26">
        <f t="array" aca="1" ref="E503" ca="1">AVERAGE(IF(INDIRECT(DatCol&amp;"$"&amp;TEXT(C503,"###")):INDIRECT(DatCol&amp;"$"&amp;TEXT(C503+57,"###"))&gt;0,INDIRECT(DatCol&amp;"$"&amp;TEXT(C503,"###")):INDIRECT(DatCol&amp;"$"&amp;TEXT(C503+57,"###"))))</f>
        <v>2059.090909090909</v>
      </c>
      <c r="F503" s="26" t="str">
        <f t="shared" si="471"/>
        <v>S</v>
      </c>
      <c r="G503" s="8">
        <v>151</v>
      </c>
      <c r="H503" s="8">
        <v>629</v>
      </c>
      <c r="I503" s="8">
        <v>48</v>
      </c>
      <c r="J503" s="8">
        <v>470</v>
      </c>
      <c r="K503" s="9">
        <f t="shared" si="465"/>
        <v>1250</v>
      </c>
      <c r="L503" s="12">
        <v>42</v>
      </c>
      <c r="M503" s="11">
        <f t="shared" si="490"/>
        <v>2100</v>
      </c>
      <c r="N503" s="12">
        <v>980</v>
      </c>
      <c r="O503" s="11">
        <f t="shared" si="491"/>
        <v>49000</v>
      </c>
      <c r="P503" s="12">
        <f>36+59</f>
        <v>95</v>
      </c>
      <c r="Q503" s="11">
        <f t="shared" si="492"/>
        <v>5700</v>
      </c>
      <c r="X503" s="12">
        <f>228+2235</f>
        <v>2463</v>
      </c>
      <c r="Y503" s="11">
        <f t="shared" si="493"/>
        <v>147780</v>
      </c>
      <c r="AF503" s="12">
        <v>0</v>
      </c>
      <c r="AG503" s="11">
        <f t="shared" si="494"/>
        <v>0</v>
      </c>
      <c r="AH503" s="12">
        <v>0</v>
      </c>
      <c r="AI503" s="11">
        <f t="shared" si="495"/>
        <v>0</v>
      </c>
      <c r="AK503" s="13">
        <f t="shared" si="496"/>
        <v>0</v>
      </c>
      <c r="AM503" s="13">
        <f t="shared" si="497"/>
        <v>0</v>
      </c>
      <c r="AN503" s="12">
        <v>0</v>
      </c>
      <c r="AO503" s="11">
        <f t="shared" si="498"/>
        <v>0</v>
      </c>
      <c r="AP503" s="12">
        <v>59</v>
      </c>
      <c r="AQ503" s="11">
        <f t="shared" si="499"/>
        <v>4720</v>
      </c>
      <c r="AR503" s="12">
        <v>21294</v>
      </c>
      <c r="AS503" s="11">
        <f t="shared" si="500"/>
        <v>1064700</v>
      </c>
      <c r="AT503" s="12">
        <v>136</v>
      </c>
      <c r="AU503" s="11">
        <f t="shared" si="501"/>
        <v>6800</v>
      </c>
      <c r="AV503" s="12">
        <v>0</v>
      </c>
      <c r="AW503" s="11">
        <f t="shared" si="502"/>
        <v>0</v>
      </c>
      <c r="AX503" s="12">
        <v>0</v>
      </c>
      <c r="AY503" s="11">
        <f t="shared" si="503"/>
        <v>0</v>
      </c>
      <c r="AZ503" s="12">
        <v>3133</v>
      </c>
      <c r="BA503" s="11">
        <f t="shared" si="504"/>
        <v>125320</v>
      </c>
      <c r="BB503" s="12">
        <v>191</v>
      </c>
      <c r="BC503" s="11">
        <f t="shared" si="505"/>
        <v>7640</v>
      </c>
      <c r="BE503" s="11">
        <f t="shared" si="506"/>
        <v>0</v>
      </c>
      <c r="BG503" s="11">
        <f t="shared" si="507"/>
        <v>0</v>
      </c>
      <c r="BN503" s="8">
        <f t="shared" si="463"/>
        <v>27027</v>
      </c>
      <c r="BO503" s="8">
        <f t="shared" si="464"/>
        <v>1345600</v>
      </c>
      <c r="BP503" s="8">
        <f t="shared" si="469"/>
        <v>3829</v>
      </c>
      <c r="BQ503" s="12">
        <f t="shared" si="470"/>
        <v>215940</v>
      </c>
    </row>
    <row r="504" spans="1:69">
      <c r="A504" s="28">
        <v>1993</v>
      </c>
      <c r="B504" s="27" t="s">
        <v>47</v>
      </c>
      <c r="C504" s="24">
        <f t="shared" si="468"/>
        <v>466</v>
      </c>
      <c r="D504" s="7" t="e">
        <f t="shared" ca="1" si="462"/>
        <v>#N/A</v>
      </c>
      <c r="E504" s="26">
        <f t="array" aca="1" ref="E504" ca="1">AVERAGE(IF(INDIRECT(DatCol&amp;"$"&amp;TEXT(C504,"###")):INDIRECT(DatCol&amp;"$"&amp;TEXT(C504+57,"###"))&gt;0,INDIRECT(DatCol&amp;"$"&amp;TEXT(C504,"###")):INDIRECT(DatCol&amp;"$"&amp;TEXT(C504+57,"###"))))</f>
        <v>2059.090909090909</v>
      </c>
      <c r="F504" s="26" t="str">
        <f t="shared" si="471"/>
        <v>S</v>
      </c>
      <c r="G504" s="8"/>
      <c r="H504" s="9">
        <v>0</v>
      </c>
      <c r="I504" s="9">
        <v>0</v>
      </c>
      <c r="J504" s="9">
        <v>0</v>
      </c>
      <c r="K504" s="9">
        <f t="shared" si="465"/>
        <v>0</v>
      </c>
      <c r="L504" s="10">
        <v>0</v>
      </c>
      <c r="M504" s="11">
        <f t="shared" si="490"/>
        <v>0</v>
      </c>
      <c r="N504" s="10">
        <v>0</v>
      </c>
      <c r="O504" s="11">
        <f t="shared" si="491"/>
        <v>0</v>
      </c>
      <c r="P504" s="10">
        <v>0</v>
      </c>
      <c r="Q504" s="11">
        <f t="shared" si="492"/>
        <v>0</v>
      </c>
      <c r="X504" s="10">
        <v>0</v>
      </c>
      <c r="Y504" s="11">
        <f t="shared" si="493"/>
        <v>0</v>
      </c>
      <c r="AF504" s="10">
        <v>0</v>
      </c>
      <c r="AG504" s="11">
        <f t="shared" si="494"/>
        <v>0</v>
      </c>
      <c r="AH504" s="10">
        <v>0</v>
      </c>
      <c r="AI504" s="11">
        <f t="shared" si="495"/>
        <v>0</v>
      </c>
      <c r="AJ504" s="10">
        <v>0</v>
      </c>
      <c r="AK504" s="13">
        <f t="shared" si="496"/>
        <v>0</v>
      </c>
      <c r="AL504" s="10">
        <v>0</v>
      </c>
      <c r="AM504" s="13">
        <f t="shared" si="497"/>
        <v>0</v>
      </c>
      <c r="AN504" s="10">
        <v>0</v>
      </c>
      <c r="AO504" s="11">
        <f t="shared" si="498"/>
        <v>0</v>
      </c>
      <c r="AP504" s="10">
        <v>0</v>
      </c>
      <c r="AQ504" s="11">
        <f t="shared" si="499"/>
        <v>0</v>
      </c>
      <c r="AR504" s="10">
        <v>0</v>
      </c>
      <c r="AS504" s="11">
        <f t="shared" si="500"/>
        <v>0</v>
      </c>
      <c r="AT504" s="10">
        <v>0</v>
      </c>
      <c r="AU504" s="11">
        <f t="shared" si="501"/>
        <v>0</v>
      </c>
      <c r="AV504" s="10">
        <v>0</v>
      </c>
      <c r="AW504" s="11">
        <f t="shared" si="502"/>
        <v>0</v>
      </c>
      <c r="AX504" s="10">
        <v>0</v>
      </c>
      <c r="AY504" s="11">
        <f t="shared" si="503"/>
        <v>0</v>
      </c>
      <c r="AZ504" s="10">
        <v>0</v>
      </c>
      <c r="BA504" s="11">
        <f t="shared" si="504"/>
        <v>0</v>
      </c>
      <c r="BB504" s="10">
        <v>0</v>
      </c>
      <c r="BC504" s="11">
        <f t="shared" si="505"/>
        <v>0</v>
      </c>
      <c r="BD504" s="10">
        <v>0</v>
      </c>
      <c r="BE504" s="11">
        <f t="shared" si="506"/>
        <v>0</v>
      </c>
      <c r="BF504" s="10">
        <v>0</v>
      </c>
      <c r="BG504" s="11">
        <f t="shared" si="507"/>
        <v>0</v>
      </c>
      <c r="BN504" s="8">
        <f t="shared" si="463"/>
        <v>0</v>
      </c>
      <c r="BO504" s="8">
        <f t="shared" si="464"/>
        <v>0</v>
      </c>
      <c r="BP504" s="8">
        <f t="shared" si="469"/>
        <v>0</v>
      </c>
      <c r="BQ504" s="12">
        <f t="shared" si="470"/>
        <v>0</v>
      </c>
    </row>
    <row r="505" spans="1:69">
      <c r="A505" s="28">
        <v>1994</v>
      </c>
      <c r="B505" s="27" t="s">
        <v>47</v>
      </c>
      <c r="C505" s="24">
        <f t="shared" si="468"/>
        <v>466</v>
      </c>
      <c r="D505" s="7" t="e">
        <f t="shared" ca="1" si="462"/>
        <v>#N/A</v>
      </c>
      <c r="E505" s="26">
        <f t="array" aca="1" ref="E505" ca="1">AVERAGE(IF(INDIRECT(DatCol&amp;"$"&amp;TEXT(C505,"###")):INDIRECT(DatCol&amp;"$"&amp;TEXT(C505+57,"###"))&gt;0,INDIRECT(DatCol&amp;"$"&amp;TEXT(C505,"###")):INDIRECT(DatCol&amp;"$"&amp;TEXT(C505+57,"###"))))</f>
        <v>2059.090909090909</v>
      </c>
      <c r="F505" s="26" t="str">
        <f t="shared" si="471"/>
        <v>S</v>
      </c>
      <c r="G505" s="8"/>
      <c r="H505" s="8">
        <v>0</v>
      </c>
      <c r="I505" s="8">
        <v>41</v>
      </c>
      <c r="J505" s="8">
        <v>1350</v>
      </c>
      <c r="K505" s="9">
        <f t="shared" si="465"/>
        <v>1350</v>
      </c>
      <c r="L505" s="12">
        <v>9442</v>
      </c>
      <c r="M505" s="11">
        <f t="shared" si="490"/>
        <v>472100</v>
      </c>
      <c r="N505" s="12">
        <v>1200</v>
      </c>
      <c r="O505" s="11">
        <f t="shared" si="491"/>
        <v>60000</v>
      </c>
      <c r="P505" s="12">
        <v>5665</v>
      </c>
      <c r="Q505" s="11">
        <f t="shared" si="492"/>
        <v>339900</v>
      </c>
      <c r="X505" s="12">
        <v>2438</v>
      </c>
      <c r="Y505" s="11">
        <f t="shared" si="493"/>
        <v>146280</v>
      </c>
      <c r="AF505" s="12">
        <v>0</v>
      </c>
      <c r="AG505" s="11">
        <f t="shared" si="494"/>
        <v>0</v>
      </c>
      <c r="AH505" s="12">
        <v>0</v>
      </c>
      <c r="AI505" s="11">
        <f t="shared" si="495"/>
        <v>0</v>
      </c>
      <c r="AJ505" s="12">
        <v>0</v>
      </c>
      <c r="AK505" s="13">
        <f t="shared" si="496"/>
        <v>0</v>
      </c>
      <c r="AL505" s="12">
        <v>0</v>
      </c>
      <c r="AM505" s="13">
        <f t="shared" si="497"/>
        <v>0</v>
      </c>
      <c r="AN505" s="12">
        <v>0</v>
      </c>
      <c r="AO505" s="11">
        <f t="shared" si="498"/>
        <v>0</v>
      </c>
      <c r="AP505" s="12">
        <v>74</v>
      </c>
      <c r="AQ505" s="11">
        <f t="shared" si="499"/>
        <v>5920</v>
      </c>
      <c r="AR505" s="12">
        <v>18884</v>
      </c>
      <c r="AS505" s="11">
        <f t="shared" si="500"/>
        <v>944200</v>
      </c>
      <c r="AT505" s="12">
        <v>51</v>
      </c>
      <c r="AU505" s="11">
        <f t="shared" si="501"/>
        <v>2550</v>
      </c>
      <c r="AV505" s="12">
        <v>0</v>
      </c>
      <c r="AW505" s="11">
        <f t="shared" si="502"/>
        <v>0</v>
      </c>
      <c r="AX505" s="12">
        <v>0</v>
      </c>
      <c r="AY505" s="11">
        <f t="shared" si="503"/>
        <v>0</v>
      </c>
      <c r="AZ505" s="12">
        <v>0</v>
      </c>
      <c r="BA505" s="11">
        <f t="shared" si="504"/>
        <v>0</v>
      </c>
      <c r="BB505" s="12">
        <v>82</v>
      </c>
      <c r="BC505" s="11">
        <f t="shared" si="505"/>
        <v>3280</v>
      </c>
      <c r="BE505" s="11">
        <f t="shared" si="506"/>
        <v>0</v>
      </c>
      <c r="BG505" s="11">
        <f t="shared" si="507"/>
        <v>0</v>
      </c>
      <c r="BN505" s="8">
        <f t="shared" si="463"/>
        <v>36429</v>
      </c>
      <c r="BO505" s="8">
        <f t="shared" si="464"/>
        <v>1902480</v>
      </c>
      <c r="BP505" s="8">
        <f t="shared" si="469"/>
        <v>3845</v>
      </c>
      <c r="BQ505" s="12">
        <f t="shared" si="470"/>
        <v>218030</v>
      </c>
    </row>
    <row r="506" spans="1:69">
      <c r="A506" s="28">
        <v>1995</v>
      </c>
      <c r="B506" s="27" t="s">
        <v>47</v>
      </c>
      <c r="C506" s="24">
        <f t="shared" si="468"/>
        <v>466</v>
      </c>
      <c r="D506" s="7" t="e">
        <f t="shared" ca="1" si="462"/>
        <v>#N/A</v>
      </c>
      <c r="E506" s="26">
        <f t="array" aca="1" ref="E506" ca="1">AVERAGE(IF(INDIRECT(DatCol&amp;"$"&amp;TEXT(C506,"###")):INDIRECT(DatCol&amp;"$"&amp;TEXT(C506+57,"###"))&gt;0,INDIRECT(DatCol&amp;"$"&amp;TEXT(C506,"###")):INDIRECT(DatCol&amp;"$"&amp;TEXT(C506+57,"###"))))</f>
        <v>2059.090909090909</v>
      </c>
      <c r="F506" s="26" t="str">
        <f t="shared" si="471"/>
        <v>S</v>
      </c>
      <c r="G506" s="9">
        <v>180</v>
      </c>
      <c r="H506" s="9">
        <v>675</v>
      </c>
      <c r="I506" s="9">
        <v>48</v>
      </c>
      <c r="J506" s="9">
        <v>675</v>
      </c>
      <c r="K506" s="9">
        <f t="shared" si="465"/>
        <v>1530</v>
      </c>
      <c r="L506" s="10">
        <v>282</v>
      </c>
      <c r="M506" s="11">
        <f t="shared" si="490"/>
        <v>14100</v>
      </c>
      <c r="N506" s="10">
        <v>1412</v>
      </c>
      <c r="O506" s="11">
        <f t="shared" si="491"/>
        <v>70600</v>
      </c>
      <c r="P506" s="10">
        <v>28</v>
      </c>
      <c r="Q506" s="11">
        <f t="shared" si="492"/>
        <v>1680</v>
      </c>
      <c r="X506" s="10">
        <f>2208+270</f>
        <v>2478</v>
      </c>
      <c r="Y506" s="11">
        <f t="shared" si="493"/>
        <v>148680</v>
      </c>
      <c r="AF506" s="10">
        <v>0</v>
      </c>
      <c r="AG506" s="11">
        <f t="shared" si="494"/>
        <v>0</v>
      </c>
      <c r="AH506" s="10">
        <v>0</v>
      </c>
      <c r="AI506" s="11">
        <f t="shared" si="495"/>
        <v>0</v>
      </c>
      <c r="AJ506" s="10">
        <v>0</v>
      </c>
      <c r="AK506" s="13">
        <f t="shared" si="496"/>
        <v>0</v>
      </c>
      <c r="AL506" s="10">
        <v>0</v>
      </c>
      <c r="AM506" s="13">
        <f t="shared" si="497"/>
        <v>0</v>
      </c>
      <c r="AN506" s="10">
        <v>0</v>
      </c>
      <c r="AO506" s="11">
        <f t="shared" si="498"/>
        <v>0</v>
      </c>
      <c r="AP506" s="10">
        <v>61</v>
      </c>
      <c r="AQ506" s="11">
        <f t="shared" si="499"/>
        <v>4880</v>
      </c>
      <c r="AR506" s="10">
        <v>7014</v>
      </c>
      <c r="AS506" s="11">
        <f t="shared" si="500"/>
        <v>350700</v>
      </c>
      <c r="AT506" s="10">
        <v>48</v>
      </c>
      <c r="AU506" s="11">
        <f t="shared" si="501"/>
        <v>2400</v>
      </c>
      <c r="AV506" s="10">
        <v>0</v>
      </c>
      <c r="AW506" s="11">
        <f t="shared" si="502"/>
        <v>0</v>
      </c>
      <c r="AX506" s="10">
        <v>0</v>
      </c>
      <c r="AY506" s="11">
        <f t="shared" si="503"/>
        <v>0</v>
      </c>
      <c r="AZ506" s="10">
        <v>2176</v>
      </c>
      <c r="BA506" s="11">
        <f t="shared" si="504"/>
        <v>87040</v>
      </c>
      <c r="BB506" s="10">
        <v>70</v>
      </c>
      <c r="BC506" s="11">
        <f t="shared" si="505"/>
        <v>2800</v>
      </c>
      <c r="BE506" s="11">
        <f t="shared" si="506"/>
        <v>0</v>
      </c>
      <c r="BG506" s="11">
        <f t="shared" si="507"/>
        <v>0</v>
      </c>
      <c r="BN506" s="8">
        <f t="shared" si="463"/>
        <v>11978</v>
      </c>
      <c r="BO506" s="8">
        <f t="shared" si="464"/>
        <v>602200</v>
      </c>
      <c r="BP506" s="8">
        <f t="shared" si="469"/>
        <v>4069</v>
      </c>
      <c r="BQ506" s="12">
        <f t="shared" si="470"/>
        <v>229360</v>
      </c>
    </row>
    <row r="507" spans="1:69">
      <c r="A507" s="28">
        <v>1996</v>
      </c>
      <c r="B507" s="27" t="s">
        <v>47</v>
      </c>
      <c r="C507" s="24">
        <f t="shared" si="468"/>
        <v>466</v>
      </c>
      <c r="D507" s="7" t="e">
        <f t="shared" ca="1" si="462"/>
        <v>#N/A</v>
      </c>
      <c r="E507" s="26">
        <f t="array" aca="1" ref="E507" ca="1">AVERAGE(IF(INDIRECT(DatCol&amp;"$"&amp;TEXT(C507,"###")):INDIRECT(DatCol&amp;"$"&amp;TEXT(C507+57,"###"))&gt;0,INDIRECT(DatCol&amp;"$"&amp;TEXT(C507,"###")):INDIRECT(DatCol&amp;"$"&amp;TEXT(C507+57,"###"))))</f>
        <v>2059.090909090909</v>
      </c>
      <c r="F507" s="26" t="str">
        <f t="shared" si="471"/>
        <v>S</v>
      </c>
      <c r="H507" s="9">
        <v>0</v>
      </c>
      <c r="I507" s="9">
        <v>45</v>
      </c>
      <c r="J507" s="9">
        <v>1000</v>
      </c>
      <c r="K507" s="9">
        <f t="shared" si="465"/>
        <v>1000</v>
      </c>
      <c r="L507" s="10">
        <v>1400</v>
      </c>
      <c r="M507" s="11">
        <f t="shared" si="490"/>
        <v>70000</v>
      </c>
      <c r="N507" s="10">
        <v>1640</v>
      </c>
      <c r="O507" s="11">
        <f t="shared" si="491"/>
        <v>82000</v>
      </c>
      <c r="P507" s="10">
        <v>250</v>
      </c>
      <c r="Q507" s="11">
        <f t="shared" si="492"/>
        <v>15000</v>
      </c>
      <c r="X507" s="10">
        <v>1400</v>
      </c>
      <c r="Y507" s="11">
        <f t="shared" si="493"/>
        <v>84000</v>
      </c>
      <c r="AF507" s="10">
        <v>0</v>
      </c>
      <c r="AG507" s="11">
        <f t="shared" si="494"/>
        <v>0</v>
      </c>
      <c r="AH507" s="10">
        <v>0</v>
      </c>
      <c r="AI507" s="11">
        <f t="shared" si="495"/>
        <v>0</v>
      </c>
      <c r="AJ507" s="10">
        <v>0</v>
      </c>
      <c r="AK507" s="13">
        <f t="shared" si="496"/>
        <v>0</v>
      </c>
      <c r="AL507" s="10">
        <v>0</v>
      </c>
      <c r="AM507" s="13">
        <f t="shared" si="497"/>
        <v>0</v>
      </c>
      <c r="AN507" s="10">
        <v>0</v>
      </c>
      <c r="AO507" s="11">
        <f t="shared" si="498"/>
        <v>0</v>
      </c>
      <c r="AP507" s="10">
        <v>100</v>
      </c>
      <c r="AQ507" s="11">
        <f t="shared" si="499"/>
        <v>8000</v>
      </c>
      <c r="AR507" s="10">
        <v>8050</v>
      </c>
      <c r="AS507" s="11">
        <f t="shared" si="500"/>
        <v>402500</v>
      </c>
      <c r="AT507" s="10">
        <v>50</v>
      </c>
      <c r="AU507" s="11">
        <f t="shared" si="501"/>
        <v>2500</v>
      </c>
      <c r="AV507" s="10">
        <v>0</v>
      </c>
      <c r="AW507" s="11">
        <f t="shared" si="502"/>
        <v>0</v>
      </c>
      <c r="AX507" s="10">
        <v>0</v>
      </c>
      <c r="AY507" s="11">
        <f t="shared" si="503"/>
        <v>0</v>
      </c>
      <c r="AZ507" s="10">
        <v>2300</v>
      </c>
      <c r="BA507" s="11">
        <f t="shared" si="504"/>
        <v>92000</v>
      </c>
      <c r="BB507" s="10">
        <v>110</v>
      </c>
      <c r="BC507" s="11">
        <f t="shared" si="505"/>
        <v>4400</v>
      </c>
      <c r="BE507" s="11">
        <f t="shared" si="506"/>
        <v>0</v>
      </c>
      <c r="BG507" s="11">
        <f t="shared" si="507"/>
        <v>0</v>
      </c>
      <c r="BN507" s="8">
        <f t="shared" si="463"/>
        <v>13400</v>
      </c>
      <c r="BO507" s="8">
        <f t="shared" si="464"/>
        <v>663500</v>
      </c>
      <c r="BP507" s="8">
        <f t="shared" si="469"/>
        <v>3300</v>
      </c>
      <c r="BQ507" s="12">
        <f t="shared" si="470"/>
        <v>180900</v>
      </c>
    </row>
    <row r="508" spans="1:69">
      <c r="A508" s="28">
        <v>1997</v>
      </c>
      <c r="B508" s="27" t="s">
        <v>47</v>
      </c>
      <c r="C508" s="24">
        <f t="shared" si="468"/>
        <v>466</v>
      </c>
      <c r="D508" s="7" t="e">
        <f t="shared" ca="1" si="462"/>
        <v>#N/A</v>
      </c>
      <c r="E508" s="26">
        <f t="array" aca="1" ref="E508" ca="1">AVERAGE(IF(INDIRECT(DatCol&amp;"$"&amp;TEXT(C508,"###")):INDIRECT(DatCol&amp;"$"&amp;TEXT(C508+57,"###"))&gt;0,INDIRECT(DatCol&amp;"$"&amp;TEXT(C508,"###")):INDIRECT(DatCol&amp;"$"&amp;TEXT(C508+57,"###"))))</f>
        <v>2059.090909090909</v>
      </c>
      <c r="F508" s="26" t="str">
        <f t="shared" si="471"/>
        <v>S</v>
      </c>
      <c r="G508" s="9">
        <v>140</v>
      </c>
      <c r="H508" s="9">
        <v>700</v>
      </c>
      <c r="I508" s="9">
        <v>65</v>
      </c>
      <c r="J508" s="9">
        <v>1400</v>
      </c>
      <c r="K508" s="9">
        <f t="shared" si="465"/>
        <v>2240</v>
      </c>
      <c r="L508" s="10">
        <v>2940.5</v>
      </c>
      <c r="M508" s="11">
        <f t="shared" si="490"/>
        <v>147025</v>
      </c>
      <c r="N508" s="10">
        <v>12000</v>
      </c>
      <c r="O508" s="11">
        <f t="shared" si="491"/>
        <v>600000</v>
      </c>
      <c r="P508" s="10">
        <v>0</v>
      </c>
      <c r="Q508" s="11">
        <f t="shared" si="492"/>
        <v>0</v>
      </c>
      <c r="X508" s="10">
        <v>2500</v>
      </c>
      <c r="Y508" s="11">
        <f t="shared" si="493"/>
        <v>150000</v>
      </c>
      <c r="AF508" s="10">
        <v>0</v>
      </c>
      <c r="AG508" s="11">
        <f t="shared" si="494"/>
        <v>0</v>
      </c>
      <c r="AH508" s="10">
        <v>0</v>
      </c>
      <c r="AI508" s="11">
        <f t="shared" si="495"/>
        <v>0</v>
      </c>
      <c r="AJ508" s="10">
        <v>0</v>
      </c>
      <c r="AK508" s="13">
        <f t="shared" si="496"/>
        <v>0</v>
      </c>
      <c r="AL508" s="10">
        <v>0</v>
      </c>
      <c r="AM508" s="13">
        <f t="shared" si="497"/>
        <v>0</v>
      </c>
      <c r="AN508" s="10">
        <v>0</v>
      </c>
      <c r="AO508" s="11">
        <f t="shared" si="498"/>
        <v>0</v>
      </c>
      <c r="AP508" s="10">
        <v>50</v>
      </c>
      <c r="AQ508" s="11">
        <f t="shared" si="499"/>
        <v>4000</v>
      </c>
      <c r="AR508" s="10">
        <v>1626</v>
      </c>
      <c r="AS508" s="11">
        <f t="shared" si="500"/>
        <v>81300</v>
      </c>
      <c r="AT508" s="10">
        <v>50</v>
      </c>
      <c r="AU508" s="11">
        <f t="shared" si="501"/>
        <v>2500</v>
      </c>
      <c r="AV508" s="10">
        <v>0</v>
      </c>
      <c r="AW508" s="11">
        <f t="shared" si="502"/>
        <v>0</v>
      </c>
      <c r="AX508" s="10">
        <v>0</v>
      </c>
      <c r="AY508" s="11">
        <f t="shared" si="503"/>
        <v>0</v>
      </c>
      <c r="AZ508" s="10">
        <v>0</v>
      </c>
      <c r="BA508" s="11">
        <f t="shared" si="504"/>
        <v>0</v>
      </c>
      <c r="BB508" s="10">
        <v>50</v>
      </c>
      <c r="BC508" s="11">
        <f t="shared" si="505"/>
        <v>2000</v>
      </c>
      <c r="BE508" s="11">
        <f t="shared" si="506"/>
        <v>0</v>
      </c>
      <c r="BG508" s="11">
        <f t="shared" si="507"/>
        <v>0</v>
      </c>
      <c r="BN508" s="8">
        <f t="shared" si="463"/>
        <v>7066.5</v>
      </c>
      <c r="BO508" s="8">
        <f t="shared" si="464"/>
        <v>378325</v>
      </c>
      <c r="BP508" s="8">
        <f t="shared" si="469"/>
        <v>14650</v>
      </c>
      <c r="BQ508" s="12">
        <f t="shared" si="470"/>
        <v>758500</v>
      </c>
    </row>
    <row r="509" spans="1:69">
      <c r="A509" s="28">
        <v>1998</v>
      </c>
      <c r="B509" s="27" t="s">
        <v>47</v>
      </c>
      <c r="C509" s="24">
        <f t="shared" si="468"/>
        <v>466</v>
      </c>
      <c r="D509" s="7" t="e">
        <f t="shared" ca="1" si="462"/>
        <v>#N/A</v>
      </c>
      <c r="E509" s="26">
        <f t="array" aca="1" ref="E509" ca="1">AVERAGE(IF(INDIRECT(DatCol&amp;"$"&amp;TEXT(C509,"###")):INDIRECT(DatCol&amp;"$"&amp;TEXT(C509+57,"###"))&gt;0,INDIRECT(DatCol&amp;"$"&amp;TEXT(C509,"###")):INDIRECT(DatCol&amp;"$"&amp;TEXT(C509+57,"###"))))</f>
        <v>2059.090909090909</v>
      </c>
      <c r="F509" s="26" t="str">
        <f t="shared" si="471"/>
        <v>S</v>
      </c>
      <c r="G509" s="9">
        <v>140</v>
      </c>
      <c r="H509" s="9">
        <v>700</v>
      </c>
      <c r="I509" s="9">
        <v>65</v>
      </c>
      <c r="J509" s="9">
        <v>1400</v>
      </c>
      <c r="K509" s="9">
        <f t="shared" si="465"/>
        <v>2240</v>
      </c>
      <c r="L509" s="10">
        <v>2940.5</v>
      </c>
      <c r="M509" s="11">
        <v>147025</v>
      </c>
      <c r="N509" s="10">
        <v>12000</v>
      </c>
      <c r="O509" s="11">
        <v>600000</v>
      </c>
      <c r="P509" s="10">
        <v>0</v>
      </c>
      <c r="Q509" s="11">
        <v>0</v>
      </c>
      <c r="X509" s="10">
        <v>2500</v>
      </c>
      <c r="Y509" s="11">
        <v>150000</v>
      </c>
      <c r="AF509" s="10">
        <v>0</v>
      </c>
      <c r="AG509" s="11">
        <v>0</v>
      </c>
      <c r="AH509" s="10">
        <v>0</v>
      </c>
      <c r="AI509" s="11">
        <v>0</v>
      </c>
      <c r="AJ509" s="10">
        <v>0</v>
      </c>
      <c r="AK509" s="13">
        <v>0</v>
      </c>
      <c r="AL509" s="10">
        <v>0</v>
      </c>
      <c r="AM509" s="13">
        <v>0</v>
      </c>
      <c r="AN509" s="10">
        <v>0</v>
      </c>
      <c r="AO509" s="11">
        <v>0</v>
      </c>
      <c r="AP509" s="10">
        <v>50</v>
      </c>
      <c r="AQ509" s="11">
        <v>4000</v>
      </c>
      <c r="AR509" s="10">
        <v>1626</v>
      </c>
      <c r="AS509" s="11">
        <v>81300</v>
      </c>
      <c r="AT509" s="10">
        <v>50</v>
      </c>
      <c r="AU509" s="11">
        <v>2500</v>
      </c>
      <c r="AV509" s="10">
        <v>0</v>
      </c>
      <c r="AW509" s="11">
        <v>0</v>
      </c>
      <c r="AX509" s="10">
        <v>0</v>
      </c>
      <c r="AY509" s="11">
        <v>0</v>
      </c>
      <c r="AZ509" s="10">
        <v>0</v>
      </c>
      <c r="BA509" s="11">
        <v>0</v>
      </c>
      <c r="BB509" s="10">
        <v>50</v>
      </c>
      <c r="BC509" s="11">
        <v>2000</v>
      </c>
      <c r="BE509" s="11">
        <v>0</v>
      </c>
      <c r="BG509" s="11">
        <v>0</v>
      </c>
      <c r="BN509" s="8">
        <f t="shared" si="463"/>
        <v>7066.5</v>
      </c>
      <c r="BO509" s="8">
        <f t="shared" si="464"/>
        <v>378325</v>
      </c>
      <c r="BP509" s="8">
        <f t="shared" si="469"/>
        <v>14650</v>
      </c>
      <c r="BQ509" s="12">
        <f t="shared" si="470"/>
        <v>758500</v>
      </c>
    </row>
    <row r="510" spans="1:69">
      <c r="A510" s="28">
        <v>1999</v>
      </c>
      <c r="B510" s="27" t="s">
        <v>47</v>
      </c>
      <c r="C510" s="24">
        <f t="shared" si="468"/>
        <v>466</v>
      </c>
      <c r="D510" s="7" t="e">
        <f t="shared" ca="1" si="462"/>
        <v>#N/A</v>
      </c>
      <c r="E510" s="26">
        <f t="array" aca="1" ref="E510" ca="1">AVERAGE(IF(INDIRECT(DatCol&amp;"$"&amp;TEXT(C510,"###")):INDIRECT(DatCol&amp;"$"&amp;TEXT(C510+57,"###"))&gt;0,INDIRECT(DatCol&amp;"$"&amp;TEXT(C510,"###")):INDIRECT(DatCol&amp;"$"&amp;TEXT(C510+57,"###"))))</f>
        <v>2059.090909090909</v>
      </c>
      <c r="F510" s="26" t="str">
        <f t="shared" si="471"/>
        <v>S</v>
      </c>
      <c r="G510" s="9">
        <v>140</v>
      </c>
      <c r="H510" s="9">
        <v>700</v>
      </c>
      <c r="I510" s="9">
        <v>65</v>
      </c>
      <c r="J510" s="9">
        <v>1400</v>
      </c>
      <c r="K510" s="9">
        <f t="shared" si="465"/>
        <v>2240</v>
      </c>
      <c r="L510" s="10">
        <v>2940.5</v>
      </c>
      <c r="M510" s="11">
        <v>147025</v>
      </c>
      <c r="N510" s="10">
        <v>12000</v>
      </c>
      <c r="O510" s="11">
        <v>600000</v>
      </c>
      <c r="P510" s="10">
        <v>0</v>
      </c>
      <c r="Q510" s="11">
        <v>0</v>
      </c>
      <c r="X510" s="10">
        <v>2500</v>
      </c>
      <c r="Y510" s="11">
        <v>150000</v>
      </c>
      <c r="AF510" s="10">
        <v>0</v>
      </c>
      <c r="AG510" s="11">
        <v>0</v>
      </c>
      <c r="AH510" s="10">
        <v>0</v>
      </c>
      <c r="AI510" s="11">
        <v>0</v>
      </c>
      <c r="AJ510" s="10">
        <v>0</v>
      </c>
      <c r="AK510" s="13">
        <v>0</v>
      </c>
      <c r="AL510" s="10">
        <v>0</v>
      </c>
      <c r="AM510" s="13">
        <v>0</v>
      </c>
      <c r="AN510" s="10">
        <v>0</v>
      </c>
      <c r="AO510" s="11">
        <v>0</v>
      </c>
      <c r="AP510" s="10">
        <v>50</v>
      </c>
      <c r="AQ510" s="11">
        <v>4000</v>
      </c>
      <c r="AR510" s="10">
        <v>1626</v>
      </c>
      <c r="AS510" s="11">
        <v>81300</v>
      </c>
      <c r="AT510" s="10">
        <v>50</v>
      </c>
      <c r="AU510" s="11">
        <v>2500</v>
      </c>
      <c r="AV510" s="10">
        <v>0</v>
      </c>
      <c r="AW510" s="11">
        <v>0</v>
      </c>
      <c r="AX510" s="10">
        <v>0</v>
      </c>
      <c r="AY510" s="11">
        <v>0</v>
      </c>
      <c r="AZ510" s="10">
        <v>0</v>
      </c>
      <c r="BA510" s="11">
        <v>0</v>
      </c>
      <c r="BB510" s="10">
        <v>50</v>
      </c>
      <c r="BC510" s="11">
        <v>2000</v>
      </c>
      <c r="BE510" s="11">
        <v>0</v>
      </c>
      <c r="BG510" s="11">
        <v>0</v>
      </c>
      <c r="BN510" s="8">
        <f t="shared" si="463"/>
        <v>7066.5</v>
      </c>
      <c r="BO510" s="8">
        <f t="shared" si="464"/>
        <v>378325</v>
      </c>
      <c r="BP510" s="8">
        <f t="shared" si="469"/>
        <v>14650</v>
      </c>
      <c r="BQ510" s="12">
        <f t="shared" si="470"/>
        <v>758500</v>
      </c>
    </row>
    <row r="511" spans="1:69">
      <c r="A511" s="28">
        <v>2000</v>
      </c>
      <c r="B511" s="27" t="s">
        <v>47</v>
      </c>
      <c r="C511" s="24">
        <f t="shared" si="468"/>
        <v>466</v>
      </c>
      <c r="D511" s="7" t="e">
        <f t="shared" ca="1" si="462"/>
        <v>#N/A</v>
      </c>
      <c r="E511" s="26">
        <f t="array" aca="1" ref="E511" ca="1">AVERAGE(IF(INDIRECT(DatCol&amp;"$"&amp;TEXT(C511,"###")):INDIRECT(DatCol&amp;"$"&amp;TEXT(C511+57,"###"))&gt;0,INDIRECT(DatCol&amp;"$"&amp;TEXT(C511,"###")):INDIRECT(DatCol&amp;"$"&amp;TEXT(C511+57,"###"))))</f>
        <v>2059.090909090909</v>
      </c>
      <c r="F511" s="26" t="str">
        <f t="shared" si="471"/>
        <v>S</v>
      </c>
      <c r="G511" s="9">
        <v>140</v>
      </c>
      <c r="H511" s="9">
        <v>700</v>
      </c>
      <c r="I511" s="9">
        <v>65</v>
      </c>
      <c r="J511" s="9">
        <v>1400</v>
      </c>
      <c r="K511" s="9">
        <f t="shared" si="465"/>
        <v>2240</v>
      </c>
      <c r="L511" s="10">
        <v>1836</v>
      </c>
      <c r="M511" s="11">
        <f>L511*50</f>
        <v>91800</v>
      </c>
      <c r="N511" s="10">
        <v>12000</v>
      </c>
      <c r="O511" s="11">
        <v>600000</v>
      </c>
      <c r="P511" s="10">
        <v>19</v>
      </c>
      <c r="Q511" s="11">
        <f>P511*49.5</f>
        <v>940.5</v>
      </c>
      <c r="X511" s="10">
        <v>2500</v>
      </c>
      <c r="Y511" s="11">
        <v>150000</v>
      </c>
      <c r="AF511" s="10">
        <v>0</v>
      </c>
      <c r="AG511" s="11">
        <v>0</v>
      </c>
      <c r="AH511" s="10">
        <v>0</v>
      </c>
      <c r="AI511" s="11">
        <v>0</v>
      </c>
      <c r="AJ511" s="10">
        <v>0</v>
      </c>
      <c r="AK511" s="13">
        <v>0</v>
      </c>
      <c r="AL511" s="10">
        <v>0</v>
      </c>
      <c r="AM511" s="13">
        <v>0</v>
      </c>
      <c r="AN511" s="10">
        <v>0</v>
      </c>
      <c r="AO511" s="11">
        <v>0</v>
      </c>
      <c r="AP511" s="10">
        <v>50</v>
      </c>
      <c r="AQ511" s="11">
        <v>4000</v>
      </c>
      <c r="AR511" s="10">
        <v>1626</v>
      </c>
      <c r="AS511" s="11">
        <v>81300</v>
      </c>
      <c r="AT511" s="10">
        <v>50</v>
      </c>
      <c r="AU511" s="11">
        <v>2500</v>
      </c>
      <c r="AV511" s="10">
        <v>0</v>
      </c>
      <c r="AW511" s="11">
        <v>0</v>
      </c>
      <c r="AX511" s="10">
        <v>0</v>
      </c>
      <c r="AY511" s="11">
        <v>0</v>
      </c>
      <c r="AZ511" s="10">
        <v>0</v>
      </c>
      <c r="BA511" s="11">
        <v>0</v>
      </c>
      <c r="BB511" s="10">
        <v>309</v>
      </c>
      <c r="BC511" s="11">
        <f>BB511*40</f>
        <v>12360</v>
      </c>
      <c r="BE511" s="11">
        <v>0</v>
      </c>
      <c r="BG511" s="11">
        <v>0</v>
      </c>
      <c r="BN511" s="8">
        <f t="shared" si="463"/>
        <v>5981</v>
      </c>
      <c r="BO511" s="8">
        <f t="shared" si="464"/>
        <v>324040.5</v>
      </c>
      <c r="BP511" s="8">
        <f t="shared" si="469"/>
        <v>14909</v>
      </c>
      <c r="BQ511" s="12">
        <f t="shared" si="470"/>
        <v>768860</v>
      </c>
    </row>
    <row r="512" spans="1:69">
      <c r="A512" s="28">
        <v>2001</v>
      </c>
      <c r="B512" s="27" t="s">
        <v>47</v>
      </c>
      <c r="C512" s="24">
        <f t="shared" si="468"/>
        <v>466</v>
      </c>
      <c r="D512" s="7" t="e">
        <f t="shared" ca="1" si="462"/>
        <v>#N/A</v>
      </c>
      <c r="E512" s="26">
        <f t="array" aca="1" ref="E512" ca="1">AVERAGE(IF(INDIRECT(DatCol&amp;"$"&amp;TEXT(C512,"###")):INDIRECT(DatCol&amp;"$"&amp;TEXT(C512+57,"###"))&gt;0,INDIRECT(DatCol&amp;"$"&amp;TEXT(C512,"###")):INDIRECT(DatCol&amp;"$"&amp;TEXT(C512+57,"###"))))</f>
        <v>2059.090909090909</v>
      </c>
      <c r="F512" s="26" t="str">
        <f t="shared" si="471"/>
        <v>S</v>
      </c>
      <c r="G512" s="9">
        <v>0</v>
      </c>
      <c r="H512" s="9">
        <v>0</v>
      </c>
      <c r="I512" s="9">
        <v>36</v>
      </c>
      <c r="J512" s="9">
        <f>11389/8</f>
        <v>1423.625</v>
      </c>
      <c r="K512" s="9">
        <f t="shared" si="465"/>
        <v>1423.625</v>
      </c>
      <c r="L512" s="10">
        <f>M512/50</f>
        <v>1142.7</v>
      </c>
      <c r="M512" s="11">
        <f>879*65</f>
        <v>57135</v>
      </c>
      <c r="AK512" s="13"/>
      <c r="AM512" s="13"/>
      <c r="BN512" s="8">
        <f t="shared" si="463"/>
        <v>1142.7</v>
      </c>
      <c r="BO512" s="8">
        <f t="shared" si="464"/>
        <v>57135</v>
      </c>
      <c r="BP512" s="8">
        <f t="shared" si="469"/>
        <v>0</v>
      </c>
      <c r="BQ512" s="12">
        <f t="shared" si="470"/>
        <v>0</v>
      </c>
    </row>
    <row r="513" spans="1:69">
      <c r="A513" s="28">
        <v>2002</v>
      </c>
      <c r="B513" s="27" t="s">
        <v>47</v>
      </c>
      <c r="C513" s="24">
        <f t="shared" si="468"/>
        <v>466</v>
      </c>
      <c r="D513" s="7" t="e">
        <f t="shared" ca="1" si="462"/>
        <v>#N/A</v>
      </c>
      <c r="E513" s="26">
        <f t="array" aca="1" ref="E513" ca="1">AVERAGE(IF(INDIRECT(DatCol&amp;"$"&amp;TEXT(C513,"###")):INDIRECT(DatCol&amp;"$"&amp;TEXT(C513+57,"###"))&gt;0,INDIRECT(DatCol&amp;"$"&amp;TEXT(C513,"###")):INDIRECT(DatCol&amp;"$"&amp;TEXT(C513+57,"###"))))</f>
        <v>2059.090909090909</v>
      </c>
      <c r="F513" s="26" t="str">
        <f t="shared" si="471"/>
        <v>S</v>
      </c>
      <c r="G513" s="9">
        <v>0</v>
      </c>
      <c r="H513" s="9">
        <v>0</v>
      </c>
      <c r="I513" s="9">
        <v>36</v>
      </c>
      <c r="J513" s="9">
        <v>1209</v>
      </c>
      <c r="K513" s="9">
        <f t="shared" si="465"/>
        <v>1209</v>
      </c>
      <c r="L513" s="10">
        <f>M513/50</f>
        <v>1142.7</v>
      </c>
      <c r="M513" s="11">
        <f>879*65</f>
        <v>57135</v>
      </c>
      <c r="AK513" s="13"/>
      <c r="AM513" s="13"/>
      <c r="BN513" s="8">
        <f t="shared" si="463"/>
        <v>1142.7</v>
      </c>
      <c r="BO513" s="8">
        <f t="shared" si="464"/>
        <v>57135</v>
      </c>
      <c r="BP513" s="8">
        <f t="shared" si="469"/>
        <v>0</v>
      </c>
      <c r="BQ513" s="12">
        <f t="shared" si="470"/>
        <v>0</v>
      </c>
    </row>
    <row r="514" spans="1:69">
      <c r="A514" s="28">
        <v>2003</v>
      </c>
      <c r="B514" s="27" t="s">
        <v>47</v>
      </c>
      <c r="C514" s="24">
        <f t="shared" si="468"/>
        <v>466</v>
      </c>
      <c r="D514" s="7" t="e">
        <f t="shared" ref="D514:D577" ca="1" si="508">IF(AND((INDIRECT(DatCol&amp;TEXT(ROW(),"###"))&gt;0),((F514=RegionSelect)+(RegionSelect="A"))),INDIRECT(DatCol&amp;TEXT(ROW(),"###"))/E514,NA())</f>
        <v>#N/A</v>
      </c>
      <c r="E514" s="26">
        <f t="array" aca="1" ref="E514" ca="1">AVERAGE(IF(INDIRECT(DatCol&amp;"$"&amp;TEXT(C514,"###")):INDIRECT(DatCol&amp;"$"&amp;TEXT(C514+57,"###"))&gt;0,INDIRECT(DatCol&amp;"$"&amp;TEXT(C514,"###")):INDIRECT(DatCol&amp;"$"&amp;TEXT(C514+57,"###"))))</f>
        <v>2059.090909090909</v>
      </c>
      <c r="F514" s="26" t="str">
        <f t="shared" si="471"/>
        <v>S</v>
      </c>
      <c r="K514" s="9">
        <f t="shared" si="465"/>
        <v>0</v>
      </c>
      <c r="AK514" s="13"/>
      <c r="AM514" s="13"/>
      <c r="BN514" s="8">
        <f t="shared" si="463"/>
        <v>0</v>
      </c>
      <c r="BO514" s="8">
        <f t="shared" si="464"/>
        <v>0</v>
      </c>
      <c r="BP514" s="8">
        <f t="shared" si="469"/>
        <v>0</v>
      </c>
      <c r="BQ514" s="12">
        <f t="shared" si="470"/>
        <v>0</v>
      </c>
    </row>
    <row r="515" spans="1:69">
      <c r="A515" s="28">
        <v>2004</v>
      </c>
      <c r="B515" s="27" t="s">
        <v>47</v>
      </c>
      <c r="C515" s="24">
        <f t="shared" si="468"/>
        <v>466</v>
      </c>
      <c r="D515" s="7" t="e">
        <f t="shared" ca="1" si="508"/>
        <v>#N/A</v>
      </c>
      <c r="E515" s="26">
        <f t="array" aca="1" ref="E515" ca="1">AVERAGE(IF(INDIRECT(DatCol&amp;"$"&amp;TEXT(C515,"###")):INDIRECT(DatCol&amp;"$"&amp;TEXT(C515+57,"###"))&gt;0,INDIRECT(DatCol&amp;"$"&amp;TEXT(C515,"###")):INDIRECT(DatCol&amp;"$"&amp;TEXT(C515+57,"###"))))</f>
        <v>2059.090909090909</v>
      </c>
      <c r="F515" s="26" t="str">
        <f t="shared" si="471"/>
        <v>S</v>
      </c>
      <c r="K515" s="9">
        <f t="shared" si="465"/>
        <v>0</v>
      </c>
      <c r="AK515" s="13"/>
      <c r="AM515" s="13"/>
      <c r="BN515" s="8">
        <f t="shared" si="463"/>
        <v>0</v>
      </c>
      <c r="BO515" s="8">
        <f t="shared" si="464"/>
        <v>0</v>
      </c>
      <c r="BP515" s="8">
        <f t="shared" si="469"/>
        <v>0</v>
      </c>
      <c r="BQ515" s="12">
        <f t="shared" si="470"/>
        <v>0</v>
      </c>
    </row>
    <row r="516" spans="1:69">
      <c r="A516" s="28">
        <v>2005</v>
      </c>
      <c r="B516" s="27" t="s">
        <v>47</v>
      </c>
      <c r="C516" s="24">
        <f t="shared" si="468"/>
        <v>466</v>
      </c>
      <c r="D516" s="7" t="e">
        <f t="shared" ca="1" si="508"/>
        <v>#N/A</v>
      </c>
      <c r="E516" s="26">
        <f t="array" aca="1" ref="E516" ca="1">AVERAGE(IF(INDIRECT(DatCol&amp;"$"&amp;TEXT(C516,"###")):INDIRECT(DatCol&amp;"$"&amp;TEXT(C516+57,"###"))&gt;0,INDIRECT(DatCol&amp;"$"&amp;TEXT(C516,"###")):INDIRECT(DatCol&amp;"$"&amp;TEXT(C516+57,"###"))))</f>
        <v>2059.090909090909</v>
      </c>
      <c r="F516" s="26" t="str">
        <f t="shared" si="471"/>
        <v>S</v>
      </c>
      <c r="K516" s="9">
        <f t="shared" si="465"/>
        <v>0</v>
      </c>
      <c r="AK516" s="13"/>
      <c r="AM516" s="13"/>
      <c r="BN516" s="8">
        <f t="shared" si="463"/>
        <v>0</v>
      </c>
      <c r="BO516" s="8">
        <f t="shared" si="464"/>
        <v>0</v>
      </c>
      <c r="BP516" s="8">
        <f t="shared" si="469"/>
        <v>0</v>
      </c>
      <c r="BQ516" s="12">
        <f t="shared" si="470"/>
        <v>0</v>
      </c>
    </row>
    <row r="517" spans="1:69">
      <c r="A517" s="28">
        <v>2006</v>
      </c>
      <c r="B517" s="27" t="s">
        <v>47</v>
      </c>
      <c r="C517" s="24">
        <f t="shared" si="468"/>
        <v>466</v>
      </c>
      <c r="D517" s="7" t="e">
        <f t="shared" ca="1" si="508"/>
        <v>#N/A</v>
      </c>
      <c r="E517" s="26">
        <f t="array" aca="1" ref="E517" ca="1">AVERAGE(IF(INDIRECT(DatCol&amp;"$"&amp;TEXT(C517,"###")):INDIRECT(DatCol&amp;"$"&amp;TEXT(C517+57,"###"))&gt;0,INDIRECT(DatCol&amp;"$"&amp;TEXT(C517,"###")):INDIRECT(DatCol&amp;"$"&amp;TEXT(C517+57,"###"))))</f>
        <v>2059.090909090909</v>
      </c>
      <c r="F517" s="26" t="str">
        <f t="shared" si="471"/>
        <v>S</v>
      </c>
      <c r="K517" s="9">
        <f t="shared" si="465"/>
        <v>0</v>
      </c>
      <c r="AK517" s="13"/>
      <c r="AM517" s="13"/>
      <c r="BN517" s="8">
        <f t="shared" si="463"/>
        <v>0</v>
      </c>
      <c r="BO517" s="8">
        <f t="shared" si="464"/>
        <v>0</v>
      </c>
      <c r="BP517" s="8">
        <f t="shared" si="469"/>
        <v>0</v>
      </c>
      <c r="BQ517" s="12">
        <f t="shared" si="470"/>
        <v>0</v>
      </c>
    </row>
    <row r="518" spans="1:69">
      <c r="A518" s="28">
        <v>2007</v>
      </c>
      <c r="B518" s="27" t="s">
        <v>47</v>
      </c>
      <c r="C518" s="24">
        <f t="shared" si="468"/>
        <v>466</v>
      </c>
      <c r="D518" s="7" t="e">
        <f t="shared" ca="1" si="508"/>
        <v>#N/A</v>
      </c>
      <c r="E518" s="26">
        <f t="array" aca="1" ref="E518" ca="1">AVERAGE(IF(INDIRECT(DatCol&amp;"$"&amp;TEXT(C518,"###")):INDIRECT(DatCol&amp;"$"&amp;TEXT(C518+57,"###"))&gt;0,INDIRECT(DatCol&amp;"$"&amp;TEXT(C518,"###")):INDIRECT(DatCol&amp;"$"&amp;TEXT(C518+57,"###"))))</f>
        <v>2059.090909090909</v>
      </c>
      <c r="F518" s="26" t="str">
        <f t="shared" si="471"/>
        <v>S</v>
      </c>
      <c r="K518" s="9">
        <f t="shared" si="465"/>
        <v>0</v>
      </c>
      <c r="AK518" s="13"/>
      <c r="AM518" s="13"/>
      <c r="BN518" s="8">
        <f t="shared" si="463"/>
        <v>0</v>
      </c>
      <c r="BO518" s="8">
        <f t="shared" si="464"/>
        <v>0</v>
      </c>
      <c r="BP518" s="8">
        <f t="shared" si="469"/>
        <v>0</v>
      </c>
      <c r="BQ518" s="12">
        <f t="shared" si="470"/>
        <v>0</v>
      </c>
    </row>
    <row r="519" spans="1:69">
      <c r="A519" s="28">
        <v>2008</v>
      </c>
      <c r="B519" s="27" t="s">
        <v>47</v>
      </c>
      <c r="C519" s="24">
        <f t="shared" si="468"/>
        <v>466</v>
      </c>
      <c r="D519" s="7" t="e">
        <f t="shared" ca="1" si="508"/>
        <v>#N/A</v>
      </c>
      <c r="E519" s="26">
        <f t="array" aca="1" ref="E519" ca="1">AVERAGE(IF(INDIRECT(DatCol&amp;"$"&amp;TEXT(C519,"###")):INDIRECT(DatCol&amp;"$"&amp;TEXT(C519+57,"###"))&gt;0,INDIRECT(DatCol&amp;"$"&amp;TEXT(C519,"###")):INDIRECT(DatCol&amp;"$"&amp;TEXT(C519+57,"###"))))</f>
        <v>2059.090909090909</v>
      </c>
      <c r="F519" s="26" t="str">
        <f t="shared" si="471"/>
        <v>S</v>
      </c>
      <c r="K519" s="9">
        <f t="shared" si="465"/>
        <v>0</v>
      </c>
      <c r="AK519" s="13"/>
      <c r="AM519" s="13"/>
      <c r="BN519" s="8">
        <f t="shared" si="463"/>
        <v>0</v>
      </c>
      <c r="BO519" s="8">
        <f t="shared" si="464"/>
        <v>0</v>
      </c>
      <c r="BP519" s="8">
        <f t="shared" si="469"/>
        <v>0</v>
      </c>
      <c r="BQ519" s="12">
        <f t="shared" si="470"/>
        <v>0</v>
      </c>
    </row>
    <row r="520" spans="1:69">
      <c r="A520" s="28">
        <v>2009</v>
      </c>
      <c r="B520" s="27" t="s">
        <v>47</v>
      </c>
      <c r="C520" s="24">
        <f t="shared" si="468"/>
        <v>466</v>
      </c>
      <c r="D520" s="7" t="e">
        <f t="shared" ca="1" si="508"/>
        <v>#N/A</v>
      </c>
      <c r="E520" s="26">
        <f t="array" aca="1" ref="E520" ca="1">AVERAGE(IF(INDIRECT(DatCol&amp;"$"&amp;TEXT(C520,"###")):INDIRECT(DatCol&amp;"$"&amp;TEXT(C520+57,"###"))&gt;0,INDIRECT(DatCol&amp;"$"&amp;TEXT(C520,"###")):INDIRECT(DatCol&amp;"$"&amp;TEXT(C520+57,"###"))))</f>
        <v>2059.090909090909</v>
      </c>
      <c r="F520" s="26" t="str">
        <f t="shared" si="471"/>
        <v>S</v>
      </c>
      <c r="K520" s="9">
        <f t="shared" si="465"/>
        <v>0</v>
      </c>
      <c r="AK520" s="13"/>
      <c r="AM520" s="13"/>
      <c r="BN520" s="8">
        <f t="shared" si="463"/>
        <v>0</v>
      </c>
      <c r="BO520" s="8">
        <f t="shared" si="464"/>
        <v>0</v>
      </c>
      <c r="BP520" s="8">
        <f t="shared" si="469"/>
        <v>0</v>
      </c>
      <c r="BQ520" s="12">
        <f t="shared" si="470"/>
        <v>0</v>
      </c>
    </row>
    <row r="521" spans="1:69">
      <c r="A521" s="28">
        <v>2010</v>
      </c>
      <c r="B521" s="27" t="s">
        <v>47</v>
      </c>
      <c r="C521" s="24">
        <f t="shared" si="468"/>
        <v>466</v>
      </c>
      <c r="D521" s="7" t="e">
        <f t="shared" ca="1" si="508"/>
        <v>#N/A</v>
      </c>
      <c r="E521" s="26">
        <f t="array" aca="1" ref="E521" ca="1">AVERAGE(IF(INDIRECT(DatCol&amp;"$"&amp;TEXT(C521,"###")):INDIRECT(DatCol&amp;"$"&amp;TEXT(C521+57,"###"))&gt;0,INDIRECT(DatCol&amp;"$"&amp;TEXT(C521,"###")):INDIRECT(DatCol&amp;"$"&amp;TEXT(C521+57,"###"))))</f>
        <v>2059.090909090909</v>
      </c>
      <c r="F521" s="26" t="str">
        <f t="shared" ref="F521:F523" si="509">VLOOKUP(B521,town_region,2,FALSE)</f>
        <v>S</v>
      </c>
      <c r="AK521" s="13"/>
      <c r="AM521" s="13"/>
      <c r="BN521" s="8"/>
      <c r="BO521" s="8"/>
      <c r="BP521" s="8"/>
      <c r="BQ521" s="12"/>
    </row>
    <row r="522" spans="1:69">
      <c r="A522" s="28">
        <v>2011</v>
      </c>
      <c r="B522" s="27" t="s">
        <v>47</v>
      </c>
      <c r="C522" s="24">
        <f t="shared" si="468"/>
        <v>466</v>
      </c>
      <c r="D522" s="7" t="e">
        <f t="shared" ca="1" si="508"/>
        <v>#N/A</v>
      </c>
      <c r="E522" s="26">
        <f t="array" aca="1" ref="E522" ca="1">AVERAGE(IF(INDIRECT(DatCol&amp;"$"&amp;TEXT(C522,"###")):INDIRECT(DatCol&amp;"$"&amp;TEXT(C522+57,"###"))&gt;0,INDIRECT(DatCol&amp;"$"&amp;TEXT(C522,"###")):INDIRECT(DatCol&amp;"$"&amp;TEXT(C522+57,"###"))))</f>
        <v>2059.090909090909</v>
      </c>
      <c r="F522" s="26" t="str">
        <f t="shared" si="509"/>
        <v>S</v>
      </c>
      <c r="AK522" s="13"/>
      <c r="AM522" s="13"/>
      <c r="BN522" s="8"/>
      <c r="BO522" s="8"/>
      <c r="BP522" s="8"/>
      <c r="BQ522" s="12"/>
    </row>
    <row r="523" spans="1:69">
      <c r="A523" s="28">
        <v>2012</v>
      </c>
      <c r="B523" s="27" t="s">
        <v>47</v>
      </c>
      <c r="C523" s="24">
        <f t="shared" si="468"/>
        <v>466</v>
      </c>
      <c r="D523" s="7" t="e">
        <f t="shared" ca="1" si="508"/>
        <v>#N/A</v>
      </c>
      <c r="E523" s="26">
        <f t="array" aca="1" ref="E523" ca="1">AVERAGE(IF(INDIRECT(DatCol&amp;"$"&amp;TEXT(C523,"###")):INDIRECT(DatCol&amp;"$"&amp;TEXT(C523+57,"###"))&gt;0,INDIRECT(DatCol&amp;"$"&amp;TEXT(C523,"###")):INDIRECT(DatCol&amp;"$"&amp;TEXT(C523+57,"###"))))</f>
        <v>2059.090909090909</v>
      </c>
      <c r="F523" s="26" t="str">
        <f t="shared" si="509"/>
        <v>S</v>
      </c>
      <c r="AK523" s="13"/>
      <c r="AM523" s="13"/>
      <c r="BN523" s="8"/>
      <c r="BO523" s="8"/>
      <c r="BP523" s="8"/>
      <c r="BQ523" s="12"/>
    </row>
    <row r="524" spans="1:69">
      <c r="A524" s="28">
        <v>1955</v>
      </c>
      <c r="B524" s="27" t="s">
        <v>49</v>
      </c>
      <c r="C524" s="24">
        <f>ROW()</f>
        <v>524</v>
      </c>
      <c r="D524" s="7" t="e">
        <f t="shared" ca="1" si="508"/>
        <v>#N/A</v>
      </c>
      <c r="E524" s="26">
        <f t="array" aca="1" ref="E524" ca="1">AVERAGE(IF(INDIRECT(DatCol&amp;"$"&amp;TEXT(C524,"###")):INDIRECT(DatCol&amp;"$"&amp;TEXT(C524+57,"###"))&gt;0,INDIRECT(DatCol&amp;"$"&amp;TEXT(C524,"###")):INDIRECT(DatCol&amp;"$"&amp;TEXT(C524+57,"###"))))</f>
        <v>541.77027027027032</v>
      </c>
      <c r="F524" s="26" t="str">
        <f t="shared" si="471"/>
        <v>C</v>
      </c>
      <c r="G524" s="8"/>
      <c r="H524" s="8">
        <v>175</v>
      </c>
      <c r="J524" s="8">
        <v>839</v>
      </c>
      <c r="K524" s="9">
        <f t="shared" ref="K524:K588" si="510">G524+H524+J524</f>
        <v>1014</v>
      </c>
      <c r="M524" s="11">
        <f t="shared" ref="M524:M537" si="511">(L524*50)</f>
        <v>0</v>
      </c>
      <c r="O524" s="11">
        <f t="shared" ref="O524:O537" si="512">(N524*50)</f>
        <v>0</v>
      </c>
      <c r="Q524" s="11">
        <f t="shared" ref="Q524:Q537" si="513">((P524*330)/5.5)</f>
        <v>0</v>
      </c>
      <c r="Y524" s="11">
        <f t="shared" ref="Y524:Y537" si="514">((X524*330)/5.5)</f>
        <v>0</v>
      </c>
      <c r="AG524" s="11">
        <f t="shared" ref="AG524:AG537" si="515">(AF524*65)</f>
        <v>0</v>
      </c>
      <c r="AI524" s="11">
        <f t="shared" ref="AI524:AI537" si="516">(AH524*65)</f>
        <v>0</v>
      </c>
      <c r="AK524" s="13">
        <f t="shared" ref="AK524:AK537" si="517">(AJ524*9)</f>
        <v>0</v>
      </c>
      <c r="AM524" s="13">
        <f t="shared" ref="AM524:AM537" si="518">(AL524*9)</f>
        <v>0</v>
      </c>
      <c r="AO524" s="11">
        <f t="shared" ref="AO524:AO537" si="519">(AN524*80)</f>
        <v>0</v>
      </c>
      <c r="AQ524" s="11">
        <f t="shared" ref="AQ524:AQ537" si="520">(AP524*80)</f>
        <v>0</v>
      </c>
      <c r="AS524" s="11">
        <f t="shared" ref="AS524:AS537" si="521">(AR524*50)</f>
        <v>0</v>
      </c>
      <c r="AU524" s="11">
        <f t="shared" ref="AU524:AU537" si="522">(AT524*50)</f>
        <v>0</v>
      </c>
      <c r="AW524" s="11">
        <f t="shared" ref="AW524:AW537" si="523">(AV524*60)</f>
        <v>0</v>
      </c>
      <c r="AY524" s="11">
        <f t="shared" ref="AY524:AY537" si="524">(AX524*60)</f>
        <v>0</v>
      </c>
      <c r="BA524" s="11">
        <f t="shared" ref="BA524:BA537" si="525">(AZ524*40)</f>
        <v>0</v>
      </c>
      <c r="BC524" s="11">
        <f t="shared" ref="BC524:BC537" si="526">(BB524*40)</f>
        <v>0</v>
      </c>
      <c r="BE524" s="11">
        <f t="shared" ref="BE524:BE537" si="527">(BD524*95)</f>
        <v>0</v>
      </c>
      <c r="BG524" s="11">
        <f t="shared" ref="BG524:BG537" si="528">(BF524*95)</f>
        <v>0</v>
      </c>
      <c r="BN524" s="8">
        <f t="shared" ref="BN524:BN586" si="529">(L524+P524+R524+T524+V524+X524+Z524+AB524+AD524+AF524+AJ524+AN524+AR524+AV524+AZ524+BD524)</f>
        <v>0</v>
      </c>
      <c r="BO524" s="8">
        <f t="shared" ref="BO524:BO587" si="530">(M524+Q524+S524+U524+W524+Y524+AA524+AC524+AG524+AK524+AO524+AS524+AW524+BA524+BE524)</f>
        <v>0</v>
      </c>
      <c r="BP524" s="8">
        <f t="shared" si="469"/>
        <v>0</v>
      </c>
      <c r="BQ524" s="12">
        <f t="shared" si="470"/>
        <v>0</v>
      </c>
    </row>
    <row r="525" spans="1:69">
      <c r="A525" s="28">
        <v>1956</v>
      </c>
      <c r="B525" s="27" t="s">
        <v>49</v>
      </c>
      <c r="C525" s="24">
        <f t="shared" ref="C525:C581" si="531">C524</f>
        <v>524</v>
      </c>
      <c r="D525" s="7" t="e">
        <f t="shared" ca="1" si="508"/>
        <v>#N/A</v>
      </c>
      <c r="E525" s="26">
        <f t="array" aca="1" ref="E525" ca="1">AVERAGE(IF(INDIRECT(DatCol&amp;"$"&amp;TEXT(C525,"###")):INDIRECT(DatCol&amp;"$"&amp;TEXT(C525+57,"###"))&gt;0,INDIRECT(DatCol&amp;"$"&amp;TEXT(C525,"###")):INDIRECT(DatCol&amp;"$"&amp;TEXT(C525+57,"###"))))</f>
        <v>541.77027027027032</v>
      </c>
      <c r="F525" s="26" t="str">
        <f t="shared" si="471"/>
        <v>C</v>
      </c>
      <c r="G525" s="8"/>
      <c r="H525" s="8">
        <v>195</v>
      </c>
      <c r="I525" s="8">
        <v>27</v>
      </c>
      <c r="J525" s="8">
        <v>943</v>
      </c>
      <c r="K525" s="9">
        <f t="shared" si="510"/>
        <v>1138</v>
      </c>
      <c r="M525" s="11">
        <f t="shared" si="511"/>
        <v>0</v>
      </c>
      <c r="O525" s="11">
        <f t="shared" si="512"/>
        <v>0</v>
      </c>
      <c r="Q525" s="11">
        <f t="shared" si="513"/>
        <v>0</v>
      </c>
      <c r="Y525" s="11">
        <f t="shared" si="514"/>
        <v>0</v>
      </c>
      <c r="AG525" s="11">
        <f t="shared" si="515"/>
        <v>0</v>
      </c>
      <c r="AI525" s="11">
        <f t="shared" si="516"/>
        <v>0</v>
      </c>
      <c r="AJ525" s="12" t="s">
        <v>50</v>
      </c>
      <c r="AK525" s="13">
        <f t="shared" si="517"/>
        <v>0</v>
      </c>
      <c r="AM525" s="13">
        <f t="shared" si="518"/>
        <v>0</v>
      </c>
      <c r="AO525" s="11">
        <f t="shared" si="519"/>
        <v>0</v>
      </c>
      <c r="AQ525" s="11">
        <f t="shared" si="520"/>
        <v>0</v>
      </c>
      <c r="AS525" s="11">
        <f t="shared" si="521"/>
        <v>0</v>
      </c>
      <c r="AU525" s="11">
        <f t="shared" si="522"/>
        <v>0</v>
      </c>
      <c r="AW525" s="11">
        <f t="shared" si="523"/>
        <v>0</v>
      </c>
      <c r="AY525" s="11">
        <f t="shared" si="524"/>
        <v>0</v>
      </c>
      <c r="BA525" s="11">
        <f t="shared" si="525"/>
        <v>0</v>
      </c>
      <c r="BC525" s="11">
        <f t="shared" si="526"/>
        <v>0</v>
      </c>
      <c r="BE525" s="11">
        <f t="shared" si="527"/>
        <v>0</v>
      </c>
      <c r="BG525" s="11">
        <f t="shared" si="528"/>
        <v>0</v>
      </c>
      <c r="BN525" s="8">
        <f t="shared" si="529"/>
        <v>0</v>
      </c>
      <c r="BO525" s="8">
        <f t="shared" si="530"/>
        <v>0</v>
      </c>
      <c r="BP525" s="8">
        <f t="shared" si="469"/>
        <v>0</v>
      </c>
      <c r="BQ525" s="12">
        <f t="shared" si="470"/>
        <v>0</v>
      </c>
    </row>
    <row r="526" spans="1:69">
      <c r="A526" s="28">
        <v>1957</v>
      </c>
      <c r="B526" s="27" t="s">
        <v>49</v>
      </c>
      <c r="C526" s="24">
        <f t="shared" si="531"/>
        <v>524</v>
      </c>
      <c r="D526" s="7" t="e">
        <f t="shared" ca="1" si="508"/>
        <v>#N/A</v>
      </c>
      <c r="E526" s="26">
        <f t="array" aca="1" ref="E526" ca="1">AVERAGE(IF(INDIRECT(DatCol&amp;"$"&amp;TEXT(C526,"###")):INDIRECT(DatCol&amp;"$"&amp;TEXT(C526+57,"###"))&gt;0,INDIRECT(DatCol&amp;"$"&amp;TEXT(C526,"###")):INDIRECT(DatCol&amp;"$"&amp;TEXT(C526+57,"###"))))</f>
        <v>541.77027027027032</v>
      </c>
      <c r="F526" s="26" t="str">
        <f t="shared" si="471"/>
        <v>C</v>
      </c>
      <c r="G526" s="8"/>
      <c r="H526" s="8">
        <v>235</v>
      </c>
      <c r="I526" s="8">
        <v>26</v>
      </c>
      <c r="J526" s="8">
        <v>918</v>
      </c>
      <c r="K526" s="9">
        <f t="shared" si="510"/>
        <v>1153</v>
      </c>
      <c r="M526" s="11">
        <f t="shared" si="511"/>
        <v>0</v>
      </c>
      <c r="O526" s="11">
        <f t="shared" si="512"/>
        <v>0</v>
      </c>
      <c r="Q526" s="11">
        <f t="shared" si="513"/>
        <v>0</v>
      </c>
      <c r="Y526" s="11">
        <f t="shared" si="514"/>
        <v>0</v>
      </c>
      <c r="AG526" s="11">
        <f t="shared" si="515"/>
        <v>0</v>
      </c>
      <c r="AI526" s="11">
        <f t="shared" si="516"/>
        <v>0</v>
      </c>
      <c r="AJ526" s="12" t="s">
        <v>0</v>
      </c>
      <c r="AK526" s="13">
        <f t="shared" si="517"/>
        <v>0</v>
      </c>
      <c r="AM526" s="13">
        <f t="shared" si="518"/>
        <v>0</v>
      </c>
      <c r="AO526" s="11">
        <f t="shared" si="519"/>
        <v>0</v>
      </c>
      <c r="AQ526" s="11">
        <f t="shared" si="520"/>
        <v>0</v>
      </c>
      <c r="AS526" s="11">
        <f t="shared" si="521"/>
        <v>0</v>
      </c>
      <c r="AU526" s="11">
        <f t="shared" si="522"/>
        <v>0</v>
      </c>
      <c r="AW526" s="11">
        <f t="shared" si="523"/>
        <v>0</v>
      </c>
      <c r="AY526" s="11">
        <f t="shared" si="524"/>
        <v>0</v>
      </c>
      <c r="BA526" s="11">
        <f t="shared" si="525"/>
        <v>0</v>
      </c>
      <c r="BC526" s="11">
        <f t="shared" si="526"/>
        <v>0</v>
      </c>
      <c r="BE526" s="11">
        <f t="shared" si="527"/>
        <v>0</v>
      </c>
      <c r="BG526" s="11">
        <f t="shared" si="528"/>
        <v>0</v>
      </c>
      <c r="BN526" s="8">
        <f t="shared" si="529"/>
        <v>0</v>
      </c>
      <c r="BO526" s="8">
        <f t="shared" si="530"/>
        <v>0</v>
      </c>
      <c r="BP526" s="8">
        <f t="shared" si="469"/>
        <v>0</v>
      </c>
      <c r="BQ526" s="12">
        <f t="shared" si="470"/>
        <v>0</v>
      </c>
    </row>
    <row r="527" spans="1:69">
      <c r="A527" s="28">
        <v>1958</v>
      </c>
      <c r="B527" s="27" t="s">
        <v>49</v>
      </c>
      <c r="C527" s="24">
        <f t="shared" si="531"/>
        <v>524</v>
      </c>
      <c r="D527" s="7" t="e">
        <f t="shared" ca="1" si="508"/>
        <v>#N/A</v>
      </c>
      <c r="E527" s="26">
        <f t="array" aca="1" ref="E527" ca="1">AVERAGE(IF(INDIRECT(DatCol&amp;"$"&amp;TEXT(C527,"###")):INDIRECT(DatCol&amp;"$"&amp;TEXT(C527+57,"###"))&gt;0,INDIRECT(DatCol&amp;"$"&amp;TEXT(C527,"###")):INDIRECT(DatCol&amp;"$"&amp;TEXT(C527+57,"###"))))</f>
        <v>541.77027027027032</v>
      </c>
      <c r="F527" s="26" t="str">
        <f t="shared" si="471"/>
        <v>C</v>
      </c>
      <c r="G527" s="8"/>
      <c r="H527" s="8">
        <v>267</v>
      </c>
      <c r="I527" s="8">
        <v>47</v>
      </c>
      <c r="J527" s="8">
        <v>942</v>
      </c>
      <c r="K527" s="9">
        <f t="shared" si="510"/>
        <v>1209</v>
      </c>
      <c r="M527" s="11">
        <f t="shared" si="511"/>
        <v>0</v>
      </c>
      <c r="O527" s="11">
        <f t="shared" si="512"/>
        <v>0</v>
      </c>
      <c r="P527" s="12">
        <v>3336</v>
      </c>
      <c r="Q527" s="11">
        <f t="shared" si="513"/>
        <v>200160</v>
      </c>
      <c r="Y527" s="11">
        <f t="shared" si="514"/>
        <v>0</v>
      </c>
      <c r="AG527" s="11">
        <f t="shared" si="515"/>
        <v>0</v>
      </c>
      <c r="AI527" s="11">
        <f t="shared" si="516"/>
        <v>0</v>
      </c>
      <c r="AJ527" s="12">
        <v>2286</v>
      </c>
      <c r="AK527" s="13">
        <f t="shared" si="517"/>
        <v>20574</v>
      </c>
      <c r="AM527" s="13">
        <f t="shared" si="518"/>
        <v>0</v>
      </c>
      <c r="AO527" s="11">
        <f t="shared" si="519"/>
        <v>0</v>
      </c>
      <c r="AQ527" s="11">
        <f t="shared" si="520"/>
        <v>0</v>
      </c>
      <c r="AR527" s="12">
        <v>157</v>
      </c>
      <c r="AS527" s="11">
        <f t="shared" si="521"/>
        <v>7850</v>
      </c>
      <c r="AU527" s="11">
        <f t="shared" si="522"/>
        <v>0</v>
      </c>
      <c r="AW527" s="11">
        <f t="shared" si="523"/>
        <v>0</v>
      </c>
      <c r="AY527" s="11">
        <f t="shared" si="524"/>
        <v>0</v>
      </c>
      <c r="BA527" s="11">
        <f t="shared" si="525"/>
        <v>0</v>
      </c>
      <c r="BC527" s="11">
        <f t="shared" si="526"/>
        <v>0</v>
      </c>
      <c r="BE527" s="11">
        <f t="shared" si="527"/>
        <v>0</v>
      </c>
      <c r="BG527" s="11">
        <f t="shared" si="528"/>
        <v>0</v>
      </c>
      <c r="BN527" s="8">
        <f t="shared" si="529"/>
        <v>5779</v>
      </c>
      <c r="BO527" s="8">
        <f t="shared" si="530"/>
        <v>228584</v>
      </c>
      <c r="BP527" s="8">
        <f t="shared" si="469"/>
        <v>0</v>
      </c>
      <c r="BQ527" s="12">
        <f t="shared" si="470"/>
        <v>0</v>
      </c>
    </row>
    <row r="528" spans="1:69">
      <c r="A528" s="28">
        <v>1959</v>
      </c>
      <c r="B528" s="27" t="s">
        <v>49</v>
      </c>
      <c r="C528" s="24">
        <f t="shared" si="531"/>
        <v>524</v>
      </c>
      <c r="D528" s="7" t="e">
        <f t="shared" ca="1" si="508"/>
        <v>#N/A</v>
      </c>
      <c r="E528" s="26">
        <f t="array" aca="1" ref="E528" ca="1">AVERAGE(IF(INDIRECT(DatCol&amp;"$"&amp;TEXT(C528,"###")):INDIRECT(DatCol&amp;"$"&amp;TEXT(C528+57,"###"))&gt;0,INDIRECT(DatCol&amp;"$"&amp;TEXT(C528,"###")):INDIRECT(DatCol&amp;"$"&amp;TEXT(C528+57,"###"))))</f>
        <v>541.77027027027032</v>
      </c>
      <c r="F528" s="26" t="str">
        <f t="shared" si="471"/>
        <v>C</v>
      </c>
      <c r="G528" s="8"/>
      <c r="H528" s="8">
        <v>246</v>
      </c>
      <c r="I528" s="8">
        <v>18</v>
      </c>
      <c r="J528" s="8">
        <v>947</v>
      </c>
      <c r="K528" s="9">
        <f t="shared" si="510"/>
        <v>1193</v>
      </c>
      <c r="M528" s="11">
        <f t="shared" si="511"/>
        <v>0</v>
      </c>
      <c r="O528" s="11">
        <f t="shared" si="512"/>
        <v>0</v>
      </c>
      <c r="Q528" s="11">
        <f t="shared" si="513"/>
        <v>0</v>
      </c>
      <c r="Y528" s="11">
        <f t="shared" si="514"/>
        <v>0</v>
      </c>
      <c r="AG528" s="11">
        <f t="shared" si="515"/>
        <v>0</v>
      </c>
      <c r="AI528" s="11">
        <f t="shared" si="516"/>
        <v>0</v>
      </c>
      <c r="AK528" s="13">
        <f t="shared" si="517"/>
        <v>0</v>
      </c>
      <c r="AM528" s="13">
        <f t="shared" si="518"/>
        <v>0</v>
      </c>
      <c r="AO528" s="11">
        <f t="shared" si="519"/>
        <v>0</v>
      </c>
      <c r="AQ528" s="11">
        <f t="shared" si="520"/>
        <v>0</v>
      </c>
      <c r="AS528" s="11">
        <f t="shared" si="521"/>
        <v>0</v>
      </c>
      <c r="AU528" s="11">
        <f t="shared" si="522"/>
        <v>0</v>
      </c>
      <c r="AW528" s="11">
        <f t="shared" si="523"/>
        <v>0</v>
      </c>
      <c r="AY528" s="11">
        <f t="shared" si="524"/>
        <v>0</v>
      </c>
      <c r="BA528" s="11">
        <f t="shared" si="525"/>
        <v>0</v>
      </c>
      <c r="BC528" s="11">
        <f t="shared" si="526"/>
        <v>0</v>
      </c>
      <c r="BE528" s="11">
        <f t="shared" si="527"/>
        <v>0</v>
      </c>
      <c r="BG528" s="11">
        <f t="shared" si="528"/>
        <v>0</v>
      </c>
      <c r="BN528" s="8">
        <f t="shared" si="529"/>
        <v>0</v>
      </c>
      <c r="BO528" s="8">
        <f t="shared" si="530"/>
        <v>0</v>
      </c>
      <c r="BP528" s="8">
        <f t="shared" si="469"/>
        <v>0</v>
      </c>
      <c r="BQ528" s="12">
        <f t="shared" si="470"/>
        <v>0</v>
      </c>
    </row>
    <row r="529" spans="1:69">
      <c r="A529" s="28">
        <v>1960</v>
      </c>
      <c r="B529" s="27" t="s">
        <v>49</v>
      </c>
      <c r="C529" s="24">
        <f t="shared" si="531"/>
        <v>524</v>
      </c>
      <c r="D529" s="7" t="e">
        <f t="shared" ca="1" si="508"/>
        <v>#N/A</v>
      </c>
      <c r="E529" s="26">
        <f t="array" aca="1" ref="E529" ca="1">AVERAGE(IF(INDIRECT(DatCol&amp;"$"&amp;TEXT(C529,"###")):INDIRECT(DatCol&amp;"$"&amp;TEXT(C529+57,"###"))&gt;0,INDIRECT(DatCol&amp;"$"&amp;TEXT(C529,"###")):INDIRECT(DatCol&amp;"$"&amp;TEXT(C529+57,"###"))))</f>
        <v>541.77027027027032</v>
      </c>
      <c r="F529" s="26" t="str">
        <f t="shared" si="471"/>
        <v>C</v>
      </c>
      <c r="G529" s="8"/>
      <c r="H529" s="8">
        <v>244</v>
      </c>
      <c r="I529" s="8">
        <v>31</v>
      </c>
      <c r="J529" s="8">
        <v>976</v>
      </c>
      <c r="K529" s="9">
        <f t="shared" si="510"/>
        <v>1220</v>
      </c>
      <c r="L529" s="12">
        <v>200</v>
      </c>
      <c r="M529" s="11">
        <f t="shared" si="511"/>
        <v>10000</v>
      </c>
      <c r="O529" s="11">
        <f t="shared" si="512"/>
        <v>0</v>
      </c>
      <c r="P529" s="12">
        <v>11000</v>
      </c>
      <c r="Q529" s="11">
        <f t="shared" si="513"/>
        <v>660000</v>
      </c>
      <c r="Y529" s="11">
        <f t="shared" si="514"/>
        <v>0</v>
      </c>
      <c r="AG529" s="11">
        <f t="shared" si="515"/>
        <v>0</v>
      </c>
      <c r="AI529" s="11">
        <f t="shared" si="516"/>
        <v>0</v>
      </c>
      <c r="AK529" s="13">
        <f t="shared" si="517"/>
        <v>0</v>
      </c>
      <c r="AM529" s="13">
        <f t="shared" si="518"/>
        <v>0</v>
      </c>
      <c r="AO529" s="11">
        <f t="shared" si="519"/>
        <v>0</v>
      </c>
      <c r="AQ529" s="11">
        <f t="shared" si="520"/>
        <v>0</v>
      </c>
      <c r="AR529" s="12">
        <v>4000</v>
      </c>
      <c r="AS529" s="11">
        <f t="shared" si="521"/>
        <v>200000</v>
      </c>
      <c r="AU529" s="11">
        <f t="shared" si="522"/>
        <v>0</v>
      </c>
      <c r="AW529" s="11">
        <f t="shared" si="523"/>
        <v>0</v>
      </c>
      <c r="AY529" s="11">
        <f t="shared" si="524"/>
        <v>0</v>
      </c>
      <c r="BA529" s="11">
        <f t="shared" si="525"/>
        <v>0</v>
      </c>
      <c r="BC529" s="11">
        <f t="shared" si="526"/>
        <v>0</v>
      </c>
      <c r="BE529" s="11">
        <f t="shared" si="527"/>
        <v>0</v>
      </c>
      <c r="BG529" s="11">
        <f t="shared" si="528"/>
        <v>0</v>
      </c>
      <c r="BN529" s="8">
        <f t="shared" si="529"/>
        <v>15200</v>
      </c>
      <c r="BO529" s="8">
        <f t="shared" si="530"/>
        <v>870000</v>
      </c>
      <c r="BP529" s="8">
        <f t="shared" si="469"/>
        <v>0</v>
      </c>
      <c r="BQ529" s="12">
        <f t="shared" si="470"/>
        <v>0</v>
      </c>
    </row>
    <row r="530" spans="1:69">
      <c r="A530" s="28">
        <v>1961</v>
      </c>
      <c r="B530" s="27" t="s">
        <v>49</v>
      </c>
      <c r="C530" s="24">
        <f t="shared" si="531"/>
        <v>524</v>
      </c>
      <c r="D530" s="7" t="e">
        <f t="shared" ca="1" si="508"/>
        <v>#N/A</v>
      </c>
      <c r="E530" s="26">
        <f t="array" aca="1" ref="E530" ca="1">AVERAGE(IF(INDIRECT(DatCol&amp;"$"&amp;TEXT(C530,"###")):INDIRECT(DatCol&amp;"$"&amp;TEXT(C530+57,"###"))&gt;0,INDIRECT(DatCol&amp;"$"&amp;TEXT(C530,"###")):INDIRECT(DatCol&amp;"$"&amp;TEXT(C530+57,"###"))))</f>
        <v>541.77027027027032</v>
      </c>
      <c r="F530" s="26" t="str">
        <f t="shared" si="471"/>
        <v>C</v>
      </c>
      <c r="G530" s="8"/>
      <c r="H530" s="8">
        <v>165</v>
      </c>
      <c r="I530" s="8">
        <v>31</v>
      </c>
      <c r="J530" s="8">
        <v>1077</v>
      </c>
      <c r="K530" s="9">
        <f t="shared" si="510"/>
        <v>1242</v>
      </c>
      <c r="M530" s="11">
        <f t="shared" si="511"/>
        <v>0</v>
      </c>
      <c r="O530" s="11">
        <f t="shared" si="512"/>
        <v>0</v>
      </c>
      <c r="P530" s="12">
        <v>16000</v>
      </c>
      <c r="Q530" s="11">
        <f t="shared" si="513"/>
        <v>960000</v>
      </c>
      <c r="Y530" s="11">
        <f t="shared" si="514"/>
        <v>0</v>
      </c>
      <c r="AG530" s="11">
        <f t="shared" si="515"/>
        <v>0</v>
      </c>
      <c r="AI530" s="11">
        <f t="shared" si="516"/>
        <v>0</v>
      </c>
      <c r="AK530" s="13">
        <f t="shared" si="517"/>
        <v>0</v>
      </c>
      <c r="AM530" s="13">
        <f t="shared" si="518"/>
        <v>0</v>
      </c>
      <c r="AO530" s="11">
        <f t="shared" si="519"/>
        <v>0</v>
      </c>
      <c r="AQ530" s="11">
        <f t="shared" si="520"/>
        <v>0</v>
      </c>
      <c r="AR530" s="12">
        <v>4000</v>
      </c>
      <c r="AS530" s="11">
        <f t="shared" si="521"/>
        <v>200000</v>
      </c>
      <c r="AU530" s="11">
        <f t="shared" si="522"/>
        <v>0</v>
      </c>
      <c r="AW530" s="11">
        <f t="shared" si="523"/>
        <v>0</v>
      </c>
      <c r="AY530" s="11">
        <f t="shared" si="524"/>
        <v>0</v>
      </c>
      <c r="BA530" s="11">
        <f t="shared" si="525"/>
        <v>0</v>
      </c>
      <c r="BC530" s="11">
        <f t="shared" si="526"/>
        <v>0</v>
      </c>
      <c r="BE530" s="11">
        <f t="shared" si="527"/>
        <v>0</v>
      </c>
      <c r="BG530" s="11">
        <f t="shared" si="528"/>
        <v>0</v>
      </c>
      <c r="BN530" s="8">
        <f t="shared" si="529"/>
        <v>20000</v>
      </c>
      <c r="BO530" s="8">
        <f t="shared" si="530"/>
        <v>1160000</v>
      </c>
      <c r="BP530" s="8">
        <f t="shared" si="469"/>
        <v>0</v>
      </c>
      <c r="BQ530" s="12">
        <f t="shared" si="470"/>
        <v>0</v>
      </c>
    </row>
    <row r="531" spans="1:69">
      <c r="A531" s="28">
        <v>1962</v>
      </c>
      <c r="B531" s="27" t="s">
        <v>49</v>
      </c>
      <c r="C531" s="24">
        <f t="shared" si="531"/>
        <v>524</v>
      </c>
      <c r="D531" s="7" t="e">
        <f t="shared" ca="1" si="508"/>
        <v>#N/A</v>
      </c>
      <c r="E531" s="26">
        <f t="array" aca="1" ref="E531" ca="1">AVERAGE(IF(INDIRECT(DatCol&amp;"$"&amp;TEXT(C531,"###")):INDIRECT(DatCol&amp;"$"&amp;TEXT(C531+57,"###"))&gt;0,INDIRECT(DatCol&amp;"$"&amp;TEXT(C531,"###")):INDIRECT(DatCol&amp;"$"&amp;TEXT(C531+57,"###"))))</f>
        <v>541.77027027027032</v>
      </c>
      <c r="F531" s="26" t="str">
        <f t="shared" si="471"/>
        <v>C</v>
      </c>
      <c r="G531" s="8"/>
      <c r="K531" s="9">
        <f t="shared" si="510"/>
        <v>0</v>
      </c>
      <c r="M531" s="11">
        <f t="shared" si="511"/>
        <v>0</v>
      </c>
      <c r="O531" s="11">
        <f t="shared" si="512"/>
        <v>0</v>
      </c>
      <c r="P531" s="12">
        <v>24000</v>
      </c>
      <c r="Q531" s="11">
        <f t="shared" si="513"/>
        <v>1440000</v>
      </c>
      <c r="Y531" s="11">
        <f t="shared" si="514"/>
        <v>0</v>
      </c>
      <c r="AG531" s="11">
        <f t="shared" si="515"/>
        <v>0</v>
      </c>
      <c r="AI531" s="11">
        <f t="shared" si="516"/>
        <v>0</v>
      </c>
      <c r="AJ531" s="12">
        <v>4000</v>
      </c>
      <c r="AK531" s="13">
        <f t="shared" si="517"/>
        <v>36000</v>
      </c>
      <c r="AM531" s="13">
        <f t="shared" si="518"/>
        <v>0</v>
      </c>
      <c r="AO531" s="11">
        <f t="shared" si="519"/>
        <v>0</v>
      </c>
      <c r="AQ531" s="11">
        <f t="shared" si="520"/>
        <v>0</v>
      </c>
      <c r="AR531" s="12">
        <v>12000</v>
      </c>
      <c r="AS531" s="11">
        <f t="shared" si="521"/>
        <v>600000</v>
      </c>
      <c r="AU531" s="11">
        <f t="shared" si="522"/>
        <v>0</v>
      </c>
      <c r="AW531" s="11">
        <f t="shared" si="523"/>
        <v>0</v>
      </c>
      <c r="AY531" s="11">
        <f t="shared" si="524"/>
        <v>0</v>
      </c>
      <c r="BA531" s="11">
        <f t="shared" si="525"/>
        <v>0</v>
      </c>
      <c r="BC531" s="11">
        <f t="shared" si="526"/>
        <v>0</v>
      </c>
      <c r="BE531" s="11">
        <f t="shared" si="527"/>
        <v>0</v>
      </c>
      <c r="BG531" s="11">
        <f t="shared" si="528"/>
        <v>0</v>
      </c>
      <c r="BN531" s="8">
        <f t="shared" si="529"/>
        <v>40000</v>
      </c>
      <c r="BO531" s="8">
        <f t="shared" si="530"/>
        <v>2076000</v>
      </c>
      <c r="BP531" s="8">
        <f t="shared" si="469"/>
        <v>0</v>
      </c>
      <c r="BQ531" s="12">
        <f t="shared" si="470"/>
        <v>0</v>
      </c>
    </row>
    <row r="532" spans="1:69">
      <c r="A532" s="28">
        <v>1963</v>
      </c>
      <c r="B532" s="27" t="s">
        <v>49</v>
      </c>
      <c r="C532" s="24">
        <f t="shared" si="531"/>
        <v>524</v>
      </c>
      <c r="D532" s="7" t="e">
        <f t="shared" ca="1" si="508"/>
        <v>#N/A</v>
      </c>
      <c r="E532" s="26">
        <f t="array" aca="1" ref="E532" ca="1">AVERAGE(IF(INDIRECT(DatCol&amp;"$"&amp;TEXT(C532,"###")):INDIRECT(DatCol&amp;"$"&amp;TEXT(C532+57,"###"))&gt;0,INDIRECT(DatCol&amp;"$"&amp;TEXT(C532,"###")):INDIRECT(DatCol&amp;"$"&amp;TEXT(C532+57,"###"))))</f>
        <v>541.77027027027032</v>
      </c>
      <c r="F532" s="26" t="str">
        <f t="shared" si="471"/>
        <v>C</v>
      </c>
      <c r="G532" s="8"/>
      <c r="K532" s="9">
        <f t="shared" si="510"/>
        <v>0</v>
      </c>
      <c r="M532" s="11">
        <f t="shared" si="511"/>
        <v>0</v>
      </c>
      <c r="O532" s="11">
        <f t="shared" si="512"/>
        <v>0</v>
      </c>
      <c r="P532" s="12">
        <v>15000</v>
      </c>
      <c r="Q532" s="11">
        <f t="shared" si="513"/>
        <v>900000</v>
      </c>
      <c r="Y532" s="11">
        <f t="shared" si="514"/>
        <v>0</v>
      </c>
      <c r="AG532" s="11">
        <f t="shared" si="515"/>
        <v>0</v>
      </c>
      <c r="AI532" s="11">
        <f t="shared" si="516"/>
        <v>0</v>
      </c>
      <c r="AJ532" s="12">
        <v>0</v>
      </c>
      <c r="AK532" s="13">
        <f t="shared" si="517"/>
        <v>0</v>
      </c>
      <c r="AM532" s="13">
        <f t="shared" si="518"/>
        <v>0</v>
      </c>
      <c r="AO532" s="11">
        <f t="shared" si="519"/>
        <v>0</v>
      </c>
      <c r="AQ532" s="11">
        <f t="shared" si="520"/>
        <v>0</v>
      </c>
      <c r="AR532" s="12">
        <v>5000</v>
      </c>
      <c r="AS532" s="11">
        <f t="shared" si="521"/>
        <v>250000</v>
      </c>
      <c r="AU532" s="11">
        <f t="shared" si="522"/>
        <v>0</v>
      </c>
      <c r="AW532" s="11">
        <f t="shared" si="523"/>
        <v>0</v>
      </c>
      <c r="AY532" s="11">
        <f t="shared" si="524"/>
        <v>0</v>
      </c>
      <c r="BA532" s="11">
        <f t="shared" si="525"/>
        <v>0</v>
      </c>
      <c r="BC532" s="11">
        <f t="shared" si="526"/>
        <v>0</v>
      </c>
      <c r="BE532" s="11">
        <f t="shared" si="527"/>
        <v>0</v>
      </c>
      <c r="BG532" s="11">
        <f t="shared" si="528"/>
        <v>0</v>
      </c>
      <c r="BN532" s="8">
        <f t="shared" si="529"/>
        <v>20000</v>
      </c>
      <c r="BO532" s="8">
        <f t="shared" si="530"/>
        <v>1150000</v>
      </c>
      <c r="BP532" s="8">
        <f t="shared" si="469"/>
        <v>0</v>
      </c>
      <c r="BQ532" s="12">
        <f t="shared" si="470"/>
        <v>0</v>
      </c>
    </row>
    <row r="533" spans="1:69">
      <c r="A533" s="28">
        <v>1964</v>
      </c>
      <c r="B533" s="27" t="s">
        <v>49</v>
      </c>
      <c r="C533" s="24">
        <f t="shared" si="531"/>
        <v>524</v>
      </c>
      <c r="D533" s="7" t="e">
        <f t="shared" ca="1" si="508"/>
        <v>#N/A</v>
      </c>
      <c r="E533" s="26">
        <f t="array" aca="1" ref="E533" ca="1">AVERAGE(IF(INDIRECT(DatCol&amp;"$"&amp;TEXT(C533,"###")):INDIRECT(DatCol&amp;"$"&amp;TEXT(C533+57,"###"))&gt;0,INDIRECT(DatCol&amp;"$"&amp;TEXT(C533,"###")):INDIRECT(DatCol&amp;"$"&amp;TEXT(C533+57,"###"))))</f>
        <v>541.77027027027032</v>
      </c>
      <c r="F533" s="26" t="str">
        <f t="shared" si="471"/>
        <v>C</v>
      </c>
      <c r="G533" s="8"/>
      <c r="K533" s="9">
        <f t="shared" si="510"/>
        <v>0</v>
      </c>
      <c r="M533" s="11">
        <f t="shared" si="511"/>
        <v>0</v>
      </c>
      <c r="N533" s="12">
        <v>500</v>
      </c>
      <c r="O533" s="11">
        <f t="shared" si="512"/>
        <v>25000</v>
      </c>
      <c r="P533" s="12">
        <v>7000</v>
      </c>
      <c r="Q533" s="11">
        <f t="shared" si="513"/>
        <v>420000</v>
      </c>
      <c r="Y533" s="11">
        <f t="shared" si="514"/>
        <v>0</v>
      </c>
      <c r="AG533" s="11">
        <f t="shared" si="515"/>
        <v>0</v>
      </c>
      <c r="AI533" s="11">
        <f t="shared" si="516"/>
        <v>0</v>
      </c>
      <c r="AJ533" s="12">
        <v>0</v>
      </c>
      <c r="AK533" s="13">
        <f t="shared" si="517"/>
        <v>0</v>
      </c>
      <c r="AM533" s="13">
        <f t="shared" si="518"/>
        <v>0</v>
      </c>
      <c r="AO533" s="11">
        <f t="shared" si="519"/>
        <v>0</v>
      </c>
      <c r="AQ533" s="11">
        <f t="shared" si="520"/>
        <v>0</v>
      </c>
      <c r="AR533" s="12">
        <v>5000</v>
      </c>
      <c r="AS533" s="11">
        <f t="shared" si="521"/>
        <v>250000</v>
      </c>
      <c r="AU533" s="11">
        <f t="shared" si="522"/>
        <v>0</v>
      </c>
      <c r="AW533" s="11">
        <f t="shared" si="523"/>
        <v>0</v>
      </c>
      <c r="AY533" s="11">
        <f t="shared" si="524"/>
        <v>0</v>
      </c>
      <c r="BA533" s="11">
        <f t="shared" si="525"/>
        <v>0</v>
      </c>
      <c r="BC533" s="11">
        <f t="shared" si="526"/>
        <v>0</v>
      </c>
      <c r="BE533" s="11">
        <f t="shared" si="527"/>
        <v>0</v>
      </c>
      <c r="BG533" s="11">
        <f t="shared" si="528"/>
        <v>0</v>
      </c>
      <c r="BN533" s="8">
        <f t="shared" si="529"/>
        <v>12000</v>
      </c>
      <c r="BO533" s="8">
        <f t="shared" si="530"/>
        <v>670000</v>
      </c>
      <c r="BP533" s="8">
        <f t="shared" ref="BP533:BP597" si="532">(N533+X533+Z533+AB533+AD533+AH533+AL533+AP533+AT533+AX533+BB533+BF533)</f>
        <v>500</v>
      </c>
      <c r="BQ533" s="12">
        <f t="shared" ref="BQ533:BQ597" si="533">(O533+Y533+AA533+AC533+AE533+AI533+AM533+AQ533+AU533+AY533+BC533+BG533)</f>
        <v>25000</v>
      </c>
    </row>
    <row r="534" spans="1:69">
      <c r="A534" s="28">
        <v>1965</v>
      </c>
      <c r="B534" s="27" t="s">
        <v>49</v>
      </c>
      <c r="C534" s="24">
        <f t="shared" si="531"/>
        <v>524</v>
      </c>
      <c r="D534" s="7" t="e">
        <f t="shared" ca="1" si="508"/>
        <v>#N/A</v>
      </c>
      <c r="E534" s="26">
        <f t="array" aca="1" ref="E534" ca="1">AVERAGE(IF(INDIRECT(DatCol&amp;"$"&amp;TEXT(C534,"###")):INDIRECT(DatCol&amp;"$"&amp;TEXT(C534+57,"###"))&gt;0,INDIRECT(DatCol&amp;"$"&amp;TEXT(C534,"###")):INDIRECT(DatCol&amp;"$"&amp;TEXT(C534+57,"###"))))</f>
        <v>541.77027027027032</v>
      </c>
      <c r="F534" s="26" t="str">
        <f t="shared" si="471"/>
        <v>C</v>
      </c>
      <c r="G534" s="8"/>
      <c r="K534" s="9">
        <f t="shared" si="510"/>
        <v>0</v>
      </c>
      <c r="M534" s="11">
        <f t="shared" si="511"/>
        <v>0</v>
      </c>
      <c r="N534" s="12">
        <v>500</v>
      </c>
      <c r="O534" s="11">
        <f t="shared" si="512"/>
        <v>25000</v>
      </c>
      <c r="P534" s="12">
        <v>7000</v>
      </c>
      <c r="Q534" s="11">
        <f t="shared" si="513"/>
        <v>420000</v>
      </c>
      <c r="Y534" s="11">
        <f t="shared" si="514"/>
        <v>0</v>
      </c>
      <c r="AG534" s="11">
        <f t="shared" si="515"/>
        <v>0</v>
      </c>
      <c r="AI534" s="11">
        <f t="shared" si="516"/>
        <v>0</v>
      </c>
      <c r="AJ534" s="12">
        <v>0</v>
      </c>
      <c r="AK534" s="13">
        <f t="shared" si="517"/>
        <v>0</v>
      </c>
      <c r="AM534" s="13">
        <f t="shared" si="518"/>
        <v>0</v>
      </c>
      <c r="AO534" s="11">
        <f t="shared" si="519"/>
        <v>0</v>
      </c>
      <c r="AQ534" s="11">
        <f t="shared" si="520"/>
        <v>0</v>
      </c>
      <c r="AR534" s="12" t="s">
        <v>51</v>
      </c>
      <c r="AS534" s="11">
        <f t="shared" si="521"/>
        <v>0</v>
      </c>
      <c r="AT534" s="12" t="s">
        <v>52</v>
      </c>
      <c r="AU534" s="11">
        <f t="shared" si="522"/>
        <v>0</v>
      </c>
      <c r="AW534" s="11">
        <f t="shared" si="523"/>
        <v>0</v>
      </c>
      <c r="AY534" s="11">
        <f t="shared" si="524"/>
        <v>0</v>
      </c>
      <c r="BA534" s="11">
        <f t="shared" si="525"/>
        <v>0</v>
      </c>
      <c r="BC534" s="11">
        <f t="shared" si="526"/>
        <v>0</v>
      </c>
      <c r="BE534" s="11">
        <f t="shared" si="527"/>
        <v>0</v>
      </c>
      <c r="BG534" s="11">
        <f t="shared" si="528"/>
        <v>0</v>
      </c>
      <c r="BN534" s="8">
        <f t="shared" si="529"/>
        <v>7000</v>
      </c>
      <c r="BO534" s="8">
        <f t="shared" si="530"/>
        <v>420000</v>
      </c>
      <c r="BP534" s="8">
        <f t="shared" si="532"/>
        <v>500</v>
      </c>
      <c r="BQ534" s="12">
        <f t="shared" si="533"/>
        <v>25000</v>
      </c>
    </row>
    <row r="535" spans="1:69">
      <c r="A535" s="28">
        <v>1966</v>
      </c>
      <c r="B535" s="27" t="s">
        <v>49</v>
      </c>
      <c r="C535" s="24">
        <f t="shared" si="531"/>
        <v>524</v>
      </c>
      <c r="D535" s="7" t="e">
        <f t="shared" ca="1" si="508"/>
        <v>#N/A</v>
      </c>
      <c r="E535" s="26">
        <f t="array" aca="1" ref="E535" ca="1">AVERAGE(IF(INDIRECT(DatCol&amp;"$"&amp;TEXT(C535,"###")):INDIRECT(DatCol&amp;"$"&amp;TEXT(C535+57,"###"))&gt;0,INDIRECT(DatCol&amp;"$"&amp;TEXT(C535,"###")):INDIRECT(DatCol&amp;"$"&amp;TEXT(C535+57,"###"))))</f>
        <v>541.77027027027032</v>
      </c>
      <c r="F535" s="26" t="str">
        <f t="shared" si="471"/>
        <v>C</v>
      </c>
      <c r="G535" s="8"/>
      <c r="K535" s="9">
        <f t="shared" si="510"/>
        <v>0</v>
      </c>
      <c r="L535" s="12">
        <v>250</v>
      </c>
      <c r="M535" s="11">
        <f t="shared" si="511"/>
        <v>12500</v>
      </c>
      <c r="N535" s="12">
        <v>7250</v>
      </c>
      <c r="O535" s="11">
        <f t="shared" si="512"/>
        <v>362500</v>
      </c>
      <c r="P535" s="12">
        <v>6820</v>
      </c>
      <c r="Q535" s="11">
        <f t="shared" si="513"/>
        <v>409200</v>
      </c>
      <c r="Y535" s="11">
        <f t="shared" si="514"/>
        <v>0</v>
      </c>
      <c r="AG535" s="11">
        <f t="shared" si="515"/>
        <v>0</v>
      </c>
      <c r="AI535" s="11">
        <f t="shared" si="516"/>
        <v>0</v>
      </c>
      <c r="AK535" s="13">
        <f t="shared" si="517"/>
        <v>0</v>
      </c>
      <c r="AM535" s="13">
        <f t="shared" si="518"/>
        <v>0</v>
      </c>
      <c r="AO535" s="11">
        <f t="shared" si="519"/>
        <v>0</v>
      </c>
      <c r="AQ535" s="11">
        <f t="shared" si="520"/>
        <v>0</v>
      </c>
      <c r="AR535" s="12">
        <v>1100</v>
      </c>
      <c r="AS535" s="11">
        <f t="shared" si="521"/>
        <v>55000</v>
      </c>
      <c r="AU535" s="11">
        <f t="shared" si="522"/>
        <v>0</v>
      </c>
      <c r="AW535" s="11">
        <f t="shared" si="523"/>
        <v>0</v>
      </c>
      <c r="AY535" s="11">
        <f t="shared" si="524"/>
        <v>0</v>
      </c>
      <c r="BA535" s="11">
        <f t="shared" si="525"/>
        <v>0</v>
      </c>
      <c r="BC535" s="11">
        <f t="shared" si="526"/>
        <v>0</v>
      </c>
      <c r="BE535" s="11">
        <f t="shared" si="527"/>
        <v>0</v>
      </c>
      <c r="BG535" s="11">
        <f t="shared" si="528"/>
        <v>0</v>
      </c>
      <c r="BN535" s="8">
        <f t="shared" si="529"/>
        <v>8170</v>
      </c>
      <c r="BO535" s="8">
        <f t="shared" si="530"/>
        <v>476700</v>
      </c>
      <c r="BP535" s="8">
        <f t="shared" si="532"/>
        <v>7250</v>
      </c>
      <c r="BQ535" s="12">
        <f t="shared" si="533"/>
        <v>362500</v>
      </c>
    </row>
    <row r="536" spans="1:69">
      <c r="A536" s="28">
        <v>1967</v>
      </c>
      <c r="B536" s="27" t="s">
        <v>49</v>
      </c>
      <c r="C536" s="24">
        <f t="shared" si="531"/>
        <v>524</v>
      </c>
      <c r="D536" s="7" t="e">
        <f t="shared" ca="1" si="508"/>
        <v>#N/A</v>
      </c>
      <c r="E536" s="26">
        <f t="array" aca="1" ref="E536" ca="1">AVERAGE(IF(INDIRECT(DatCol&amp;"$"&amp;TEXT(C536,"###")):INDIRECT(DatCol&amp;"$"&amp;TEXT(C536+57,"###"))&gt;0,INDIRECT(DatCol&amp;"$"&amp;TEXT(C536,"###")):INDIRECT(DatCol&amp;"$"&amp;TEXT(C536+57,"###"))))</f>
        <v>541.77027027027032</v>
      </c>
      <c r="F536" s="26" t="str">
        <f t="shared" si="471"/>
        <v>C</v>
      </c>
      <c r="G536" s="8"/>
      <c r="H536" s="8">
        <v>510</v>
      </c>
      <c r="I536" s="8">
        <v>54</v>
      </c>
      <c r="J536" s="8">
        <v>1673</v>
      </c>
      <c r="K536" s="9">
        <f t="shared" si="510"/>
        <v>2183</v>
      </c>
      <c r="L536" s="12">
        <v>205</v>
      </c>
      <c r="M536" s="11">
        <f t="shared" si="511"/>
        <v>10250</v>
      </c>
      <c r="N536" s="12">
        <v>250</v>
      </c>
      <c r="O536" s="11">
        <f t="shared" si="512"/>
        <v>12500</v>
      </c>
      <c r="P536" s="12">
        <v>5744</v>
      </c>
      <c r="Q536" s="11">
        <f t="shared" si="513"/>
        <v>344640</v>
      </c>
      <c r="X536" s="12">
        <v>326</v>
      </c>
      <c r="Y536" s="11">
        <f t="shared" si="514"/>
        <v>19560</v>
      </c>
      <c r="AG536" s="11">
        <f t="shared" si="515"/>
        <v>0</v>
      </c>
      <c r="AI536" s="11">
        <f t="shared" si="516"/>
        <v>0</v>
      </c>
      <c r="AK536" s="13">
        <f t="shared" si="517"/>
        <v>0</v>
      </c>
      <c r="AM536" s="13">
        <f t="shared" si="518"/>
        <v>0</v>
      </c>
      <c r="AO536" s="11">
        <f t="shared" si="519"/>
        <v>0</v>
      </c>
      <c r="AQ536" s="11">
        <f t="shared" si="520"/>
        <v>0</v>
      </c>
      <c r="AR536" s="12">
        <v>850</v>
      </c>
      <c r="AS536" s="11">
        <f t="shared" si="521"/>
        <v>42500</v>
      </c>
      <c r="AT536" s="12">
        <v>90</v>
      </c>
      <c r="AU536" s="11">
        <f t="shared" si="522"/>
        <v>4500</v>
      </c>
      <c r="AW536" s="11">
        <f t="shared" si="523"/>
        <v>0</v>
      </c>
      <c r="AY536" s="11">
        <f t="shared" si="524"/>
        <v>0</v>
      </c>
      <c r="BA536" s="11">
        <f t="shared" si="525"/>
        <v>0</v>
      </c>
      <c r="BC536" s="11">
        <f t="shared" si="526"/>
        <v>0</v>
      </c>
      <c r="BE536" s="11">
        <f t="shared" si="527"/>
        <v>0</v>
      </c>
      <c r="BG536" s="11">
        <f t="shared" si="528"/>
        <v>0</v>
      </c>
      <c r="BN536" s="8">
        <f t="shared" si="529"/>
        <v>7125</v>
      </c>
      <c r="BO536" s="8">
        <f t="shared" si="530"/>
        <v>416950</v>
      </c>
      <c r="BP536" s="8">
        <f t="shared" si="532"/>
        <v>666</v>
      </c>
      <c r="BQ536" s="12">
        <f t="shared" si="533"/>
        <v>36560</v>
      </c>
    </row>
    <row r="537" spans="1:69">
      <c r="A537" s="28">
        <v>1968</v>
      </c>
      <c r="B537" s="27" t="s">
        <v>49</v>
      </c>
      <c r="C537" s="24">
        <f t="shared" si="531"/>
        <v>524</v>
      </c>
      <c r="D537" s="7" t="e">
        <f t="shared" ca="1" si="508"/>
        <v>#N/A</v>
      </c>
      <c r="E537" s="26">
        <f t="array" aca="1" ref="E537" ca="1">AVERAGE(IF(INDIRECT(DatCol&amp;"$"&amp;TEXT(C537,"###")):INDIRECT(DatCol&amp;"$"&amp;TEXT(C537+57,"###"))&gt;0,INDIRECT(DatCol&amp;"$"&amp;TEXT(C537,"###")):INDIRECT(DatCol&amp;"$"&amp;TEXT(C537+57,"###"))))</f>
        <v>541.77027027027032</v>
      </c>
      <c r="F537" s="26" t="str">
        <f t="shared" si="471"/>
        <v>C</v>
      </c>
      <c r="G537" s="8"/>
      <c r="H537" s="8">
        <v>609</v>
      </c>
      <c r="I537" s="8">
        <v>56</v>
      </c>
      <c r="J537" s="8">
        <v>1856</v>
      </c>
      <c r="K537" s="9">
        <f t="shared" si="510"/>
        <v>2465</v>
      </c>
      <c r="L537" s="12">
        <v>2500</v>
      </c>
      <c r="M537" s="11">
        <f t="shared" si="511"/>
        <v>125000</v>
      </c>
      <c r="N537" s="12">
        <v>375</v>
      </c>
      <c r="O537" s="11">
        <f t="shared" si="512"/>
        <v>18750</v>
      </c>
      <c r="P537" s="12">
        <v>10188</v>
      </c>
      <c r="Q537" s="11">
        <f t="shared" si="513"/>
        <v>611280</v>
      </c>
      <c r="X537" s="12">
        <v>321</v>
      </c>
      <c r="Y537" s="11">
        <f t="shared" si="514"/>
        <v>19260</v>
      </c>
      <c r="AG537" s="11">
        <f t="shared" si="515"/>
        <v>0</v>
      </c>
      <c r="AI537" s="11">
        <f t="shared" si="516"/>
        <v>0</v>
      </c>
      <c r="AK537" s="13">
        <f t="shared" si="517"/>
        <v>0</v>
      </c>
      <c r="AM537" s="13">
        <f t="shared" si="518"/>
        <v>0</v>
      </c>
      <c r="AO537" s="11">
        <f t="shared" si="519"/>
        <v>0</v>
      </c>
      <c r="AQ537" s="11">
        <f t="shared" si="520"/>
        <v>0</v>
      </c>
      <c r="AS537" s="11">
        <f t="shared" si="521"/>
        <v>0</v>
      </c>
      <c r="AT537" s="12">
        <v>20</v>
      </c>
      <c r="AU537" s="11">
        <f t="shared" si="522"/>
        <v>1000</v>
      </c>
      <c r="AW537" s="11">
        <f t="shared" si="523"/>
        <v>0</v>
      </c>
      <c r="AY537" s="11">
        <f t="shared" si="524"/>
        <v>0</v>
      </c>
      <c r="BA537" s="11">
        <f t="shared" si="525"/>
        <v>0</v>
      </c>
      <c r="BC537" s="11">
        <f t="shared" si="526"/>
        <v>0</v>
      </c>
      <c r="BE537" s="11">
        <f t="shared" si="527"/>
        <v>0</v>
      </c>
      <c r="BG537" s="11">
        <f t="shared" si="528"/>
        <v>0</v>
      </c>
      <c r="BN537" s="8">
        <f t="shared" si="529"/>
        <v>13009</v>
      </c>
      <c r="BO537" s="8">
        <f t="shared" si="530"/>
        <v>755540</v>
      </c>
      <c r="BP537" s="8">
        <f t="shared" si="532"/>
        <v>716</v>
      </c>
      <c r="BQ537" s="12">
        <f t="shared" si="533"/>
        <v>39010</v>
      </c>
    </row>
    <row r="538" spans="1:69">
      <c r="A538" s="28">
        <v>1969</v>
      </c>
      <c r="B538" s="27" t="s">
        <v>49</v>
      </c>
      <c r="C538" s="24">
        <f t="shared" si="531"/>
        <v>524</v>
      </c>
      <c r="D538" s="7" t="e">
        <f t="shared" ca="1" si="508"/>
        <v>#N/A</v>
      </c>
      <c r="E538" s="26">
        <f t="array" aca="1" ref="E538" ca="1">AVERAGE(IF(INDIRECT(DatCol&amp;"$"&amp;TEXT(C538,"###")):INDIRECT(DatCol&amp;"$"&amp;TEXT(C538+57,"###"))&gt;0,INDIRECT(DatCol&amp;"$"&amp;TEXT(C538,"###")):INDIRECT(DatCol&amp;"$"&amp;TEXT(C538+57,"###"))))</f>
        <v>541.77027027027032</v>
      </c>
      <c r="F538" s="26" t="str">
        <f t="shared" si="471"/>
        <v>C</v>
      </c>
      <c r="G538" s="8"/>
      <c r="H538" s="8">
        <v>777</v>
      </c>
      <c r="I538" s="8">
        <v>59</v>
      </c>
      <c r="J538" s="8">
        <v>2052</v>
      </c>
      <c r="K538" s="9">
        <f t="shared" si="510"/>
        <v>2829</v>
      </c>
      <c r="L538" s="12">
        <v>900</v>
      </c>
      <c r="M538" s="11">
        <f t="shared" ref="M538:M553" si="534">(L538*50)</f>
        <v>45000</v>
      </c>
      <c r="N538" s="12">
        <v>560</v>
      </c>
      <c r="O538" s="11">
        <f t="shared" ref="O538:O553" si="535">(N538*50)</f>
        <v>28000</v>
      </c>
      <c r="P538" s="12">
        <v>15000</v>
      </c>
      <c r="Q538" s="11">
        <f t="shared" ref="Q538:Q553" si="536">((P538*330)/5.5)</f>
        <v>900000</v>
      </c>
      <c r="X538" s="12">
        <v>343</v>
      </c>
      <c r="Y538" s="11">
        <f t="shared" ref="Y538:Y553" si="537">((X538*330)/5.5)</f>
        <v>20580</v>
      </c>
      <c r="AG538" s="11">
        <f t="shared" ref="AG538:AG553" si="538">(AF538*65)</f>
        <v>0</v>
      </c>
      <c r="AI538" s="11">
        <f t="shared" ref="AI538:AI553" si="539">(AH538*65)</f>
        <v>0</v>
      </c>
      <c r="AK538" s="13">
        <f t="shared" ref="AK538:AK553" si="540">(AJ538*9)</f>
        <v>0</v>
      </c>
      <c r="AM538" s="13">
        <f t="shared" ref="AM538:AM553" si="541">(AL538*9)</f>
        <v>0</v>
      </c>
      <c r="AO538" s="11">
        <f t="shared" ref="AO538:AO553" si="542">(AN538*80)</f>
        <v>0</v>
      </c>
      <c r="AQ538" s="11">
        <f t="shared" ref="AQ538:AQ553" si="543">(AP538*80)</f>
        <v>0</v>
      </c>
      <c r="AR538" s="12">
        <v>800</v>
      </c>
      <c r="AS538" s="11">
        <f t="shared" ref="AS538:AS553" si="544">(AR538*50)</f>
        <v>40000</v>
      </c>
      <c r="AT538" s="12">
        <v>50</v>
      </c>
      <c r="AU538" s="11">
        <f t="shared" ref="AU538:AU553" si="545">(AT538*50)</f>
        <v>2500</v>
      </c>
      <c r="AW538" s="11">
        <f t="shared" ref="AW538:AW553" si="546">(AV538*60)</f>
        <v>0</v>
      </c>
      <c r="AY538" s="11">
        <f t="shared" ref="AY538:AY553" si="547">(AX538*60)</f>
        <v>0</v>
      </c>
      <c r="BA538" s="11">
        <f t="shared" ref="BA538:BA553" si="548">(AZ538*40)</f>
        <v>0</v>
      </c>
      <c r="BC538" s="11">
        <f t="shared" ref="BC538:BC553" si="549">(BB538*40)</f>
        <v>0</v>
      </c>
      <c r="BE538" s="11">
        <f t="shared" ref="BE538:BE553" si="550">(BD538*95)</f>
        <v>0</v>
      </c>
      <c r="BG538" s="11">
        <f t="shared" ref="BG538:BG553" si="551">(BF538*95)</f>
        <v>0</v>
      </c>
      <c r="BN538" s="8">
        <f t="shared" si="529"/>
        <v>17043</v>
      </c>
      <c r="BO538" s="8">
        <f t="shared" si="530"/>
        <v>1005580</v>
      </c>
      <c r="BP538" s="8">
        <f t="shared" si="532"/>
        <v>953</v>
      </c>
      <c r="BQ538" s="12">
        <f t="shared" si="533"/>
        <v>51080</v>
      </c>
    </row>
    <row r="539" spans="1:69">
      <c r="A539" s="28">
        <v>1970</v>
      </c>
      <c r="B539" s="27" t="s">
        <v>49</v>
      </c>
      <c r="C539" s="24">
        <f t="shared" si="531"/>
        <v>524</v>
      </c>
      <c r="D539" s="7" t="e">
        <f t="shared" ca="1" si="508"/>
        <v>#N/A</v>
      </c>
      <c r="E539" s="26">
        <f t="array" aca="1" ref="E539" ca="1">AVERAGE(IF(INDIRECT(DatCol&amp;"$"&amp;TEXT(C539,"###")):INDIRECT(DatCol&amp;"$"&amp;TEXT(C539+57,"###"))&gt;0,INDIRECT(DatCol&amp;"$"&amp;TEXT(C539,"###")):INDIRECT(DatCol&amp;"$"&amp;TEXT(C539+57,"###"))))</f>
        <v>541.77027027027032</v>
      </c>
      <c r="F539" s="26" t="str">
        <f t="shared" si="471"/>
        <v>C</v>
      </c>
      <c r="G539" s="8"/>
      <c r="H539" s="8">
        <v>682</v>
      </c>
      <c r="I539" s="8">
        <v>104</v>
      </c>
      <c r="J539" s="8">
        <v>1954</v>
      </c>
      <c r="K539" s="9">
        <f t="shared" si="510"/>
        <v>2636</v>
      </c>
      <c r="M539" s="11">
        <f t="shared" si="534"/>
        <v>0</v>
      </c>
      <c r="O539" s="11">
        <f t="shared" si="535"/>
        <v>0</v>
      </c>
      <c r="P539" s="12">
        <v>10000</v>
      </c>
      <c r="Q539" s="11">
        <f t="shared" si="536"/>
        <v>600000</v>
      </c>
      <c r="X539" s="12">
        <v>400</v>
      </c>
      <c r="Y539" s="11">
        <f t="shared" si="537"/>
        <v>24000</v>
      </c>
      <c r="AG539" s="11">
        <f t="shared" si="538"/>
        <v>0</v>
      </c>
      <c r="AH539" s="12">
        <v>25</v>
      </c>
      <c r="AI539" s="11">
        <f t="shared" si="539"/>
        <v>1625</v>
      </c>
      <c r="AK539" s="13">
        <f t="shared" si="540"/>
        <v>0</v>
      </c>
      <c r="AL539" s="12">
        <v>300</v>
      </c>
      <c r="AM539" s="13">
        <f t="shared" si="541"/>
        <v>2700</v>
      </c>
      <c r="AO539" s="11">
        <f t="shared" si="542"/>
        <v>0</v>
      </c>
      <c r="AQ539" s="11">
        <f t="shared" si="543"/>
        <v>0</v>
      </c>
      <c r="AR539" s="12">
        <v>1000</v>
      </c>
      <c r="AS539" s="11">
        <f t="shared" si="544"/>
        <v>50000</v>
      </c>
      <c r="AU539" s="11">
        <f t="shared" si="545"/>
        <v>0</v>
      </c>
      <c r="AW539" s="11">
        <f t="shared" si="546"/>
        <v>0</v>
      </c>
      <c r="AY539" s="11">
        <f t="shared" si="547"/>
        <v>0</v>
      </c>
      <c r="BA539" s="11">
        <f t="shared" si="548"/>
        <v>0</v>
      </c>
      <c r="BC539" s="11">
        <f t="shared" si="549"/>
        <v>0</v>
      </c>
      <c r="BE539" s="11">
        <f t="shared" si="550"/>
        <v>0</v>
      </c>
      <c r="BG539" s="11">
        <f t="shared" si="551"/>
        <v>0</v>
      </c>
      <c r="BN539" s="8">
        <f t="shared" si="529"/>
        <v>11400</v>
      </c>
      <c r="BO539" s="8">
        <f t="shared" si="530"/>
        <v>674000</v>
      </c>
      <c r="BP539" s="8">
        <f t="shared" si="532"/>
        <v>725</v>
      </c>
      <c r="BQ539" s="12">
        <f t="shared" si="533"/>
        <v>28325</v>
      </c>
    </row>
    <row r="540" spans="1:69">
      <c r="A540" s="28">
        <v>1971</v>
      </c>
      <c r="B540" s="27" t="s">
        <v>49</v>
      </c>
      <c r="C540" s="24">
        <f t="shared" si="531"/>
        <v>524</v>
      </c>
      <c r="D540" s="7" t="e">
        <f t="shared" ca="1" si="508"/>
        <v>#N/A</v>
      </c>
      <c r="E540" s="26">
        <f t="array" aca="1" ref="E540" ca="1">AVERAGE(IF(INDIRECT(DatCol&amp;"$"&amp;TEXT(C540,"###")):INDIRECT(DatCol&amp;"$"&amp;TEXT(C540+57,"###"))&gt;0,INDIRECT(DatCol&amp;"$"&amp;TEXT(C540,"###")):INDIRECT(DatCol&amp;"$"&amp;TEXT(C540+57,"###"))))</f>
        <v>541.77027027027032</v>
      </c>
      <c r="F540" s="26" t="str">
        <f t="shared" si="471"/>
        <v>C</v>
      </c>
      <c r="G540" s="8"/>
      <c r="H540" s="8">
        <v>735</v>
      </c>
      <c r="I540" s="8">
        <v>103</v>
      </c>
      <c r="J540" s="8">
        <v>1945</v>
      </c>
      <c r="K540" s="9">
        <f t="shared" si="510"/>
        <v>2680</v>
      </c>
      <c r="M540" s="11">
        <f t="shared" si="534"/>
        <v>0</v>
      </c>
      <c r="N540" s="12">
        <v>700</v>
      </c>
      <c r="O540" s="11">
        <f t="shared" si="535"/>
        <v>35000</v>
      </c>
      <c r="Q540" s="11">
        <f t="shared" si="536"/>
        <v>0</v>
      </c>
      <c r="X540" s="12">
        <v>425</v>
      </c>
      <c r="Y540" s="11">
        <f t="shared" si="537"/>
        <v>25500</v>
      </c>
      <c r="AG540" s="11">
        <f t="shared" si="538"/>
        <v>0</v>
      </c>
      <c r="AI540" s="11">
        <f t="shared" si="539"/>
        <v>0</v>
      </c>
      <c r="AK540" s="13">
        <f t="shared" si="540"/>
        <v>0</v>
      </c>
      <c r="AL540" s="12">
        <v>1000</v>
      </c>
      <c r="AM540" s="13">
        <f t="shared" si="541"/>
        <v>9000</v>
      </c>
      <c r="AO540" s="11">
        <f t="shared" si="542"/>
        <v>0</v>
      </c>
      <c r="AQ540" s="11">
        <f t="shared" si="543"/>
        <v>0</v>
      </c>
      <c r="AS540" s="11">
        <f t="shared" si="544"/>
        <v>0</v>
      </c>
      <c r="AU540" s="11">
        <f t="shared" si="545"/>
        <v>0</v>
      </c>
      <c r="AW540" s="11">
        <f t="shared" si="546"/>
        <v>0</v>
      </c>
      <c r="AY540" s="11">
        <f t="shared" si="547"/>
        <v>0</v>
      </c>
      <c r="BA540" s="11">
        <f t="shared" si="548"/>
        <v>0</v>
      </c>
      <c r="BC540" s="11">
        <f t="shared" si="549"/>
        <v>0</v>
      </c>
      <c r="BE540" s="11">
        <f t="shared" si="550"/>
        <v>0</v>
      </c>
      <c r="BG540" s="11">
        <f t="shared" si="551"/>
        <v>0</v>
      </c>
      <c r="BN540" s="8">
        <f t="shared" si="529"/>
        <v>425</v>
      </c>
      <c r="BO540" s="8">
        <f t="shared" si="530"/>
        <v>25500</v>
      </c>
      <c r="BP540" s="8">
        <f t="shared" si="532"/>
        <v>2125</v>
      </c>
      <c r="BQ540" s="12">
        <f t="shared" si="533"/>
        <v>69500</v>
      </c>
    </row>
    <row r="541" spans="1:69">
      <c r="A541" s="28">
        <v>1972</v>
      </c>
      <c r="B541" s="27" t="s">
        <v>49</v>
      </c>
      <c r="C541" s="24">
        <f t="shared" si="531"/>
        <v>524</v>
      </c>
      <c r="D541" s="7" t="e">
        <f t="shared" ca="1" si="508"/>
        <v>#N/A</v>
      </c>
      <c r="E541" s="26">
        <f t="array" aca="1" ref="E541" ca="1">AVERAGE(IF(INDIRECT(DatCol&amp;"$"&amp;TEXT(C541,"###")):INDIRECT(DatCol&amp;"$"&amp;TEXT(C541+57,"###"))&gt;0,INDIRECT(DatCol&amp;"$"&amp;TEXT(C541,"###")):INDIRECT(DatCol&amp;"$"&amp;TEXT(C541+57,"###"))))</f>
        <v>541.77027027027032</v>
      </c>
      <c r="F541" s="26" t="str">
        <f t="shared" ref="F541:F607" si="552">VLOOKUP(B541,town_region,2,FALSE)</f>
        <v>C</v>
      </c>
      <c r="G541" s="8"/>
      <c r="H541" s="8">
        <v>657</v>
      </c>
      <c r="I541" s="8">
        <v>69</v>
      </c>
      <c r="J541" s="8">
        <v>1697</v>
      </c>
      <c r="K541" s="9">
        <f t="shared" si="510"/>
        <v>2354</v>
      </c>
      <c r="M541" s="11">
        <f t="shared" si="534"/>
        <v>0</v>
      </c>
      <c r="O541" s="11">
        <f t="shared" si="535"/>
        <v>0</v>
      </c>
      <c r="Q541" s="11">
        <f t="shared" si="536"/>
        <v>0</v>
      </c>
      <c r="Y541" s="11">
        <f t="shared" si="537"/>
        <v>0</v>
      </c>
      <c r="AG541" s="11">
        <f t="shared" si="538"/>
        <v>0</v>
      </c>
      <c r="AI541" s="11">
        <f t="shared" si="539"/>
        <v>0</v>
      </c>
      <c r="AK541" s="13">
        <f t="shared" si="540"/>
        <v>0</v>
      </c>
      <c r="AM541" s="13">
        <f t="shared" si="541"/>
        <v>0</v>
      </c>
      <c r="AO541" s="11">
        <f t="shared" si="542"/>
        <v>0</v>
      </c>
      <c r="AQ541" s="11">
        <f t="shared" si="543"/>
        <v>0</v>
      </c>
      <c r="AS541" s="11">
        <f t="shared" si="544"/>
        <v>0</v>
      </c>
      <c r="AU541" s="11">
        <f t="shared" si="545"/>
        <v>0</v>
      </c>
      <c r="AW541" s="11">
        <f t="shared" si="546"/>
        <v>0</v>
      </c>
      <c r="AY541" s="11">
        <f t="shared" si="547"/>
        <v>0</v>
      </c>
      <c r="BA541" s="11">
        <f t="shared" si="548"/>
        <v>0</v>
      </c>
      <c r="BC541" s="11">
        <f t="shared" si="549"/>
        <v>0</v>
      </c>
      <c r="BE541" s="11">
        <f t="shared" si="550"/>
        <v>0</v>
      </c>
      <c r="BG541" s="11">
        <f t="shared" si="551"/>
        <v>0</v>
      </c>
      <c r="BN541" s="8">
        <f t="shared" si="529"/>
        <v>0</v>
      </c>
      <c r="BO541" s="8">
        <f t="shared" si="530"/>
        <v>0</v>
      </c>
      <c r="BP541" s="8">
        <f t="shared" si="532"/>
        <v>0</v>
      </c>
      <c r="BQ541" s="12">
        <f t="shared" si="533"/>
        <v>0</v>
      </c>
    </row>
    <row r="542" spans="1:69">
      <c r="A542" s="28">
        <v>1973</v>
      </c>
      <c r="B542" s="27" t="s">
        <v>49</v>
      </c>
      <c r="C542" s="24">
        <f t="shared" si="531"/>
        <v>524</v>
      </c>
      <c r="D542" s="7" t="e">
        <f t="shared" ca="1" si="508"/>
        <v>#N/A</v>
      </c>
      <c r="E542" s="26">
        <f t="array" aca="1" ref="E542" ca="1">AVERAGE(IF(INDIRECT(DatCol&amp;"$"&amp;TEXT(C542,"###")):INDIRECT(DatCol&amp;"$"&amp;TEXT(C542+57,"###"))&gt;0,INDIRECT(DatCol&amp;"$"&amp;TEXT(C542,"###")):INDIRECT(DatCol&amp;"$"&amp;TEXT(C542+57,"###"))))</f>
        <v>541.77027027027032</v>
      </c>
      <c r="F542" s="26" t="str">
        <f t="shared" si="552"/>
        <v>C</v>
      </c>
      <c r="G542" s="8"/>
      <c r="H542" s="8">
        <v>1010</v>
      </c>
      <c r="I542" s="8">
        <v>127</v>
      </c>
      <c r="J542" s="8">
        <v>1103</v>
      </c>
      <c r="K542" s="9">
        <f t="shared" si="510"/>
        <v>2113</v>
      </c>
      <c r="M542" s="11">
        <f t="shared" si="534"/>
        <v>0</v>
      </c>
      <c r="O542" s="11">
        <f t="shared" si="535"/>
        <v>0</v>
      </c>
      <c r="Q542" s="11">
        <f t="shared" si="536"/>
        <v>0</v>
      </c>
      <c r="Y542" s="11">
        <f t="shared" si="537"/>
        <v>0</v>
      </c>
      <c r="AG542" s="11">
        <f t="shared" si="538"/>
        <v>0</v>
      </c>
      <c r="AH542" s="12">
        <v>100</v>
      </c>
      <c r="AI542" s="11">
        <f t="shared" si="539"/>
        <v>6500</v>
      </c>
      <c r="AJ542" s="12">
        <v>2000</v>
      </c>
      <c r="AK542" s="13">
        <f t="shared" si="540"/>
        <v>18000</v>
      </c>
      <c r="AM542" s="13">
        <f t="shared" si="541"/>
        <v>0</v>
      </c>
      <c r="AO542" s="11">
        <f t="shared" si="542"/>
        <v>0</v>
      </c>
      <c r="AQ542" s="11">
        <f t="shared" si="543"/>
        <v>0</v>
      </c>
      <c r="AS542" s="11">
        <f t="shared" si="544"/>
        <v>0</v>
      </c>
      <c r="AU542" s="11">
        <f t="shared" si="545"/>
        <v>0</v>
      </c>
      <c r="AW542" s="11">
        <f t="shared" si="546"/>
        <v>0</v>
      </c>
      <c r="AY542" s="11">
        <f t="shared" si="547"/>
        <v>0</v>
      </c>
      <c r="BA542" s="11">
        <f t="shared" si="548"/>
        <v>0</v>
      </c>
      <c r="BC542" s="11">
        <f t="shared" si="549"/>
        <v>0</v>
      </c>
      <c r="BE542" s="11">
        <f t="shared" si="550"/>
        <v>0</v>
      </c>
      <c r="BG542" s="11">
        <f t="shared" si="551"/>
        <v>0</v>
      </c>
      <c r="BN542" s="8">
        <f t="shared" si="529"/>
        <v>2000</v>
      </c>
      <c r="BO542" s="8">
        <f t="shared" si="530"/>
        <v>18000</v>
      </c>
      <c r="BP542" s="8">
        <f t="shared" si="532"/>
        <v>100</v>
      </c>
      <c r="BQ542" s="12">
        <f t="shared" si="533"/>
        <v>6500</v>
      </c>
    </row>
    <row r="543" spans="1:69">
      <c r="A543" s="28">
        <v>1974</v>
      </c>
      <c r="B543" s="27" t="s">
        <v>49</v>
      </c>
      <c r="C543" s="24">
        <f t="shared" si="531"/>
        <v>524</v>
      </c>
      <c r="D543" s="7" t="e">
        <f t="shared" ca="1" si="508"/>
        <v>#N/A</v>
      </c>
      <c r="E543" s="26">
        <f t="array" aca="1" ref="E543" ca="1">AVERAGE(IF(INDIRECT(DatCol&amp;"$"&amp;TEXT(C543,"###")):INDIRECT(DatCol&amp;"$"&amp;TEXT(C543+57,"###"))&gt;0,INDIRECT(DatCol&amp;"$"&amp;TEXT(C543,"###")):INDIRECT(DatCol&amp;"$"&amp;TEXT(C543+57,"###"))))</f>
        <v>541.77027027027032</v>
      </c>
      <c r="F543" s="26" t="str">
        <f t="shared" si="552"/>
        <v>C</v>
      </c>
      <c r="G543" s="8"/>
      <c r="H543" s="8">
        <f>(81)</f>
        <v>81</v>
      </c>
      <c r="I543" s="8">
        <v>68</v>
      </c>
      <c r="J543" s="8">
        <f>(1400)</f>
        <v>1400</v>
      </c>
      <c r="K543" s="9">
        <f t="shared" si="510"/>
        <v>1481</v>
      </c>
      <c r="M543" s="11">
        <f t="shared" si="534"/>
        <v>0</v>
      </c>
      <c r="O543" s="11">
        <f t="shared" si="535"/>
        <v>0</v>
      </c>
      <c r="Q543" s="11">
        <f t="shared" si="536"/>
        <v>0</v>
      </c>
      <c r="Y543" s="11">
        <f t="shared" si="537"/>
        <v>0</v>
      </c>
      <c r="AG543" s="11">
        <f t="shared" si="538"/>
        <v>0</v>
      </c>
      <c r="AI543" s="11">
        <f t="shared" si="539"/>
        <v>0</v>
      </c>
      <c r="AK543" s="13">
        <f t="shared" si="540"/>
        <v>0</v>
      </c>
      <c r="AM543" s="13">
        <f t="shared" si="541"/>
        <v>0</v>
      </c>
      <c r="AO543" s="11">
        <f t="shared" si="542"/>
        <v>0</v>
      </c>
      <c r="AQ543" s="11">
        <f t="shared" si="543"/>
        <v>0</v>
      </c>
      <c r="AS543" s="11">
        <f t="shared" si="544"/>
        <v>0</v>
      </c>
      <c r="AU543" s="11">
        <f t="shared" si="545"/>
        <v>0</v>
      </c>
      <c r="AW543" s="11">
        <f t="shared" si="546"/>
        <v>0</v>
      </c>
      <c r="AY543" s="11">
        <f t="shared" si="547"/>
        <v>0</v>
      </c>
      <c r="BA543" s="11">
        <f t="shared" si="548"/>
        <v>0</v>
      </c>
      <c r="BC543" s="11">
        <f t="shared" si="549"/>
        <v>0</v>
      </c>
      <c r="BE543" s="11">
        <f t="shared" si="550"/>
        <v>0</v>
      </c>
      <c r="BG543" s="11">
        <f t="shared" si="551"/>
        <v>0</v>
      </c>
      <c r="BN543" s="8">
        <f t="shared" si="529"/>
        <v>0</v>
      </c>
      <c r="BO543" s="8">
        <f t="shared" si="530"/>
        <v>0</v>
      </c>
      <c r="BP543" s="8">
        <f t="shared" si="532"/>
        <v>0</v>
      </c>
      <c r="BQ543" s="12">
        <f t="shared" si="533"/>
        <v>0</v>
      </c>
    </row>
    <row r="544" spans="1:69">
      <c r="A544" s="28">
        <v>1975</v>
      </c>
      <c r="B544" s="27" t="s">
        <v>49</v>
      </c>
      <c r="C544" s="24">
        <f t="shared" si="531"/>
        <v>524</v>
      </c>
      <c r="D544" s="7" t="e">
        <f t="shared" ca="1" si="508"/>
        <v>#N/A</v>
      </c>
      <c r="E544" s="26">
        <f t="array" aca="1" ref="E544" ca="1">AVERAGE(IF(INDIRECT(DatCol&amp;"$"&amp;TEXT(C544,"###")):INDIRECT(DatCol&amp;"$"&amp;TEXT(C544+57,"###"))&gt;0,INDIRECT(DatCol&amp;"$"&amp;TEXT(C544,"###")):INDIRECT(DatCol&amp;"$"&amp;TEXT(C544+57,"###"))))</f>
        <v>541.77027027027032</v>
      </c>
      <c r="F544" s="26" t="str">
        <f t="shared" si="552"/>
        <v>C</v>
      </c>
      <c r="G544" s="8"/>
      <c r="K544" s="9">
        <f t="shared" si="510"/>
        <v>0</v>
      </c>
      <c r="M544" s="11">
        <f t="shared" si="534"/>
        <v>0</v>
      </c>
      <c r="O544" s="11">
        <f t="shared" si="535"/>
        <v>0</v>
      </c>
      <c r="Q544" s="11">
        <f t="shared" si="536"/>
        <v>0</v>
      </c>
      <c r="Y544" s="11">
        <f t="shared" si="537"/>
        <v>0</v>
      </c>
      <c r="AG544" s="11">
        <f t="shared" si="538"/>
        <v>0</v>
      </c>
      <c r="AI544" s="11">
        <f t="shared" si="539"/>
        <v>0</v>
      </c>
      <c r="AK544" s="13">
        <f t="shared" si="540"/>
        <v>0</v>
      </c>
      <c r="AM544" s="13">
        <f t="shared" si="541"/>
        <v>0</v>
      </c>
      <c r="AO544" s="11">
        <f t="shared" si="542"/>
        <v>0</v>
      </c>
      <c r="AQ544" s="11">
        <f t="shared" si="543"/>
        <v>0</v>
      </c>
      <c r="AS544" s="11">
        <f t="shared" si="544"/>
        <v>0</v>
      </c>
      <c r="AU544" s="11">
        <f t="shared" si="545"/>
        <v>0</v>
      </c>
      <c r="AW544" s="11">
        <f t="shared" si="546"/>
        <v>0</v>
      </c>
      <c r="AY544" s="11">
        <f t="shared" si="547"/>
        <v>0</v>
      </c>
      <c r="BA544" s="11">
        <f t="shared" si="548"/>
        <v>0</v>
      </c>
      <c r="BC544" s="11">
        <f t="shared" si="549"/>
        <v>0</v>
      </c>
      <c r="BE544" s="11">
        <f t="shared" si="550"/>
        <v>0</v>
      </c>
      <c r="BG544" s="11">
        <f t="shared" si="551"/>
        <v>0</v>
      </c>
      <c r="BN544" s="8">
        <f t="shared" si="529"/>
        <v>0</v>
      </c>
      <c r="BO544" s="8">
        <f t="shared" si="530"/>
        <v>0</v>
      </c>
      <c r="BP544" s="8">
        <f t="shared" si="532"/>
        <v>0</v>
      </c>
      <c r="BQ544" s="12">
        <f t="shared" si="533"/>
        <v>0</v>
      </c>
    </row>
    <row r="545" spans="1:69">
      <c r="A545" s="28">
        <v>1976</v>
      </c>
      <c r="B545" s="27" t="s">
        <v>49</v>
      </c>
      <c r="C545" s="24">
        <f t="shared" si="531"/>
        <v>524</v>
      </c>
      <c r="D545" s="7" t="e">
        <f t="shared" ca="1" si="508"/>
        <v>#N/A</v>
      </c>
      <c r="E545" s="26">
        <f t="array" aca="1" ref="E545" ca="1">AVERAGE(IF(INDIRECT(DatCol&amp;"$"&amp;TEXT(C545,"###")):INDIRECT(DatCol&amp;"$"&amp;TEXT(C545+57,"###"))&gt;0,INDIRECT(DatCol&amp;"$"&amp;TEXT(C545,"###")):INDIRECT(DatCol&amp;"$"&amp;TEXT(C545+57,"###"))))</f>
        <v>541.77027027027032</v>
      </c>
      <c r="F545" s="26" t="str">
        <f t="shared" si="552"/>
        <v>C</v>
      </c>
      <c r="G545" s="8"/>
      <c r="H545" s="8">
        <v>852</v>
      </c>
      <c r="I545" s="8">
        <v>200</v>
      </c>
      <c r="J545" s="8">
        <v>1124</v>
      </c>
      <c r="K545" s="9">
        <f t="shared" si="510"/>
        <v>1976</v>
      </c>
      <c r="L545" s="12">
        <v>100</v>
      </c>
      <c r="M545" s="11">
        <f t="shared" si="534"/>
        <v>5000</v>
      </c>
      <c r="N545" s="12">
        <v>150</v>
      </c>
      <c r="O545" s="11">
        <f t="shared" si="535"/>
        <v>7500</v>
      </c>
      <c r="P545" s="12">
        <v>5000</v>
      </c>
      <c r="Q545" s="11">
        <f t="shared" si="536"/>
        <v>300000</v>
      </c>
      <c r="X545" s="12">
        <v>700</v>
      </c>
      <c r="Y545" s="11">
        <f t="shared" si="537"/>
        <v>42000</v>
      </c>
      <c r="AG545" s="11">
        <f t="shared" si="538"/>
        <v>0</v>
      </c>
      <c r="AI545" s="11">
        <f t="shared" si="539"/>
        <v>0</v>
      </c>
      <c r="AJ545" s="12">
        <v>150</v>
      </c>
      <c r="AK545" s="13">
        <f t="shared" si="540"/>
        <v>1350</v>
      </c>
      <c r="AL545" s="12">
        <v>150</v>
      </c>
      <c r="AM545" s="13">
        <f t="shared" si="541"/>
        <v>1350</v>
      </c>
      <c r="AO545" s="11">
        <f t="shared" si="542"/>
        <v>0</v>
      </c>
      <c r="AQ545" s="11">
        <f t="shared" si="543"/>
        <v>0</v>
      </c>
      <c r="AR545" s="12">
        <v>100</v>
      </c>
      <c r="AS545" s="11">
        <f t="shared" si="544"/>
        <v>5000</v>
      </c>
      <c r="AT545" s="12">
        <v>50</v>
      </c>
      <c r="AU545" s="11">
        <f t="shared" si="545"/>
        <v>2500</v>
      </c>
      <c r="AW545" s="11">
        <f t="shared" si="546"/>
        <v>0</v>
      </c>
      <c r="AY545" s="11">
        <f t="shared" si="547"/>
        <v>0</v>
      </c>
      <c r="AZ545" s="12">
        <v>50</v>
      </c>
      <c r="BA545" s="11">
        <f t="shared" si="548"/>
        <v>2000</v>
      </c>
      <c r="BB545" s="12">
        <v>25</v>
      </c>
      <c r="BC545" s="11">
        <f t="shared" si="549"/>
        <v>1000</v>
      </c>
      <c r="BE545" s="11">
        <f t="shared" si="550"/>
        <v>0</v>
      </c>
      <c r="BG545" s="11">
        <f t="shared" si="551"/>
        <v>0</v>
      </c>
      <c r="BN545" s="8">
        <f t="shared" si="529"/>
        <v>6100</v>
      </c>
      <c r="BO545" s="8">
        <f t="shared" si="530"/>
        <v>355350</v>
      </c>
      <c r="BP545" s="8">
        <f t="shared" si="532"/>
        <v>1075</v>
      </c>
      <c r="BQ545" s="12">
        <f t="shared" si="533"/>
        <v>54350</v>
      </c>
    </row>
    <row r="546" spans="1:69">
      <c r="A546" s="28">
        <v>1977</v>
      </c>
      <c r="B546" s="27" t="s">
        <v>49</v>
      </c>
      <c r="C546" s="24">
        <f t="shared" si="531"/>
        <v>524</v>
      </c>
      <c r="D546" s="7" t="e">
        <f t="shared" ca="1" si="508"/>
        <v>#N/A</v>
      </c>
      <c r="E546" s="26">
        <f t="array" aca="1" ref="E546" ca="1">AVERAGE(IF(INDIRECT(DatCol&amp;"$"&amp;TEXT(C546,"###")):INDIRECT(DatCol&amp;"$"&amp;TEXT(C546+57,"###"))&gt;0,INDIRECT(DatCol&amp;"$"&amp;TEXT(C546,"###")):INDIRECT(DatCol&amp;"$"&amp;TEXT(C546+57,"###"))))</f>
        <v>541.77027027027032</v>
      </c>
      <c r="F546" s="26" t="str">
        <f t="shared" si="552"/>
        <v>C</v>
      </c>
      <c r="G546" s="8"/>
      <c r="H546" s="8">
        <v>777</v>
      </c>
      <c r="I546" s="8">
        <v>24</v>
      </c>
      <c r="J546" s="8">
        <v>1178</v>
      </c>
      <c r="K546" s="9">
        <f t="shared" si="510"/>
        <v>1955</v>
      </c>
      <c r="L546" s="12">
        <v>500</v>
      </c>
      <c r="M546" s="11">
        <f t="shared" si="534"/>
        <v>25000</v>
      </c>
      <c r="N546" s="12">
        <v>200</v>
      </c>
      <c r="O546" s="11">
        <f t="shared" si="535"/>
        <v>10000</v>
      </c>
      <c r="P546" s="12">
        <v>4000</v>
      </c>
      <c r="Q546" s="11">
        <f t="shared" si="536"/>
        <v>240000</v>
      </c>
      <c r="X546" s="12">
        <v>700</v>
      </c>
      <c r="Y546" s="11">
        <f t="shared" si="537"/>
        <v>42000</v>
      </c>
      <c r="AF546" s="12">
        <v>50</v>
      </c>
      <c r="AG546" s="11">
        <f t="shared" si="538"/>
        <v>3250</v>
      </c>
      <c r="AI546" s="11">
        <f t="shared" si="539"/>
        <v>0</v>
      </c>
      <c r="AJ546" s="12">
        <v>500</v>
      </c>
      <c r="AK546" s="13">
        <f t="shared" si="540"/>
        <v>4500</v>
      </c>
      <c r="AL546" s="12">
        <v>100</v>
      </c>
      <c r="AM546" s="13">
        <f t="shared" si="541"/>
        <v>900</v>
      </c>
      <c r="AN546" s="12">
        <v>500</v>
      </c>
      <c r="AO546" s="11">
        <f t="shared" si="542"/>
        <v>40000</v>
      </c>
      <c r="AQ546" s="11">
        <f t="shared" si="543"/>
        <v>0</v>
      </c>
      <c r="AS546" s="11">
        <f t="shared" si="544"/>
        <v>0</v>
      </c>
      <c r="AT546" s="12">
        <v>50</v>
      </c>
      <c r="AU546" s="11">
        <f t="shared" si="545"/>
        <v>2500</v>
      </c>
      <c r="AW546" s="11">
        <f t="shared" si="546"/>
        <v>0</v>
      </c>
      <c r="AY546" s="11">
        <f t="shared" si="547"/>
        <v>0</v>
      </c>
      <c r="BA546" s="11">
        <f t="shared" si="548"/>
        <v>0</v>
      </c>
      <c r="BB546" s="12">
        <v>50</v>
      </c>
      <c r="BC546" s="11">
        <f t="shared" si="549"/>
        <v>2000</v>
      </c>
      <c r="BE546" s="11">
        <f t="shared" si="550"/>
        <v>0</v>
      </c>
      <c r="BG546" s="11">
        <f t="shared" si="551"/>
        <v>0</v>
      </c>
      <c r="BN546" s="8">
        <f t="shared" si="529"/>
        <v>6250</v>
      </c>
      <c r="BO546" s="8">
        <f t="shared" si="530"/>
        <v>354750</v>
      </c>
      <c r="BP546" s="8">
        <f t="shared" si="532"/>
        <v>1100</v>
      </c>
      <c r="BQ546" s="12">
        <f t="shared" si="533"/>
        <v>57400</v>
      </c>
    </row>
    <row r="547" spans="1:69">
      <c r="A547" s="28">
        <v>1978</v>
      </c>
      <c r="B547" s="27" t="s">
        <v>49</v>
      </c>
      <c r="C547" s="24">
        <f t="shared" si="531"/>
        <v>524</v>
      </c>
      <c r="D547" s="7" t="e">
        <f t="shared" ca="1" si="508"/>
        <v>#N/A</v>
      </c>
      <c r="E547" s="26">
        <f t="array" aca="1" ref="E547" ca="1">AVERAGE(IF(INDIRECT(DatCol&amp;"$"&amp;TEXT(C547,"###")):INDIRECT(DatCol&amp;"$"&amp;TEXT(C547+57,"###"))&gt;0,INDIRECT(DatCol&amp;"$"&amp;TEXT(C547,"###")):INDIRECT(DatCol&amp;"$"&amp;TEXT(C547+57,"###"))))</f>
        <v>541.77027027027032</v>
      </c>
      <c r="F547" s="26" t="str">
        <f t="shared" si="552"/>
        <v>C</v>
      </c>
      <c r="G547" s="8"/>
      <c r="H547" s="8">
        <v>780</v>
      </c>
      <c r="I547" s="8">
        <v>45</v>
      </c>
      <c r="J547" s="8">
        <v>1019</v>
      </c>
      <c r="K547" s="9">
        <f t="shared" si="510"/>
        <v>1799</v>
      </c>
      <c r="L547" s="12">
        <v>1500</v>
      </c>
      <c r="M547" s="11">
        <f t="shared" si="534"/>
        <v>75000</v>
      </c>
      <c r="N547" s="12">
        <v>420</v>
      </c>
      <c r="O547" s="11">
        <f t="shared" si="535"/>
        <v>21000</v>
      </c>
      <c r="P547" s="12">
        <v>3750</v>
      </c>
      <c r="Q547" s="11">
        <f t="shared" si="536"/>
        <v>225000</v>
      </c>
      <c r="X547" s="12">
        <v>840</v>
      </c>
      <c r="Y547" s="11">
        <f t="shared" si="537"/>
        <v>50400</v>
      </c>
      <c r="AG547" s="11">
        <f t="shared" si="538"/>
        <v>0</v>
      </c>
      <c r="AI547" s="11">
        <f t="shared" si="539"/>
        <v>0</v>
      </c>
      <c r="AK547" s="13">
        <f t="shared" si="540"/>
        <v>0</v>
      </c>
      <c r="AL547" s="12">
        <v>100</v>
      </c>
      <c r="AM547" s="13">
        <f t="shared" si="541"/>
        <v>900</v>
      </c>
      <c r="AN547" s="12">
        <v>100</v>
      </c>
      <c r="AO547" s="11">
        <f t="shared" si="542"/>
        <v>8000</v>
      </c>
      <c r="AQ547" s="11">
        <f t="shared" si="543"/>
        <v>0</v>
      </c>
      <c r="AS547" s="11">
        <f t="shared" si="544"/>
        <v>0</v>
      </c>
      <c r="AT547" s="12">
        <v>60</v>
      </c>
      <c r="AU547" s="11">
        <f t="shared" si="545"/>
        <v>3000</v>
      </c>
      <c r="AW547" s="11">
        <f t="shared" si="546"/>
        <v>0</v>
      </c>
      <c r="AY547" s="11">
        <f t="shared" si="547"/>
        <v>0</v>
      </c>
      <c r="BA547" s="11">
        <f t="shared" si="548"/>
        <v>0</v>
      </c>
      <c r="BB547" s="12">
        <v>30</v>
      </c>
      <c r="BC547" s="11">
        <f t="shared" si="549"/>
        <v>1200</v>
      </c>
      <c r="BE547" s="11">
        <f t="shared" si="550"/>
        <v>0</v>
      </c>
      <c r="BG547" s="11">
        <f t="shared" si="551"/>
        <v>0</v>
      </c>
      <c r="BN547" s="8">
        <f t="shared" si="529"/>
        <v>6190</v>
      </c>
      <c r="BO547" s="8">
        <f t="shared" si="530"/>
        <v>358400</v>
      </c>
      <c r="BP547" s="8">
        <f t="shared" si="532"/>
        <v>1450</v>
      </c>
      <c r="BQ547" s="12">
        <f t="shared" si="533"/>
        <v>76500</v>
      </c>
    </row>
    <row r="548" spans="1:69">
      <c r="A548" s="28">
        <v>1979</v>
      </c>
      <c r="B548" s="27" t="s">
        <v>49</v>
      </c>
      <c r="C548" s="24">
        <f t="shared" si="531"/>
        <v>524</v>
      </c>
      <c r="D548" s="7" t="e">
        <f t="shared" ca="1" si="508"/>
        <v>#N/A</v>
      </c>
      <c r="E548" s="26">
        <f t="array" aca="1" ref="E548" ca="1">AVERAGE(IF(INDIRECT(DatCol&amp;"$"&amp;TEXT(C548,"###")):INDIRECT(DatCol&amp;"$"&amp;TEXT(C548+57,"###"))&gt;0,INDIRECT(DatCol&amp;"$"&amp;TEXT(C548,"###")):INDIRECT(DatCol&amp;"$"&amp;TEXT(C548+57,"###"))))</f>
        <v>541.77027027027032</v>
      </c>
      <c r="F548" s="26" t="str">
        <f t="shared" si="552"/>
        <v>C</v>
      </c>
      <c r="G548" s="8"/>
      <c r="H548" s="8">
        <v>1011</v>
      </c>
      <c r="I548" s="8">
        <v>180</v>
      </c>
      <c r="J548" s="8">
        <v>1110</v>
      </c>
      <c r="K548" s="9">
        <f t="shared" si="510"/>
        <v>2121</v>
      </c>
      <c r="L548" s="12">
        <v>4000</v>
      </c>
      <c r="M548" s="11">
        <f t="shared" si="534"/>
        <v>200000</v>
      </c>
      <c r="N548" s="12">
        <v>900</v>
      </c>
      <c r="O548" s="11">
        <f t="shared" si="535"/>
        <v>45000</v>
      </c>
      <c r="P548" s="12">
        <v>3800</v>
      </c>
      <c r="Q548" s="11">
        <f t="shared" si="536"/>
        <v>228000</v>
      </c>
      <c r="X548" s="12">
        <v>700</v>
      </c>
      <c r="Y548" s="11">
        <f t="shared" si="537"/>
        <v>42000</v>
      </c>
      <c r="AG548" s="11">
        <f t="shared" si="538"/>
        <v>0</v>
      </c>
      <c r="AI548" s="11">
        <f t="shared" si="539"/>
        <v>0</v>
      </c>
      <c r="AJ548" s="12">
        <v>100</v>
      </c>
      <c r="AK548" s="13">
        <f t="shared" si="540"/>
        <v>900</v>
      </c>
      <c r="AL548" s="12">
        <v>5</v>
      </c>
      <c r="AM548" s="13">
        <f t="shared" si="541"/>
        <v>45</v>
      </c>
      <c r="AO548" s="11">
        <f t="shared" si="542"/>
        <v>0</v>
      </c>
      <c r="AQ548" s="11">
        <f t="shared" si="543"/>
        <v>0</v>
      </c>
      <c r="AS548" s="11">
        <f t="shared" si="544"/>
        <v>0</v>
      </c>
      <c r="AT548" s="12">
        <v>60</v>
      </c>
      <c r="AU548" s="11">
        <f t="shared" si="545"/>
        <v>3000</v>
      </c>
      <c r="AW548" s="11">
        <f t="shared" si="546"/>
        <v>0</v>
      </c>
      <c r="AY548" s="11">
        <f t="shared" si="547"/>
        <v>0</v>
      </c>
      <c r="BA548" s="11">
        <f t="shared" si="548"/>
        <v>0</v>
      </c>
      <c r="BB548" s="12">
        <v>30</v>
      </c>
      <c r="BC548" s="11">
        <f t="shared" si="549"/>
        <v>1200</v>
      </c>
      <c r="BE548" s="11">
        <f t="shared" si="550"/>
        <v>0</v>
      </c>
      <c r="BG548" s="11">
        <f t="shared" si="551"/>
        <v>0</v>
      </c>
      <c r="BN548" s="8">
        <f t="shared" si="529"/>
        <v>8600</v>
      </c>
      <c r="BO548" s="8">
        <f t="shared" si="530"/>
        <v>470900</v>
      </c>
      <c r="BP548" s="8">
        <f t="shared" si="532"/>
        <v>1695</v>
      </c>
      <c r="BQ548" s="12">
        <f t="shared" si="533"/>
        <v>91245</v>
      </c>
    </row>
    <row r="549" spans="1:69">
      <c r="A549" s="28">
        <v>1980</v>
      </c>
      <c r="B549" s="27" t="s">
        <v>49</v>
      </c>
      <c r="C549" s="24">
        <f t="shared" si="531"/>
        <v>524</v>
      </c>
      <c r="D549" s="7" t="e">
        <f t="shared" ca="1" si="508"/>
        <v>#N/A</v>
      </c>
      <c r="E549" s="26">
        <f t="array" aca="1" ref="E549" ca="1">AVERAGE(IF(INDIRECT(DatCol&amp;"$"&amp;TEXT(C549,"###")):INDIRECT(DatCol&amp;"$"&amp;TEXT(C549+57,"###"))&gt;0,INDIRECT(DatCol&amp;"$"&amp;TEXT(C549,"###")):INDIRECT(DatCol&amp;"$"&amp;TEXT(C549+57,"###"))))</f>
        <v>541.77027027027032</v>
      </c>
      <c r="F549" s="26" t="str">
        <f t="shared" si="552"/>
        <v>C</v>
      </c>
      <c r="G549" s="8"/>
      <c r="H549" s="8">
        <v>1300</v>
      </c>
      <c r="I549" s="8">
        <v>142</v>
      </c>
      <c r="J549" s="8">
        <v>1370</v>
      </c>
      <c r="K549" s="9">
        <f t="shared" si="510"/>
        <v>2670</v>
      </c>
      <c r="M549" s="11">
        <f t="shared" si="534"/>
        <v>0</v>
      </c>
      <c r="N549" s="12">
        <v>1000</v>
      </c>
      <c r="O549" s="11">
        <f t="shared" si="535"/>
        <v>50000</v>
      </c>
      <c r="P549" s="12">
        <v>1800</v>
      </c>
      <c r="Q549" s="11">
        <f t="shared" si="536"/>
        <v>108000</v>
      </c>
      <c r="X549" s="12">
        <v>700</v>
      </c>
      <c r="Y549" s="11">
        <f t="shared" si="537"/>
        <v>42000</v>
      </c>
      <c r="AG549" s="11">
        <f t="shared" si="538"/>
        <v>0</v>
      </c>
      <c r="AI549" s="11">
        <f t="shared" si="539"/>
        <v>0</v>
      </c>
      <c r="AJ549" s="12">
        <v>100</v>
      </c>
      <c r="AK549" s="13">
        <f t="shared" si="540"/>
        <v>900</v>
      </c>
      <c r="AL549" s="12">
        <v>150</v>
      </c>
      <c r="AM549" s="13">
        <f t="shared" si="541"/>
        <v>1350</v>
      </c>
      <c r="AO549" s="11">
        <f t="shared" si="542"/>
        <v>0</v>
      </c>
      <c r="AQ549" s="11">
        <f t="shared" si="543"/>
        <v>0</v>
      </c>
      <c r="AR549" s="12">
        <v>100</v>
      </c>
      <c r="AS549" s="11">
        <f t="shared" si="544"/>
        <v>5000</v>
      </c>
      <c r="AT549" s="12">
        <v>200</v>
      </c>
      <c r="AU549" s="11">
        <f t="shared" si="545"/>
        <v>10000</v>
      </c>
      <c r="AW549" s="11">
        <f t="shared" si="546"/>
        <v>0</v>
      </c>
      <c r="AY549" s="11">
        <f t="shared" si="547"/>
        <v>0</v>
      </c>
      <c r="BA549" s="11">
        <f t="shared" si="548"/>
        <v>0</v>
      </c>
      <c r="BB549" s="12">
        <v>70</v>
      </c>
      <c r="BC549" s="11">
        <f t="shared" si="549"/>
        <v>2800</v>
      </c>
      <c r="BE549" s="11">
        <f t="shared" si="550"/>
        <v>0</v>
      </c>
      <c r="BG549" s="11">
        <f t="shared" si="551"/>
        <v>0</v>
      </c>
      <c r="BN549" s="8">
        <f t="shared" si="529"/>
        <v>2700</v>
      </c>
      <c r="BO549" s="8">
        <f t="shared" si="530"/>
        <v>155900</v>
      </c>
      <c r="BP549" s="8">
        <f t="shared" si="532"/>
        <v>2120</v>
      </c>
      <c r="BQ549" s="12">
        <f t="shared" si="533"/>
        <v>106150</v>
      </c>
    </row>
    <row r="550" spans="1:69">
      <c r="A550" s="28">
        <v>1981</v>
      </c>
      <c r="B550" s="27" t="s">
        <v>49</v>
      </c>
      <c r="C550" s="24">
        <f t="shared" si="531"/>
        <v>524</v>
      </c>
      <c r="D550" s="7" t="e">
        <f t="shared" ca="1" si="508"/>
        <v>#N/A</v>
      </c>
      <c r="E550" s="26">
        <f t="array" aca="1" ref="E550" ca="1">AVERAGE(IF(INDIRECT(DatCol&amp;"$"&amp;TEXT(C550,"###")):INDIRECT(DatCol&amp;"$"&amp;TEXT(C550+57,"###"))&gt;0,INDIRECT(DatCol&amp;"$"&amp;TEXT(C550,"###")):INDIRECT(DatCol&amp;"$"&amp;TEXT(C550+57,"###"))))</f>
        <v>541.77027027027032</v>
      </c>
      <c r="F550" s="26" t="str">
        <f t="shared" si="552"/>
        <v>C</v>
      </c>
      <c r="G550" s="8"/>
      <c r="H550" s="8">
        <v>1125</v>
      </c>
      <c r="I550" s="8">
        <v>74</v>
      </c>
      <c r="J550" s="8">
        <v>1137</v>
      </c>
      <c r="K550" s="9">
        <f t="shared" si="510"/>
        <v>2262</v>
      </c>
      <c r="L550" s="12">
        <v>100</v>
      </c>
      <c r="M550" s="11">
        <f t="shared" si="534"/>
        <v>5000</v>
      </c>
      <c r="N550" s="12">
        <v>200</v>
      </c>
      <c r="O550" s="11">
        <f t="shared" si="535"/>
        <v>10000</v>
      </c>
      <c r="P550" s="12">
        <v>1900</v>
      </c>
      <c r="Q550" s="11">
        <f t="shared" si="536"/>
        <v>114000</v>
      </c>
      <c r="X550" s="12">
        <v>800</v>
      </c>
      <c r="Y550" s="11">
        <f t="shared" si="537"/>
        <v>48000</v>
      </c>
      <c r="AG550" s="11">
        <f t="shared" si="538"/>
        <v>0</v>
      </c>
      <c r="AH550" s="12">
        <v>25</v>
      </c>
      <c r="AI550" s="11">
        <f t="shared" si="539"/>
        <v>1625</v>
      </c>
      <c r="AK550" s="13">
        <f t="shared" si="540"/>
        <v>0</v>
      </c>
      <c r="AM550" s="13">
        <f t="shared" si="541"/>
        <v>0</v>
      </c>
      <c r="AO550" s="11">
        <f t="shared" si="542"/>
        <v>0</v>
      </c>
      <c r="AQ550" s="11">
        <f t="shared" si="543"/>
        <v>0</v>
      </c>
      <c r="AS550" s="11">
        <f t="shared" si="544"/>
        <v>0</v>
      </c>
      <c r="AT550" s="12">
        <v>200</v>
      </c>
      <c r="AU550" s="11">
        <f t="shared" si="545"/>
        <v>10000</v>
      </c>
      <c r="AW550" s="11">
        <f t="shared" si="546"/>
        <v>0</v>
      </c>
      <c r="AY550" s="11">
        <f t="shared" si="547"/>
        <v>0</v>
      </c>
      <c r="BA550" s="11">
        <f t="shared" si="548"/>
        <v>0</v>
      </c>
      <c r="BB550" s="12">
        <v>70</v>
      </c>
      <c r="BC550" s="11">
        <f t="shared" si="549"/>
        <v>2800</v>
      </c>
      <c r="BE550" s="11">
        <f t="shared" si="550"/>
        <v>0</v>
      </c>
      <c r="BG550" s="11">
        <f t="shared" si="551"/>
        <v>0</v>
      </c>
      <c r="BN550" s="8">
        <f t="shared" si="529"/>
        <v>2800</v>
      </c>
      <c r="BO550" s="8">
        <f t="shared" si="530"/>
        <v>167000</v>
      </c>
      <c r="BP550" s="8">
        <f t="shared" si="532"/>
        <v>1295</v>
      </c>
      <c r="BQ550" s="12">
        <f t="shared" si="533"/>
        <v>72425</v>
      </c>
    </row>
    <row r="551" spans="1:69">
      <c r="A551" s="28">
        <v>1982</v>
      </c>
      <c r="B551" s="27" t="s">
        <v>49</v>
      </c>
      <c r="C551" s="24">
        <f t="shared" si="531"/>
        <v>524</v>
      </c>
      <c r="D551" s="7" t="e">
        <f t="shared" ca="1" si="508"/>
        <v>#N/A</v>
      </c>
      <c r="E551" s="26">
        <f t="array" aca="1" ref="E551" ca="1">AVERAGE(IF(INDIRECT(DatCol&amp;"$"&amp;TEXT(C551,"###")):INDIRECT(DatCol&amp;"$"&amp;TEXT(C551+57,"###"))&gt;0,INDIRECT(DatCol&amp;"$"&amp;TEXT(C551,"###")):INDIRECT(DatCol&amp;"$"&amp;TEXT(C551+57,"###"))))</f>
        <v>541.77027027027032</v>
      </c>
      <c r="F551" s="26" t="str">
        <f t="shared" si="552"/>
        <v>C</v>
      </c>
      <c r="G551" s="8"/>
      <c r="H551" s="8">
        <v>276</v>
      </c>
      <c r="I551" s="8">
        <v>88</v>
      </c>
      <c r="J551" s="8">
        <v>1320</v>
      </c>
      <c r="K551" s="9">
        <f t="shared" si="510"/>
        <v>1596</v>
      </c>
      <c r="L551" s="12">
        <v>50</v>
      </c>
      <c r="M551" s="11">
        <f t="shared" si="534"/>
        <v>2500</v>
      </c>
      <c r="N551" s="12">
        <v>50</v>
      </c>
      <c r="O551" s="11">
        <f t="shared" si="535"/>
        <v>2500</v>
      </c>
      <c r="P551" s="12">
        <v>1900</v>
      </c>
      <c r="Q551" s="11">
        <f t="shared" si="536"/>
        <v>114000</v>
      </c>
      <c r="X551" s="12">
        <v>750</v>
      </c>
      <c r="Y551" s="11">
        <f t="shared" si="537"/>
        <v>45000</v>
      </c>
      <c r="AG551" s="11">
        <f t="shared" si="538"/>
        <v>0</v>
      </c>
      <c r="AH551" s="12">
        <v>40</v>
      </c>
      <c r="AI551" s="11">
        <f t="shared" si="539"/>
        <v>2600</v>
      </c>
      <c r="AJ551" s="12">
        <v>200</v>
      </c>
      <c r="AK551" s="13">
        <f t="shared" si="540"/>
        <v>1800</v>
      </c>
      <c r="AL551" s="12">
        <v>2000</v>
      </c>
      <c r="AM551" s="13">
        <f t="shared" si="541"/>
        <v>18000</v>
      </c>
      <c r="AO551" s="11">
        <f t="shared" si="542"/>
        <v>0</v>
      </c>
      <c r="AQ551" s="11">
        <f t="shared" si="543"/>
        <v>0</v>
      </c>
      <c r="AS551" s="11">
        <f t="shared" si="544"/>
        <v>0</v>
      </c>
      <c r="AT551" s="12">
        <v>200</v>
      </c>
      <c r="AU551" s="11">
        <f t="shared" si="545"/>
        <v>10000</v>
      </c>
      <c r="AW551" s="11">
        <f t="shared" si="546"/>
        <v>0</v>
      </c>
      <c r="AY551" s="11">
        <f t="shared" si="547"/>
        <v>0</v>
      </c>
      <c r="BA551" s="11">
        <f t="shared" si="548"/>
        <v>0</v>
      </c>
      <c r="BB551" s="12">
        <v>50</v>
      </c>
      <c r="BC551" s="11">
        <f t="shared" si="549"/>
        <v>2000</v>
      </c>
      <c r="BE551" s="11">
        <f t="shared" si="550"/>
        <v>0</v>
      </c>
      <c r="BG551" s="11">
        <f t="shared" si="551"/>
        <v>0</v>
      </c>
      <c r="BH551" s="13" t="s">
        <v>53</v>
      </c>
      <c r="BN551" s="8">
        <f t="shared" si="529"/>
        <v>2900</v>
      </c>
      <c r="BO551" s="8">
        <f t="shared" si="530"/>
        <v>163300</v>
      </c>
      <c r="BP551" s="8">
        <f t="shared" si="532"/>
        <v>3090</v>
      </c>
      <c r="BQ551" s="12">
        <f t="shared" si="533"/>
        <v>80100</v>
      </c>
    </row>
    <row r="552" spans="1:69">
      <c r="A552" s="28">
        <v>1983</v>
      </c>
      <c r="B552" s="27" t="s">
        <v>49</v>
      </c>
      <c r="C552" s="24">
        <f t="shared" si="531"/>
        <v>524</v>
      </c>
      <c r="D552" s="7" t="e">
        <f t="shared" ca="1" si="508"/>
        <v>#N/A</v>
      </c>
      <c r="E552" s="26">
        <f t="array" aca="1" ref="E552" ca="1">AVERAGE(IF(INDIRECT(DatCol&amp;"$"&amp;TEXT(C552,"###")):INDIRECT(DatCol&amp;"$"&amp;TEXT(C552+57,"###"))&gt;0,INDIRECT(DatCol&amp;"$"&amp;TEXT(C552,"###")):INDIRECT(DatCol&amp;"$"&amp;TEXT(C552+57,"###"))))</f>
        <v>541.77027027027032</v>
      </c>
      <c r="F552" s="26" t="str">
        <f t="shared" si="552"/>
        <v>C</v>
      </c>
      <c r="G552" s="8"/>
      <c r="H552" s="8">
        <v>792</v>
      </c>
      <c r="I552" s="8">
        <v>88</v>
      </c>
      <c r="J552" s="8">
        <v>1459</v>
      </c>
      <c r="K552" s="9">
        <f t="shared" si="510"/>
        <v>2251</v>
      </c>
      <c r="L552" s="12">
        <v>50</v>
      </c>
      <c r="M552" s="11">
        <f t="shared" si="534"/>
        <v>2500</v>
      </c>
      <c r="N552" s="12">
        <v>200</v>
      </c>
      <c r="O552" s="11">
        <f t="shared" si="535"/>
        <v>10000</v>
      </c>
      <c r="P552" s="12">
        <v>400</v>
      </c>
      <c r="Q552" s="11">
        <f t="shared" si="536"/>
        <v>24000</v>
      </c>
      <c r="X552" s="12">
        <v>1100</v>
      </c>
      <c r="Y552" s="11">
        <f t="shared" si="537"/>
        <v>66000</v>
      </c>
      <c r="AG552" s="11">
        <f t="shared" si="538"/>
        <v>0</v>
      </c>
      <c r="AH552" s="12">
        <v>130</v>
      </c>
      <c r="AI552" s="11">
        <f t="shared" si="539"/>
        <v>8450</v>
      </c>
      <c r="AK552" s="13">
        <f t="shared" si="540"/>
        <v>0</v>
      </c>
      <c r="AL552" s="12">
        <v>0</v>
      </c>
      <c r="AM552" s="13">
        <f t="shared" si="541"/>
        <v>0</v>
      </c>
      <c r="AO552" s="11">
        <f t="shared" si="542"/>
        <v>0</v>
      </c>
      <c r="AQ552" s="11">
        <f t="shared" si="543"/>
        <v>0</v>
      </c>
      <c r="AR552" s="12">
        <v>1000</v>
      </c>
      <c r="AS552" s="11">
        <f t="shared" si="544"/>
        <v>50000</v>
      </c>
      <c r="AT552" s="12">
        <v>250</v>
      </c>
      <c r="AU552" s="11">
        <f t="shared" si="545"/>
        <v>12500</v>
      </c>
      <c r="AW552" s="11">
        <f t="shared" si="546"/>
        <v>0</v>
      </c>
      <c r="AY552" s="11">
        <f t="shared" si="547"/>
        <v>0</v>
      </c>
      <c r="BA552" s="11">
        <f t="shared" si="548"/>
        <v>0</v>
      </c>
      <c r="BB552" s="12">
        <v>50</v>
      </c>
      <c r="BC552" s="11">
        <f t="shared" si="549"/>
        <v>2000</v>
      </c>
      <c r="BE552" s="11">
        <f t="shared" si="550"/>
        <v>0</v>
      </c>
      <c r="BG552" s="11">
        <f t="shared" si="551"/>
        <v>0</v>
      </c>
      <c r="BN552" s="8">
        <f t="shared" si="529"/>
        <v>2550</v>
      </c>
      <c r="BO552" s="8">
        <f t="shared" si="530"/>
        <v>142500</v>
      </c>
      <c r="BP552" s="8">
        <f t="shared" si="532"/>
        <v>1730</v>
      </c>
      <c r="BQ552" s="12">
        <f t="shared" si="533"/>
        <v>98950</v>
      </c>
    </row>
    <row r="553" spans="1:69">
      <c r="A553" s="28">
        <v>1984</v>
      </c>
      <c r="B553" s="27" t="s">
        <v>49</v>
      </c>
      <c r="C553" s="24">
        <f t="shared" si="531"/>
        <v>524</v>
      </c>
      <c r="D553" s="7" t="e">
        <f t="shared" ca="1" si="508"/>
        <v>#N/A</v>
      </c>
      <c r="E553" s="26">
        <f t="array" aca="1" ref="E553" ca="1">AVERAGE(IF(INDIRECT(DatCol&amp;"$"&amp;TEXT(C553,"###")):INDIRECT(DatCol&amp;"$"&amp;TEXT(C553+57,"###"))&gt;0,INDIRECT(DatCol&amp;"$"&amp;TEXT(C553,"###")):INDIRECT(DatCol&amp;"$"&amp;TEXT(C553+57,"###"))))</f>
        <v>541.77027027027032</v>
      </c>
      <c r="F553" s="26" t="str">
        <f t="shared" si="552"/>
        <v>C</v>
      </c>
      <c r="G553" s="8"/>
      <c r="H553" s="8">
        <v>1922</v>
      </c>
      <c r="I553" s="8">
        <v>245</v>
      </c>
      <c r="J553" s="8">
        <v>1115</v>
      </c>
      <c r="K553" s="9">
        <f t="shared" si="510"/>
        <v>3037</v>
      </c>
      <c r="M553" s="11">
        <f t="shared" si="534"/>
        <v>0</v>
      </c>
      <c r="N553" s="12">
        <v>200</v>
      </c>
      <c r="O553" s="11">
        <f t="shared" si="535"/>
        <v>10000</v>
      </c>
      <c r="P553" s="12">
        <v>850</v>
      </c>
      <c r="Q553" s="11">
        <f t="shared" si="536"/>
        <v>51000</v>
      </c>
      <c r="X553" s="12">
        <v>1050</v>
      </c>
      <c r="Y553" s="11">
        <f t="shared" si="537"/>
        <v>63000</v>
      </c>
      <c r="AG553" s="11">
        <f t="shared" si="538"/>
        <v>0</v>
      </c>
      <c r="AI553" s="11">
        <f t="shared" si="539"/>
        <v>0</v>
      </c>
      <c r="AJ553" s="12">
        <v>50</v>
      </c>
      <c r="AK553" s="13">
        <f t="shared" si="540"/>
        <v>450</v>
      </c>
      <c r="AL553" s="12">
        <v>200</v>
      </c>
      <c r="AM553" s="13">
        <f t="shared" si="541"/>
        <v>1800</v>
      </c>
      <c r="AO553" s="11">
        <f t="shared" si="542"/>
        <v>0</v>
      </c>
      <c r="AQ553" s="11">
        <f t="shared" si="543"/>
        <v>0</v>
      </c>
      <c r="AR553" s="12">
        <v>1000</v>
      </c>
      <c r="AS553" s="11">
        <f t="shared" si="544"/>
        <v>50000</v>
      </c>
      <c r="AT553" s="12">
        <v>250</v>
      </c>
      <c r="AU553" s="11">
        <f t="shared" si="545"/>
        <v>12500</v>
      </c>
      <c r="AW553" s="11">
        <f t="shared" si="546"/>
        <v>0</v>
      </c>
      <c r="AY553" s="11">
        <f t="shared" si="547"/>
        <v>0</v>
      </c>
      <c r="BA553" s="11">
        <f t="shared" si="548"/>
        <v>0</v>
      </c>
      <c r="BB553" s="12">
        <v>50</v>
      </c>
      <c r="BC553" s="11">
        <f t="shared" si="549"/>
        <v>2000</v>
      </c>
      <c r="BE553" s="11">
        <f t="shared" si="550"/>
        <v>0</v>
      </c>
      <c r="BG553" s="11">
        <f t="shared" si="551"/>
        <v>0</v>
      </c>
      <c r="BN553" s="8">
        <f t="shared" si="529"/>
        <v>2950</v>
      </c>
      <c r="BO553" s="8">
        <f t="shared" si="530"/>
        <v>164450</v>
      </c>
      <c r="BP553" s="8">
        <f t="shared" si="532"/>
        <v>1750</v>
      </c>
      <c r="BQ553" s="12">
        <f t="shared" si="533"/>
        <v>89300</v>
      </c>
    </row>
    <row r="554" spans="1:69">
      <c r="A554" s="28">
        <v>1985</v>
      </c>
      <c r="B554" s="27" t="s">
        <v>49</v>
      </c>
      <c r="C554" s="24">
        <f t="shared" si="531"/>
        <v>524</v>
      </c>
      <c r="D554" s="7" t="e">
        <f t="shared" ca="1" si="508"/>
        <v>#N/A</v>
      </c>
      <c r="E554" s="26">
        <f t="array" aca="1" ref="E554" ca="1">AVERAGE(IF(INDIRECT(DatCol&amp;"$"&amp;TEXT(C554,"###")):INDIRECT(DatCol&amp;"$"&amp;TEXT(C554+57,"###"))&gt;0,INDIRECT(DatCol&amp;"$"&amp;TEXT(C554,"###")):INDIRECT(DatCol&amp;"$"&amp;TEXT(C554+57,"###"))))</f>
        <v>541.77027027027032</v>
      </c>
      <c r="F554" s="26" t="str">
        <f t="shared" si="552"/>
        <v>C</v>
      </c>
      <c r="G554" s="8">
        <v>325</v>
      </c>
      <c r="H554" s="8">
        <v>854</v>
      </c>
      <c r="I554" s="8">
        <v>103</v>
      </c>
      <c r="J554" s="8">
        <v>1130</v>
      </c>
      <c r="K554" s="9">
        <f t="shared" si="510"/>
        <v>2309</v>
      </c>
      <c r="L554" s="12">
        <v>150</v>
      </c>
      <c r="M554" s="11">
        <f t="shared" ref="M554:M584" si="553">(L554*50)</f>
        <v>7500</v>
      </c>
      <c r="N554" s="12">
        <v>200</v>
      </c>
      <c r="O554" s="11">
        <f t="shared" ref="O554:O584" si="554">(N554*50)</f>
        <v>10000</v>
      </c>
      <c r="P554" s="12">
        <v>1600</v>
      </c>
      <c r="Q554" s="11">
        <f t="shared" ref="Q554:Q584" si="555">((P554*330)/5.5)</f>
        <v>96000</v>
      </c>
      <c r="X554" s="12">
        <v>625</v>
      </c>
      <c r="Y554" s="11">
        <f t="shared" ref="Y554:Y584" si="556">((X554*330)/5.5)</f>
        <v>37500</v>
      </c>
      <c r="AG554" s="11">
        <f t="shared" ref="AG554:AG584" si="557">(AF554*65)</f>
        <v>0</v>
      </c>
      <c r="AH554" s="12">
        <v>150</v>
      </c>
      <c r="AI554" s="11">
        <f t="shared" ref="AI554:AI564" si="558">(AH554*65)</f>
        <v>9750</v>
      </c>
      <c r="AJ554" s="12">
        <v>3000</v>
      </c>
      <c r="AK554" s="13">
        <f t="shared" ref="AK554:AK564" si="559">(AJ554*9)</f>
        <v>27000</v>
      </c>
      <c r="AL554" s="12">
        <v>2000</v>
      </c>
      <c r="AM554" s="13">
        <f t="shared" ref="AM554:AM564" si="560">(AL554*9)</f>
        <v>18000</v>
      </c>
      <c r="AO554" s="11">
        <f t="shared" ref="AO554:AO564" si="561">(AN554*80)</f>
        <v>0</v>
      </c>
      <c r="AQ554" s="11">
        <f t="shared" ref="AQ554:AQ584" si="562">(AP554*80)</f>
        <v>0</v>
      </c>
      <c r="AR554" s="12">
        <v>500</v>
      </c>
      <c r="AS554" s="11">
        <f t="shared" ref="AS554:AS584" si="563">(AR554*50)</f>
        <v>25000</v>
      </c>
      <c r="AT554" s="12">
        <v>300</v>
      </c>
      <c r="AU554" s="11">
        <f t="shared" ref="AU554:AU584" si="564">(AT554*50)</f>
        <v>15000</v>
      </c>
      <c r="AW554" s="11">
        <f t="shared" ref="AW554:AW564" si="565">(AV554*60)</f>
        <v>0</v>
      </c>
      <c r="AY554" s="11">
        <f t="shared" ref="AY554:AY564" si="566">(AX554*60)</f>
        <v>0</v>
      </c>
      <c r="BA554" s="11">
        <f t="shared" ref="BA554:BA566" si="567">(AZ554*40)</f>
        <v>0</v>
      </c>
      <c r="BB554" s="12">
        <v>50</v>
      </c>
      <c r="BC554" s="11">
        <f t="shared" ref="BC554:BC566" si="568">(BB554*40)</f>
        <v>2000</v>
      </c>
      <c r="BE554" s="11">
        <f t="shared" ref="BE554:BE564" si="569">(BD554*95)</f>
        <v>0</v>
      </c>
      <c r="BG554" s="11">
        <f t="shared" ref="BG554:BG564" si="570">(BF554*95)</f>
        <v>0</v>
      </c>
      <c r="BH554" s="13">
        <v>50</v>
      </c>
      <c r="BN554" s="8">
        <f t="shared" si="529"/>
        <v>5875</v>
      </c>
      <c r="BO554" s="8">
        <f t="shared" si="530"/>
        <v>193000</v>
      </c>
      <c r="BP554" s="8">
        <f t="shared" si="532"/>
        <v>3325</v>
      </c>
      <c r="BQ554" s="12">
        <f t="shared" si="533"/>
        <v>92250</v>
      </c>
    </row>
    <row r="555" spans="1:69">
      <c r="A555" s="28">
        <v>1986</v>
      </c>
      <c r="B555" s="27" t="s">
        <v>49</v>
      </c>
      <c r="C555" s="24">
        <f t="shared" si="531"/>
        <v>524</v>
      </c>
      <c r="D555" s="7" t="e">
        <f t="shared" ca="1" si="508"/>
        <v>#N/A</v>
      </c>
      <c r="E555" s="26">
        <f t="array" aca="1" ref="E555" ca="1">AVERAGE(IF(INDIRECT(DatCol&amp;"$"&amp;TEXT(C555,"###")):INDIRECT(DatCol&amp;"$"&amp;TEXT(C555+57,"###"))&gt;0,INDIRECT(DatCol&amp;"$"&amp;TEXT(C555,"###")):INDIRECT(DatCol&amp;"$"&amp;TEXT(C555+57,"###"))))</f>
        <v>541.77027027027032</v>
      </c>
      <c r="F555" s="26" t="str">
        <f t="shared" si="552"/>
        <v>C</v>
      </c>
      <c r="G555" s="8">
        <v>262</v>
      </c>
      <c r="H555" s="8">
        <v>557</v>
      </c>
      <c r="I555" s="8">
        <v>113</v>
      </c>
      <c r="J555" s="8">
        <v>1152</v>
      </c>
      <c r="K555" s="9">
        <f t="shared" si="510"/>
        <v>1971</v>
      </c>
      <c r="L555" s="12">
        <v>150</v>
      </c>
      <c r="M555" s="11">
        <f t="shared" si="553"/>
        <v>7500</v>
      </c>
      <c r="N555" s="12">
        <v>200</v>
      </c>
      <c r="O555" s="11">
        <f t="shared" si="554"/>
        <v>10000</v>
      </c>
      <c r="P555" s="12">
        <v>2000</v>
      </c>
      <c r="Q555" s="11">
        <f t="shared" si="555"/>
        <v>120000</v>
      </c>
      <c r="X555" s="12">
        <v>525</v>
      </c>
      <c r="Y555" s="11">
        <f t="shared" si="556"/>
        <v>31500</v>
      </c>
      <c r="AG555" s="11">
        <f t="shared" si="557"/>
        <v>0</v>
      </c>
      <c r="AH555" s="12">
        <v>25</v>
      </c>
      <c r="AI555" s="11">
        <f t="shared" si="558"/>
        <v>1625</v>
      </c>
      <c r="AJ555" s="12">
        <v>0</v>
      </c>
      <c r="AK555" s="13">
        <f t="shared" si="559"/>
        <v>0</v>
      </c>
      <c r="AL555" s="12">
        <v>0</v>
      </c>
      <c r="AM555" s="13">
        <f t="shared" si="560"/>
        <v>0</v>
      </c>
      <c r="AN555" s="12">
        <v>0</v>
      </c>
      <c r="AO555" s="11">
        <f t="shared" si="561"/>
        <v>0</v>
      </c>
      <c r="AP555" s="12">
        <v>0</v>
      </c>
      <c r="AQ555" s="11">
        <f t="shared" si="562"/>
        <v>0</v>
      </c>
      <c r="AR555" s="12">
        <v>200</v>
      </c>
      <c r="AS555" s="11">
        <f t="shared" si="563"/>
        <v>10000</v>
      </c>
      <c r="AT555" s="12">
        <v>300</v>
      </c>
      <c r="AU555" s="11">
        <f t="shared" si="564"/>
        <v>15000</v>
      </c>
      <c r="AW555" s="11">
        <f t="shared" si="565"/>
        <v>0</v>
      </c>
      <c r="AY555" s="11">
        <f t="shared" si="566"/>
        <v>0</v>
      </c>
      <c r="BA555" s="11">
        <f t="shared" si="567"/>
        <v>0</v>
      </c>
      <c r="BB555" s="12">
        <v>50</v>
      </c>
      <c r="BC555" s="11">
        <f t="shared" si="568"/>
        <v>2000</v>
      </c>
      <c r="BE555" s="11">
        <f t="shared" si="569"/>
        <v>0</v>
      </c>
      <c r="BG555" s="11">
        <f t="shared" si="570"/>
        <v>0</v>
      </c>
      <c r="BN555" s="8">
        <f t="shared" si="529"/>
        <v>2875</v>
      </c>
      <c r="BO555" s="8">
        <f t="shared" si="530"/>
        <v>169000</v>
      </c>
      <c r="BP555" s="8">
        <f t="shared" si="532"/>
        <v>1100</v>
      </c>
      <c r="BQ555" s="12">
        <f t="shared" si="533"/>
        <v>60125</v>
      </c>
    </row>
    <row r="556" spans="1:69">
      <c r="A556" s="28">
        <v>1987</v>
      </c>
      <c r="B556" s="27" t="s">
        <v>49</v>
      </c>
      <c r="C556" s="24">
        <f t="shared" si="531"/>
        <v>524</v>
      </c>
      <c r="D556" s="7" t="e">
        <f t="shared" ca="1" si="508"/>
        <v>#N/A</v>
      </c>
      <c r="E556" s="26">
        <f t="array" aca="1" ref="E556" ca="1">AVERAGE(IF(INDIRECT(DatCol&amp;"$"&amp;TEXT(C556,"###")):INDIRECT(DatCol&amp;"$"&amp;TEXT(C556+57,"###"))&gt;0,INDIRECT(DatCol&amp;"$"&amp;TEXT(C556,"###")):INDIRECT(DatCol&amp;"$"&amp;TEXT(C556+57,"###"))))</f>
        <v>541.77027027027032</v>
      </c>
      <c r="F556" s="26" t="str">
        <f t="shared" si="552"/>
        <v>C</v>
      </c>
      <c r="G556" s="8">
        <v>226</v>
      </c>
      <c r="H556" s="8">
        <v>402</v>
      </c>
      <c r="I556" s="8">
        <v>86</v>
      </c>
      <c r="J556" s="8">
        <v>970</v>
      </c>
      <c r="K556" s="9">
        <f t="shared" si="510"/>
        <v>1598</v>
      </c>
      <c r="L556" s="12">
        <v>125</v>
      </c>
      <c r="M556" s="11">
        <f t="shared" si="553"/>
        <v>6250</v>
      </c>
      <c r="N556" s="12">
        <v>150</v>
      </c>
      <c r="O556" s="11">
        <f t="shared" si="554"/>
        <v>7500</v>
      </c>
      <c r="P556" s="12">
        <v>2200</v>
      </c>
      <c r="Q556" s="11">
        <f t="shared" si="555"/>
        <v>132000</v>
      </c>
      <c r="X556" s="12">
        <v>525</v>
      </c>
      <c r="Y556" s="11">
        <f t="shared" si="556"/>
        <v>31500</v>
      </c>
      <c r="AF556" s="12">
        <v>0</v>
      </c>
      <c r="AG556" s="11">
        <f t="shared" si="557"/>
        <v>0</v>
      </c>
      <c r="AH556" s="12">
        <v>0</v>
      </c>
      <c r="AI556" s="11">
        <f t="shared" si="558"/>
        <v>0</v>
      </c>
      <c r="AJ556" s="12">
        <v>0</v>
      </c>
      <c r="AK556" s="13">
        <f t="shared" si="559"/>
        <v>0</v>
      </c>
      <c r="AL556" s="12">
        <v>0</v>
      </c>
      <c r="AM556" s="13">
        <f t="shared" si="560"/>
        <v>0</v>
      </c>
      <c r="AN556" s="12">
        <v>0</v>
      </c>
      <c r="AO556" s="11">
        <f t="shared" si="561"/>
        <v>0</v>
      </c>
      <c r="AP556" s="12">
        <v>0</v>
      </c>
      <c r="AQ556" s="11">
        <f t="shared" si="562"/>
        <v>0</v>
      </c>
      <c r="AR556" s="12">
        <v>500</v>
      </c>
      <c r="AS556" s="11">
        <f t="shared" si="563"/>
        <v>25000</v>
      </c>
      <c r="AT556" s="12">
        <v>400</v>
      </c>
      <c r="AU556" s="11">
        <f t="shared" si="564"/>
        <v>20000</v>
      </c>
      <c r="AW556" s="11">
        <f t="shared" si="565"/>
        <v>0</v>
      </c>
      <c r="AY556" s="11">
        <f t="shared" si="566"/>
        <v>0</v>
      </c>
      <c r="AZ556" s="12">
        <v>0</v>
      </c>
      <c r="BA556" s="11">
        <f t="shared" si="567"/>
        <v>0</v>
      </c>
      <c r="BB556" s="12">
        <v>40</v>
      </c>
      <c r="BC556" s="11">
        <f t="shared" si="568"/>
        <v>1600</v>
      </c>
      <c r="BE556" s="11">
        <f t="shared" si="569"/>
        <v>0</v>
      </c>
      <c r="BG556" s="11">
        <f t="shared" si="570"/>
        <v>0</v>
      </c>
      <c r="BH556" s="13">
        <v>0</v>
      </c>
      <c r="BN556" s="8">
        <f t="shared" si="529"/>
        <v>3350</v>
      </c>
      <c r="BO556" s="8">
        <f t="shared" si="530"/>
        <v>194750</v>
      </c>
      <c r="BP556" s="8">
        <f t="shared" si="532"/>
        <v>1115</v>
      </c>
      <c r="BQ556" s="12">
        <f t="shared" si="533"/>
        <v>60600</v>
      </c>
    </row>
    <row r="557" spans="1:69">
      <c r="A557" s="28">
        <v>1988</v>
      </c>
      <c r="B557" s="27" t="s">
        <v>49</v>
      </c>
      <c r="C557" s="24">
        <f t="shared" si="531"/>
        <v>524</v>
      </c>
      <c r="D557" s="7" t="e">
        <f t="shared" ca="1" si="508"/>
        <v>#N/A</v>
      </c>
      <c r="E557" s="26">
        <f t="array" aca="1" ref="E557" ca="1">AVERAGE(IF(INDIRECT(DatCol&amp;"$"&amp;TEXT(C557,"###")):INDIRECT(DatCol&amp;"$"&amp;TEXT(C557+57,"###"))&gt;0,INDIRECT(DatCol&amp;"$"&amp;TEXT(C557,"###")):INDIRECT(DatCol&amp;"$"&amp;TEXT(C557+57,"###"))))</f>
        <v>541.77027027027032</v>
      </c>
      <c r="F557" s="26" t="str">
        <f t="shared" si="552"/>
        <v>C</v>
      </c>
      <c r="G557" s="8">
        <v>310</v>
      </c>
      <c r="H557" s="8">
        <v>273</v>
      </c>
      <c r="I557" s="8">
        <v>78</v>
      </c>
      <c r="J557" s="8">
        <v>680</v>
      </c>
      <c r="K557" s="9">
        <f t="shared" si="510"/>
        <v>1263</v>
      </c>
      <c r="L557" s="12">
        <v>125</v>
      </c>
      <c r="M557" s="11">
        <f t="shared" si="553"/>
        <v>6250</v>
      </c>
      <c r="N557" s="12">
        <v>150</v>
      </c>
      <c r="O557" s="11">
        <f t="shared" si="554"/>
        <v>7500</v>
      </c>
      <c r="P557" s="12">
        <f>1100+450+400</f>
        <v>1950</v>
      </c>
      <c r="Q557" s="11">
        <f t="shared" si="555"/>
        <v>117000</v>
      </c>
      <c r="X557" s="12">
        <v>350</v>
      </c>
      <c r="Y557" s="11">
        <f t="shared" si="556"/>
        <v>21000</v>
      </c>
      <c r="AF557" s="12">
        <v>0</v>
      </c>
      <c r="AG557" s="11">
        <f t="shared" si="557"/>
        <v>0</v>
      </c>
      <c r="AH557" s="12">
        <v>150</v>
      </c>
      <c r="AI557" s="11">
        <f t="shared" si="558"/>
        <v>9750</v>
      </c>
      <c r="AJ557" s="12">
        <v>0</v>
      </c>
      <c r="AK557" s="13">
        <f t="shared" si="559"/>
        <v>0</v>
      </c>
      <c r="AL557" s="12">
        <v>0</v>
      </c>
      <c r="AM557" s="13">
        <f t="shared" si="560"/>
        <v>0</v>
      </c>
      <c r="AN557" s="12">
        <v>0</v>
      </c>
      <c r="AO557" s="11">
        <f t="shared" si="561"/>
        <v>0</v>
      </c>
      <c r="AP557" s="12">
        <v>0</v>
      </c>
      <c r="AQ557" s="11">
        <f t="shared" si="562"/>
        <v>0</v>
      </c>
      <c r="AR557" s="12">
        <v>200</v>
      </c>
      <c r="AS557" s="11">
        <f t="shared" si="563"/>
        <v>10000</v>
      </c>
      <c r="AT557" s="12">
        <v>150</v>
      </c>
      <c r="AU557" s="11">
        <f t="shared" si="564"/>
        <v>7500</v>
      </c>
      <c r="AV557" s="12">
        <v>0</v>
      </c>
      <c r="AW557" s="11">
        <f t="shared" si="565"/>
        <v>0</v>
      </c>
      <c r="AX557" s="12">
        <v>0</v>
      </c>
      <c r="AY557" s="11">
        <f t="shared" si="566"/>
        <v>0</v>
      </c>
      <c r="AZ557" s="12">
        <v>0</v>
      </c>
      <c r="BA557" s="11">
        <f t="shared" si="567"/>
        <v>0</v>
      </c>
      <c r="BB557" s="12">
        <v>50</v>
      </c>
      <c r="BC557" s="11">
        <f t="shared" si="568"/>
        <v>2000</v>
      </c>
      <c r="BD557" s="12">
        <v>0</v>
      </c>
      <c r="BE557" s="11">
        <f t="shared" si="569"/>
        <v>0</v>
      </c>
      <c r="BF557" s="12">
        <v>0</v>
      </c>
      <c r="BG557" s="11">
        <f t="shared" si="570"/>
        <v>0</v>
      </c>
      <c r="BN557" s="8">
        <f t="shared" si="529"/>
        <v>2625</v>
      </c>
      <c r="BO557" s="8">
        <f t="shared" si="530"/>
        <v>154250</v>
      </c>
      <c r="BP557" s="8">
        <f t="shared" si="532"/>
        <v>850</v>
      </c>
      <c r="BQ557" s="12">
        <f t="shared" si="533"/>
        <v>47750</v>
      </c>
    </row>
    <row r="558" spans="1:69">
      <c r="A558" s="28">
        <v>1989</v>
      </c>
      <c r="B558" s="27" t="s">
        <v>49</v>
      </c>
      <c r="C558" s="24">
        <f t="shared" si="531"/>
        <v>524</v>
      </c>
      <c r="D558" s="7" t="e">
        <f t="shared" ca="1" si="508"/>
        <v>#N/A</v>
      </c>
      <c r="E558" s="26">
        <f t="array" aca="1" ref="E558" ca="1">AVERAGE(IF(INDIRECT(DatCol&amp;"$"&amp;TEXT(C558,"###")):INDIRECT(DatCol&amp;"$"&amp;TEXT(C558+57,"###"))&gt;0,INDIRECT(DatCol&amp;"$"&amp;TEXT(C558,"###")):INDIRECT(DatCol&amp;"$"&amp;TEXT(C558+57,"###"))))</f>
        <v>541.77027027027032</v>
      </c>
      <c r="F558" s="26" t="str">
        <f t="shared" si="552"/>
        <v>C</v>
      </c>
      <c r="G558" s="8">
        <v>400</v>
      </c>
      <c r="H558" s="8">
        <v>400</v>
      </c>
      <c r="I558" s="8">
        <v>90</v>
      </c>
      <c r="J558" s="8">
        <v>832</v>
      </c>
      <c r="K558" s="9">
        <f t="shared" si="510"/>
        <v>1632</v>
      </c>
      <c r="L558" s="12">
        <v>200</v>
      </c>
      <c r="M558" s="11">
        <f t="shared" si="553"/>
        <v>10000</v>
      </c>
      <c r="N558" s="12">
        <v>100</v>
      </c>
      <c r="O558" s="11">
        <f t="shared" si="554"/>
        <v>5000</v>
      </c>
      <c r="P558" s="12">
        <v>1500</v>
      </c>
      <c r="Q558" s="11">
        <f t="shared" si="555"/>
        <v>90000</v>
      </c>
      <c r="X558" s="12">
        <v>500</v>
      </c>
      <c r="Y558" s="11">
        <f t="shared" si="556"/>
        <v>30000</v>
      </c>
      <c r="AF558" s="12">
        <v>0</v>
      </c>
      <c r="AG558" s="11">
        <f t="shared" si="557"/>
        <v>0</v>
      </c>
      <c r="AH558" s="12">
        <v>10</v>
      </c>
      <c r="AI558" s="11">
        <f t="shared" si="558"/>
        <v>650</v>
      </c>
      <c r="AJ558" s="12">
        <v>0</v>
      </c>
      <c r="AK558" s="13">
        <f t="shared" si="559"/>
        <v>0</v>
      </c>
      <c r="AL558" s="12">
        <v>10</v>
      </c>
      <c r="AM558" s="13">
        <f t="shared" si="560"/>
        <v>90</v>
      </c>
      <c r="AN558" s="12">
        <v>0</v>
      </c>
      <c r="AO558" s="11">
        <f t="shared" si="561"/>
        <v>0</v>
      </c>
      <c r="AP558" s="12">
        <v>5</v>
      </c>
      <c r="AQ558" s="11">
        <f t="shared" si="562"/>
        <v>400</v>
      </c>
      <c r="AR558" s="12">
        <v>0</v>
      </c>
      <c r="AS558" s="11">
        <f t="shared" si="563"/>
        <v>0</v>
      </c>
      <c r="AT558" s="12">
        <v>20</v>
      </c>
      <c r="AU558" s="11">
        <f t="shared" si="564"/>
        <v>1000</v>
      </c>
      <c r="AV558" s="12">
        <v>0</v>
      </c>
      <c r="AW558" s="11">
        <f t="shared" si="565"/>
        <v>0</v>
      </c>
      <c r="AX558" s="12">
        <v>0</v>
      </c>
      <c r="AY558" s="11">
        <f t="shared" si="566"/>
        <v>0</v>
      </c>
      <c r="AZ558" s="12">
        <v>0</v>
      </c>
      <c r="BA558" s="11">
        <f t="shared" si="567"/>
        <v>0</v>
      </c>
      <c r="BB558" s="12">
        <v>30</v>
      </c>
      <c r="BC558" s="11">
        <f t="shared" si="568"/>
        <v>1200</v>
      </c>
      <c r="BD558" s="12">
        <v>0</v>
      </c>
      <c r="BE558" s="11">
        <f t="shared" si="569"/>
        <v>0</v>
      </c>
      <c r="BF558" s="12">
        <v>0</v>
      </c>
      <c r="BG558" s="11">
        <f t="shared" si="570"/>
        <v>0</v>
      </c>
      <c r="BN558" s="8">
        <f t="shared" si="529"/>
        <v>2200</v>
      </c>
      <c r="BO558" s="8">
        <f t="shared" si="530"/>
        <v>130000</v>
      </c>
      <c r="BP558" s="8">
        <f t="shared" si="532"/>
        <v>675</v>
      </c>
      <c r="BQ558" s="12">
        <f t="shared" si="533"/>
        <v>38340</v>
      </c>
    </row>
    <row r="559" spans="1:69">
      <c r="A559" s="28">
        <v>1990</v>
      </c>
      <c r="B559" s="27" t="s">
        <v>49</v>
      </c>
      <c r="C559" s="24">
        <f t="shared" si="531"/>
        <v>524</v>
      </c>
      <c r="D559" s="7" t="e">
        <f t="shared" ca="1" si="508"/>
        <v>#N/A</v>
      </c>
      <c r="E559" s="26">
        <f t="array" aca="1" ref="E559" ca="1">AVERAGE(IF(INDIRECT(DatCol&amp;"$"&amp;TEXT(C559,"###")):INDIRECT(DatCol&amp;"$"&amp;TEXT(C559+57,"###"))&gt;0,INDIRECT(DatCol&amp;"$"&amp;TEXT(C559,"###")):INDIRECT(DatCol&amp;"$"&amp;TEXT(C559+57,"###"))))</f>
        <v>541.77027027027032</v>
      </c>
      <c r="F559" s="26" t="str">
        <f t="shared" si="552"/>
        <v>C</v>
      </c>
      <c r="G559" s="8">
        <v>561</v>
      </c>
      <c r="H559" s="8">
        <v>380</v>
      </c>
      <c r="I559" s="8">
        <v>80</v>
      </c>
      <c r="J559" s="8">
        <v>981</v>
      </c>
      <c r="K559" s="9">
        <f t="shared" si="510"/>
        <v>1922</v>
      </c>
      <c r="L559" s="12">
        <v>200</v>
      </c>
      <c r="M559" s="11">
        <f t="shared" si="553"/>
        <v>10000</v>
      </c>
      <c r="N559" s="12">
        <v>150</v>
      </c>
      <c r="O559" s="11">
        <f t="shared" si="554"/>
        <v>7500</v>
      </c>
      <c r="P559" s="12">
        <v>1650</v>
      </c>
      <c r="Q559" s="11">
        <f t="shared" si="555"/>
        <v>99000</v>
      </c>
      <c r="X559" s="12">
        <v>535</v>
      </c>
      <c r="Y559" s="11">
        <f t="shared" si="556"/>
        <v>32100</v>
      </c>
      <c r="AF559" s="12">
        <v>0</v>
      </c>
      <c r="AG559" s="11">
        <f t="shared" si="557"/>
        <v>0</v>
      </c>
      <c r="AH559" s="12">
        <v>0</v>
      </c>
      <c r="AI559" s="11">
        <f t="shared" si="558"/>
        <v>0</v>
      </c>
      <c r="AJ559" s="12">
        <v>10</v>
      </c>
      <c r="AK559" s="13">
        <f t="shared" si="559"/>
        <v>90</v>
      </c>
      <c r="AL559" s="12">
        <v>10</v>
      </c>
      <c r="AM559" s="13">
        <f t="shared" si="560"/>
        <v>90</v>
      </c>
      <c r="AN559" s="12">
        <v>0</v>
      </c>
      <c r="AO559" s="11">
        <f t="shared" si="561"/>
        <v>0</v>
      </c>
      <c r="AP559" s="12">
        <v>5</v>
      </c>
      <c r="AQ559" s="11">
        <f t="shared" si="562"/>
        <v>400</v>
      </c>
      <c r="AR559" s="12">
        <v>150</v>
      </c>
      <c r="AS559" s="11">
        <f t="shared" si="563"/>
        <v>7500</v>
      </c>
      <c r="AT559" s="12">
        <v>100</v>
      </c>
      <c r="AU559" s="11">
        <f t="shared" si="564"/>
        <v>5000</v>
      </c>
      <c r="AV559" s="12">
        <v>0</v>
      </c>
      <c r="AW559" s="11">
        <f t="shared" si="565"/>
        <v>0</v>
      </c>
      <c r="AX559" s="12">
        <v>0</v>
      </c>
      <c r="AY559" s="11">
        <f t="shared" si="566"/>
        <v>0</v>
      </c>
      <c r="AZ559" s="12">
        <v>0</v>
      </c>
      <c r="BA559" s="11">
        <f t="shared" si="567"/>
        <v>0</v>
      </c>
      <c r="BB559" s="12">
        <v>10</v>
      </c>
      <c r="BC559" s="11">
        <f t="shared" si="568"/>
        <v>400</v>
      </c>
      <c r="BE559" s="11">
        <f t="shared" si="569"/>
        <v>0</v>
      </c>
      <c r="BG559" s="11">
        <f t="shared" si="570"/>
        <v>0</v>
      </c>
      <c r="BN559" s="8">
        <f t="shared" si="529"/>
        <v>2545</v>
      </c>
      <c r="BO559" s="8">
        <f t="shared" si="530"/>
        <v>148690</v>
      </c>
      <c r="BP559" s="8">
        <f t="shared" si="532"/>
        <v>810</v>
      </c>
      <c r="BQ559" s="12">
        <f t="shared" si="533"/>
        <v>45490</v>
      </c>
    </row>
    <row r="560" spans="1:69">
      <c r="A560" s="28">
        <v>1991</v>
      </c>
      <c r="B560" s="27" t="s">
        <v>49</v>
      </c>
      <c r="C560" s="24">
        <f t="shared" si="531"/>
        <v>524</v>
      </c>
      <c r="D560" s="7" t="e">
        <f t="shared" ca="1" si="508"/>
        <v>#N/A</v>
      </c>
      <c r="E560" s="26">
        <f t="array" aca="1" ref="E560" ca="1">AVERAGE(IF(INDIRECT(DatCol&amp;"$"&amp;TEXT(C560,"###")):INDIRECT(DatCol&amp;"$"&amp;TEXT(C560+57,"###"))&gt;0,INDIRECT(DatCol&amp;"$"&amp;TEXT(C560,"###")):INDIRECT(DatCol&amp;"$"&amp;TEXT(C560+57,"###"))))</f>
        <v>541.77027027027032</v>
      </c>
      <c r="F560" s="26" t="str">
        <f t="shared" si="552"/>
        <v>C</v>
      </c>
      <c r="G560" s="8">
        <v>686</v>
      </c>
      <c r="H560" s="8">
        <v>402</v>
      </c>
      <c r="I560" s="8">
        <v>83</v>
      </c>
      <c r="J560" s="8">
        <v>993</v>
      </c>
      <c r="K560" s="9">
        <f t="shared" si="510"/>
        <v>2081</v>
      </c>
      <c r="L560" s="12">
        <v>500</v>
      </c>
      <c r="M560" s="11">
        <f t="shared" si="553"/>
        <v>25000</v>
      </c>
      <c r="N560" s="12">
        <v>200</v>
      </c>
      <c r="O560" s="11">
        <f t="shared" si="554"/>
        <v>10000</v>
      </c>
      <c r="P560" s="12">
        <f>650+500+900</f>
        <v>2050</v>
      </c>
      <c r="Q560" s="11">
        <f t="shared" si="555"/>
        <v>123000</v>
      </c>
      <c r="X560" s="12">
        <f>125+150+400</f>
        <v>675</v>
      </c>
      <c r="Y560" s="11">
        <f t="shared" si="556"/>
        <v>40500</v>
      </c>
      <c r="AF560" s="12">
        <v>0</v>
      </c>
      <c r="AG560" s="11">
        <f t="shared" si="557"/>
        <v>0</v>
      </c>
      <c r="AH560" s="12">
        <v>0</v>
      </c>
      <c r="AI560" s="11">
        <f t="shared" si="558"/>
        <v>0</v>
      </c>
      <c r="AJ560" s="12">
        <v>400</v>
      </c>
      <c r="AK560" s="13">
        <f t="shared" si="559"/>
        <v>3600</v>
      </c>
      <c r="AL560" s="12">
        <v>400</v>
      </c>
      <c r="AM560" s="13">
        <f t="shared" si="560"/>
        <v>3600</v>
      </c>
      <c r="AN560" s="12">
        <v>0</v>
      </c>
      <c r="AO560" s="11">
        <f t="shared" si="561"/>
        <v>0</v>
      </c>
      <c r="AP560" s="12">
        <v>5</v>
      </c>
      <c r="AQ560" s="11">
        <f t="shared" si="562"/>
        <v>400</v>
      </c>
      <c r="AR560" s="12">
        <v>150</v>
      </c>
      <c r="AS560" s="11">
        <f t="shared" si="563"/>
        <v>7500</v>
      </c>
      <c r="AT560" s="12">
        <v>100</v>
      </c>
      <c r="AU560" s="11">
        <f t="shared" si="564"/>
        <v>5000</v>
      </c>
      <c r="AV560" s="12">
        <v>0</v>
      </c>
      <c r="AW560" s="11">
        <f t="shared" si="565"/>
        <v>0</v>
      </c>
      <c r="AX560" s="12">
        <v>0</v>
      </c>
      <c r="AY560" s="11">
        <f t="shared" si="566"/>
        <v>0</v>
      </c>
      <c r="AZ560" s="12">
        <v>0</v>
      </c>
      <c r="BA560" s="11">
        <f t="shared" si="567"/>
        <v>0</v>
      </c>
      <c r="BB560" s="12">
        <v>2</v>
      </c>
      <c r="BC560" s="11">
        <f t="shared" si="568"/>
        <v>80</v>
      </c>
      <c r="BD560" s="12">
        <v>0</v>
      </c>
      <c r="BE560" s="11">
        <f t="shared" si="569"/>
        <v>0</v>
      </c>
      <c r="BF560" s="12">
        <v>0</v>
      </c>
      <c r="BG560" s="11">
        <f t="shared" si="570"/>
        <v>0</v>
      </c>
      <c r="BH560" s="13" t="s">
        <v>54</v>
      </c>
      <c r="BI560" s="13">
        <v>0</v>
      </c>
      <c r="BN560" s="8">
        <f t="shared" si="529"/>
        <v>3775</v>
      </c>
      <c r="BO560" s="8">
        <f t="shared" si="530"/>
        <v>199600</v>
      </c>
      <c r="BP560" s="8">
        <f t="shared" si="532"/>
        <v>1382</v>
      </c>
      <c r="BQ560" s="12">
        <f t="shared" si="533"/>
        <v>59580</v>
      </c>
    </row>
    <row r="561" spans="1:69">
      <c r="A561" s="28">
        <v>1992</v>
      </c>
      <c r="B561" s="27" t="s">
        <v>49</v>
      </c>
      <c r="C561" s="24">
        <f t="shared" si="531"/>
        <v>524</v>
      </c>
      <c r="D561" s="7" t="e">
        <f t="shared" ca="1" si="508"/>
        <v>#N/A</v>
      </c>
      <c r="E561" s="26">
        <f t="array" aca="1" ref="E561" ca="1">AVERAGE(IF(INDIRECT(DatCol&amp;"$"&amp;TEXT(C561,"###")):INDIRECT(DatCol&amp;"$"&amp;TEXT(C561+57,"###"))&gt;0,INDIRECT(DatCol&amp;"$"&amp;TEXT(C561,"###")):INDIRECT(DatCol&amp;"$"&amp;TEXT(C561+57,"###"))))</f>
        <v>541.77027027027032</v>
      </c>
      <c r="F561" s="26" t="str">
        <f t="shared" si="552"/>
        <v>C</v>
      </c>
      <c r="G561" s="8">
        <v>606</v>
      </c>
      <c r="H561" s="8">
        <v>404</v>
      </c>
      <c r="I561" s="8">
        <v>121</v>
      </c>
      <c r="J561" s="8">
        <v>889</v>
      </c>
      <c r="K561" s="9">
        <f t="shared" si="510"/>
        <v>1899</v>
      </c>
      <c r="L561" s="12">
        <v>1500</v>
      </c>
      <c r="M561" s="11">
        <f t="shared" si="553"/>
        <v>75000</v>
      </c>
      <c r="N561" s="12">
        <v>300</v>
      </c>
      <c r="O561" s="11">
        <f t="shared" si="554"/>
        <v>15000</v>
      </c>
      <c r="P561" s="12">
        <f>1200+900+1100</f>
        <v>3200</v>
      </c>
      <c r="Q561" s="11">
        <f t="shared" si="555"/>
        <v>192000</v>
      </c>
      <c r="X561" s="12">
        <f>125+200+400</f>
        <v>725</v>
      </c>
      <c r="Y561" s="11">
        <f t="shared" si="556"/>
        <v>43500</v>
      </c>
      <c r="AF561" s="12">
        <v>0</v>
      </c>
      <c r="AG561" s="11">
        <f t="shared" si="557"/>
        <v>0</v>
      </c>
      <c r="AH561" s="12">
        <v>0</v>
      </c>
      <c r="AI561" s="11">
        <f t="shared" si="558"/>
        <v>0</v>
      </c>
      <c r="AJ561" s="12">
        <v>2700</v>
      </c>
      <c r="AK561" s="13">
        <f t="shared" si="559"/>
        <v>24300</v>
      </c>
      <c r="AL561" s="12">
        <v>10</v>
      </c>
      <c r="AM561" s="13">
        <f t="shared" si="560"/>
        <v>90</v>
      </c>
      <c r="AN561" s="12">
        <v>0</v>
      </c>
      <c r="AO561" s="11">
        <f t="shared" si="561"/>
        <v>0</v>
      </c>
      <c r="AP561" s="12">
        <v>5</v>
      </c>
      <c r="AQ561" s="11">
        <f t="shared" si="562"/>
        <v>400</v>
      </c>
      <c r="AR561" s="12">
        <v>250</v>
      </c>
      <c r="AS561" s="11">
        <f t="shared" si="563"/>
        <v>12500</v>
      </c>
      <c r="AT561" s="12">
        <v>100</v>
      </c>
      <c r="AU561" s="11">
        <f t="shared" si="564"/>
        <v>5000</v>
      </c>
      <c r="AV561" s="12">
        <v>0</v>
      </c>
      <c r="AW561" s="11">
        <f t="shared" si="565"/>
        <v>0</v>
      </c>
      <c r="AX561" s="12">
        <v>0</v>
      </c>
      <c r="AY561" s="11">
        <f t="shared" si="566"/>
        <v>0</v>
      </c>
      <c r="AZ561" s="12">
        <v>0</v>
      </c>
      <c r="BA561" s="11">
        <f t="shared" si="567"/>
        <v>0</v>
      </c>
      <c r="BB561" s="12">
        <v>2</v>
      </c>
      <c r="BC561" s="11">
        <f t="shared" si="568"/>
        <v>80</v>
      </c>
      <c r="BD561" s="12">
        <v>0</v>
      </c>
      <c r="BE561" s="11">
        <f t="shared" si="569"/>
        <v>0</v>
      </c>
      <c r="BF561" s="12">
        <v>0</v>
      </c>
      <c r="BG561" s="11">
        <f t="shared" si="570"/>
        <v>0</v>
      </c>
      <c r="BN561" s="8">
        <f t="shared" si="529"/>
        <v>8375</v>
      </c>
      <c r="BO561" s="8">
        <f t="shared" si="530"/>
        <v>347300</v>
      </c>
      <c r="BP561" s="8">
        <f t="shared" si="532"/>
        <v>1142</v>
      </c>
      <c r="BQ561" s="12">
        <f t="shared" si="533"/>
        <v>64070</v>
      </c>
    </row>
    <row r="562" spans="1:69">
      <c r="A562" s="28">
        <v>1993</v>
      </c>
      <c r="B562" s="27" t="s">
        <v>49</v>
      </c>
      <c r="C562" s="24">
        <f t="shared" si="531"/>
        <v>524</v>
      </c>
      <c r="D562" s="7" t="e">
        <f t="shared" ca="1" si="508"/>
        <v>#N/A</v>
      </c>
      <c r="E562" s="26">
        <f t="array" aca="1" ref="E562" ca="1">AVERAGE(IF(INDIRECT(DatCol&amp;"$"&amp;TEXT(C562,"###")):INDIRECT(DatCol&amp;"$"&amp;TEXT(C562+57,"###"))&gt;0,INDIRECT(DatCol&amp;"$"&amp;TEXT(C562,"###")):INDIRECT(DatCol&amp;"$"&amp;TEXT(C562+57,"###"))))</f>
        <v>541.77027027027032</v>
      </c>
      <c r="F562" s="26" t="str">
        <f t="shared" si="552"/>
        <v>C</v>
      </c>
      <c r="G562" s="8">
        <v>647</v>
      </c>
      <c r="H562" s="8">
        <v>375</v>
      </c>
      <c r="I562" s="8">
        <v>177</v>
      </c>
      <c r="J562" s="8">
        <v>960</v>
      </c>
      <c r="K562" s="9">
        <f t="shared" si="510"/>
        <v>1982</v>
      </c>
      <c r="L562" s="12">
        <v>2000</v>
      </c>
      <c r="M562" s="11">
        <f t="shared" si="553"/>
        <v>100000</v>
      </c>
      <c r="N562" s="12">
        <v>350</v>
      </c>
      <c r="O562" s="11">
        <f t="shared" si="554"/>
        <v>17500</v>
      </c>
      <c r="P562" s="12">
        <f>1700+2100+1350</f>
        <v>5150</v>
      </c>
      <c r="Q562" s="11">
        <f t="shared" si="555"/>
        <v>309000</v>
      </c>
      <c r="X562" s="12">
        <f>200+175+400</f>
        <v>775</v>
      </c>
      <c r="Y562" s="11">
        <f t="shared" si="556"/>
        <v>46500</v>
      </c>
      <c r="AF562" s="12">
        <v>0</v>
      </c>
      <c r="AG562" s="11">
        <f t="shared" si="557"/>
        <v>0</v>
      </c>
      <c r="AH562" s="12">
        <v>0</v>
      </c>
      <c r="AI562" s="11">
        <f t="shared" si="558"/>
        <v>0</v>
      </c>
      <c r="AJ562" s="12">
        <v>0</v>
      </c>
      <c r="AK562" s="13">
        <f t="shared" si="559"/>
        <v>0</v>
      </c>
      <c r="AL562" s="12">
        <v>0</v>
      </c>
      <c r="AM562" s="13">
        <f t="shared" si="560"/>
        <v>0</v>
      </c>
      <c r="AN562" s="12">
        <v>0</v>
      </c>
      <c r="AO562" s="11">
        <f t="shared" si="561"/>
        <v>0</v>
      </c>
      <c r="AP562" s="12">
        <v>10</v>
      </c>
      <c r="AQ562" s="11">
        <f t="shared" si="562"/>
        <v>800</v>
      </c>
      <c r="AR562" s="12">
        <v>300</v>
      </c>
      <c r="AS562" s="11">
        <f t="shared" si="563"/>
        <v>15000</v>
      </c>
      <c r="AT562" s="12">
        <v>100</v>
      </c>
      <c r="AU562" s="11">
        <f t="shared" si="564"/>
        <v>5000</v>
      </c>
      <c r="AW562" s="11">
        <f t="shared" si="565"/>
        <v>0</v>
      </c>
      <c r="AY562" s="11">
        <f t="shared" si="566"/>
        <v>0</v>
      </c>
      <c r="BA562" s="11">
        <f t="shared" si="567"/>
        <v>0</v>
      </c>
      <c r="BC562" s="11">
        <f t="shared" si="568"/>
        <v>0</v>
      </c>
      <c r="BE562" s="11">
        <f t="shared" si="569"/>
        <v>0</v>
      </c>
      <c r="BG562" s="11">
        <f t="shared" si="570"/>
        <v>0</v>
      </c>
      <c r="BN562" s="8">
        <f t="shared" si="529"/>
        <v>8225</v>
      </c>
      <c r="BO562" s="8">
        <f t="shared" si="530"/>
        <v>470500</v>
      </c>
      <c r="BP562" s="8">
        <f t="shared" si="532"/>
        <v>1235</v>
      </c>
      <c r="BQ562" s="12">
        <f t="shared" si="533"/>
        <v>69800</v>
      </c>
    </row>
    <row r="563" spans="1:69">
      <c r="A563" s="28">
        <v>1994</v>
      </c>
      <c r="B563" s="27" t="s">
        <v>49</v>
      </c>
      <c r="C563" s="24">
        <f t="shared" si="531"/>
        <v>524</v>
      </c>
      <c r="D563" s="7" t="e">
        <f t="shared" ca="1" si="508"/>
        <v>#N/A</v>
      </c>
      <c r="E563" s="26">
        <f t="array" aca="1" ref="E563" ca="1">AVERAGE(IF(INDIRECT(DatCol&amp;"$"&amp;TEXT(C563,"###")):INDIRECT(DatCol&amp;"$"&amp;TEXT(C563+57,"###"))&gt;0,INDIRECT(DatCol&amp;"$"&amp;TEXT(C563,"###")):INDIRECT(DatCol&amp;"$"&amp;TEXT(C563+57,"###"))))</f>
        <v>541.77027027027032</v>
      </c>
      <c r="F563" s="26" t="str">
        <f t="shared" si="552"/>
        <v>C</v>
      </c>
      <c r="G563" s="8">
        <v>600</v>
      </c>
      <c r="H563" s="8">
        <v>337</v>
      </c>
      <c r="I563" s="8">
        <v>175</v>
      </c>
      <c r="J563" s="8">
        <v>750</v>
      </c>
      <c r="K563" s="9">
        <f t="shared" si="510"/>
        <v>1687</v>
      </c>
      <c r="L563" s="12">
        <v>2500</v>
      </c>
      <c r="M563" s="11">
        <f t="shared" si="553"/>
        <v>125000</v>
      </c>
      <c r="N563" s="12">
        <v>575</v>
      </c>
      <c r="O563" s="11">
        <f t="shared" si="554"/>
        <v>28750</v>
      </c>
      <c r="P563" s="12">
        <f>1350+1900+1600</f>
        <v>4850</v>
      </c>
      <c r="Q563" s="11">
        <f t="shared" si="555"/>
        <v>291000</v>
      </c>
      <c r="X563" s="12">
        <f>175+250+450</f>
        <v>875</v>
      </c>
      <c r="Y563" s="11">
        <f t="shared" si="556"/>
        <v>52500</v>
      </c>
      <c r="AF563" s="12">
        <v>0</v>
      </c>
      <c r="AG563" s="11">
        <f t="shared" si="557"/>
        <v>0</v>
      </c>
      <c r="AH563" s="12">
        <v>0</v>
      </c>
      <c r="AI563" s="11">
        <f t="shared" si="558"/>
        <v>0</v>
      </c>
      <c r="AJ563" s="12">
        <v>8</v>
      </c>
      <c r="AK563" s="13">
        <f t="shared" si="559"/>
        <v>72</v>
      </c>
      <c r="AL563" s="12">
        <v>0</v>
      </c>
      <c r="AM563" s="13">
        <f t="shared" si="560"/>
        <v>0</v>
      </c>
      <c r="AN563" s="12">
        <v>10</v>
      </c>
      <c r="AO563" s="11">
        <f t="shared" si="561"/>
        <v>800</v>
      </c>
      <c r="AP563" s="12">
        <v>10</v>
      </c>
      <c r="AQ563" s="11">
        <f t="shared" si="562"/>
        <v>800</v>
      </c>
      <c r="AR563" s="12">
        <v>300</v>
      </c>
      <c r="AS563" s="11">
        <f t="shared" si="563"/>
        <v>15000</v>
      </c>
      <c r="AT563" s="12">
        <v>150</v>
      </c>
      <c r="AU563" s="11">
        <f t="shared" si="564"/>
        <v>7500</v>
      </c>
      <c r="AW563" s="11">
        <f t="shared" si="565"/>
        <v>0</v>
      </c>
      <c r="AY563" s="11">
        <f t="shared" si="566"/>
        <v>0</v>
      </c>
      <c r="BA563" s="11">
        <f t="shared" si="567"/>
        <v>0</v>
      </c>
      <c r="BC563" s="11">
        <f t="shared" si="568"/>
        <v>0</v>
      </c>
      <c r="BE563" s="11">
        <f t="shared" si="569"/>
        <v>0</v>
      </c>
      <c r="BG563" s="11">
        <f t="shared" si="570"/>
        <v>0</v>
      </c>
      <c r="BN563" s="8">
        <f t="shared" si="529"/>
        <v>8543</v>
      </c>
      <c r="BO563" s="8">
        <f t="shared" si="530"/>
        <v>484372</v>
      </c>
      <c r="BP563" s="8">
        <f t="shared" si="532"/>
        <v>1610</v>
      </c>
      <c r="BQ563" s="12">
        <f t="shared" si="533"/>
        <v>89550</v>
      </c>
    </row>
    <row r="564" spans="1:69">
      <c r="A564" s="28">
        <v>1995</v>
      </c>
      <c r="B564" s="27" t="s">
        <v>49</v>
      </c>
      <c r="C564" s="24">
        <f t="shared" si="531"/>
        <v>524</v>
      </c>
      <c r="D564" s="7" t="e">
        <f t="shared" ca="1" si="508"/>
        <v>#N/A</v>
      </c>
      <c r="E564" s="26">
        <f t="array" aca="1" ref="E564" ca="1">AVERAGE(IF(INDIRECT(DatCol&amp;"$"&amp;TEXT(C564,"###")):INDIRECT(DatCol&amp;"$"&amp;TEXT(C564+57,"###"))&gt;0,INDIRECT(DatCol&amp;"$"&amp;TEXT(C564,"###")):INDIRECT(DatCol&amp;"$"&amp;TEXT(C564+57,"###"))))</f>
        <v>541.77027027027032</v>
      </c>
      <c r="F564" s="26" t="str">
        <f t="shared" si="552"/>
        <v>C</v>
      </c>
      <c r="G564" s="9">
        <v>671</v>
      </c>
      <c r="H564" s="9">
        <v>460</v>
      </c>
      <c r="I564" s="9">
        <v>286</v>
      </c>
      <c r="J564" s="9">
        <v>896</v>
      </c>
      <c r="K564" s="9">
        <f t="shared" si="510"/>
        <v>2027</v>
      </c>
      <c r="L564" s="10">
        <v>5600</v>
      </c>
      <c r="M564" s="11">
        <f t="shared" si="553"/>
        <v>280000</v>
      </c>
      <c r="N564" s="10">
        <v>1000</v>
      </c>
      <c r="O564" s="11">
        <f t="shared" si="554"/>
        <v>50000</v>
      </c>
      <c r="P564" s="10">
        <f>1550+2100+1625</f>
        <v>5275</v>
      </c>
      <c r="Q564" s="11">
        <f t="shared" si="555"/>
        <v>316500</v>
      </c>
      <c r="X564" s="10">
        <f>175+175+675</f>
        <v>1025</v>
      </c>
      <c r="Y564" s="11">
        <f t="shared" si="556"/>
        <v>61500</v>
      </c>
      <c r="AF564" s="10">
        <v>0</v>
      </c>
      <c r="AG564" s="11">
        <f t="shared" si="557"/>
        <v>0</v>
      </c>
      <c r="AH564" s="10">
        <v>0</v>
      </c>
      <c r="AI564" s="11">
        <f t="shared" si="558"/>
        <v>0</v>
      </c>
      <c r="AJ564" s="10">
        <v>0</v>
      </c>
      <c r="AK564" s="13">
        <f t="shared" si="559"/>
        <v>0</v>
      </c>
      <c r="AL564" s="10">
        <v>0</v>
      </c>
      <c r="AM564" s="13">
        <f t="shared" si="560"/>
        <v>0</v>
      </c>
      <c r="AN564" s="10">
        <v>0</v>
      </c>
      <c r="AO564" s="11">
        <f t="shared" si="561"/>
        <v>0</v>
      </c>
      <c r="AP564" s="10">
        <v>20</v>
      </c>
      <c r="AQ564" s="11">
        <f t="shared" si="562"/>
        <v>1600</v>
      </c>
      <c r="AR564" s="10">
        <v>2000</v>
      </c>
      <c r="AS564" s="11">
        <f t="shared" si="563"/>
        <v>100000</v>
      </c>
      <c r="AT564" s="10">
        <v>175</v>
      </c>
      <c r="AU564" s="11">
        <f t="shared" si="564"/>
        <v>8750</v>
      </c>
      <c r="AV564" s="10">
        <v>0</v>
      </c>
      <c r="AW564" s="11">
        <f t="shared" si="565"/>
        <v>0</v>
      </c>
      <c r="AX564" s="10">
        <v>0</v>
      </c>
      <c r="AY564" s="11">
        <f t="shared" si="566"/>
        <v>0</v>
      </c>
      <c r="BA564" s="11">
        <f t="shared" si="567"/>
        <v>0</v>
      </c>
      <c r="BC564" s="11">
        <f t="shared" si="568"/>
        <v>0</v>
      </c>
      <c r="BE564" s="11">
        <f t="shared" si="569"/>
        <v>0</v>
      </c>
      <c r="BG564" s="11">
        <f t="shared" si="570"/>
        <v>0</v>
      </c>
      <c r="BN564" s="8">
        <f t="shared" si="529"/>
        <v>13900</v>
      </c>
      <c r="BO564" s="8">
        <f t="shared" si="530"/>
        <v>758000</v>
      </c>
      <c r="BP564" s="8">
        <f t="shared" si="532"/>
        <v>2220</v>
      </c>
      <c r="BQ564" s="12">
        <f t="shared" si="533"/>
        <v>121850</v>
      </c>
    </row>
    <row r="565" spans="1:69">
      <c r="A565" s="28">
        <v>1996</v>
      </c>
      <c r="B565" s="27" t="s">
        <v>49</v>
      </c>
      <c r="C565" s="24">
        <f t="shared" si="531"/>
        <v>524</v>
      </c>
      <c r="D565" s="7" t="e">
        <f t="shared" ca="1" si="508"/>
        <v>#N/A</v>
      </c>
      <c r="E565" s="26">
        <f t="array" aca="1" ref="E565" ca="1">AVERAGE(IF(INDIRECT(DatCol&amp;"$"&amp;TEXT(C565,"###")):INDIRECT(DatCol&amp;"$"&amp;TEXT(C565+57,"###"))&gt;0,INDIRECT(DatCol&amp;"$"&amp;TEXT(C565,"###")):INDIRECT(DatCol&amp;"$"&amp;TEXT(C565+57,"###"))))</f>
        <v>541.77027027027032</v>
      </c>
      <c r="F565" s="26" t="str">
        <f t="shared" si="552"/>
        <v>C</v>
      </c>
      <c r="G565" s="9">
        <v>761</v>
      </c>
      <c r="H565" s="9">
        <v>469</v>
      </c>
      <c r="I565" s="9">
        <v>364</v>
      </c>
      <c r="J565" s="9">
        <v>919</v>
      </c>
      <c r="K565" s="9">
        <f t="shared" si="510"/>
        <v>2149</v>
      </c>
      <c r="L565" s="10">
        <v>7000</v>
      </c>
      <c r="M565" s="11">
        <f t="shared" si="553"/>
        <v>350000</v>
      </c>
      <c r="N565" s="10">
        <v>850</v>
      </c>
      <c r="O565" s="11">
        <f t="shared" si="554"/>
        <v>42500</v>
      </c>
      <c r="P565" s="10">
        <f>1675+2200+2000</f>
        <v>5875</v>
      </c>
      <c r="Q565" s="11">
        <f t="shared" si="555"/>
        <v>352500</v>
      </c>
      <c r="X565" s="10">
        <f>150+150+640</f>
        <v>940</v>
      </c>
      <c r="Y565" s="11">
        <f t="shared" si="556"/>
        <v>56400</v>
      </c>
      <c r="AF565" s="10">
        <v>0</v>
      </c>
      <c r="AG565" s="11">
        <f t="shared" si="557"/>
        <v>0</v>
      </c>
      <c r="AH565" s="10">
        <v>0</v>
      </c>
      <c r="AJ565" s="10">
        <v>0</v>
      </c>
      <c r="AK565" s="13"/>
      <c r="AL565" s="10">
        <v>0</v>
      </c>
      <c r="AM565" s="13"/>
      <c r="AN565" s="10">
        <v>0</v>
      </c>
      <c r="AP565" s="10">
        <v>15</v>
      </c>
      <c r="AQ565" s="11">
        <f t="shared" si="562"/>
        <v>1200</v>
      </c>
      <c r="AR565" s="10">
        <v>2000</v>
      </c>
      <c r="AS565" s="11">
        <f t="shared" si="563"/>
        <v>100000</v>
      </c>
      <c r="AT565" s="10">
        <v>200</v>
      </c>
      <c r="AU565" s="11">
        <f t="shared" si="564"/>
        <v>10000</v>
      </c>
      <c r="AZ565" s="10">
        <v>40</v>
      </c>
      <c r="BA565" s="11">
        <f t="shared" si="567"/>
        <v>1600</v>
      </c>
      <c r="BB565" s="10">
        <v>0</v>
      </c>
      <c r="BC565" s="11">
        <f t="shared" si="568"/>
        <v>0</v>
      </c>
      <c r="BN565" s="8">
        <f t="shared" si="529"/>
        <v>15855</v>
      </c>
      <c r="BO565" s="8">
        <f t="shared" si="530"/>
        <v>860500</v>
      </c>
      <c r="BP565" s="8">
        <f t="shared" si="532"/>
        <v>2005</v>
      </c>
      <c r="BQ565" s="12">
        <f t="shared" si="533"/>
        <v>110100</v>
      </c>
    </row>
    <row r="566" spans="1:69">
      <c r="A566" s="28">
        <v>1997</v>
      </c>
      <c r="B566" s="27" t="s">
        <v>49</v>
      </c>
      <c r="C566" s="24">
        <f t="shared" si="531"/>
        <v>524</v>
      </c>
      <c r="D566" s="7" t="e">
        <f t="shared" ca="1" si="508"/>
        <v>#N/A</v>
      </c>
      <c r="E566" s="26">
        <f t="array" aca="1" ref="E566" ca="1">AVERAGE(IF(INDIRECT(DatCol&amp;"$"&amp;TEXT(C566,"###")):INDIRECT(DatCol&amp;"$"&amp;TEXT(C566+57,"###"))&gt;0,INDIRECT(DatCol&amp;"$"&amp;TEXT(C566,"###")):INDIRECT(DatCol&amp;"$"&amp;TEXT(C566+57,"###"))))</f>
        <v>541.77027027027032</v>
      </c>
      <c r="F566" s="26" t="str">
        <f t="shared" si="552"/>
        <v>C</v>
      </c>
      <c r="G566" s="9">
        <v>762</v>
      </c>
      <c r="H566" s="9">
        <v>476</v>
      </c>
      <c r="I566" s="9">
        <v>262</v>
      </c>
      <c r="J566" s="9">
        <v>920</v>
      </c>
      <c r="K566" s="9">
        <f t="shared" si="510"/>
        <v>2158</v>
      </c>
      <c r="L566" s="10">
        <v>750</v>
      </c>
      <c r="M566" s="11">
        <f t="shared" si="553"/>
        <v>37500</v>
      </c>
      <c r="N566" s="10">
        <v>300</v>
      </c>
      <c r="O566" s="11">
        <f t="shared" si="554"/>
        <v>15000</v>
      </c>
      <c r="P566" s="10">
        <f>1500+1800+1700</f>
        <v>5000</v>
      </c>
      <c r="Q566" s="11">
        <f t="shared" si="555"/>
        <v>300000</v>
      </c>
      <c r="X566" s="10">
        <f>150+175+600</f>
        <v>925</v>
      </c>
      <c r="Y566" s="11">
        <f t="shared" si="556"/>
        <v>55500</v>
      </c>
      <c r="AF566" s="10">
        <v>0</v>
      </c>
      <c r="AG566" s="11">
        <f t="shared" si="557"/>
        <v>0</v>
      </c>
      <c r="AH566" s="10">
        <v>0</v>
      </c>
      <c r="AJ566" s="10">
        <v>0</v>
      </c>
      <c r="AK566" s="13"/>
      <c r="AL566" s="10">
        <v>0</v>
      </c>
      <c r="AM566" s="13"/>
      <c r="AN566" s="10">
        <v>0</v>
      </c>
      <c r="AP566" s="10">
        <v>20</v>
      </c>
      <c r="AQ566" s="11">
        <f t="shared" si="562"/>
        <v>1600</v>
      </c>
      <c r="AR566" s="10">
        <v>750</v>
      </c>
      <c r="AS566" s="11">
        <f t="shared" si="563"/>
        <v>37500</v>
      </c>
      <c r="AT566" s="10">
        <v>200</v>
      </c>
      <c r="AU566" s="11">
        <f t="shared" si="564"/>
        <v>10000</v>
      </c>
      <c r="AZ566" s="10">
        <v>250</v>
      </c>
      <c r="BA566" s="11">
        <f t="shared" si="567"/>
        <v>10000</v>
      </c>
      <c r="BB566" s="10">
        <v>0</v>
      </c>
      <c r="BC566" s="11">
        <f t="shared" si="568"/>
        <v>0</v>
      </c>
      <c r="BN566" s="8">
        <f t="shared" si="529"/>
        <v>7675</v>
      </c>
      <c r="BO566" s="8">
        <f t="shared" si="530"/>
        <v>440500</v>
      </c>
      <c r="BP566" s="8">
        <f t="shared" si="532"/>
        <v>1445</v>
      </c>
      <c r="BQ566" s="12">
        <f t="shared" si="533"/>
        <v>82100</v>
      </c>
    </row>
    <row r="567" spans="1:69">
      <c r="A567" s="28">
        <v>1998</v>
      </c>
      <c r="B567" s="27" t="s">
        <v>49</v>
      </c>
      <c r="C567" s="24">
        <f t="shared" si="531"/>
        <v>524</v>
      </c>
      <c r="D567" s="7" t="e">
        <f t="shared" ca="1" si="508"/>
        <v>#N/A</v>
      </c>
      <c r="E567" s="26">
        <f t="array" aca="1" ref="E567" ca="1">AVERAGE(IF(INDIRECT(DatCol&amp;"$"&amp;TEXT(C567,"###")):INDIRECT(DatCol&amp;"$"&amp;TEXT(C567+57,"###"))&gt;0,INDIRECT(DatCol&amp;"$"&amp;TEXT(C567,"###")):INDIRECT(DatCol&amp;"$"&amp;TEXT(C567+57,"###"))))</f>
        <v>541.77027027027032</v>
      </c>
      <c r="F567" s="26" t="str">
        <f t="shared" si="552"/>
        <v>C</v>
      </c>
      <c r="G567" s="9">
        <v>772</v>
      </c>
      <c r="H567" s="9">
        <v>446</v>
      </c>
      <c r="I567" s="9">
        <v>196</v>
      </c>
      <c r="J567" s="9">
        <v>950</v>
      </c>
      <c r="K567" s="9">
        <f t="shared" si="510"/>
        <v>2168</v>
      </c>
      <c r="L567" s="10">
        <f>M567/50</f>
        <v>600</v>
      </c>
      <c r="M567" s="11">
        <v>30000</v>
      </c>
      <c r="N567" s="10">
        <f t="shared" ref="N567:N573" si="571">O567/50</f>
        <v>500</v>
      </c>
      <c r="O567" s="11">
        <v>25000</v>
      </c>
      <c r="P567" s="10">
        <v>0</v>
      </c>
      <c r="Q567" s="11">
        <v>0</v>
      </c>
      <c r="R567" s="10">
        <f>S567/60</f>
        <v>1500</v>
      </c>
      <c r="S567" s="11">
        <v>90000</v>
      </c>
      <c r="T567" s="10">
        <f>U567/60</f>
        <v>1600</v>
      </c>
      <c r="U567" s="11">
        <v>96000</v>
      </c>
      <c r="V567" s="10">
        <f>W567/60</f>
        <v>1300</v>
      </c>
      <c r="W567" s="11">
        <v>78000</v>
      </c>
      <c r="X567" s="10">
        <v>0</v>
      </c>
      <c r="Y567" s="11">
        <v>0</v>
      </c>
      <c r="Z567" s="10">
        <f>AA567/60</f>
        <v>175</v>
      </c>
      <c r="AA567" s="11">
        <v>10500</v>
      </c>
      <c r="AB567" s="10">
        <f>AC567/60</f>
        <v>200</v>
      </c>
      <c r="AC567" s="11">
        <v>12000</v>
      </c>
      <c r="AD567" s="10">
        <f>AE567/60</f>
        <v>550</v>
      </c>
      <c r="AE567" s="11">
        <v>33000</v>
      </c>
      <c r="AF567" s="10">
        <v>0</v>
      </c>
      <c r="AG567" s="11">
        <v>0</v>
      </c>
      <c r="AH567" s="10">
        <v>0</v>
      </c>
      <c r="AI567" s="11">
        <v>0</v>
      </c>
      <c r="AJ567" s="10">
        <v>0</v>
      </c>
      <c r="AK567" s="13">
        <v>0</v>
      </c>
      <c r="AL567" s="10">
        <v>0</v>
      </c>
      <c r="AM567" s="13">
        <v>0</v>
      </c>
      <c r="AN567" s="10">
        <v>0</v>
      </c>
      <c r="AO567" s="11">
        <v>0</v>
      </c>
      <c r="AP567" s="10">
        <f t="shared" ref="AP567:AP573" si="572">AQ567/80</f>
        <v>10</v>
      </c>
      <c r="AQ567" s="11">
        <v>800</v>
      </c>
      <c r="AR567" s="10">
        <f>AS567/55</f>
        <v>500</v>
      </c>
      <c r="AS567" s="11">
        <v>27500</v>
      </c>
      <c r="AT567" s="10">
        <f>AU567/55</f>
        <v>50</v>
      </c>
      <c r="AU567" s="11">
        <v>2750</v>
      </c>
      <c r="AV567" s="10">
        <v>0</v>
      </c>
      <c r="AW567" s="11">
        <v>0</v>
      </c>
      <c r="AX567" s="10">
        <v>0</v>
      </c>
      <c r="AY567" s="11">
        <v>0</v>
      </c>
      <c r="AZ567" s="10">
        <f t="shared" ref="AZ567:AZ573" si="573">BA567/40</f>
        <v>481.25</v>
      </c>
      <c r="BA567" s="11">
        <v>19250</v>
      </c>
      <c r="BB567" s="10">
        <f>BC567/40</f>
        <v>68.75</v>
      </c>
      <c r="BC567" s="11">
        <v>2750</v>
      </c>
      <c r="BD567" s="10">
        <v>0</v>
      </c>
      <c r="BE567" s="11">
        <v>0</v>
      </c>
      <c r="BF567" s="10">
        <v>0</v>
      </c>
      <c r="BG567" s="11">
        <v>0</v>
      </c>
      <c r="BH567" s="11">
        <v>0</v>
      </c>
      <c r="BI567" s="11">
        <v>0</v>
      </c>
      <c r="BJ567" s="10">
        <v>0</v>
      </c>
      <c r="BK567" s="11">
        <v>0</v>
      </c>
      <c r="BN567" s="8">
        <f t="shared" si="529"/>
        <v>6906.25</v>
      </c>
      <c r="BO567" s="8">
        <f t="shared" si="530"/>
        <v>363250</v>
      </c>
      <c r="BP567" s="8">
        <f t="shared" si="532"/>
        <v>1553.75</v>
      </c>
      <c r="BQ567" s="12">
        <f t="shared" si="533"/>
        <v>86800</v>
      </c>
    </row>
    <row r="568" spans="1:69">
      <c r="A568" s="28">
        <v>1999</v>
      </c>
      <c r="B568" s="27" t="s">
        <v>49</v>
      </c>
      <c r="C568" s="24">
        <f t="shared" si="531"/>
        <v>524</v>
      </c>
      <c r="D568" s="7" t="e">
        <f t="shared" ca="1" si="508"/>
        <v>#N/A</v>
      </c>
      <c r="E568" s="26">
        <f t="array" aca="1" ref="E568" ca="1">AVERAGE(IF(INDIRECT(DatCol&amp;"$"&amp;TEXT(C568,"###")):INDIRECT(DatCol&amp;"$"&amp;TEXT(C568+57,"###"))&gt;0,INDIRECT(DatCol&amp;"$"&amp;TEXT(C568,"###")):INDIRECT(DatCol&amp;"$"&amp;TEXT(C568+57,"###"))))</f>
        <v>541.77027027027032</v>
      </c>
      <c r="F568" s="26" t="str">
        <f t="shared" si="552"/>
        <v>C</v>
      </c>
      <c r="G568" s="9">
        <v>759</v>
      </c>
      <c r="H568" s="9">
        <v>485</v>
      </c>
      <c r="I568" s="9">
        <v>354</v>
      </c>
      <c r="J568" s="9">
        <v>912</v>
      </c>
      <c r="K568" s="9">
        <f t="shared" si="510"/>
        <v>2156</v>
      </c>
      <c r="L568" s="10">
        <f>M568/50</f>
        <v>1200</v>
      </c>
      <c r="M568" s="11">
        <v>60000</v>
      </c>
      <c r="N568" s="10">
        <f t="shared" si="571"/>
        <v>420</v>
      </c>
      <c r="O568" s="11">
        <v>21000</v>
      </c>
      <c r="P568" s="10">
        <v>0</v>
      </c>
      <c r="Q568" s="11">
        <v>0</v>
      </c>
      <c r="R568" s="10">
        <f>S568/60</f>
        <v>1483.3333333333333</v>
      </c>
      <c r="S568" s="11">
        <v>89000</v>
      </c>
      <c r="T568" s="10">
        <f>U568/60</f>
        <v>1600</v>
      </c>
      <c r="U568" s="11">
        <v>96000</v>
      </c>
      <c r="V568" s="10">
        <f>W568/60</f>
        <v>1300</v>
      </c>
      <c r="W568" s="11">
        <v>78000</v>
      </c>
      <c r="X568" s="10">
        <v>0</v>
      </c>
      <c r="Y568" s="11">
        <v>0</v>
      </c>
      <c r="Z568" s="10">
        <f>AA568/60</f>
        <v>190</v>
      </c>
      <c r="AA568" s="11">
        <v>11400</v>
      </c>
      <c r="AB568" s="10">
        <f>AC568/60</f>
        <v>225</v>
      </c>
      <c r="AC568" s="11">
        <v>13500</v>
      </c>
      <c r="AD568" s="10">
        <f>AE568/60</f>
        <v>400</v>
      </c>
      <c r="AE568" s="11">
        <v>24000</v>
      </c>
      <c r="AF568" s="10">
        <v>0</v>
      </c>
      <c r="AG568" s="11">
        <v>0</v>
      </c>
      <c r="AH568" s="10">
        <v>0</v>
      </c>
      <c r="AI568" s="11">
        <v>0</v>
      </c>
      <c r="AJ568" s="10">
        <f t="shared" ref="AJ568:AJ573" si="574">AK568/9</f>
        <v>2666.6666666666665</v>
      </c>
      <c r="AK568" s="13">
        <v>24000</v>
      </c>
      <c r="AL568" s="10">
        <v>0</v>
      </c>
      <c r="AM568" s="13">
        <v>0</v>
      </c>
      <c r="AN568" s="10">
        <v>0</v>
      </c>
      <c r="AO568" s="11">
        <v>0</v>
      </c>
      <c r="AP568" s="10">
        <f t="shared" si="572"/>
        <v>3.75</v>
      </c>
      <c r="AQ568" s="11">
        <v>300</v>
      </c>
      <c r="AR568" s="10">
        <f>AS568/55</f>
        <v>500</v>
      </c>
      <c r="AS568" s="11">
        <v>27500</v>
      </c>
      <c r="AT568" s="10">
        <f>AU568/55</f>
        <v>50</v>
      </c>
      <c r="AU568" s="11">
        <v>2750</v>
      </c>
      <c r="AV568" s="10">
        <v>0</v>
      </c>
      <c r="AW568" s="11">
        <v>0</v>
      </c>
      <c r="AX568" s="10">
        <v>0</v>
      </c>
      <c r="AY568" s="11">
        <v>0</v>
      </c>
      <c r="AZ568" s="10">
        <f t="shared" si="573"/>
        <v>137.5</v>
      </c>
      <c r="BA568" s="11">
        <v>5500</v>
      </c>
      <c r="BB568" s="10">
        <f>BC568/40</f>
        <v>72.5</v>
      </c>
      <c r="BC568" s="11">
        <v>2900</v>
      </c>
      <c r="BD568" s="10">
        <v>0</v>
      </c>
      <c r="BE568" s="11">
        <v>0</v>
      </c>
      <c r="BF568" s="10">
        <v>0</v>
      </c>
      <c r="BG568" s="11">
        <v>0</v>
      </c>
      <c r="BN568" s="8">
        <f t="shared" si="529"/>
        <v>9702.5</v>
      </c>
      <c r="BO568" s="8">
        <f t="shared" si="530"/>
        <v>404900</v>
      </c>
      <c r="BP568" s="8">
        <f t="shared" si="532"/>
        <v>1361.25</v>
      </c>
      <c r="BQ568" s="12">
        <f t="shared" si="533"/>
        <v>75850</v>
      </c>
    </row>
    <row r="569" spans="1:69">
      <c r="A569" s="28">
        <v>2000</v>
      </c>
      <c r="B569" s="27" t="s">
        <v>49</v>
      </c>
      <c r="C569" s="24">
        <f t="shared" si="531"/>
        <v>524</v>
      </c>
      <c r="D569" s="7" t="e">
        <f t="shared" ca="1" si="508"/>
        <v>#N/A</v>
      </c>
      <c r="E569" s="26">
        <f t="array" aca="1" ref="E569" ca="1">AVERAGE(IF(INDIRECT(DatCol&amp;"$"&amp;TEXT(C569,"###")):INDIRECT(DatCol&amp;"$"&amp;TEXT(C569+57,"###"))&gt;0,INDIRECT(DatCol&amp;"$"&amp;TEXT(C569,"###")):INDIRECT(DatCol&amp;"$"&amp;TEXT(C569+57,"###"))))</f>
        <v>541.77027027027032</v>
      </c>
      <c r="F569" s="26" t="str">
        <f t="shared" si="552"/>
        <v>C</v>
      </c>
      <c r="G569" s="9">
        <v>749</v>
      </c>
      <c r="H569" s="9">
        <v>444</v>
      </c>
      <c r="I569" s="9">
        <v>190</v>
      </c>
      <c r="J569" s="9">
        <v>992</v>
      </c>
      <c r="K569" s="9">
        <f t="shared" si="510"/>
        <v>2185</v>
      </c>
      <c r="L569" s="10">
        <f>M569/75</f>
        <v>1266.6666666666667</v>
      </c>
      <c r="M569" s="11">
        <v>95000</v>
      </c>
      <c r="N569" s="10">
        <f t="shared" si="571"/>
        <v>400</v>
      </c>
      <c r="O569" s="11">
        <v>20000</v>
      </c>
      <c r="P569" s="10">
        <v>0</v>
      </c>
      <c r="Q569" s="11">
        <v>0</v>
      </c>
      <c r="R569" s="10">
        <f>S569/75</f>
        <v>882</v>
      </c>
      <c r="S569" s="11">
        <v>66150</v>
      </c>
      <c r="T569" s="10">
        <f>U569/75</f>
        <v>920</v>
      </c>
      <c r="U569" s="11">
        <v>69000</v>
      </c>
      <c r="V569" s="10">
        <f>W569/75</f>
        <v>1306.6666666666667</v>
      </c>
      <c r="W569" s="11">
        <v>98000</v>
      </c>
      <c r="X569" s="10">
        <v>0</v>
      </c>
      <c r="Y569" s="11">
        <v>0</v>
      </c>
      <c r="Z569" s="10">
        <f>AA569/75</f>
        <v>133.33333333333334</v>
      </c>
      <c r="AA569" s="11">
        <v>10000</v>
      </c>
      <c r="AB569" s="10">
        <f>AC569/75</f>
        <v>160</v>
      </c>
      <c r="AC569" s="11">
        <v>12000</v>
      </c>
      <c r="AD569" s="10">
        <f>AE569/75</f>
        <v>266.66666666666669</v>
      </c>
      <c r="AE569" s="11">
        <v>20000</v>
      </c>
      <c r="AF569" s="10">
        <v>0</v>
      </c>
      <c r="AG569" s="11">
        <v>0</v>
      </c>
      <c r="AH569" s="10">
        <f>AI569/47.5</f>
        <v>31.578947368421051</v>
      </c>
      <c r="AI569" s="11">
        <v>1500</v>
      </c>
      <c r="AJ569" s="10">
        <f t="shared" si="574"/>
        <v>533.33333333333337</v>
      </c>
      <c r="AK569" s="13">
        <v>4800</v>
      </c>
      <c r="AL569" s="10">
        <v>0</v>
      </c>
      <c r="AM569" s="13">
        <v>0</v>
      </c>
      <c r="AN569" s="10">
        <v>0</v>
      </c>
      <c r="AO569" s="11">
        <v>0</v>
      </c>
      <c r="AP569" s="10">
        <f t="shared" si="572"/>
        <v>3.75</v>
      </c>
      <c r="AQ569" s="11">
        <v>300</v>
      </c>
      <c r="AR569" s="10">
        <f>AS569/55</f>
        <v>300</v>
      </c>
      <c r="AS569" s="11">
        <v>16500</v>
      </c>
      <c r="AT569" s="10">
        <f>AU569/55</f>
        <v>50</v>
      </c>
      <c r="AU569" s="11">
        <v>2750</v>
      </c>
      <c r="AV569" s="10">
        <v>0</v>
      </c>
      <c r="AW569" s="11">
        <v>0</v>
      </c>
      <c r="AX569" s="10">
        <v>0</v>
      </c>
      <c r="AY569" s="11">
        <v>0</v>
      </c>
      <c r="AZ569" s="10">
        <f t="shared" si="573"/>
        <v>100</v>
      </c>
      <c r="BA569" s="11">
        <v>4000</v>
      </c>
      <c r="BB569" s="10">
        <f>BC569/40</f>
        <v>30</v>
      </c>
      <c r="BC569" s="11">
        <v>1200</v>
      </c>
      <c r="BN569" s="8">
        <f t="shared" si="529"/>
        <v>5868.666666666667</v>
      </c>
      <c r="BO569" s="8">
        <f t="shared" si="530"/>
        <v>375450</v>
      </c>
      <c r="BP569" s="8">
        <f t="shared" si="532"/>
        <v>1075.328947368421</v>
      </c>
      <c r="BQ569" s="12">
        <f t="shared" si="533"/>
        <v>67750</v>
      </c>
    </row>
    <row r="570" spans="1:69">
      <c r="A570" s="28">
        <v>2001</v>
      </c>
      <c r="B570" s="27" t="s">
        <v>49</v>
      </c>
      <c r="C570" s="24">
        <f t="shared" si="531"/>
        <v>524</v>
      </c>
      <c r="D570" s="7" t="e">
        <f t="shared" ca="1" si="508"/>
        <v>#N/A</v>
      </c>
      <c r="E570" s="26">
        <f t="array" aca="1" ref="E570" ca="1">AVERAGE(IF(INDIRECT(DatCol&amp;"$"&amp;TEXT(C570,"###")):INDIRECT(DatCol&amp;"$"&amp;TEXT(C570+57,"###"))&gt;0,INDIRECT(DatCol&amp;"$"&amp;TEXT(C570,"###")):INDIRECT(DatCol&amp;"$"&amp;TEXT(C570+57,"###"))))</f>
        <v>541.77027027027032</v>
      </c>
      <c r="F570" s="26" t="str">
        <f t="shared" si="552"/>
        <v>C</v>
      </c>
      <c r="G570" s="9">
        <v>0</v>
      </c>
      <c r="H570" s="9">
        <v>323</v>
      </c>
      <c r="I570" s="9">
        <v>128</v>
      </c>
      <c r="J570" s="9">
        <v>1369</v>
      </c>
      <c r="K570" s="9">
        <f t="shared" si="510"/>
        <v>1692</v>
      </c>
      <c r="L570" s="10">
        <f>M570/50</f>
        <v>960</v>
      </c>
      <c r="M570" s="11">
        <v>48000</v>
      </c>
      <c r="N570" s="10">
        <f t="shared" si="571"/>
        <v>26</v>
      </c>
      <c r="O570" s="11">
        <v>1300</v>
      </c>
      <c r="P570" s="10">
        <v>0</v>
      </c>
      <c r="Q570" s="11">
        <v>0</v>
      </c>
      <c r="R570" s="10">
        <f>S570/75</f>
        <v>866.66666666666663</v>
      </c>
      <c r="S570" s="11">
        <v>65000</v>
      </c>
      <c r="T570" s="10">
        <f>U570/75</f>
        <v>840</v>
      </c>
      <c r="U570" s="11">
        <v>63000</v>
      </c>
      <c r="V570" s="10">
        <f>W570/75</f>
        <v>1133.3333333333333</v>
      </c>
      <c r="W570" s="11">
        <v>85000</v>
      </c>
      <c r="X570" s="10">
        <v>0</v>
      </c>
      <c r="Y570" s="11">
        <v>0</v>
      </c>
      <c r="Z570" s="10">
        <f>AA570/75</f>
        <v>146.66666666666666</v>
      </c>
      <c r="AA570" s="11">
        <v>11000</v>
      </c>
      <c r="AB570" s="10">
        <f>AC570/75</f>
        <v>146.66666666666666</v>
      </c>
      <c r="AC570" s="11">
        <v>11000</v>
      </c>
      <c r="AD570" s="10">
        <f>AE570/75</f>
        <v>253.33333333333334</v>
      </c>
      <c r="AE570" s="11">
        <v>19000</v>
      </c>
      <c r="AF570" s="10">
        <v>0</v>
      </c>
      <c r="AG570" s="11">
        <v>0</v>
      </c>
      <c r="AH570" s="10">
        <f>AI570/47.5</f>
        <v>15.789473684210526</v>
      </c>
      <c r="AI570" s="11">
        <v>750</v>
      </c>
      <c r="AJ570" s="10">
        <f t="shared" si="574"/>
        <v>2400</v>
      </c>
      <c r="AK570" s="13">
        <v>21600</v>
      </c>
      <c r="AL570" s="10">
        <v>0</v>
      </c>
      <c r="AM570" s="13">
        <v>0</v>
      </c>
      <c r="AN570" s="10">
        <v>0</v>
      </c>
      <c r="AO570" s="11">
        <v>0</v>
      </c>
      <c r="AP570" s="10">
        <f t="shared" si="572"/>
        <v>3.75</v>
      </c>
      <c r="AQ570" s="11">
        <v>300</v>
      </c>
      <c r="AR570" s="10">
        <f>AS570/55</f>
        <v>218.18181818181819</v>
      </c>
      <c r="AS570" s="11">
        <v>12000</v>
      </c>
      <c r="AT570" s="10">
        <f>AU570/55</f>
        <v>12.727272727272727</v>
      </c>
      <c r="AU570" s="11">
        <v>700</v>
      </c>
      <c r="AV570" s="10">
        <v>0</v>
      </c>
      <c r="AW570" s="11">
        <v>0</v>
      </c>
      <c r="AX570" s="10">
        <v>0</v>
      </c>
      <c r="AY570" s="11">
        <v>0</v>
      </c>
      <c r="AZ570" s="10">
        <f t="shared" si="573"/>
        <v>87.5</v>
      </c>
      <c r="BA570" s="11">
        <v>3500</v>
      </c>
      <c r="BB570" s="10">
        <f>BC570/40</f>
        <v>25</v>
      </c>
      <c r="BC570" s="11">
        <v>1000</v>
      </c>
      <c r="BD570" s="10">
        <v>0</v>
      </c>
      <c r="BE570" s="11">
        <v>0</v>
      </c>
      <c r="BF570" s="10">
        <v>0</v>
      </c>
      <c r="BG570" s="11">
        <v>0</v>
      </c>
      <c r="BH570" s="11">
        <v>0</v>
      </c>
      <c r="BI570" s="11">
        <v>0</v>
      </c>
      <c r="BJ570" s="10">
        <v>0</v>
      </c>
      <c r="BK570" s="11">
        <v>0</v>
      </c>
      <c r="BL570" s="10">
        <v>0</v>
      </c>
      <c r="BM570" s="11">
        <v>0</v>
      </c>
      <c r="BN570" s="8">
        <f t="shared" si="529"/>
        <v>7052.3484848484841</v>
      </c>
      <c r="BO570" s="8">
        <f t="shared" si="530"/>
        <v>320100</v>
      </c>
      <c r="BP570" s="8">
        <f t="shared" si="532"/>
        <v>629.9334130781499</v>
      </c>
      <c r="BQ570" s="12">
        <f t="shared" si="533"/>
        <v>45050</v>
      </c>
    </row>
    <row r="571" spans="1:69">
      <c r="A571" s="28">
        <v>2002</v>
      </c>
      <c r="B571" s="27" t="s">
        <v>49</v>
      </c>
      <c r="C571" s="24">
        <f t="shared" si="531"/>
        <v>524</v>
      </c>
      <c r="D571" s="7" t="e">
        <f t="shared" ca="1" si="508"/>
        <v>#N/A</v>
      </c>
      <c r="E571" s="26">
        <f t="array" aca="1" ref="E571" ca="1">AVERAGE(IF(INDIRECT(DatCol&amp;"$"&amp;TEXT(C571,"###")):INDIRECT(DatCol&amp;"$"&amp;TEXT(C571+57,"###"))&gt;0,INDIRECT(DatCol&amp;"$"&amp;TEXT(C571,"###")):INDIRECT(DatCol&amp;"$"&amp;TEXT(C571+57,"###"))))</f>
        <v>541.77027027027032</v>
      </c>
      <c r="F571" s="26" t="str">
        <f t="shared" si="552"/>
        <v>C</v>
      </c>
      <c r="G571" s="9">
        <v>0</v>
      </c>
      <c r="H571" s="9">
        <v>231</v>
      </c>
      <c r="I571" s="9">
        <v>115</v>
      </c>
      <c r="J571" s="9">
        <v>1088</v>
      </c>
      <c r="K571" s="9">
        <f t="shared" si="510"/>
        <v>1319</v>
      </c>
      <c r="L571" s="10">
        <f>M571/50</f>
        <v>600</v>
      </c>
      <c r="M571" s="11">
        <v>30000</v>
      </c>
      <c r="N571" s="10">
        <f t="shared" si="571"/>
        <v>480</v>
      </c>
      <c r="O571" s="11">
        <v>24000</v>
      </c>
      <c r="P571" s="10">
        <v>0</v>
      </c>
      <c r="Q571" s="11">
        <v>0</v>
      </c>
      <c r="R571" s="10">
        <f>S571/75</f>
        <v>800</v>
      </c>
      <c r="S571" s="11">
        <v>60000</v>
      </c>
      <c r="T571" s="10">
        <f>U571/75</f>
        <v>760</v>
      </c>
      <c r="U571" s="11">
        <v>57000</v>
      </c>
      <c r="V571" s="10">
        <f>W571/75</f>
        <v>1066.6666666666667</v>
      </c>
      <c r="W571" s="11">
        <v>80000</v>
      </c>
      <c r="X571" s="10">
        <v>0</v>
      </c>
      <c r="Y571" s="11">
        <v>0</v>
      </c>
      <c r="Z571" s="10">
        <f>AA571/75</f>
        <v>120</v>
      </c>
      <c r="AA571" s="11">
        <v>9000</v>
      </c>
      <c r="AB571" s="10">
        <f>AC571/75</f>
        <v>100</v>
      </c>
      <c r="AC571" s="11">
        <v>7500</v>
      </c>
      <c r="AD571" s="10">
        <f>AE571/75</f>
        <v>240</v>
      </c>
      <c r="AE571" s="11">
        <v>18000</v>
      </c>
      <c r="AF571" s="10">
        <v>0</v>
      </c>
      <c r="AG571" s="11">
        <v>0</v>
      </c>
      <c r="AH571" s="10">
        <f>AI571/47.5</f>
        <v>17.894736842105264</v>
      </c>
      <c r="AI571" s="11">
        <v>850</v>
      </c>
      <c r="AJ571" s="10">
        <f t="shared" si="574"/>
        <v>7153.333333333333</v>
      </c>
      <c r="AK571" s="13">
        <v>64380</v>
      </c>
      <c r="AL571" s="10">
        <v>0</v>
      </c>
      <c r="AM571" s="13">
        <v>0</v>
      </c>
      <c r="AN571" s="10">
        <v>0</v>
      </c>
      <c r="AO571" s="11">
        <v>0</v>
      </c>
      <c r="AP571" s="10">
        <f t="shared" si="572"/>
        <v>2.5</v>
      </c>
      <c r="AQ571" s="11">
        <v>200</v>
      </c>
      <c r="AR571" s="10">
        <f>AS571/55</f>
        <v>127.27272727272727</v>
      </c>
      <c r="AS571" s="11">
        <v>7000</v>
      </c>
      <c r="AT571" s="10">
        <v>12.7</v>
      </c>
      <c r="AU571" s="11">
        <v>700</v>
      </c>
      <c r="AV571" s="10">
        <v>0</v>
      </c>
      <c r="AW571" s="11">
        <v>0</v>
      </c>
      <c r="AX571" s="10">
        <v>0</v>
      </c>
      <c r="AY571" s="11">
        <v>0</v>
      </c>
      <c r="AZ571" s="10">
        <f t="shared" si="573"/>
        <v>450</v>
      </c>
      <c r="BA571" s="11">
        <v>18000</v>
      </c>
      <c r="BB571" s="10">
        <f>BC571/40</f>
        <v>25</v>
      </c>
      <c r="BC571" s="11">
        <v>1000</v>
      </c>
      <c r="BD571" s="10">
        <v>0</v>
      </c>
      <c r="BE571" s="11">
        <v>0</v>
      </c>
      <c r="BF571" s="10">
        <v>0</v>
      </c>
      <c r="BG571" s="11">
        <v>0</v>
      </c>
      <c r="BN571" s="8">
        <f t="shared" si="529"/>
        <v>11417.272727272728</v>
      </c>
      <c r="BO571" s="8">
        <f t="shared" si="530"/>
        <v>332880</v>
      </c>
      <c r="BP571" s="8">
        <f t="shared" si="532"/>
        <v>998.09473684210536</v>
      </c>
      <c r="BQ571" s="12">
        <f t="shared" si="533"/>
        <v>61250</v>
      </c>
    </row>
    <row r="572" spans="1:69">
      <c r="A572" s="28">
        <v>2003</v>
      </c>
      <c r="B572" s="27" t="s">
        <v>49</v>
      </c>
      <c r="C572" s="24">
        <f t="shared" si="531"/>
        <v>524</v>
      </c>
      <c r="D572" s="7" t="e">
        <f t="shared" ca="1" si="508"/>
        <v>#N/A</v>
      </c>
      <c r="E572" s="26">
        <f t="array" aca="1" ref="E572" ca="1">AVERAGE(IF(INDIRECT(DatCol&amp;"$"&amp;TEXT(C572,"###")):INDIRECT(DatCol&amp;"$"&amp;TEXT(C572+57,"###"))&gt;0,INDIRECT(DatCol&amp;"$"&amp;TEXT(C572,"###")):INDIRECT(DatCol&amp;"$"&amp;TEXT(C572+57,"###"))))</f>
        <v>541.77027027027032</v>
      </c>
      <c r="F572" s="26" t="str">
        <f t="shared" si="552"/>
        <v>C</v>
      </c>
      <c r="H572" s="9">
        <v>267</v>
      </c>
      <c r="I572" s="9">
        <v>112</v>
      </c>
      <c r="J572" s="9">
        <f>900+520</f>
        <v>1420</v>
      </c>
      <c r="K572" s="9">
        <f t="shared" si="510"/>
        <v>1687</v>
      </c>
      <c r="L572" s="10">
        <v>0</v>
      </c>
      <c r="M572" s="11">
        <v>0</v>
      </c>
      <c r="N572" s="10">
        <f t="shared" si="571"/>
        <v>130</v>
      </c>
      <c r="O572" s="11">
        <v>6500</v>
      </c>
      <c r="P572" s="10">
        <v>0</v>
      </c>
      <c r="Q572" s="11">
        <v>0</v>
      </c>
      <c r="R572" s="10">
        <f>S572/75</f>
        <v>840</v>
      </c>
      <c r="S572" s="11">
        <v>63000</v>
      </c>
      <c r="T572" s="10">
        <f>U572/75</f>
        <v>1066.6666666666667</v>
      </c>
      <c r="U572" s="11">
        <v>80000</v>
      </c>
      <c r="V572" s="10">
        <f>W572/75</f>
        <v>1400</v>
      </c>
      <c r="W572" s="11">
        <v>105000</v>
      </c>
      <c r="X572" s="10">
        <v>0</v>
      </c>
      <c r="Y572" s="11">
        <v>0</v>
      </c>
      <c r="Z572" s="10">
        <f>AA572/75</f>
        <v>60</v>
      </c>
      <c r="AA572" s="11">
        <v>4500</v>
      </c>
      <c r="AB572" s="10">
        <f>AC572/75</f>
        <v>146.66666666666666</v>
      </c>
      <c r="AC572" s="11">
        <v>11000</v>
      </c>
      <c r="AD572" s="10">
        <f>AE572/75</f>
        <v>253.33333333333334</v>
      </c>
      <c r="AE572" s="11">
        <v>19000</v>
      </c>
      <c r="AF572" s="10">
        <v>0</v>
      </c>
      <c r="AG572" s="11">
        <v>0</v>
      </c>
      <c r="AH572" s="10">
        <f>AI572/47.5</f>
        <v>18.94736842105263</v>
      </c>
      <c r="AI572" s="11">
        <v>900</v>
      </c>
      <c r="AJ572" s="10">
        <f t="shared" si="574"/>
        <v>38888.888888888891</v>
      </c>
      <c r="AK572" s="13">
        <v>350000</v>
      </c>
      <c r="AL572" s="10">
        <v>0</v>
      </c>
      <c r="AM572" s="13">
        <v>0</v>
      </c>
      <c r="AN572" s="10">
        <v>0</v>
      </c>
      <c r="AO572" s="11">
        <v>0</v>
      </c>
      <c r="AP572" s="10">
        <f t="shared" si="572"/>
        <v>3.125</v>
      </c>
      <c r="AQ572" s="11">
        <v>250</v>
      </c>
      <c r="AR572" s="10">
        <v>0</v>
      </c>
      <c r="AS572" s="11">
        <v>0</v>
      </c>
      <c r="AT572" s="10">
        <f>AU572/55</f>
        <v>58.18181818181818</v>
      </c>
      <c r="AU572" s="11">
        <v>3200</v>
      </c>
      <c r="AV572" s="10">
        <v>0</v>
      </c>
      <c r="AW572" s="11">
        <v>0</v>
      </c>
      <c r="AX572" s="10">
        <v>0</v>
      </c>
      <c r="AY572" s="11">
        <v>0</v>
      </c>
      <c r="AZ572" s="10">
        <f t="shared" si="573"/>
        <v>3750</v>
      </c>
      <c r="BA572" s="11">
        <v>150000</v>
      </c>
      <c r="BB572" s="10">
        <v>0</v>
      </c>
      <c r="BC572" s="11">
        <v>0</v>
      </c>
      <c r="BD572" s="10">
        <v>0</v>
      </c>
      <c r="BE572" s="11">
        <v>0</v>
      </c>
      <c r="BF572" s="10">
        <v>0</v>
      </c>
      <c r="BG572" s="11">
        <v>0</v>
      </c>
      <c r="BN572" s="8">
        <f t="shared" si="529"/>
        <v>46405.555555555555</v>
      </c>
      <c r="BO572" s="8">
        <f t="shared" si="530"/>
        <v>763500</v>
      </c>
      <c r="BP572" s="8">
        <f t="shared" si="532"/>
        <v>670.25418660287073</v>
      </c>
      <c r="BQ572" s="12">
        <f t="shared" si="533"/>
        <v>45350</v>
      </c>
    </row>
    <row r="573" spans="1:69">
      <c r="A573" s="28">
        <v>2004</v>
      </c>
      <c r="B573" s="27" t="s">
        <v>49</v>
      </c>
      <c r="C573" s="24">
        <f t="shared" si="531"/>
        <v>524</v>
      </c>
      <c r="D573" s="7" t="e">
        <f t="shared" ca="1" si="508"/>
        <v>#N/A</v>
      </c>
      <c r="E573" s="26">
        <f t="array" aca="1" ref="E573" ca="1">AVERAGE(IF(INDIRECT(DatCol&amp;"$"&amp;TEXT(C573,"###")):INDIRECT(DatCol&amp;"$"&amp;TEXT(C573+57,"###"))&gt;0,INDIRECT(DatCol&amp;"$"&amp;TEXT(C573,"###")):INDIRECT(DatCol&amp;"$"&amp;TEXT(C573+57,"###"))))</f>
        <v>541.77027027027032</v>
      </c>
      <c r="F573" s="26" t="str">
        <f t="shared" si="552"/>
        <v>C</v>
      </c>
      <c r="H573" s="9">
        <v>306</v>
      </c>
      <c r="I573" s="9">
        <v>78</v>
      </c>
      <c r="J573" s="9">
        <v>1384</v>
      </c>
      <c r="K573" s="9">
        <f t="shared" si="510"/>
        <v>1690</v>
      </c>
      <c r="L573" s="10">
        <f>M573/50</f>
        <v>540</v>
      </c>
      <c r="M573" s="11">
        <v>27000</v>
      </c>
      <c r="N573" s="10">
        <f t="shared" si="571"/>
        <v>90</v>
      </c>
      <c r="O573" s="11">
        <v>4500</v>
      </c>
      <c r="P573" s="10">
        <v>0</v>
      </c>
      <c r="Q573" s="11">
        <v>0</v>
      </c>
      <c r="R573" s="10">
        <f>S573/75</f>
        <v>866.66666666666663</v>
      </c>
      <c r="S573" s="11">
        <v>65000</v>
      </c>
      <c r="T573" s="10">
        <f>U573/75</f>
        <v>1040</v>
      </c>
      <c r="U573" s="11">
        <v>78000</v>
      </c>
      <c r="V573" s="10">
        <f>W573/75</f>
        <v>1453.3333333333333</v>
      </c>
      <c r="W573" s="11">
        <v>109000</v>
      </c>
      <c r="X573" s="10">
        <v>0</v>
      </c>
      <c r="Y573" s="11">
        <v>0</v>
      </c>
      <c r="Z573" s="10">
        <f>AA573/75</f>
        <v>66.666666666666671</v>
      </c>
      <c r="AA573" s="11">
        <v>5000</v>
      </c>
      <c r="AB573" s="10">
        <f>AC573/75</f>
        <v>106.66666666666667</v>
      </c>
      <c r="AC573" s="11">
        <v>8000</v>
      </c>
      <c r="AD573" s="10">
        <f>AE573/75</f>
        <v>240</v>
      </c>
      <c r="AE573" s="11">
        <v>18000</v>
      </c>
      <c r="AF573" s="10">
        <v>0</v>
      </c>
      <c r="AG573" s="11">
        <v>0</v>
      </c>
      <c r="AH573" s="10">
        <f>AI573/47.5</f>
        <v>21.05263157894737</v>
      </c>
      <c r="AI573" s="11">
        <v>1000</v>
      </c>
      <c r="AJ573" s="10">
        <f t="shared" si="574"/>
        <v>111.11111111111111</v>
      </c>
      <c r="AK573" s="13">
        <v>1000</v>
      </c>
      <c r="AL573" s="10">
        <v>0</v>
      </c>
      <c r="AM573" s="13">
        <v>0</v>
      </c>
      <c r="AN573" s="10">
        <v>0</v>
      </c>
      <c r="AO573" s="11">
        <v>0</v>
      </c>
      <c r="AP573" s="10">
        <f t="shared" si="572"/>
        <v>2.5</v>
      </c>
      <c r="AQ573" s="11">
        <v>200</v>
      </c>
      <c r="AR573" s="10">
        <f>AS573/55</f>
        <v>436.36363636363637</v>
      </c>
      <c r="AS573" s="11">
        <v>24000</v>
      </c>
      <c r="AT573" s="10">
        <f>AU573/55</f>
        <v>63.636363636363633</v>
      </c>
      <c r="AU573" s="11">
        <v>3500</v>
      </c>
      <c r="AV573" s="10">
        <v>0</v>
      </c>
      <c r="AW573" s="11">
        <v>0</v>
      </c>
      <c r="AX573" s="10">
        <v>0</v>
      </c>
      <c r="AY573" s="11">
        <v>0</v>
      </c>
      <c r="AZ573" s="10">
        <f t="shared" si="573"/>
        <v>3000</v>
      </c>
      <c r="BA573" s="11">
        <v>120000</v>
      </c>
      <c r="BB573" s="10">
        <f>BC573/40</f>
        <v>20</v>
      </c>
      <c r="BC573" s="11">
        <v>800</v>
      </c>
      <c r="BD573" s="10">
        <v>0</v>
      </c>
      <c r="BE573" s="11">
        <v>0</v>
      </c>
      <c r="BF573" s="10">
        <v>0</v>
      </c>
      <c r="BG573" s="11">
        <v>0</v>
      </c>
      <c r="BN573" s="8">
        <f t="shared" si="529"/>
        <v>7860.8080808080804</v>
      </c>
      <c r="BO573" s="8">
        <f t="shared" si="530"/>
        <v>437000</v>
      </c>
      <c r="BP573" s="8">
        <f t="shared" si="532"/>
        <v>610.5223285486444</v>
      </c>
      <c r="BQ573" s="12">
        <f t="shared" si="533"/>
        <v>41000</v>
      </c>
    </row>
    <row r="574" spans="1:69">
      <c r="A574" s="28">
        <v>2005</v>
      </c>
      <c r="B574" s="27" t="s">
        <v>49</v>
      </c>
      <c r="C574" s="24">
        <f t="shared" si="531"/>
        <v>524</v>
      </c>
      <c r="D574" s="7" t="e">
        <f t="shared" ca="1" si="508"/>
        <v>#N/A</v>
      </c>
      <c r="E574" s="26">
        <f t="array" aca="1" ref="E574" ca="1">AVERAGE(IF(INDIRECT(DatCol&amp;"$"&amp;TEXT(C574,"###")):INDIRECT(DatCol&amp;"$"&amp;TEXT(C574+57,"###"))&gt;0,INDIRECT(DatCol&amp;"$"&amp;TEXT(C574,"###")):INDIRECT(DatCol&amp;"$"&amp;TEXT(C574+57,"###"))))</f>
        <v>541.77027027027032</v>
      </c>
      <c r="F574" s="26" t="str">
        <f t="shared" si="552"/>
        <v>C</v>
      </c>
      <c r="K574" s="9">
        <f t="shared" si="510"/>
        <v>0</v>
      </c>
      <c r="AK574" s="13"/>
      <c r="AM574" s="13"/>
      <c r="BN574" s="8">
        <f t="shared" si="529"/>
        <v>0</v>
      </c>
      <c r="BO574" s="8">
        <f t="shared" si="530"/>
        <v>0</v>
      </c>
      <c r="BP574" s="8">
        <f t="shared" si="532"/>
        <v>0</v>
      </c>
      <c r="BQ574" s="12">
        <f t="shared" si="533"/>
        <v>0</v>
      </c>
    </row>
    <row r="575" spans="1:69">
      <c r="A575" s="28">
        <v>2006</v>
      </c>
      <c r="B575" s="27" t="s">
        <v>49</v>
      </c>
      <c r="C575" s="24">
        <f t="shared" si="531"/>
        <v>524</v>
      </c>
      <c r="D575" s="7" t="e">
        <f t="shared" ca="1" si="508"/>
        <v>#N/A</v>
      </c>
      <c r="E575" s="26">
        <f t="array" aca="1" ref="E575" ca="1">AVERAGE(IF(INDIRECT(DatCol&amp;"$"&amp;TEXT(C575,"###")):INDIRECT(DatCol&amp;"$"&amp;TEXT(C575+57,"###"))&gt;0,INDIRECT(DatCol&amp;"$"&amp;TEXT(C575,"###")):INDIRECT(DatCol&amp;"$"&amp;TEXT(C575+57,"###"))))</f>
        <v>541.77027027027032</v>
      </c>
      <c r="F575" s="26" t="str">
        <f t="shared" si="552"/>
        <v>C</v>
      </c>
      <c r="K575" s="9">
        <f t="shared" si="510"/>
        <v>0</v>
      </c>
      <c r="AK575" s="13"/>
      <c r="AM575" s="13"/>
      <c r="BN575" s="8">
        <f t="shared" si="529"/>
        <v>0</v>
      </c>
      <c r="BO575" s="8">
        <f t="shared" si="530"/>
        <v>0</v>
      </c>
      <c r="BP575" s="8">
        <f t="shared" si="532"/>
        <v>0</v>
      </c>
      <c r="BQ575" s="12">
        <f t="shared" si="533"/>
        <v>0</v>
      </c>
    </row>
    <row r="576" spans="1:69">
      <c r="A576" s="28">
        <v>2007</v>
      </c>
      <c r="B576" s="27" t="s">
        <v>49</v>
      </c>
      <c r="C576" s="24">
        <f t="shared" si="531"/>
        <v>524</v>
      </c>
      <c r="D576" s="7" t="e">
        <f t="shared" ca="1" si="508"/>
        <v>#N/A</v>
      </c>
      <c r="E576" s="26">
        <f t="array" aca="1" ref="E576" ca="1">AVERAGE(IF(INDIRECT(DatCol&amp;"$"&amp;TEXT(C576,"###")):INDIRECT(DatCol&amp;"$"&amp;TEXT(C576+57,"###"))&gt;0,INDIRECT(DatCol&amp;"$"&amp;TEXT(C576,"###")):INDIRECT(DatCol&amp;"$"&amp;TEXT(C576+57,"###"))))</f>
        <v>541.77027027027032</v>
      </c>
      <c r="F576" s="26" t="str">
        <f t="shared" si="552"/>
        <v>C</v>
      </c>
      <c r="K576" s="9">
        <f t="shared" si="510"/>
        <v>0</v>
      </c>
      <c r="AK576" s="13"/>
      <c r="AM576" s="13"/>
      <c r="BN576" s="8">
        <f t="shared" si="529"/>
        <v>0</v>
      </c>
      <c r="BO576" s="8">
        <f t="shared" si="530"/>
        <v>0</v>
      </c>
      <c r="BP576" s="8">
        <f t="shared" si="532"/>
        <v>0</v>
      </c>
      <c r="BQ576" s="12">
        <f t="shared" si="533"/>
        <v>0</v>
      </c>
    </row>
    <row r="577" spans="1:69">
      <c r="A577" s="28">
        <v>2008</v>
      </c>
      <c r="B577" s="27" t="s">
        <v>49</v>
      </c>
      <c r="C577" s="24">
        <f t="shared" si="531"/>
        <v>524</v>
      </c>
      <c r="D577" s="7" t="e">
        <f t="shared" ca="1" si="508"/>
        <v>#N/A</v>
      </c>
      <c r="E577" s="26">
        <f t="array" aca="1" ref="E577" ca="1">AVERAGE(IF(INDIRECT(DatCol&amp;"$"&amp;TEXT(C577,"###")):INDIRECT(DatCol&amp;"$"&amp;TEXT(C577+57,"###"))&gt;0,INDIRECT(DatCol&amp;"$"&amp;TEXT(C577,"###")):INDIRECT(DatCol&amp;"$"&amp;TEXT(C577+57,"###"))))</f>
        <v>541.77027027027032</v>
      </c>
      <c r="F577" s="26" t="str">
        <f t="shared" si="552"/>
        <v>C</v>
      </c>
      <c r="K577" s="9">
        <f t="shared" si="510"/>
        <v>0</v>
      </c>
      <c r="AK577" s="13"/>
      <c r="AM577" s="13"/>
      <c r="BN577" s="8">
        <f t="shared" si="529"/>
        <v>0</v>
      </c>
      <c r="BO577" s="8">
        <f t="shared" si="530"/>
        <v>0</v>
      </c>
      <c r="BP577" s="8">
        <f t="shared" si="532"/>
        <v>0</v>
      </c>
      <c r="BQ577" s="12">
        <f t="shared" si="533"/>
        <v>0</v>
      </c>
    </row>
    <row r="578" spans="1:69">
      <c r="A578" s="28">
        <v>2009</v>
      </c>
      <c r="B578" s="27" t="s">
        <v>49</v>
      </c>
      <c r="C578" s="24">
        <f t="shared" si="531"/>
        <v>524</v>
      </c>
      <c r="D578" s="7" t="e">
        <f t="shared" ref="D578:D641" ca="1" si="575">IF(AND((INDIRECT(DatCol&amp;TEXT(ROW(),"###"))&gt;0),((F578=RegionSelect)+(RegionSelect="A"))),INDIRECT(DatCol&amp;TEXT(ROW(),"###"))/E578,NA())</f>
        <v>#N/A</v>
      </c>
      <c r="E578" s="26">
        <f t="array" aca="1" ref="E578" ca="1">AVERAGE(IF(INDIRECT(DatCol&amp;"$"&amp;TEXT(C578,"###")):INDIRECT(DatCol&amp;"$"&amp;TEXT(C578+57,"###"))&gt;0,INDIRECT(DatCol&amp;"$"&amp;TEXT(C578,"###")):INDIRECT(DatCol&amp;"$"&amp;TEXT(C578+57,"###"))))</f>
        <v>541.77027027027032</v>
      </c>
      <c r="F578" s="26" t="str">
        <f t="shared" si="552"/>
        <v>C</v>
      </c>
      <c r="H578" s="9">
        <v>277</v>
      </c>
      <c r="I578" s="9">
        <v>104</v>
      </c>
      <c r="J578" s="9">
        <v>1448</v>
      </c>
      <c r="K578" s="9">
        <f t="shared" si="510"/>
        <v>1725</v>
      </c>
      <c r="L578" s="10">
        <f>M578/50</f>
        <v>300</v>
      </c>
      <c r="M578" s="11">
        <v>15000</v>
      </c>
      <c r="N578" s="10">
        <f>O578/50</f>
        <v>19.5</v>
      </c>
      <c r="O578" s="11">
        <v>975</v>
      </c>
      <c r="P578" s="10">
        <f>Q578/75</f>
        <v>5088</v>
      </c>
      <c r="Q578" s="11">
        <v>381600</v>
      </c>
      <c r="R578" s="10">
        <v>0</v>
      </c>
      <c r="S578" s="11">
        <v>0</v>
      </c>
      <c r="T578" s="10">
        <v>0</v>
      </c>
      <c r="U578" s="11">
        <v>0</v>
      </c>
      <c r="V578" s="10">
        <v>0</v>
      </c>
      <c r="W578" s="11">
        <v>0</v>
      </c>
      <c r="X578" s="10">
        <f>Y578/75</f>
        <v>332.66666666666669</v>
      </c>
      <c r="Y578" s="11">
        <v>24950</v>
      </c>
      <c r="Z578" s="10">
        <v>0</v>
      </c>
      <c r="AA578" s="11">
        <v>0</v>
      </c>
      <c r="AB578" s="10">
        <v>0</v>
      </c>
      <c r="AC578" s="11">
        <v>0</v>
      </c>
      <c r="AD578" s="10">
        <v>0</v>
      </c>
      <c r="AE578" s="11">
        <v>0</v>
      </c>
      <c r="AF578" s="10">
        <v>0</v>
      </c>
      <c r="AG578" s="11">
        <v>0</v>
      </c>
      <c r="AH578" s="10">
        <f>AI578/47.5</f>
        <v>50.526315789473685</v>
      </c>
      <c r="AI578" s="11">
        <v>2400</v>
      </c>
      <c r="AJ578" s="10">
        <f>AK578/9</f>
        <v>2777.7777777777778</v>
      </c>
      <c r="AK578" s="13">
        <v>25000</v>
      </c>
      <c r="AL578" s="10">
        <f>AM578/9</f>
        <v>150</v>
      </c>
      <c r="AM578" s="13">
        <v>1350</v>
      </c>
      <c r="AN578" s="10">
        <v>0</v>
      </c>
      <c r="AO578" s="11">
        <v>0</v>
      </c>
      <c r="AP578" s="10">
        <f>AQ578/80</f>
        <v>0.5</v>
      </c>
      <c r="AQ578" s="11">
        <v>40</v>
      </c>
      <c r="AR578" s="10">
        <f>AS578/55</f>
        <v>1500</v>
      </c>
      <c r="AS578" s="11">
        <v>82500</v>
      </c>
      <c r="AT578" s="10">
        <f>AU578/55</f>
        <v>58.18181818181818</v>
      </c>
      <c r="AU578" s="11">
        <v>3200</v>
      </c>
      <c r="AV578" s="10">
        <v>0</v>
      </c>
      <c r="AW578" s="11">
        <v>0</v>
      </c>
      <c r="AX578" s="10">
        <v>0</v>
      </c>
      <c r="AY578" s="11">
        <v>0</v>
      </c>
      <c r="AZ578" s="10">
        <f>BA578/55</f>
        <v>2.1818181818181817</v>
      </c>
      <c r="BA578" s="11">
        <v>120</v>
      </c>
      <c r="BB578" s="10">
        <f>BC578/55</f>
        <v>0.36363636363636365</v>
      </c>
      <c r="BC578" s="11">
        <v>20</v>
      </c>
      <c r="BN578" s="8">
        <f t="shared" si="529"/>
        <v>10000.626262626263</v>
      </c>
      <c r="BO578" s="8">
        <f t="shared" si="530"/>
        <v>529170</v>
      </c>
      <c r="BP578" s="8">
        <f t="shared" si="532"/>
        <v>611.73843700159489</v>
      </c>
      <c r="BQ578" s="12">
        <f t="shared" si="533"/>
        <v>32935</v>
      </c>
    </row>
    <row r="579" spans="1:69">
      <c r="A579" s="28">
        <v>2010</v>
      </c>
      <c r="B579" s="27" t="s">
        <v>49</v>
      </c>
      <c r="C579" s="24">
        <f t="shared" si="531"/>
        <v>524</v>
      </c>
      <c r="D579" s="7" t="e">
        <f t="shared" ca="1" si="575"/>
        <v>#N/A</v>
      </c>
      <c r="E579" s="26">
        <f t="array" aca="1" ref="E579" ca="1">AVERAGE(IF(INDIRECT(DatCol&amp;"$"&amp;TEXT(C579,"###")):INDIRECT(DatCol&amp;"$"&amp;TEXT(C579+57,"###"))&gt;0,INDIRECT(DatCol&amp;"$"&amp;TEXT(C579,"###")):INDIRECT(DatCol&amp;"$"&amp;TEXT(C579+57,"###"))))</f>
        <v>541.77027027027032</v>
      </c>
      <c r="F579" s="26" t="str">
        <f t="shared" ref="F579:F581" si="576">VLOOKUP(B579,town_region,2,FALSE)</f>
        <v>C</v>
      </c>
      <c r="AK579" s="13"/>
      <c r="AM579" s="13"/>
      <c r="BN579" s="8"/>
      <c r="BO579" s="8"/>
      <c r="BP579" s="8"/>
      <c r="BQ579" s="12"/>
    </row>
    <row r="580" spans="1:69">
      <c r="A580" s="28">
        <v>2011</v>
      </c>
      <c r="B580" s="27" t="s">
        <v>49</v>
      </c>
      <c r="C580" s="24">
        <f t="shared" si="531"/>
        <v>524</v>
      </c>
      <c r="D580" s="7" t="e">
        <f t="shared" ca="1" si="575"/>
        <v>#N/A</v>
      </c>
      <c r="E580" s="26">
        <f t="array" aca="1" ref="E580" ca="1">AVERAGE(IF(INDIRECT(DatCol&amp;"$"&amp;TEXT(C580,"###")):INDIRECT(DatCol&amp;"$"&amp;TEXT(C580+57,"###"))&gt;0,INDIRECT(DatCol&amp;"$"&amp;TEXT(C580,"###")):INDIRECT(DatCol&amp;"$"&amp;TEXT(C580+57,"###"))))</f>
        <v>541.77027027027032</v>
      </c>
      <c r="F580" s="26" t="str">
        <f t="shared" si="576"/>
        <v>C</v>
      </c>
      <c r="AK580" s="13"/>
      <c r="AM580" s="13"/>
      <c r="BN580" s="8"/>
      <c r="BO580" s="8"/>
      <c r="BP580" s="8"/>
      <c r="BQ580" s="12"/>
    </row>
    <row r="581" spans="1:69">
      <c r="A581" s="28">
        <v>2012</v>
      </c>
      <c r="B581" s="27" t="s">
        <v>49</v>
      </c>
      <c r="C581" s="24">
        <f t="shared" si="531"/>
        <v>524</v>
      </c>
      <c r="D581" s="7" t="e">
        <f t="shared" ca="1" si="575"/>
        <v>#N/A</v>
      </c>
      <c r="E581" s="26">
        <f t="array" aca="1" ref="E581" ca="1">AVERAGE(IF(INDIRECT(DatCol&amp;"$"&amp;TEXT(C581,"###")):INDIRECT(DatCol&amp;"$"&amp;TEXT(C581+57,"###"))&gt;0,INDIRECT(DatCol&amp;"$"&amp;TEXT(C581,"###")):INDIRECT(DatCol&amp;"$"&amp;TEXT(C581+57,"###"))))</f>
        <v>541.77027027027032</v>
      </c>
      <c r="F581" s="26" t="str">
        <f t="shared" si="576"/>
        <v>C</v>
      </c>
      <c r="AK581" s="13"/>
      <c r="AM581" s="13"/>
      <c r="BN581" s="8"/>
      <c r="BO581" s="8"/>
      <c r="BP581" s="8"/>
      <c r="BQ581" s="12"/>
    </row>
    <row r="582" spans="1:69">
      <c r="A582" s="28">
        <v>1955</v>
      </c>
      <c r="B582" s="27" t="s">
        <v>55</v>
      </c>
      <c r="C582" s="24">
        <f>ROW()</f>
        <v>582</v>
      </c>
      <c r="D582" s="7" t="e">
        <f t="shared" ca="1" si="575"/>
        <v>#N/A</v>
      </c>
      <c r="E582" s="26">
        <f t="array" aca="1" ref="E582" ca="1">AVERAGE(IF(INDIRECT(DatCol&amp;"$"&amp;TEXT(C582,"###")):INDIRECT(DatCol&amp;"$"&amp;TEXT(C582+57,"###"))&gt;0,INDIRECT(DatCol&amp;"$"&amp;TEXT(C582,"###")):INDIRECT(DatCol&amp;"$"&amp;TEXT(C582+57,"###"))))</f>
        <v>561.91875000000005</v>
      </c>
      <c r="F582" s="26" t="str">
        <f t="shared" si="552"/>
        <v>I</v>
      </c>
      <c r="G582" s="8"/>
      <c r="K582" s="9">
        <f t="shared" si="510"/>
        <v>0</v>
      </c>
      <c r="M582" s="11">
        <f t="shared" si="553"/>
        <v>0</v>
      </c>
      <c r="O582" s="11">
        <f t="shared" si="554"/>
        <v>0</v>
      </c>
      <c r="Q582" s="11">
        <f t="shared" si="555"/>
        <v>0</v>
      </c>
      <c r="Y582" s="11">
        <f t="shared" si="556"/>
        <v>0</v>
      </c>
      <c r="AG582" s="11">
        <f t="shared" si="557"/>
        <v>0</v>
      </c>
      <c r="AI582" s="11">
        <f>(AH582*65)</f>
        <v>0</v>
      </c>
      <c r="AK582" s="13">
        <f>(AJ582*9)</f>
        <v>0</v>
      </c>
      <c r="AM582" s="13">
        <f>(AL582*9)</f>
        <v>0</v>
      </c>
      <c r="AO582" s="11">
        <f>(AN582*80)</f>
        <v>0</v>
      </c>
      <c r="AQ582" s="11">
        <f t="shared" si="562"/>
        <v>0</v>
      </c>
      <c r="AS582" s="11">
        <f t="shared" si="563"/>
        <v>0</v>
      </c>
      <c r="AU582" s="11">
        <f t="shared" si="564"/>
        <v>0</v>
      </c>
      <c r="AW582" s="11">
        <f>(AV582*60)</f>
        <v>0</v>
      </c>
      <c r="AY582" s="11">
        <f>(AX582*60)</f>
        <v>0</v>
      </c>
      <c r="BA582" s="11">
        <f>(AZ582*40)</f>
        <v>0</v>
      </c>
      <c r="BC582" s="11">
        <f>(BB582*40)</f>
        <v>0</v>
      </c>
      <c r="BE582" s="11">
        <f>(BD582*95)</f>
        <v>0</v>
      </c>
      <c r="BG582" s="11">
        <f>(BF582*95)</f>
        <v>0</v>
      </c>
      <c r="BN582" s="8">
        <f t="shared" si="529"/>
        <v>0</v>
      </c>
      <c r="BO582" s="8">
        <f t="shared" si="530"/>
        <v>0</v>
      </c>
      <c r="BP582" s="8">
        <f t="shared" si="532"/>
        <v>0</v>
      </c>
      <c r="BQ582" s="12">
        <f t="shared" si="533"/>
        <v>0</v>
      </c>
    </row>
    <row r="583" spans="1:69">
      <c r="A583" s="28">
        <v>1956</v>
      </c>
      <c r="B583" s="27" t="s">
        <v>55</v>
      </c>
      <c r="C583" s="24">
        <f t="shared" ref="C583:C639" si="577">C582</f>
        <v>582</v>
      </c>
      <c r="D583" s="7" t="e">
        <f t="shared" ca="1" si="575"/>
        <v>#N/A</v>
      </c>
      <c r="E583" s="26">
        <f t="array" aca="1" ref="E583" ca="1">AVERAGE(IF(INDIRECT(DatCol&amp;"$"&amp;TEXT(C583,"###")):INDIRECT(DatCol&amp;"$"&amp;TEXT(C583+57,"###"))&gt;0,INDIRECT(DatCol&amp;"$"&amp;TEXT(C583,"###")):INDIRECT(DatCol&amp;"$"&amp;TEXT(C583+57,"###"))))</f>
        <v>561.91875000000005</v>
      </c>
      <c r="F583" s="26" t="str">
        <f t="shared" si="552"/>
        <v>I</v>
      </c>
      <c r="G583" s="8"/>
      <c r="K583" s="9">
        <f t="shared" si="510"/>
        <v>0</v>
      </c>
      <c r="M583" s="11">
        <f t="shared" si="553"/>
        <v>0</v>
      </c>
      <c r="O583" s="11">
        <f t="shared" si="554"/>
        <v>0</v>
      </c>
      <c r="Q583" s="11">
        <f t="shared" si="555"/>
        <v>0</v>
      </c>
      <c r="Y583" s="11">
        <f t="shared" si="556"/>
        <v>0</v>
      </c>
      <c r="AG583" s="11">
        <f t="shared" si="557"/>
        <v>0</v>
      </c>
      <c r="AI583" s="11">
        <f>(AH583*65)</f>
        <v>0</v>
      </c>
      <c r="AK583" s="13">
        <f>(AJ583*9)</f>
        <v>0</v>
      </c>
      <c r="AM583" s="13">
        <f>(AL583*9)</f>
        <v>0</v>
      </c>
      <c r="AO583" s="11">
        <f>(AN583*80)</f>
        <v>0</v>
      </c>
      <c r="AQ583" s="11">
        <f t="shared" si="562"/>
        <v>0</v>
      </c>
      <c r="AS583" s="11">
        <f t="shared" si="563"/>
        <v>0</v>
      </c>
      <c r="AU583" s="11">
        <f t="shared" si="564"/>
        <v>0</v>
      </c>
      <c r="AW583" s="11">
        <f>(AV583*60)</f>
        <v>0</v>
      </c>
      <c r="AY583" s="11">
        <f>(AX583*60)</f>
        <v>0</v>
      </c>
      <c r="BA583" s="11">
        <f>(AZ583*40)</f>
        <v>0</v>
      </c>
      <c r="BC583" s="11">
        <f>(BB583*40)</f>
        <v>0</v>
      </c>
      <c r="BE583" s="11">
        <f>(BD583*95)</f>
        <v>0</v>
      </c>
      <c r="BG583" s="11">
        <f>(BF583*95)</f>
        <v>0</v>
      </c>
      <c r="BN583" s="8">
        <f t="shared" si="529"/>
        <v>0</v>
      </c>
      <c r="BO583" s="8">
        <f t="shared" si="530"/>
        <v>0</v>
      </c>
      <c r="BP583" s="8">
        <f t="shared" si="532"/>
        <v>0</v>
      </c>
      <c r="BQ583" s="12">
        <f t="shared" si="533"/>
        <v>0</v>
      </c>
    </row>
    <row r="584" spans="1:69">
      <c r="A584" s="28">
        <v>1957</v>
      </c>
      <c r="B584" s="27" t="s">
        <v>55</v>
      </c>
      <c r="C584" s="24">
        <f t="shared" si="577"/>
        <v>582</v>
      </c>
      <c r="D584" s="7" t="e">
        <f t="shared" ca="1" si="575"/>
        <v>#N/A</v>
      </c>
      <c r="E584" s="26">
        <f t="array" aca="1" ref="E584" ca="1">AVERAGE(IF(INDIRECT(DatCol&amp;"$"&amp;TEXT(C584,"###")):INDIRECT(DatCol&amp;"$"&amp;TEXT(C584+57,"###"))&gt;0,INDIRECT(DatCol&amp;"$"&amp;TEXT(C584,"###")):INDIRECT(DatCol&amp;"$"&amp;TEXT(C584+57,"###"))))</f>
        <v>561.91875000000005</v>
      </c>
      <c r="F584" s="26" t="str">
        <f t="shared" si="552"/>
        <v>I</v>
      </c>
      <c r="G584" s="8"/>
      <c r="K584" s="9">
        <f t="shared" si="510"/>
        <v>0</v>
      </c>
      <c r="M584" s="11">
        <f t="shared" si="553"/>
        <v>0</v>
      </c>
      <c r="O584" s="11">
        <f t="shared" si="554"/>
        <v>0</v>
      </c>
      <c r="Q584" s="11">
        <f t="shared" si="555"/>
        <v>0</v>
      </c>
      <c r="Y584" s="11">
        <f t="shared" si="556"/>
        <v>0</v>
      </c>
      <c r="AG584" s="11">
        <f t="shared" si="557"/>
        <v>0</v>
      </c>
      <c r="AI584" s="11">
        <f>(AH584*65)</f>
        <v>0</v>
      </c>
      <c r="AK584" s="13">
        <f>(AJ584*9)</f>
        <v>0</v>
      </c>
      <c r="AM584" s="13">
        <f>(AL584*9)</f>
        <v>0</v>
      </c>
      <c r="AO584" s="11">
        <f>(AN584*80)</f>
        <v>0</v>
      </c>
      <c r="AQ584" s="11">
        <f t="shared" si="562"/>
        <v>0</v>
      </c>
      <c r="AS584" s="11">
        <f t="shared" si="563"/>
        <v>0</v>
      </c>
      <c r="AU584" s="11">
        <f t="shared" si="564"/>
        <v>0</v>
      </c>
      <c r="AW584" s="11">
        <f>(AV584*60)</f>
        <v>0</v>
      </c>
      <c r="AY584" s="11">
        <f>(AX584*60)</f>
        <v>0</v>
      </c>
      <c r="BA584" s="11">
        <f>(AZ584*40)</f>
        <v>0</v>
      </c>
      <c r="BC584" s="11">
        <f>(BB584*40)</f>
        <v>0</v>
      </c>
      <c r="BE584" s="11">
        <f>(BD584*95)</f>
        <v>0</v>
      </c>
      <c r="BG584" s="11">
        <f>(BF584*95)</f>
        <v>0</v>
      </c>
      <c r="BN584" s="8">
        <f t="shared" si="529"/>
        <v>0</v>
      </c>
      <c r="BO584" s="8">
        <f t="shared" si="530"/>
        <v>0</v>
      </c>
      <c r="BP584" s="8">
        <f t="shared" si="532"/>
        <v>0</v>
      </c>
      <c r="BQ584" s="12">
        <f t="shared" si="533"/>
        <v>0</v>
      </c>
    </row>
    <row r="585" spans="1:69">
      <c r="A585" s="28">
        <v>1958</v>
      </c>
      <c r="B585" s="27" t="s">
        <v>55</v>
      </c>
      <c r="C585" s="24">
        <f t="shared" si="577"/>
        <v>582</v>
      </c>
      <c r="D585" s="7" t="e">
        <f t="shared" ca="1" si="575"/>
        <v>#N/A</v>
      </c>
      <c r="E585" s="26">
        <f t="array" aca="1" ref="E585" ca="1">AVERAGE(IF(INDIRECT(DatCol&amp;"$"&amp;TEXT(C585,"###")):INDIRECT(DatCol&amp;"$"&amp;TEXT(C585+57,"###"))&gt;0,INDIRECT(DatCol&amp;"$"&amp;TEXT(C585,"###")):INDIRECT(DatCol&amp;"$"&amp;TEXT(C585+57,"###"))))</f>
        <v>561.91875000000005</v>
      </c>
      <c r="F585" s="26" t="str">
        <f t="shared" si="552"/>
        <v>I</v>
      </c>
      <c r="G585" s="8"/>
      <c r="K585" s="9">
        <f t="shared" si="510"/>
        <v>0</v>
      </c>
      <c r="M585" s="11">
        <f t="shared" ref="M585:M600" si="578">(L585*50)</f>
        <v>0</v>
      </c>
      <c r="O585" s="11">
        <f t="shared" ref="O585:O600" si="579">(N585*50)</f>
        <v>0</v>
      </c>
      <c r="Q585" s="11">
        <f t="shared" ref="Q585:Q600" si="580">((P585*330)/5.5)</f>
        <v>0</v>
      </c>
      <c r="Y585" s="11">
        <f t="shared" ref="Y585:Y600" si="581">((X585*330)/5.5)</f>
        <v>0</v>
      </c>
      <c r="AG585" s="11">
        <f t="shared" ref="AG585:AG600" si="582">(AF585*65)</f>
        <v>0</v>
      </c>
      <c r="AI585" s="11">
        <f t="shared" ref="AI585:AI600" si="583">(AH585*65)</f>
        <v>0</v>
      </c>
      <c r="AK585" s="13">
        <f t="shared" ref="AK585:AK600" si="584">(AJ585*9)</f>
        <v>0</v>
      </c>
      <c r="AM585" s="13">
        <f t="shared" ref="AM585:AM600" si="585">(AL585*9)</f>
        <v>0</v>
      </c>
      <c r="AO585" s="11">
        <f t="shared" ref="AO585:AO600" si="586">(AN585*80)</f>
        <v>0</v>
      </c>
      <c r="AQ585" s="11">
        <f t="shared" ref="AQ585:AQ600" si="587">(AP585*80)</f>
        <v>0</v>
      </c>
      <c r="AS585" s="11">
        <f t="shared" ref="AS585:AS600" si="588">(AR585*50)</f>
        <v>0</v>
      </c>
      <c r="AU585" s="11">
        <f t="shared" ref="AU585:AU600" si="589">(AT585*50)</f>
        <v>0</v>
      </c>
      <c r="AW585" s="11">
        <f t="shared" ref="AW585:AW600" si="590">(AV585*60)</f>
        <v>0</v>
      </c>
      <c r="AY585" s="11">
        <f t="shared" ref="AY585:AY600" si="591">(AX585*60)</f>
        <v>0</v>
      </c>
      <c r="BA585" s="11">
        <f t="shared" ref="BA585:BA600" si="592">(AZ585*40)</f>
        <v>0</v>
      </c>
      <c r="BC585" s="11">
        <f t="shared" ref="BC585:BC600" si="593">(BB585*40)</f>
        <v>0</v>
      </c>
      <c r="BE585" s="11">
        <f t="shared" ref="BE585:BE600" si="594">(BD585*95)</f>
        <v>0</v>
      </c>
      <c r="BG585" s="11">
        <f t="shared" ref="BG585:BG600" si="595">(BF585*95)</f>
        <v>0</v>
      </c>
      <c r="BN585" s="8">
        <f t="shared" si="529"/>
        <v>0</v>
      </c>
      <c r="BO585" s="8">
        <f t="shared" si="530"/>
        <v>0</v>
      </c>
      <c r="BP585" s="8">
        <f t="shared" si="532"/>
        <v>0</v>
      </c>
      <c r="BQ585" s="12">
        <f t="shared" si="533"/>
        <v>0</v>
      </c>
    </row>
    <row r="586" spans="1:69">
      <c r="A586" s="28">
        <v>1959</v>
      </c>
      <c r="B586" s="27" t="s">
        <v>55</v>
      </c>
      <c r="C586" s="24">
        <f t="shared" si="577"/>
        <v>582</v>
      </c>
      <c r="D586" s="7" t="e">
        <f t="shared" ca="1" si="575"/>
        <v>#N/A</v>
      </c>
      <c r="E586" s="26">
        <f t="array" aca="1" ref="E586" ca="1">AVERAGE(IF(INDIRECT(DatCol&amp;"$"&amp;TEXT(C586,"###")):INDIRECT(DatCol&amp;"$"&amp;TEXT(C586+57,"###"))&gt;0,INDIRECT(DatCol&amp;"$"&amp;TEXT(C586,"###")):INDIRECT(DatCol&amp;"$"&amp;TEXT(C586+57,"###"))))</f>
        <v>561.91875000000005</v>
      </c>
      <c r="F586" s="26" t="str">
        <f t="shared" si="552"/>
        <v>I</v>
      </c>
      <c r="G586" s="8"/>
      <c r="K586" s="9">
        <f t="shared" si="510"/>
        <v>0</v>
      </c>
      <c r="M586" s="11">
        <f t="shared" si="578"/>
        <v>0</v>
      </c>
      <c r="O586" s="11">
        <f t="shared" si="579"/>
        <v>0</v>
      </c>
      <c r="Q586" s="11">
        <f t="shared" si="580"/>
        <v>0</v>
      </c>
      <c r="Y586" s="11">
        <f t="shared" si="581"/>
        <v>0</v>
      </c>
      <c r="AG586" s="11">
        <f t="shared" si="582"/>
        <v>0</v>
      </c>
      <c r="AI586" s="11">
        <f t="shared" si="583"/>
        <v>0</v>
      </c>
      <c r="AK586" s="13">
        <f t="shared" si="584"/>
        <v>0</v>
      </c>
      <c r="AM586" s="13">
        <f t="shared" si="585"/>
        <v>0</v>
      </c>
      <c r="AO586" s="11">
        <f t="shared" si="586"/>
        <v>0</v>
      </c>
      <c r="AQ586" s="11">
        <f t="shared" si="587"/>
        <v>0</v>
      </c>
      <c r="AS586" s="11">
        <f t="shared" si="588"/>
        <v>0</v>
      </c>
      <c r="AU586" s="11">
        <f t="shared" si="589"/>
        <v>0</v>
      </c>
      <c r="AW586" s="11">
        <f t="shared" si="590"/>
        <v>0</v>
      </c>
      <c r="AY586" s="11">
        <f t="shared" si="591"/>
        <v>0</v>
      </c>
      <c r="BA586" s="11">
        <f t="shared" si="592"/>
        <v>0</v>
      </c>
      <c r="BC586" s="11">
        <f t="shared" si="593"/>
        <v>0</v>
      </c>
      <c r="BE586" s="11">
        <f t="shared" si="594"/>
        <v>0</v>
      </c>
      <c r="BG586" s="11">
        <f t="shared" si="595"/>
        <v>0</v>
      </c>
      <c r="BN586" s="8">
        <f t="shared" si="529"/>
        <v>0</v>
      </c>
      <c r="BO586" s="8">
        <f t="shared" si="530"/>
        <v>0</v>
      </c>
      <c r="BP586" s="8">
        <f t="shared" si="532"/>
        <v>0</v>
      </c>
      <c r="BQ586" s="12">
        <f t="shared" si="533"/>
        <v>0</v>
      </c>
    </row>
    <row r="587" spans="1:69">
      <c r="A587" s="28">
        <v>1960</v>
      </c>
      <c r="B587" s="27" t="s">
        <v>55</v>
      </c>
      <c r="C587" s="24">
        <f t="shared" si="577"/>
        <v>582</v>
      </c>
      <c r="D587" s="7" t="e">
        <f t="shared" ca="1" si="575"/>
        <v>#N/A</v>
      </c>
      <c r="E587" s="26">
        <f t="array" aca="1" ref="E587" ca="1">AVERAGE(IF(INDIRECT(DatCol&amp;"$"&amp;TEXT(C587,"###")):INDIRECT(DatCol&amp;"$"&amp;TEXT(C587+57,"###"))&gt;0,INDIRECT(DatCol&amp;"$"&amp;TEXT(C587,"###")):INDIRECT(DatCol&amp;"$"&amp;TEXT(C587+57,"###"))))</f>
        <v>561.91875000000005</v>
      </c>
      <c r="F587" s="26" t="str">
        <f t="shared" si="552"/>
        <v>I</v>
      </c>
      <c r="G587" s="8"/>
      <c r="K587" s="9">
        <f t="shared" si="510"/>
        <v>0</v>
      </c>
      <c r="M587" s="11">
        <f t="shared" si="578"/>
        <v>0</v>
      </c>
      <c r="O587" s="11">
        <f t="shared" si="579"/>
        <v>0</v>
      </c>
      <c r="Q587" s="11">
        <f t="shared" si="580"/>
        <v>0</v>
      </c>
      <c r="Y587" s="11">
        <f t="shared" si="581"/>
        <v>0</v>
      </c>
      <c r="AG587" s="11">
        <f t="shared" si="582"/>
        <v>0</v>
      </c>
      <c r="AI587" s="11">
        <f t="shared" si="583"/>
        <v>0</v>
      </c>
      <c r="AK587" s="13">
        <f t="shared" si="584"/>
        <v>0</v>
      </c>
      <c r="AM587" s="13">
        <f t="shared" si="585"/>
        <v>0</v>
      </c>
      <c r="AO587" s="11">
        <f t="shared" si="586"/>
        <v>0</v>
      </c>
      <c r="AQ587" s="11">
        <f t="shared" si="587"/>
        <v>0</v>
      </c>
      <c r="AS587" s="11">
        <f t="shared" si="588"/>
        <v>0</v>
      </c>
      <c r="AU587" s="11">
        <f t="shared" si="589"/>
        <v>0</v>
      </c>
      <c r="AW587" s="11">
        <f t="shared" si="590"/>
        <v>0</v>
      </c>
      <c r="AY587" s="11">
        <f t="shared" si="591"/>
        <v>0</v>
      </c>
      <c r="BA587" s="11">
        <f t="shared" si="592"/>
        <v>0</v>
      </c>
      <c r="BC587" s="11">
        <f t="shared" si="593"/>
        <v>0</v>
      </c>
      <c r="BE587" s="11">
        <f t="shared" si="594"/>
        <v>0</v>
      </c>
      <c r="BG587" s="11">
        <f t="shared" si="595"/>
        <v>0</v>
      </c>
      <c r="BN587" s="8">
        <f t="shared" ref="BN587:BN651" si="596">(L587+P587+R587+T587+V587+X587+Z587+AB587+AD587+AF587+AJ587+AN587+AR587+AV587+AZ587+BD587)</f>
        <v>0</v>
      </c>
      <c r="BO587" s="8">
        <f t="shared" si="530"/>
        <v>0</v>
      </c>
      <c r="BP587" s="8">
        <f t="shared" si="532"/>
        <v>0</v>
      </c>
      <c r="BQ587" s="12">
        <f t="shared" si="533"/>
        <v>0</v>
      </c>
    </row>
    <row r="588" spans="1:69">
      <c r="A588" s="28">
        <v>1961</v>
      </c>
      <c r="B588" s="27" t="s">
        <v>55</v>
      </c>
      <c r="C588" s="24">
        <f t="shared" si="577"/>
        <v>582</v>
      </c>
      <c r="D588" s="7" t="e">
        <f t="shared" ca="1" si="575"/>
        <v>#N/A</v>
      </c>
      <c r="E588" s="26">
        <f t="array" aca="1" ref="E588" ca="1">AVERAGE(IF(INDIRECT(DatCol&amp;"$"&amp;TEXT(C588,"###")):INDIRECT(DatCol&amp;"$"&amp;TEXT(C588+57,"###"))&gt;0,INDIRECT(DatCol&amp;"$"&amp;TEXT(C588,"###")):INDIRECT(DatCol&amp;"$"&amp;TEXT(C588+57,"###"))))</f>
        <v>561.91875000000005</v>
      </c>
      <c r="F588" s="26" t="str">
        <f t="shared" si="552"/>
        <v>I</v>
      </c>
      <c r="G588" s="8"/>
      <c r="K588" s="9">
        <f t="shared" si="510"/>
        <v>0</v>
      </c>
      <c r="M588" s="11">
        <f t="shared" si="578"/>
        <v>0</v>
      </c>
      <c r="O588" s="11">
        <f t="shared" si="579"/>
        <v>0</v>
      </c>
      <c r="Q588" s="11">
        <f t="shared" si="580"/>
        <v>0</v>
      </c>
      <c r="Y588" s="11">
        <f t="shared" si="581"/>
        <v>0</v>
      </c>
      <c r="AG588" s="11">
        <f t="shared" si="582"/>
        <v>0</v>
      </c>
      <c r="AI588" s="11">
        <f t="shared" si="583"/>
        <v>0</v>
      </c>
      <c r="AK588" s="13">
        <f t="shared" si="584"/>
        <v>0</v>
      </c>
      <c r="AM588" s="13">
        <f t="shared" si="585"/>
        <v>0</v>
      </c>
      <c r="AO588" s="11">
        <f t="shared" si="586"/>
        <v>0</v>
      </c>
      <c r="AQ588" s="11">
        <f t="shared" si="587"/>
        <v>0</v>
      </c>
      <c r="AS588" s="11">
        <f t="shared" si="588"/>
        <v>0</v>
      </c>
      <c r="AU588" s="11">
        <f t="shared" si="589"/>
        <v>0</v>
      </c>
      <c r="AW588" s="11">
        <f t="shared" si="590"/>
        <v>0</v>
      </c>
      <c r="AY588" s="11">
        <f t="shared" si="591"/>
        <v>0</v>
      </c>
      <c r="BA588" s="11">
        <f t="shared" si="592"/>
        <v>0</v>
      </c>
      <c r="BC588" s="11">
        <f t="shared" si="593"/>
        <v>0</v>
      </c>
      <c r="BE588" s="11">
        <f t="shared" si="594"/>
        <v>0</v>
      </c>
      <c r="BG588" s="11">
        <f t="shared" si="595"/>
        <v>0</v>
      </c>
      <c r="BN588" s="8">
        <f t="shared" si="596"/>
        <v>0</v>
      </c>
      <c r="BO588" s="8">
        <f t="shared" ref="BO588:BO652" si="597">(M588+Q588+S588+U588+W588+Y588+AA588+AC588+AG588+AK588+AO588+AS588+AW588+BA588+BE588)</f>
        <v>0</v>
      </c>
      <c r="BP588" s="8">
        <f t="shared" si="532"/>
        <v>0</v>
      </c>
      <c r="BQ588" s="12">
        <f t="shared" si="533"/>
        <v>0</v>
      </c>
    </row>
    <row r="589" spans="1:69">
      <c r="A589" s="28">
        <v>1962</v>
      </c>
      <c r="B589" s="27" t="s">
        <v>55</v>
      </c>
      <c r="C589" s="24">
        <f t="shared" si="577"/>
        <v>582</v>
      </c>
      <c r="D589" s="7" t="e">
        <f t="shared" ca="1" si="575"/>
        <v>#N/A</v>
      </c>
      <c r="E589" s="26">
        <f t="array" aca="1" ref="E589" ca="1">AVERAGE(IF(INDIRECT(DatCol&amp;"$"&amp;TEXT(C589,"###")):INDIRECT(DatCol&amp;"$"&amp;TEXT(C589+57,"###"))&gt;0,INDIRECT(DatCol&amp;"$"&amp;TEXT(C589,"###")):INDIRECT(DatCol&amp;"$"&amp;TEXT(C589+57,"###"))))</f>
        <v>561.91875000000005</v>
      </c>
      <c r="F589" s="26" t="str">
        <f t="shared" si="552"/>
        <v>I</v>
      </c>
      <c r="G589" s="8"/>
      <c r="K589" s="9">
        <f t="shared" ref="K589:K653" si="598">G589+H589+J589</f>
        <v>0</v>
      </c>
      <c r="M589" s="11">
        <f t="shared" si="578"/>
        <v>0</v>
      </c>
      <c r="O589" s="11">
        <f t="shared" si="579"/>
        <v>0</v>
      </c>
      <c r="Q589" s="11">
        <f t="shared" si="580"/>
        <v>0</v>
      </c>
      <c r="Y589" s="11">
        <f t="shared" si="581"/>
        <v>0</v>
      </c>
      <c r="AG589" s="11">
        <f t="shared" si="582"/>
        <v>0</v>
      </c>
      <c r="AI589" s="11">
        <f t="shared" si="583"/>
        <v>0</v>
      </c>
      <c r="AK589" s="13">
        <f t="shared" si="584"/>
        <v>0</v>
      </c>
      <c r="AM589" s="13">
        <f t="shared" si="585"/>
        <v>0</v>
      </c>
      <c r="AO589" s="11">
        <f t="shared" si="586"/>
        <v>0</v>
      </c>
      <c r="AQ589" s="11">
        <f t="shared" si="587"/>
        <v>0</v>
      </c>
      <c r="AS589" s="11">
        <f t="shared" si="588"/>
        <v>0</v>
      </c>
      <c r="AU589" s="11">
        <f t="shared" si="589"/>
        <v>0</v>
      </c>
      <c r="AW589" s="11">
        <f t="shared" si="590"/>
        <v>0</v>
      </c>
      <c r="AY589" s="11">
        <f t="shared" si="591"/>
        <v>0</v>
      </c>
      <c r="BA589" s="11">
        <f t="shared" si="592"/>
        <v>0</v>
      </c>
      <c r="BC589" s="11">
        <f t="shared" si="593"/>
        <v>0</v>
      </c>
      <c r="BE589" s="11">
        <f t="shared" si="594"/>
        <v>0</v>
      </c>
      <c r="BG589" s="11">
        <f t="shared" si="595"/>
        <v>0</v>
      </c>
      <c r="BN589" s="8">
        <f t="shared" si="596"/>
        <v>0</v>
      </c>
      <c r="BO589" s="8">
        <f t="shared" si="597"/>
        <v>0</v>
      </c>
      <c r="BP589" s="8">
        <f t="shared" si="532"/>
        <v>0</v>
      </c>
      <c r="BQ589" s="12">
        <f t="shared" si="533"/>
        <v>0</v>
      </c>
    </row>
    <row r="590" spans="1:69">
      <c r="A590" s="28">
        <v>1963</v>
      </c>
      <c r="B590" s="27" t="s">
        <v>55</v>
      </c>
      <c r="C590" s="24">
        <f t="shared" si="577"/>
        <v>582</v>
      </c>
      <c r="D590" s="7" t="e">
        <f t="shared" ca="1" si="575"/>
        <v>#N/A</v>
      </c>
      <c r="E590" s="26">
        <f t="array" aca="1" ref="E590" ca="1">AVERAGE(IF(INDIRECT(DatCol&amp;"$"&amp;TEXT(C590,"###")):INDIRECT(DatCol&amp;"$"&amp;TEXT(C590+57,"###"))&gt;0,INDIRECT(DatCol&amp;"$"&amp;TEXT(C590,"###")):INDIRECT(DatCol&amp;"$"&amp;TEXT(C590+57,"###"))))</f>
        <v>561.91875000000005</v>
      </c>
      <c r="F590" s="26" t="str">
        <f t="shared" si="552"/>
        <v>I</v>
      </c>
      <c r="G590" s="8"/>
      <c r="K590" s="9">
        <f t="shared" si="598"/>
        <v>0</v>
      </c>
      <c r="M590" s="11">
        <f t="shared" si="578"/>
        <v>0</v>
      </c>
      <c r="O590" s="11">
        <f t="shared" si="579"/>
        <v>0</v>
      </c>
      <c r="Q590" s="11">
        <f t="shared" si="580"/>
        <v>0</v>
      </c>
      <c r="Y590" s="11">
        <f t="shared" si="581"/>
        <v>0</v>
      </c>
      <c r="AG590" s="11">
        <f t="shared" si="582"/>
        <v>0</v>
      </c>
      <c r="AI590" s="11">
        <f t="shared" si="583"/>
        <v>0</v>
      </c>
      <c r="AK590" s="13">
        <f t="shared" si="584"/>
        <v>0</v>
      </c>
      <c r="AM590" s="13">
        <f t="shared" si="585"/>
        <v>0</v>
      </c>
      <c r="AO590" s="11">
        <f t="shared" si="586"/>
        <v>0</v>
      </c>
      <c r="AQ590" s="11">
        <f t="shared" si="587"/>
        <v>0</v>
      </c>
      <c r="AS590" s="11">
        <f t="shared" si="588"/>
        <v>0</v>
      </c>
      <c r="AU590" s="11">
        <f t="shared" si="589"/>
        <v>0</v>
      </c>
      <c r="AW590" s="11">
        <f t="shared" si="590"/>
        <v>0</v>
      </c>
      <c r="AY590" s="11">
        <f t="shared" si="591"/>
        <v>0</v>
      </c>
      <c r="BA590" s="11">
        <f t="shared" si="592"/>
        <v>0</v>
      </c>
      <c r="BC590" s="11">
        <f t="shared" si="593"/>
        <v>0</v>
      </c>
      <c r="BE590" s="11">
        <f t="shared" si="594"/>
        <v>0</v>
      </c>
      <c r="BG590" s="11">
        <f t="shared" si="595"/>
        <v>0</v>
      </c>
      <c r="BN590" s="8">
        <f t="shared" si="596"/>
        <v>0</v>
      </c>
      <c r="BO590" s="8">
        <f t="shared" si="597"/>
        <v>0</v>
      </c>
      <c r="BP590" s="8">
        <f t="shared" si="532"/>
        <v>0</v>
      </c>
      <c r="BQ590" s="12">
        <f t="shared" si="533"/>
        <v>0</v>
      </c>
    </row>
    <row r="591" spans="1:69">
      <c r="A591" s="28">
        <v>1964</v>
      </c>
      <c r="B591" s="27" t="s">
        <v>55</v>
      </c>
      <c r="C591" s="24">
        <f t="shared" si="577"/>
        <v>582</v>
      </c>
      <c r="D591" s="7" t="e">
        <f t="shared" ca="1" si="575"/>
        <v>#N/A</v>
      </c>
      <c r="E591" s="26">
        <f t="array" aca="1" ref="E591" ca="1">AVERAGE(IF(INDIRECT(DatCol&amp;"$"&amp;TEXT(C591,"###")):INDIRECT(DatCol&amp;"$"&amp;TEXT(C591+57,"###"))&gt;0,INDIRECT(DatCol&amp;"$"&amp;TEXT(C591,"###")):INDIRECT(DatCol&amp;"$"&amp;TEXT(C591+57,"###"))))</f>
        <v>561.91875000000005</v>
      </c>
      <c r="F591" s="26" t="str">
        <f t="shared" si="552"/>
        <v>I</v>
      </c>
      <c r="G591" s="8"/>
      <c r="I591" s="8">
        <v>77</v>
      </c>
      <c r="J591" s="8">
        <v>399</v>
      </c>
      <c r="K591" s="9">
        <f t="shared" si="598"/>
        <v>399</v>
      </c>
      <c r="L591" s="12">
        <v>1639</v>
      </c>
      <c r="M591" s="11">
        <f t="shared" si="578"/>
        <v>81950</v>
      </c>
      <c r="O591" s="11">
        <f t="shared" si="579"/>
        <v>0</v>
      </c>
      <c r="P591" s="12">
        <v>599</v>
      </c>
      <c r="Q591" s="11">
        <f t="shared" si="580"/>
        <v>35940</v>
      </c>
      <c r="Y591" s="11">
        <f t="shared" si="581"/>
        <v>0</v>
      </c>
      <c r="AF591" s="12">
        <v>19</v>
      </c>
      <c r="AG591" s="11">
        <f t="shared" si="582"/>
        <v>1235</v>
      </c>
      <c r="AI591" s="11">
        <f t="shared" si="583"/>
        <v>0</v>
      </c>
      <c r="AJ591" s="12">
        <v>4074</v>
      </c>
      <c r="AK591" s="13">
        <f t="shared" si="584"/>
        <v>36666</v>
      </c>
      <c r="AM591" s="13">
        <f t="shared" si="585"/>
        <v>0</v>
      </c>
      <c r="AO591" s="11">
        <f t="shared" si="586"/>
        <v>0</v>
      </c>
      <c r="AQ591" s="11">
        <f t="shared" si="587"/>
        <v>0</v>
      </c>
      <c r="AS591" s="11">
        <f t="shared" si="588"/>
        <v>0</v>
      </c>
      <c r="AU591" s="11">
        <f t="shared" si="589"/>
        <v>0</v>
      </c>
      <c r="AW591" s="11">
        <f t="shared" si="590"/>
        <v>0</v>
      </c>
      <c r="AY591" s="11">
        <f t="shared" si="591"/>
        <v>0</v>
      </c>
      <c r="BA591" s="11">
        <f t="shared" si="592"/>
        <v>0</v>
      </c>
      <c r="BC591" s="11">
        <f t="shared" si="593"/>
        <v>0</v>
      </c>
      <c r="BE591" s="11">
        <f t="shared" si="594"/>
        <v>0</v>
      </c>
      <c r="BG591" s="11">
        <f t="shared" si="595"/>
        <v>0</v>
      </c>
      <c r="BN591" s="8">
        <f t="shared" si="596"/>
        <v>6331</v>
      </c>
      <c r="BO591" s="8">
        <f t="shared" si="597"/>
        <v>155791</v>
      </c>
      <c r="BP591" s="8">
        <f t="shared" si="532"/>
        <v>0</v>
      </c>
      <c r="BQ591" s="12">
        <f t="shared" si="533"/>
        <v>0</v>
      </c>
    </row>
    <row r="592" spans="1:69">
      <c r="A592" s="28">
        <v>1965</v>
      </c>
      <c r="B592" s="27" t="s">
        <v>55</v>
      </c>
      <c r="C592" s="24">
        <f t="shared" si="577"/>
        <v>582</v>
      </c>
      <c r="D592" s="7" t="e">
        <f t="shared" ca="1" si="575"/>
        <v>#N/A</v>
      </c>
      <c r="E592" s="26">
        <f t="array" aca="1" ref="E592" ca="1">AVERAGE(IF(INDIRECT(DatCol&amp;"$"&amp;TEXT(C592,"###")):INDIRECT(DatCol&amp;"$"&amp;TEXT(C592+57,"###"))&gt;0,INDIRECT(DatCol&amp;"$"&amp;TEXT(C592,"###")):INDIRECT(DatCol&amp;"$"&amp;TEXT(C592+57,"###"))))</f>
        <v>561.91875000000005</v>
      </c>
      <c r="F592" s="26" t="str">
        <f t="shared" si="552"/>
        <v>I</v>
      </c>
      <c r="G592" s="8"/>
      <c r="K592" s="9">
        <f t="shared" si="598"/>
        <v>0</v>
      </c>
      <c r="M592" s="11">
        <f t="shared" si="578"/>
        <v>0</v>
      </c>
      <c r="O592" s="11">
        <f t="shared" si="579"/>
        <v>0</v>
      </c>
      <c r="Q592" s="11">
        <f t="shared" si="580"/>
        <v>0</v>
      </c>
      <c r="Y592" s="11">
        <f t="shared" si="581"/>
        <v>0</v>
      </c>
      <c r="AG592" s="11">
        <f t="shared" si="582"/>
        <v>0</v>
      </c>
      <c r="AI592" s="11">
        <f t="shared" si="583"/>
        <v>0</v>
      </c>
      <c r="AK592" s="13">
        <f t="shared" si="584"/>
        <v>0</v>
      </c>
      <c r="AM592" s="13">
        <f t="shared" si="585"/>
        <v>0</v>
      </c>
      <c r="AO592" s="11">
        <f t="shared" si="586"/>
        <v>0</v>
      </c>
      <c r="AQ592" s="11">
        <f t="shared" si="587"/>
        <v>0</v>
      </c>
      <c r="AS592" s="11">
        <f t="shared" si="588"/>
        <v>0</v>
      </c>
      <c r="AU592" s="11">
        <f t="shared" si="589"/>
        <v>0</v>
      </c>
      <c r="AW592" s="11">
        <f t="shared" si="590"/>
        <v>0</v>
      </c>
      <c r="AY592" s="11">
        <f t="shared" si="591"/>
        <v>0</v>
      </c>
      <c r="BA592" s="11">
        <f t="shared" si="592"/>
        <v>0</v>
      </c>
      <c r="BC592" s="11">
        <f t="shared" si="593"/>
        <v>0</v>
      </c>
      <c r="BE592" s="11">
        <f t="shared" si="594"/>
        <v>0</v>
      </c>
      <c r="BG592" s="11">
        <f t="shared" si="595"/>
        <v>0</v>
      </c>
      <c r="BN592" s="8">
        <f t="shared" si="596"/>
        <v>0</v>
      </c>
      <c r="BO592" s="8">
        <f t="shared" si="597"/>
        <v>0</v>
      </c>
      <c r="BP592" s="8">
        <f t="shared" si="532"/>
        <v>0</v>
      </c>
      <c r="BQ592" s="12">
        <f t="shared" si="533"/>
        <v>0</v>
      </c>
    </row>
    <row r="593" spans="1:69">
      <c r="A593" s="28">
        <v>1966</v>
      </c>
      <c r="B593" s="27" t="s">
        <v>55</v>
      </c>
      <c r="C593" s="24">
        <f t="shared" si="577"/>
        <v>582</v>
      </c>
      <c r="D593" s="7" t="e">
        <f t="shared" ca="1" si="575"/>
        <v>#N/A</v>
      </c>
      <c r="E593" s="26">
        <f t="array" aca="1" ref="E593" ca="1">AVERAGE(IF(INDIRECT(DatCol&amp;"$"&amp;TEXT(C593,"###")):INDIRECT(DatCol&amp;"$"&amp;TEXT(C593+57,"###"))&gt;0,INDIRECT(DatCol&amp;"$"&amp;TEXT(C593,"###")):INDIRECT(DatCol&amp;"$"&amp;TEXT(C593+57,"###"))))</f>
        <v>561.91875000000005</v>
      </c>
      <c r="F593" s="26" t="str">
        <f t="shared" si="552"/>
        <v>I</v>
      </c>
      <c r="G593" s="8"/>
      <c r="K593" s="9">
        <f t="shared" si="598"/>
        <v>0</v>
      </c>
      <c r="M593" s="11">
        <f t="shared" si="578"/>
        <v>0</v>
      </c>
      <c r="O593" s="11">
        <f t="shared" si="579"/>
        <v>0</v>
      </c>
      <c r="Q593" s="11">
        <f t="shared" si="580"/>
        <v>0</v>
      </c>
      <c r="Y593" s="11">
        <f t="shared" si="581"/>
        <v>0</v>
      </c>
      <c r="AG593" s="11">
        <f t="shared" si="582"/>
        <v>0</v>
      </c>
      <c r="AI593" s="11">
        <f t="shared" si="583"/>
        <v>0</v>
      </c>
      <c r="AK593" s="13">
        <f t="shared" si="584"/>
        <v>0</v>
      </c>
      <c r="AM593" s="13">
        <f t="shared" si="585"/>
        <v>0</v>
      </c>
      <c r="AO593" s="11">
        <f t="shared" si="586"/>
        <v>0</v>
      </c>
      <c r="AQ593" s="11">
        <f t="shared" si="587"/>
        <v>0</v>
      </c>
      <c r="AS593" s="11">
        <f t="shared" si="588"/>
        <v>0</v>
      </c>
      <c r="AU593" s="11">
        <f t="shared" si="589"/>
        <v>0</v>
      </c>
      <c r="AW593" s="11">
        <f t="shared" si="590"/>
        <v>0</v>
      </c>
      <c r="AY593" s="11">
        <f t="shared" si="591"/>
        <v>0</v>
      </c>
      <c r="BA593" s="11">
        <f t="shared" si="592"/>
        <v>0</v>
      </c>
      <c r="BC593" s="11">
        <f t="shared" si="593"/>
        <v>0</v>
      </c>
      <c r="BE593" s="11">
        <f t="shared" si="594"/>
        <v>0</v>
      </c>
      <c r="BG593" s="11">
        <f t="shared" si="595"/>
        <v>0</v>
      </c>
      <c r="BN593" s="8">
        <f t="shared" si="596"/>
        <v>0</v>
      </c>
      <c r="BO593" s="8">
        <f t="shared" si="597"/>
        <v>0</v>
      </c>
      <c r="BP593" s="8">
        <f t="shared" si="532"/>
        <v>0</v>
      </c>
      <c r="BQ593" s="12">
        <f t="shared" si="533"/>
        <v>0</v>
      </c>
    </row>
    <row r="594" spans="1:69">
      <c r="A594" s="28">
        <v>1967</v>
      </c>
      <c r="B594" s="27" t="s">
        <v>55</v>
      </c>
      <c r="C594" s="24">
        <f t="shared" si="577"/>
        <v>582</v>
      </c>
      <c r="D594" s="7" t="e">
        <f t="shared" ca="1" si="575"/>
        <v>#N/A</v>
      </c>
      <c r="E594" s="26">
        <f t="array" aca="1" ref="E594" ca="1">AVERAGE(IF(INDIRECT(DatCol&amp;"$"&amp;TEXT(C594,"###")):INDIRECT(DatCol&amp;"$"&amp;TEXT(C594+57,"###"))&gt;0,INDIRECT(DatCol&amp;"$"&amp;TEXT(C594,"###")):INDIRECT(DatCol&amp;"$"&amp;TEXT(C594+57,"###"))))</f>
        <v>561.91875000000005</v>
      </c>
      <c r="F594" s="26" t="str">
        <f t="shared" si="552"/>
        <v>I</v>
      </c>
      <c r="G594" s="8"/>
      <c r="H594" s="8">
        <v>303</v>
      </c>
      <c r="I594" s="8">
        <v>115</v>
      </c>
      <c r="J594" s="8">
        <v>125</v>
      </c>
      <c r="K594" s="9">
        <f t="shared" si="598"/>
        <v>428</v>
      </c>
      <c r="L594" s="12">
        <v>877</v>
      </c>
      <c r="M594" s="11">
        <f t="shared" si="578"/>
        <v>43850</v>
      </c>
      <c r="N594" s="12">
        <v>311</v>
      </c>
      <c r="O594" s="11">
        <f t="shared" si="579"/>
        <v>15550</v>
      </c>
      <c r="P594" s="12">
        <v>415</v>
      </c>
      <c r="Q594" s="11">
        <f t="shared" si="580"/>
        <v>24900</v>
      </c>
      <c r="X594" s="12">
        <v>178</v>
      </c>
      <c r="Y594" s="11">
        <f t="shared" si="581"/>
        <v>10680</v>
      </c>
      <c r="AG594" s="11">
        <f t="shared" si="582"/>
        <v>0</v>
      </c>
      <c r="AH594" s="12">
        <v>11</v>
      </c>
      <c r="AI594" s="11">
        <f t="shared" si="583"/>
        <v>715</v>
      </c>
      <c r="AJ594" s="12">
        <v>6785</v>
      </c>
      <c r="AK594" s="13">
        <f t="shared" si="584"/>
        <v>61065</v>
      </c>
      <c r="AL594" s="12">
        <v>129</v>
      </c>
      <c r="AM594" s="13">
        <f t="shared" si="585"/>
        <v>1161</v>
      </c>
      <c r="AO594" s="11">
        <f t="shared" si="586"/>
        <v>0</v>
      </c>
      <c r="AQ594" s="11">
        <f t="shared" si="587"/>
        <v>0</v>
      </c>
      <c r="AS594" s="11">
        <f t="shared" si="588"/>
        <v>0</v>
      </c>
      <c r="AU594" s="11">
        <f t="shared" si="589"/>
        <v>0</v>
      </c>
      <c r="AW594" s="11">
        <f t="shared" si="590"/>
        <v>0</v>
      </c>
      <c r="AY594" s="11">
        <f t="shared" si="591"/>
        <v>0</v>
      </c>
      <c r="BA594" s="11">
        <f t="shared" si="592"/>
        <v>0</v>
      </c>
      <c r="BC594" s="11">
        <f t="shared" si="593"/>
        <v>0</v>
      </c>
      <c r="BE594" s="11">
        <f t="shared" si="594"/>
        <v>0</v>
      </c>
      <c r="BG594" s="11">
        <f t="shared" si="595"/>
        <v>0</v>
      </c>
      <c r="BN594" s="8">
        <f t="shared" si="596"/>
        <v>8255</v>
      </c>
      <c r="BO594" s="8">
        <f t="shared" si="597"/>
        <v>140495</v>
      </c>
      <c r="BP594" s="8">
        <f t="shared" si="532"/>
        <v>629</v>
      </c>
      <c r="BQ594" s="12">
        <f t="shared" si="533"/>
        <v>28106</v>
      </c>
    </row>
    <row r="595" spans="1:69">
      <c r="A595" s="28">
        <v>1968</v>
      </c>
      <c r="B595" s="27" t="s">
        <v>55</v>
      </c>
      <c r="C595" s="24">
        <f t="shared" si="577"/>
        <v>582</v>
      </c>
      <c r="D595" s="7" t="e">
        <f t="shared" ca="1" si="575"/>
        <v>#N/A</v>
      </c>
      <c r="E595" s="26">
        <f t="array" aca="1" ref="E595" ca="1">AVERAGE(IF(INDIRECT(DatCol&amp;"$"&amp;TEXT(C595,"###")):INDIRECT(DatCol&amp;"$"&amp;TEXT(C595+57,"###"))&gt;0,INDIRECT(DatCol&amp;"$"&amp;TEXT(C595,"###")):INDIRECT(DatCol&amp;"$"&amp;TEXT(C595+57,"###"))))</f>
        <v>561.91875000000005</v>
      </c>
      <c r="F595" s="26" t="str">
        <f t="shared" si="552"/>
        <v>I</v>
      </c>
      <c r="G595" s="8"/>
      <c r="H595" s="8">
        <v>233</v>
      </c>
      <c r="I595" s="8">
        <v>143</v>
      </c>
      <c r="J595" s="8">
        <v>348</v>
      </c>
      <c r="K595" s="9">
        <f t="shared" si="598"/>
        <v>581</v>
      </c>
      <c r="L595" s="12">
        <v>959</v>
      </c>
      <c r="M595" s="11">
        <f t="shared" si="578"/>
        <v>47950</v>
      </c>
      <c r="N595" s="12">
        <v>824</v>
      </c>
      <c r="O595" s="11">
        <f t="shared" si="579"/>
        <v>41200</v>
      </c>
      <c r="P595" s="12">
        <v>351</v>
      </c>
      <c r="Q595" s="11">
        <f t="shared" si="580"/>
        <v>21060</v>
      </c>
      <c r="X595" s="12">
        <v>83</v>
      </c>
      <c r="Y595" s="11">
        <f t="shared" si="581"/>
        <v>4980</v>
      </c>
      <c r="AG595" s="11">
        <f t="shared" si="582"/>
        <v>0</v>
      </c>
      <c r="AH595" s="12">
        <v>54</v>
      </c>
      <c r="AI595" s="11">
        <f t="shared" si="583"/>
        <v>3510</v>
      </c>
      <c r="AJ595" s="12">
        <v>7582</v>
      </c>
      <c r="AK595" s="13">
        <f t="shared" si="584"/>
        <v>68238</v>
      </c>
      <c r="AL595" s="12">
        <v>478</v>
      </c>
      <c r="AM595" s="13">
        <f t="shared" si="585"/>
        <v>4302</v>
      </c>
      <c r="AO595" s="11">
        <f t="shared" si="586"/>
        <v>0</v>
      </c>
      <c r="AQ595" s="11">
        <f t="shared" si="587"/>
        <v>0</v>
      </c>
      <c r="AS595" s="11">
        <f t="shared" si="588"/>
        <v>0</v>
      </c>
      <c r="AU595" s="11">
        <f t="shared" si="589"/>
        <v>0</v>
      </c>
      <c r="AW595" s="11">
        <f t="shared" si="590"/>
        <v>0</v>
      </c>
      <c r="AY595" s="11">
        <f t="shared" si="591"/>
        <v>0</v>
      </c>
      <c r="BA595" s="11">
        <f t="shared" si="592"/>
        <v>0</v>
      </c>
      <c r="BC595" s="11">
        <f t="shared" si="593"/>
        <v>0</v>
      </c>
      <c r="BE595" s="11">
        <f t="shared" si="594"/>
        <v>0</v>
      </c>
      <c r="BG595" s="11">
        <f t="shared" si="595"/>
        <v>0</v>
      </c>
      <c r="BN595" s="8">
        <f t="shared" si="596"/>
        <v>8975</v>
      </c>
      <c r="BO595" s="8">
        <f t="shared" si="597"/>
        <v>142228</v>
      </c>
      <c r="BP595" s="8">
        <f t="shared" si="532"/>
        <v>1439</v>
      </c>
      <c r="BQ595" s="12">
        <f t="shared" si="533"/>
        <v>53992</v>
      </c>
    </row>
    <row r="596" spans="1:69">
      <c r="A596" s="28">
        <v>1969</v>
      </c>
      <c r="B596" s="27" t="s">
        <v>55</v>
      </c>
      <c r="C596" s="24">
        <f t="shared" si="577"/>
        <v>582</v>
      </c>
      <c r="D596" s="7" t="e">
        <f t="shared" ca="1" si="575"/>
        <v>#N/A</v>
      </c>
      <c r="E596" s="26">
        <f t="array" aca="1" ref="E596" ca="1">AVERAGE(IF(INDIRECT(DatCol&amp;"$"&amp;TEXT(C596,"###")):INDIRECT(DatCol&amp;"$"&amp;TEXT(C596+57,"###"))&gt;0,INDIRECT(DatCol&amp;"$"&amp;TEXT(C596,"###")):INDIRECT(DatCol&amp;"$"&amp;TEXT(C596+57,"###"))))</f>
        <v>561.91875000000005</v>
      </c>
      <c r="F596" s="26" t="str">
        <f t="shared" si="552"/>
        <v>I</v>
      </c>
      <c r="G596" s="8"/>
      <c r="H596" s="8">
        <v>62</v>
      </c>
      <c r="I596" s="8">
        <v>182</v>
      </c>
      <c r="J596" s="8">
        <v>341</v>
      </c>
      <c r="K596" s="9">
        <f t="shared" si="598"/>
        <v>403</v>
      </c>
      <c r="L596" s="12">
        <v>572</v>
      </c>
      <c r="M596" s="11">
        <f t="shared" si="578"/>
        <v>28600</v>
      </c>
      <c r="N596" s="12">
        <v>385</v>
      </c>
      <c r="O596" s="11">
        <f t="shared" si="579"/>
        <v>19250</v>
      </c>
      <c r="P596" s="12">
        <v>540</v>
      </c>
      <c r="Q596" s="11">
        <f t="shared" si="580"/>
        <v>32400</v>
      </c>
      <c r="X596" s="12">
        <v>300</v>
      </c>
      <c r="Y596" s="11">
        <f t="shared" si="581"/>
        <v>18000</v>
      </c>
      <c r="AG596" s="11">
        <f t="shared" si="582"/>
        <v>0</v>
      </c>
      <c r="AI596" s="11">
        <f t="shared" si="583"/>
        <v>0</v>
      </c>
      <c r="AJ596" s="12">
        <v>14842</v>
      </c>
      <c r="AK596" s="13">
        <f t="shared" si="584"/>
        <v>133578</v>
      </c>
      <c r="AL596" s="12">
        <v>515</v>
      </c>
      <c r="AM596" s="13">
        <f t="shared" si="585"/>
        <v>4635</v>
      </c>
      <c r="AO596" s="11">
        <f t="shared" si="586"/>
        <v>0</v>
      </c>
      <c r="AQ596" s="11">
        <f t="shared" si="587"/>
        <v>0</v>
      </c>
      <c r="AS596" s="11">
        <f t="shared" si="588"/>
        <v>0</v>
      </c>
      <c r="AU596" s="11">
        <f t="shared" si="589"/>
        <v>0</v>
      </c>
      <c r="AW596" s="11">
        <f t="shared" si="590"/>
        <v>0</v>
      </c>
      <c r="AY596" s="11">
        <f t="shared" si="591"/>
        <v>0</v>
      </c>
      <c r="BA596" s="11">
        <f t="shared" si="592"/>
        <v>0</v>
      </c>
      <c r="BC596" s="11">
        <f t="shared" si="593"/>
        <v>0</v>
      </c>
      <c r="BE596" s="11">
        <f t="shared" si="594"/>
        <v>0</v>
      </c>
      <c r="BG596" s="11">
        <f t="shared" si="595"/>
        <v>0</v>
      </c>
      <c r="BN596" s="8">
        <f t="shared" si="596"/>
        <v>16254</v>
      </c>
      <c r="BO596" s="8">
        <f t="shared" si="597"/>
        <v>212578</v>
      </c>
      <c r="BP596" s="8">
        <f t="shared" si="532"/>
        <v>1200</v>
      </c>
      <c r="BQ596" s="12">
        <f t="shared" si="533"/>
        <v>41885</v>
      </c>
    </row>
    <row r="597" spans="1:69">
      <c r="A597" s="28">
        <v>1970</v>
      </c>
      <c r="B597" s="27" t="s">
        <v>55</v>
      </c>
      <c r="C597" s="24">
        <f t="shared" si="577"/>
        <v>582</v>
      </c>
      <c r="D597" s="7" t="e">
        <f t="shared" ca="1" si="575"/>
        <v>#N/A</v>
      </c>
      <c r="E597" s="26">
        <f t="array" aca="1" ref="E597" ca="1">AVERAGE(IF(INDIRECT(DatCol&amp;"$"&amp;TEXT(C597,"###")):INDIRECT(DatCol&amp;"$"&amp;TEXT(C597+57,"###"))&gt;0,INDIRECT(DatCol&amp;"$"&amp;TEXT(C597,"###")):INDIRECT(DatCol&amp;"$"&amp;TEXT(C597+57,"###"))))</f>
        <v>561.91875000000005</v>
      </c>
      <c r="F597" s="26" t="str">
        <f t="shared" si="552"/>
        <v>I</v>
      </c>
      <c r="G597" s="8"/>
      <c r="H597" s="8">
        <v>88</v>
      </c>
      <c r="I597" s="8">
        <v>200</v>
      </c>
      <c r="J597" s="8">
        <v>390</v>
      </c>
      <c r="K597" s="9">
        <f t="shared" si="598"/>
        <v>478</v>
      </c>
      <c r="L597" s="12">
        <v>1208</v>
      </c>
      <c r="M597" s="11">
        <f t="shared" si="578"/>
        <v>60400</v>
      </c>
      <c r="N597" s="12">
        <v>500</v>
      </c>
      <c r="O597" s="11">
        <f t="shared" si="579"/>
        <v>25000</v>
      </c>
      <c r="P597" s="12">
        <v>505</v>
      </c>
      <c r="Q597" s="11">
        <f t="shared" si="580"/>
        <v>30300</v>
      </c>
      <c r="X597" s="12">
        <v>250</v>
      </c>
      <c r="Y597" s="11">
        <f t="shared" si="581"/>
        <v>15000</v>
      </c>
      <c r="AG597" s="11">
        <f t="shared" si="582"/>
        <v>0</v>
      </c>
      <c r="AH597" s="12">
        <v>165</v>
      </c>
      <c r="AI597" s="11">
        <f t="shared" si="583"/>
        <v>10725</v>
      </c>
      <c r="AJ597" s="12">
        <v>21218</v>
      </c>
      <c r="AK597" s="13">
        <f t="shared" si="584"/>
        <v>190962</v>
      </c>
      <c r="AL597" s="12">
        <v>610</v>
      </c>
      <c r="AM597" s="13">
        <f t="shared" si="585"/>
        <v>5490</v>
      </c>
      <c r="AO597" s="11">
        <f t="shared" si="586"/>
        <v>0</v>
      </c>
      <c r="AQ597" s="11">
        <f t="shared" si="587"/>
        <v>0</v>
      </c>
      <c r="AS597" s="11">
        <f t="shared" si="588"/>
        <v>0</v>
      </c>
      <c r="AU597" s="11">
        <f t="shared" si="589"/>
        <v>0</v>
      </c>
      <c r="AW597" s="11">
        <f t="shared" si="590"/>
        <v>0</v>
      </c>
      <c r="AY597" s="11">
        <f t="shared" si="591"/>
        <v>0</v>
      </c>
      <c r="BA597" s="11">
        <f t="shared" si="592"/>
        <v>0</v>
      </c>
      <c r="BC597" s="11">
        <f t="shared" si="593"/>
        <v>0</v>
      </c>
      <c r="BE597" s="11">
        <f t="shared" si="594"/>
        <v>0</v>
      </c>
      <c r="BG597" s="11">
        <f t="shared" si="595"/>
        <v>0</v>
      </c>
      <c r="BN597" s="8">
        <f t="shared" si="596"/>
        <v>23181</v>
      </c>
      <c r="BO597" s="8">
        <f t="shared" si="597"/>
        <v>296662</v>
      </c>
      <c r="BP597" s="8">
        <f t="shared" si="532"/>
        <v>1525</v>
      </c>
      <c r="BQ597" s="12">
        <f t="shared" si="533"/>
        <v>56215</v>
      </c>
    </row>
    <row r="598" spans="1:69">
      <c r="A598" s="28">
        <v>1971</v>
      </c>
      <c r="B598" s="27" t="s">
        <v>55</v>
      </c>
      <c r="C598" s="24">
        <f t="shared" si="577"/>
        <v>582</v>
      </c>
      <c r="D598" s="7" t="e">
        <f t="shared" ca="1" si="575"/>
        <v>#N/A</v>
      </c>
      <c r="E598" s="26">
        <f t="array" aca="1" ref="E598" ca="1">AVERAGE(IF(INDIRECT(DatCol&amp;"$"&amp;TEXT(C598,"###")):INDIRECT(DatCol&amp;"$"&amp;TEXT(C598+57,"###"))&gt;0,INDIRECT(DatCol&amp;"$"&amp;TEXT(C598,"###")):INDIRECT(DatCol&amp;"$"&amp;TEXT(C598+57,"###"))))</f>
        <v>561.91875000000005</v>
      </c>
      <c r="F598" s="26" t="str">
        <f t="shared" si="552"/>
        <v>I</v>
      </c>
      <c r="G598" s="8"/>
      <c r="H598" s="8">
        <v>94</v>
      </c>
      <c r="I598" s="8">
        <v>176</v>
      </c>
      <c r="J598" s="8">
        <v>511</v>
      </c>
      <c r="K598" s="9">
        <f t="shared" si="598"/>
        <v>605</v>
      </c>
      <c r="L598" s="12">
        <v>1236</v>
      </c>
      <c r="M598" s="11">
        <f t="shared" si="578"/>
        <v>61800</v>
      </c>
      <c r="N598" s="12">
        <v>2486</v>
      </c>
      <c r="O598" s="11">
        <f t="shared" si="579"/>
        <v>124300</v>
      </c>
      <c r="P598" s="12">
        <v>1048</v>
      </c>
      <c r="Q598" s="11">
        <f t="shared" si="580"/>
        <v>62880</v>
      </c>
      <c r="X598" s="12">
        <v>1160</v>
      </c>
      <c r="Y598" s="11">
        <f t="shared" si="581"/>
        <v>69600</v>
      </c>
      <c r="AG598" s="11">
        <f t="shared" si="582"/>
        <v>0</v>
      </c>
      <c r="AH598" s="12">
        <v>100</v>
      </c>
      <c r="AI598" s="11">
        <f t="shared" si="583"/>
        <v>6500</v>
      </c>
      <c r="AJ598" s="12">
        <v>17750</v>
      </c>
      <c r="AK598" s="13">
        <f t="shared" si="584"/>
        <v>159750</v>
      </c>
      <c r="AL598" s="12">
        <v>1054</v>
      </c>
      <c r="AM598" s="13">
        <f t="shared" si="585"/>
        <v>9486</v>
      </c>
      <c r="AO598" s="11">
        <f t="shared" si="586"/>
        <v>0</v>
      </c>
      <c r="AP598" s="12">
        <v>30</v>
      </c>
      <c r="AQ598" s="11">
        <f t="shared" si="587"/>
        <v>2400</v>
      </c>
      <c r="AS598" s="11">
        <f t="shared" si="588"/>
        <v>0</v>
      </c>
      <c r="AU598" s="11">
        <f t="shared" si="589"/>
        <v>0</v>
      </c>
      <c r="AW598" s="11">
        <f t="shared" si="590"/>
        <v>0</v>
      </c>
      <c r="AY598" s="11">
        <f t="shared" si="591"/>
        <v>0</v>
      </c>
      <c r="BA598" s="11">
        <f t="shared" si="592"/>
        <v>0</v>
      </c>
      <c r="BC598" s="11">
        <f t="shared" si="593"/>
        <v>0</v>
      </c>
      <c r="BE598" s="11">
        <f t="shared" si="594"/>
        <v>0</v>
      </c>
      <c r="BG598" s="11">
        <f t="shared" si="595"/>
        <v>0</v>
      </c>
      <c r="BN598" s="8">
        <f t="shared" si="596"/>
        <v>21194</v>
      </c>
      <c r="BO598" s="8">
        <f t="shared" si="597"/>
        <v>354030</v>
      </c>
      <c r="BP598" s="8">
        <f t="shared" ref="BP598:BP662" si="599">(N598+X598+Z598+AB598+AD598+AH598+AL598+AP598+AT598+AX598+BB598+BF598)</f>
        <v>4830</v>
      </c>
      <c r="BQ598" s="12">
        <f t="shared" ref="BQ598:BQ662" si="600">(O598+Y598+AA598+AC598+AE598+AI598+AM598+AQ598+AU598+AY598+BC598+BG598)</f>
        <v>212286</v>
      </c>
    </row>
    <row r="599" spans="1:69">
      <c r="A599" s="28">
        <v>1972</v>
      </c>
      <c r="B599" s="27" t="s">
        <v>55</v>
      </c>
      <c r="C599" s="24">
        <f t="shared" si="577"/>
        <v>582</v>
      </c>
      <c r="D599" s="7" t="e">
        <f t="shared" ca="1" si="575"/>
        <v>#N/A</v>
      </c>
      <c r="E599" s="26">
        <f t="array" aca="1" ref="E599" ca="1">AVERAGE(IF(INDIRECT(DatCol&amp;"$"&amp;TEXT(C599,"###")):INDIRECT(DatCol&amp;"$"&amp;TEXT(C599+57,"###"))&gt;0,INDIRECT(DatCol&amp;"$"&amp;TEXT(C599,"###")):INDIRECT(DatCol&amp;"$"&amp;TEXT(C599+57,"###"))))</f>
        <v>561.91875000000005</v>
      </c>
      <c r="F599" s="26" t="str">
        <f t="shared" si="552"/>
        <v>I</v>
      </c>
      <c r="G599" s="8"/>
      <c r="H599" s="8">
        <v>57</v>
      </c>
      <c r="I599" s="8">
        <v>170</v>
      </c>
      <c r="J599" s="8">
        <v>524</v>
      </c>
      <c r="K599" s="9">
        <f t="shared" si="598"/>
        <v>581</v>
      </c>
      <c r="L599" s="12">
        <v>1086</v>
      </c>
      <c r="M599" s="11">
        <f t="shared" si="578"/>
        <v>54300</v>
      </c>
      <c r="N599" s="12">
        <v>658</v>
      </c>
      <c r="O599" s="11">
        <f t="shared" si="579"/>
        <v>32900</v>
      </c>
      <c r="P599" s="12">
        <v>763</v>
      </c>
      <c r="Q599" s="11">
        <f t="shared" si="580"/>
        <v>45780</v>
      </c>
      <c r="X599" s="12">
        <v>463</v>
      </c>
      <c r="Y599" s="11">
        <f t="shared" si="581"/>
        <v>27780</v>
      </c>
      <c r="AG599" s="11">
        <f t="shared" si="582"/>
        <v>0</v>
      </c>
      <c r="AH599" s="12">
        <v>56</v>
      </c>
      <c r="AI599" s="11">
        <f t="shared" si="583"/>
        <v>3640</v>
      </c>
      <c r="AJ599" s="12">
        <v>17108</v>
      </c>
      <c r="AK599" s="13">
        <f t="shared" si="584"/>
        <v>153972</v>
      </c>
      <c r="AL599" s="12">
        <v>188</v>
      </c>
      <c r="AM599" s="13">
        <f t="shared" si="585"/>
        <v>1692</v>
      </c>
      <c r="AO599" s="11">
        <f t="shared" si="586"/>
        <v>0</v>
      </c>
      <c r="AP599" s="12">
        <v>20</v>
      </c>
      <c r="AQ599" s="11">
        <f t="shared" si="587"/>
        <v>1600</v>
      </c>
      <c r="AS599" s="11">
        <f t="shared" si="588"/>
        <v>0</v>
      </c>
      <c r="AU599" s="11">
        <f t="shared" si="589"/>
        <v>0</v>
      </c>
      <c r="AW599" s="11">
        <f t="shared" si="590"/>
        <v>0</v>
      </c>
      <c r="AY599" s="11">
        <f t="shared" si="591"/>
        <v>0</v>
      </c>
      <c r="BA599" s="11">
        <f t="shared" si="592"/>
        <v>0</v>
      </c>
      <c r="BC599" s="11">
        <f t="shared" si="593"/>
        <v>0</v>
      </c>
      <c r="BE599" s="11">
        <f t="shared" si="594"/>
        <v>0</v>
      </c>
      <c r="BG599" s="11">
        <f t="shared" si="595"/>
        <v>0</v>
      </c>
      <c r="BN599" s="8">
        <f t="shared" si="596"/>
        <v>19420</v>
      </c>
      <c r="BO599" s="8">
        <f t="shared" si="597"/>
        <v>281832</v>
      </c>
      <c r="BP599" s="8">
        <f t="shared" si="599"/>
        <v>1385</v>
      </c>
      <c r="BQ599" s="12">
        <f t="shared" si="600"/>
        <v>67612</v>
      </c>
    </row>
    <row r="600" spans="1:69">
      <c r="A600" s="28">
        <v>1973</v>
      </c>
      <c r="B600" s="27" t="s">
        <v>55</v>
      </c>
      <c r="C600" s="24">
        <f t="shared" si="577"/>
        <v>582</v>
      </c>
      <c r="D600" s="7" t="e">
        <f t="shared" ca="1" si="575"/>
        <v>#N/A</v>
      </c>
      <c r="E600" s="26">
        <f t="array" aca="1" ref="E600" ca="1">AVERAGE(IF(INDIRECT(DatCol&amp;"$"&amp;TEXT(C600,"###")):INDIRECT(DatCol&amp;"$"&amp;TEXT(C600+57,"###"))&gt;0,INDIRECT(DatCol&amp;"$"&amp;TEXT(C600,"###")):INDIRECT(DatCol&amp;"$"&amp;TEXT(C600+57,"###"))))</f>
        <v>561.91875000000005</v>
      </c>
      <c r="F600" s="26" t="str">
        <f t="shared" si="552"/>
        <v>I</v>
      </c>
      <c r="G600" s="8"/>
      <c r="H600" s="8">
        <v>0</v>
      </c>
      <c r="K600" s="9">
        <f t="shared" si="598"/>
        <v>0</v>
      </c>
      <c r="M600" s="11">
        <f t="shared" si="578"/>
        <v>0</v>
      </c>
      <c r="O600" s="11">
        <f t="shared" si="579"/>
        <v>0</v>
      </c>
      <c r="Q600" s="11">
        <f t="shared" si="580"/>
        <v>0</v>
      </c>
      <c r="Y600" s="11">
        <f t="shared" si="581"/>
        <v>0</v>
      </c>
      <c r="AG600" s="11">
        <f t="shared" si="582"/>
        <v>0</v>
      </c>
      <c r="AI600" s="11">
        <f t="shared" si="583"/>
        <v>0</v>
      </c>
      <c r="AK600" s="13">
        <f t="shared" si="584"/>
        <v>0</v>
      </c>
      <c r="AM600" s="13">
        <f t="shared" si="585"/>
        <v>0</v>
      </c>
      <c r="AO600" s="11">
        <f t="shared" si="586"/>
        <v>0</v>
      </c>
      <c r="AQ600" s="11">
        <f t="shared" si="587"/>
        <v>0</v>
      </c>
      <c r="AS600" s="11">
        <f t="shared" si="588"/>
        <v>0</v>
      </c>
      <c r="AU600" s="11">
        <f t="shared" si="589"/>
        <v>0</v>
      </c>
      <c r="AW600" s="11">
        <f t="shared" si="590"/>
        <v>0</v>
      </c>
      <c r="AY600" s="11">
        <f t="shared" si="591"/>
        <v>0</v>
      </c>
      <c r="BA600" s="11">
        <f t="shared" si="592"/>
        <v>0</v>
      </c>
      <c r="BC600" s="11">
        <f t="shared" si="593"/>
        <v>0</v>
      </c>
      <c r="BE600" s="11">
        <f t="shared" si="594"/>
        <v>0</v>
      </c>
      <c r="BG600" s="11">
        <f t="shared" si="595"/>
        <v>0</v>
      </c>
      <c r="BN600" s="8">
        <f t="shared" si="596"/>
        <v>0</v>
      </c>
      <c r="BO600" s="8">
        <f t="shared" si="597"/>
        <v>0</v>
      </c>
      <c r="BP600" s="8">
        <f t="shared" si="599"/>
        <v>0</v>
      </c>
      <c r="BQ600" s="12">
        <f t="shared" si="600"/>
        <v>0</v>
      </c>
    </row>
    <row r="601" spans="1:69">
      <c r="A601" s="28">
        <v>1974</v>
      </c>
      <c r="B601" s="27" t="s">
        <v>55</v>
      </c>
      <c r="C601" s="24">
        <f t="shared" si="577"/>
        <v>582</v>
      </c>
      <c r="D601" s="7" t="e">
        <f t="shared" ca="1" si="575"/>
        <v>#N/A</v>
      </c>
      <c r="E601" s="26">
        <f t="array" aca="1" ref="E601" ca="1">AVERAGE(IF(INDIRECT(DatCol&amp;"$"&amp;TEXT(C601,"###")):INDIRECT(DatCol&amp;"$"&amp;TEXT(C601+57,"###"))&gt;0,INDIRECT(DatCol&amp;"$"&amp;TEXT(C601,"###")):INDIRECT(DatCol&amp;"$"&amp;TEXT(C601+57,"###"))))</f>
        <v>561.91875000000005</v>
      </c>
      <c r="F601" s="26" t="str">
        <f t="shared" si="552"/>
        <v>I</v>
      </c>
      <c r="G601" s="8"/>
      <c r="H601" s="8">
        <v>38</v>
      </c>
      <c r="I601" s="8">
        <v>192</v>
      </c>
      <c r="J601" s="8">
        <v>700</v>
      </c>
      <c r="K601" s="9">
        <f t="shared" si="598"/>
        <v>738</v>
      </c>
      <c r="L601" s="12">
        <v>1650</v>
      </c>
      <c r="M601" s="11">
        <f t="shared" ref="M601:M616" si="601">(L601*50)</f>
        <v>82500</v>
      </c>
      <c r="O601" s="11">
        <f t="shared" ref="O601:O616" si="602">(N601*50)</f>
        <v>0</v>
      </c>
      <c r="P601" s="12">
        <v>490</v>
      </c>
      <c r="Q601" s="11">
        <f t="shared" ref="Q601:Q616" si="603">((P601*330)/5.5)</f>
        <v>29400</v>
      </c>
      <c r="Y601" s="11">
        <f t="shared" ref="Y601:Y616" si="604">((X601*330)/5.5)</f>
        <v>0</v>
      </c>
      <c r="AG601" s="11">
        <f t="shared" ref="AG601:AG616" si="605">(AF601*65)</f>
        <v>0</v>
      </c>
      <c r="AI601" s="11">
        <f t="shared" ref="AI601:AI616" si="606">(AH601*65)</f>
        <v>0</v>
      </c>
      <c r="AJ601" s="12">
        <v>14309</v>
      </c>
      <c r="AK601" s="13">
        <f t="shared" ref="AK601:AK616" si="607">(AJ601*9)</f>
        <v>128781</v>
      </c>
      <c r="AM601" s="13">
        <f t="shared" ref="AM601:AM616" si="608">(AL601*9)</f>
        <v>0</v>
      </c>
      <c r="AO601" s="11">
        <f t="shared" ref="AO601:AO616" si="609">(AN601*80)</f>
        <v>0</v>
      </c>
      <c r="AQ601" s="11">
        <f t="shared" ref="AQ601:AQ616" si="610">(AP601*80)</f>
        <v>0</v>
      </c>
      <c r="AS601" s="11">
        <f t="shared" ref="AS601:AS616" si="611">(AR601*50)</f>
        <v>0</v>
      </c>
      <c r="AU601" s="11">
        <f t="shared" ref="AU601:AU616" si="612">(AT601*50)</f>
        <v>0</v>
      </c>
      <c r="AW601" s="11">
        <f t="shared" ref="AW601:AW616" si="613">(AV601*60)</f>
        <v>0</v>
      </c>
      <c r="AY601" s="11">
        <f t="shared" ref="AY601:AY616" si="614">(AX601*60)</f>
        <v>0</v>
      </c>
      <c r="BA601" s="11">
        <f t="shared" ref="BA601:BA616" si="615">(AZ601*40)</f>
        <v>0</v>
      </c>
      <c r="BC601" s="11">
        <f t="shared" ref="BC601:BC616" si="616">(BB601*40)</f>
        <v>0</v>
      </c>
      <c r="BE601" s="11">
        <f t="shared" ref="BE601:BE616" si="617">(BD601*95)</f>
        <v>0</v>
      </c>
      <c r="BG601" s="11">
        <f t="shared" ref="BG601:BG616" si="618">(BF601*95)</f>
        <v>0</v>
      </c>
      <c r="BN601" s="8">
        <f t="shared" si="596"/>
        <v>16449</v>
      </c>
      <c r="BO601" s="8">
        <f t="shared" si="597"/>
        <v>240681</v>
      </c>
      <c r="BP601" s="8">
        <f t="shared" si="599"/>
        <v>0</v>
      </c>
      <c r="BQ601" s="12">
        <f t="shared" si="600"/>
        <v>0</v>
      </c>
    </row>
    <row r="602" spans="1:69">
      <c r="A602" s="28">
        <v>1975</v>
      </c>
      <c r="B602" s="27" t="s">
        <v>55</v>
      </c>
      <c r="C602" s="24">
        <f t="shared" si="577"/>
        <v>582</v>
      </c>
      <c r="D602" s="7" t="e">
        <f t="shared" ca="1" si="575"/>
        <v>#N/A</v>
      </c>
      <c r="E602" s="26">
        <f t="array" aca="1" ref="E602" ca="1">AVERAGE(IF(INDIRECT(DatCol&amp;"$"&amp;TEXT(C602,"###")):INDIRECT(DatCol&amp;"$"&amp;TEXT(C602+57,"###"))&gt;0,INDIRECT(DatCol&amp;"$"&amp;TEXT(C602,"###")):INDIRECT(DatCol&amp;"$"&amp;TEXT(C602+57,"###"))))</f>
        <v>561.91875000000005</v>
      </c>
      <c r="F602" s="26" t="str">
        <f t="shared" si="552"/>
        <v>I</v>
      </c>
      <c r="G602" s="8"/>
      <c r="H602" s="8">
        <v>40</v>
      </c>
      <c r="I602" s="8">
        <v>130</v>
      </c>
      <c r="J602" s="8">
        <v>776</v>
      </c>
      <c r="K602" s="9">
        <f t="shared" si="598"/>
        <v>816</v>
      </c>
      <c r="L602" s="12">
        <v>1640</v>
      </c>
      <c r="M602" s="11">
        <f t="shared" si="601"/>
        <v>82000</v>
      </c>
      <c r="O602" s="11">
        <f t="shared" si="602"/>
        <v>0</v>
      </c>
      <c r="P602" s="12">
        <v>500</v>
      </c>
      <c r="Q602" s="11">
        <f t="shared" si="603"/>
        <v>30000</v>
      </c>
      <c r="Y602" s="11">
        <f t="shared" si="604"/>
        <v>0</v>
      </c>
      <c r="AG602" s="11">
        <f t="shared" si="605"/>
        <v>0</v>
      </c>
      <c r="AI602" s="11">
        <f t="shared" si="606"/>
        <v>0</v>
      </c>
      <c r="AJ602" s="12">
        <v>12080</v>
      </c>
      <c r="AK602" s="13">
        <f t="shared" si="607"/>
        <v>108720</v>
      </c>
      <c r="AM602" s="13">
        <f t="shared" si="608"/>
        <v>0</v>
      </c>
      <c r="AN602" s="12">
        <v>100</v>
      </c>
      <c r="AO602" s="11">
        <f t="shared" si="609"/>
        <v>8000</v>
      </c>
      <c r="AQ602" s="11">
        <f t="shared" si="610"/>
        <v>0</v>
      </c>
      <c r="AS602" s="11">
        <f t="shared" si="611"/>
        <v>0</v>
      </c>
      <c r="AU602" s="11">
        <f t="shared" si="612"/>
        <v>0</v>
      </c>
      <c r="AW602" s="11">
        <f t="shared" si="613"/>
        <v>0</v>
      </c>
      <c r="AY602" s="11">
        <f t="shared" si="614"/>
        <v>0</v>
      </c>
      <c r="BA602" s="11">
        <f t="shared" si="615"/>
        <v>0</v>
      </c>
      <c r="BC602" s="11">
        <f t="shared" si="616"/>
        <v>0</v>
      </c>
      <c r="BE602" s="11">
        <f t="shared" si="617"/>
        <v>0</v>
      </c>
      <c r="BG602" s="11">
        <f t="shared" si="618"/>
        <v>0</v>
      </c>
      <c r="BN602" s="8">
        <f t="shared" si="596"/>
        <v>14320</v>
      </c>
      <c r="BO602" s="8">
        <f t="shared" si="597"/>
        <v>228720</v>
      </c>
      <c r="BP602" s="8">
        <f t="shared" si="599"/>
        <v>0</v>
      </c>
      <c r="BQ602" s="12">
        <f t="shared" si="600"/>
        <v>0</v>
      </c>
    </row>
    <row r="603" spans="1:69">
      <c r="A603" s="28">
        <v>1976</v>
      </c>
      <c r="B603" s="27" t="s">
        <v>55</v>
      </c>
      <c r="C603" s="24">
        <f t="shared" si="577"/>
        <v>582</v>
      </c>
      <c r="D603" s="7" t="e">
        <f t="shared" ca="1" si="575"/>
        <v>#N/A</v>
      </c>
      <c r="E603" s="26">
        <f t="array" aca="1" ref="E603" ca="1">AVERAGE(IF(INDIRECT(DatCol&amp;"$"&amp;TEXT(C603,"###")):INDIRECT(DatCol&amp;"$"&amp;TEXT(C603+57,"###"))&gt;0,INDIRECT(DatCol&amp;"$"&amp;TEXT(C603,"###")):INDIRECT(DatCol&amp;"$"&amp;TEXT(C603+57,"###"))))</f>
        <v>561.91875000000005</v>
      </c>
      <c r="F603" s="26" t="str">
        <f t="shared" si="552"/>
        <v>I</v>
      </c>
      <c r="G603" s="8"/>
      <c r="H603" s="8">
        <v>45</v>
      </c>
      <c r="I603" s="8">
        <v>163</v>
      </c>
      <c r="J603" s="8">
        <v>630</v>
      </c>
      <c r="K603" s="9">
        <f t="shared" si="598"/>
        <v>675</v>
      </c>
      <c r="L603" s="12">
        <v>1683</v>
      </c>
      <c r="M603" s="11">
        <f t="shared" si="601"/>
        <v>84150</v>
      </c>
      <c r="O603" s="11">
        <f t="shared" si="602"/>
        <v>0</v>
      </c>
      <c r="P603" s="12">
        <v>4660</v>
      </c>
      <c r="Q603" s="11">
        <f t="shared" si="603"/>
        <v>279600</v>
      </c>
      <c r="Y603" s="11">
        <f t="shared" si="604"/>
        <v>0</v>
      </c>
      <c r="AG603" s="11">
        <f t="shared" si="605"/>
        <v>0</v>
      </c>
      <c r="AI603" s="11">
        <f t="shared" si="606"/>
        <v>0</v>
      </c>
      <c r="AJ603" s="12">
        <v>4404</v>
      </c>
      <c r="AK603" s="13">
        <f t="shared" si="607"/>
        <v>39636</v>
      </c>
      <c r="AM603" s="13">
        <f t="shared" si="608"/>
        <v>0</v>
      </c>
      <c r="AO603" s="11">
        <f t="shared" si="609"/>
        <v>0</v>
      </c>
      <c r="AQ603" s="11">
        <f t="shared" si="610"/>
        <v>0</v>
      </c>
      <c r="AS603" s="11">
        <f t="shared" si="611"/>
        <v>0</v>
      </c>
      <c r="AU603" s="11">
        <f t="shared" si="612"/>
        <v>0</v>
      </c>
      <c r="AW603" s="11">
        <f t="shared" si="613"/>
        <v>0</v>
      </c>
      <c r="AY603" s="11">
        <f t="shared" si="614"/>
        <v>0</v>
      </c>
      <c r="BA603" s="11">
        <f t="shared" si="615"/>
        <v>0</v>
      </c>
      <c r="BC603" s="11">
        <f t="shared" si="616"/>
        <v>0</v>
      </c>
      <c r="BE603" s="11">
        <f t="shared" si="617"/>
        <v>0</v>
      </c>
      <c r="BG603" s="11">
        <f t="shared" si="618"/>
        <v>0</v>
      </c>
      <c r="BN603" s="8">
        <f t="shared" si="596"/>
        <v>10747</v>
      </c>
      <c r="BO603" s="8">
        <f t="shared" si="597"/>
        <v>403386</v>
      </c>
      <c r="BP603" s="8">
        <f t="shared" si="599"/>
        <v>0</v>
      </c>
      <c r="BQ603" s="12">
        <f t="shared" si="600"/>
        <v>0</v>
      </c>
    </row>
    <row r="604" spans="1:69">
      <c r="A604" s="28">
        <v>1977</v>
      </c>
      <c r="B604" s="27" t="s">
        <v>55</v>
      </c>
      <c r="C604" s="24">
        <f t="shared" si="577"/>
        <v>582</v>
      </c>
      <c r="D604" s="7" t="e">
        <f t="shared" ca="1" si="575"/>
        <v>#N/A</v>
      </c>
      <c r="E604" s="26">
        <f t="array" aca="1" ref="E604" ca="1">AVERAGE(IF(INDIRECT(DatCol&amp;"$"&amp;TEXT(C604,"###")):INDIRECT(DatCol&amp;"$"&amp;TEXT(C604+57,"###"))&gt;0,INDIRECT(DatCol&amp;"$"&amp;TEXT(C604,"###")):INDIRECT(DatCol&amp;"$"&amp;TEXT(C604+57,"###"))))</f>
        <v>561.91875000000005</v>
      </c>
      <c r="F604" s="26" t="str">
        <f t="shared" si="552"/>
        <v>I</v>
      </c>
      <c r="G604" s="8"/>
      <c r="H604" s="8">
        <v>89</v>
      </c>
      <c r="I604" s="8">
        <v>264</v>
      </c>
      <c r="J604" s="8">
        <v>670</v>
      </c>
      <c r="K604" s="9">
        <f t="shared" si="598"/>
        <v>759</v>
      </c>
      <c r="L604" s="12">
        <v>4000</v>
      </c>
      <c r="M604" s="11">
        <f t="shared" si="601"/>
        <v>200000</v>
      </c>
      <c r="O604" s="11">
        <f t="shared" si="602"/>
        <v>0</v>
      </c>
      <c r="P604" s="12">
        <v>6000</v>
      </c>
      <c r="Q604" s="11">
        <f t="shared" si="603"/>
        <v>360000</v>
      </c>
      <c r="Y604" s="11">
        <f t="shared" si="604"/>
        <v>0</v>
      </c>
      <c r="AG604" s="11">
        <f t="shared" si="605"/>
        <v>0</v>
      </c>
      <c r="AI604" s="11">
        <f t="shared" si="606"/>
        <v>0</v>
      </c>
      <c r="AJ604" s="12">
        <v>16330</v>
      </c>
      <c r="AK604" s="13">
        <f t="shared" si="607"/>
        <v>146970</v>
      </c>
      <c r="AM604" s="13">
        <f t="shared" si="608"/>
        <v>0</v>
      </c>
      <c r="AO604" s="11">
        <f t="shared" si="609"/>
        <v>0</v>
      </c>
      <c r="AQ604" s="11">
        <f t="shared" si="610"/>
        <v>0</v>
      </c>
      <c r="AS604" s="11">
        <f t="shared" si="611"/>
        <v>0</v>
      </c>
      <c r="AU604" s="11">
        <f t="shared" si="612"/>
        <v>0</v>
      </c>
      <c r="AW604" s="11">
        <f t="shared" si="613"/>
        <v>0</v>
      </c>
      <c r="AY604" s="11">
        <f t="shared" si="614"/>
        <v>0</v>
      </c>
      <c r="BA604" s="11">
        <f t="shared" si="615"/>
        <v>0</v>
      </c>
      <c r="BC604" s="11">
        <f t="shared" si="616"/>
        <v>0</v>
      </c>
      <c r="BE604" s="11">
        <f t="shared" si="617"/>
        <v>0</v>
      </c>
      <c r="BG604" s="11">
        <f t="shared" si="618"/>
        <v>0</v>
      </c>
      <c r="BN604" s="8">
        <f t="shared" si="596"/>
        <v>26330</v>
      </c>
      <c r="BO604" s="8">
        <f t="shared" si="597"/>
        <v>706970</v>
      </c>
      <c r="BP604" s="8">
        <f t="shared" si="599"/>
        <v>0</v>
      </c>
      <c r="BQ604" s="12">
        <f t="shared" si="600"/>
        <v>0</v>
      </c>
    </row>
    <row r="605" spans="1:69">
      <c r="A605" s="28">
        <v>1978</v>
      </c>
      <c r="B605" s="27" t="s">
        <v>55</v>
      </c>
      <c r="C605" s="24">
        <f t="shared" si="577"/>
        <v>582</v>
      </c>
      <c r="D605" s="7" t="e">
        <f t="shared" ca="1" si="575"/>
        <v>#N/A</v>
      </c>
      <c r="E605" s="26">
        <f t="array" aca="1" ref="E605" ca="1">AVERAGE(IF(INDIRECT(DatCol&amp;"$"&amp;TEXT(C605,"###")):INDIRECT(DatCol&amp;"$"&amp;TEXT(C605+57,"###"))&gt;0,INDIRECT(DatCol&amp;"$"&amp;TEXT(C605,"###")):INDIRECT(DatCol&amp;"$"&amp;TEXT(C605+57,"###"))))</f>
        <v>561.91875000000005</v>
      </c>
      <c r="F605" s="26" t="str">
        <f t="shared" si="552"/>
        <v>I</v>
      </c>
      <c r="G605" s="8"/>
      <c r="H605" s="8">
        <v>136</v>
      </c>
      <c r="I605" s="8">
        <v>234</v>
      </c>
      <c r="J605" s="8">
        <v>700</v>
      </c>
      <c r="K605" s="9">
        <f t="shared" si="598"/>
        <v>836</v>
      </c>
      <c r="L605" s="12">
        <v>1938</v>
      </c>
      <c r="M605" s="11">
        <f t="shared" si="601"/>
        <v>96900</v>
      </c>
      <c r="N605" s="12">
        <v>300</v>
      </c>
      <c r="O605" s="11">
        <f t="shared" si="602"/>
        <v>15000</v>
      </c>
      <c r="P605" s="12">
        <v>12008</v>
      </c>
      <c r="Q605" s="11">
        <f t="shared" si="603"/>
        <v>720480</v>
      </c>
      <c r="X605" s="12">
        <v>600</v>
      </c>
      <c r="Y605" s="11">
        <f t="shared" si="604"/>
        <v>36000</v>
      </c>
      <c r="AG605" s="11">
        <f t="shared" si="605"/>
        <v>0</v>
      </c>
      <c r="AI605" s="11">
        <f t="shared" si="606"/>
        <v>0</v>
      </c>
      <c r="AJ605" s="12">
        <v>14011</v>
      </c>
      <c r="AK605" s="13">
        <f t="shared" si="607"/>
        <v>126099</v>
      </c>
      <c r="AL605" s="12">
        <v>900</v>
      </c>
      <c r="AM605" s="13">
        <f t="shared" si="608"/>
        <v>8100</v>
      </c>
      <c r="AO605" s="11">
        <f t="shared" si="609"/>
        <v>0</v>
      </c>
      <c r="AQ605" s="11">
        <f t="shared" si="610"/>
        <v>0</v>
      </c>
      <c r="AS605" s="11">
        <f t="shared" si="611"/>
        <v>0</v>
      </c>
      <c r="AU605" s="11">
        <f t="shared" si="612"/>
        <v>0</v>
      </c>
      <c r="AV605" s="12">
        <v>100000</v>
      </c>
      <c r="AW605" s="11">
        <f t="shared" si="613"/>
        <v>6000000</v>
      </c>
      <c r="AY605" s="11">
        <f t="shared" si="614"/>
        <v>0</v>
      </c>
      <c r="BA605" s="11">
        <f t="shared" si="615"/>
        <v>0</v>
      </c>
      <c r="BC605" s="11">
        <f t="shared" si="616"/>
        <v>0</v>
      </c>
      <c r="BE605" s="11">
        <f t="shared" si="617"/>
        <v>0</v>
      </c>
      <c r="BG605" s="11">
        <f t="shared" si="618"/>
        <v>0</v>
      </c>
      <c r="BN605" s="8">
        <f t="shared" si="596"/>
        <v>128557</v>
      </c>
      <c r="BO605" s="8">
        <f t="shared" si="597"/>
        <v>6979479</v>
      </c>
      <c r="BP605" s="8">
        <f t="shared" si="599"/>
        <v>1800</v>
      </c>
      <c r="BQ605" s="12">
        <f t="shared" si="600"/>
        <v>59100</v>
      </c>
    </row>
    <row r="606" spans="1:69">
      <c r="A606" s="28">
        <v>1979</v>
      </c>
      <c r="B606" s="27" t="s">
        <v>55</v>
      </c>
      <c r="C606" s="24">
        <f t="shared" si="577"/>
        <v>582</v>
      </c>
      <c r="D606" s="7" t="e">
        <f t="shared" ca="1" si="575"/>
        <v>#N/A</v>
      </c>
      <c r="E606" s="26">
        <f t="array" aca="1" ref="E606" ca="1">AVERAGE(IF(INDIRECT(DatCol&amp;"$"&amp;TEXT(C606,"###")):INDIRECT(DatCol&amp;"$"&amp;TEXT(C606+57,"###"))&gt;0,INDIRECT(DatCol&amp;"$"&amp;TEXT(C606,"###")):INDIRECT(DatCol&amp;"$"&amp;TEXT(C606+57,"###"))))</f>
        <v>561.91875000000005</v>
      </c>
      <c r="F606" s="26" t="str">
        <f t="shared" si="552"/>
        <v>I</v>
      </c>
      <c r="G606" s="8"/>
      <c r="H606" s="8">
        <v>203</v>
      </c>
      <c r="I606" s="8">
        <v>175</v>
      </c>
      <c r="J606" s="8">
        <v>869</v>
      </c>
      <c r="K606" s="9">
        <f t="shared" si="598"/>
        <v>1072</v>
      </c>
      <c r="L606" s="12">
        <v>530</v>
      </c>
      <c r="M606" s="11">
        <f t="shared" si="601"/>
        <v>26500</v>
      </c>
      <c r="O606" s="11">
        <f t="shared" si="602"/>
        <v>0</v>
      </c>
      <c r="P606" s="12">
        <v>4897</v>
      </c>
      <c r="Q606" s="11">
        <f t="shared" si="603"/>
        <v>293820</v>
      </c>
      <c r="Y606" s="11">
        <f t="shared" si="604"/>
        <v>0</v>
      </c>
      <c r="AF606" s="12">
        <v>402</v>
      </c>
      <c r="AG606" s="11">
        <f t="shared" si="605"/>
        <v>26130</v>
      </c>
      <c r="AI606" s="11">
        <f t="shared" si="606"/>
        <v>0</v>
      </c>
      <c r="AJ606" s="12">
        <v>18670</v>
      </c>
      <c r="AK606" s="13">
        <f t="shared" si="607"/>
        <v>168030</v>
      </c>
      <c r="AM606" s="13">
        <f t="shared" si="608"/>
        <v>0</v>
      </c>
      <c r="AO606" s="11">
        <f t="shared" si="609"/>
        <v>0</v>
      </c>
      <c r="AQ606" s="11">
        <f t="shared" si="610"/>
        <v>0</v>
      </c>
      <c r="AS606" s="11">
        <f t="shared" si="611"/>
        <v>0</v>
      </c>
      <c r="AU606" s="11">
        <f t="shared" si="612"/>
        <v>0</v>
      </c>
      <c r="AW606" s="11">
        <f t="shared" si="613"/>
        <v>0</v>
      </c>
      <c r="AY606" s="11">
        <f t="shared" si="614"/>
        <v>0</v>
      </c>
      <c r="BA606" s="11">
        <f t="shared" si="615"/>
        <v>0</v>
      </c>
      <c r="BC606" s="11">
        <f t="shared" si="616"/>
        <v>0</v>
      </c>
      <c r="BE606" s="11">
        <f t="shared" si="617"/>
        <v>0</v>
      </c>
      <c r="BG606" s="11">
        <f t="shared" si="618"/>
        <v>0</v>
      </c>
      <c r="BN606" s="8">
        <f t="shared" si="596"/>
        <v>24499</v>
      </c>
      <c r="BO606" s="8">
        <f t="shared" si="597"/>
        <v>514480</v>
      </c>
      <c r="BP606" s="8">
        <f t="shared" si="599"/>
        <v>0</v>
      </c>
      <c r="BQ606" s="12">
        <f t="shared" si="600"/>
        <v>0</v>
      </c>
    </row>
    <row r="607" spans="1:69">
      <c r="A607" s="28">
        <v>1980</v>
      </c>
      <c r="B607" s="27" t="s">
        <v>55</v>
      </c>
      <c r="C607" s="24">
        <f t="shared" si="577"/>
        <v>582</v>
      </c>
      <c r="D607" s="7" t="e">
        <f t="shared" ca="1" si="575"/>
        <v>#N/A</v>
      </c>
      <c r="E607" s="26">
        <f t="array" aca="1" ref="E607" ca="1">AVERAGE(IF(INDIRECT(DatCol&amp;"$"&amp;TEXT(C607,"###")):INDIRECT(DatCol&amp;"$"&amp;TEXT(C607+57,"###"))&gt;0,INDIRECT(DatCol&amp;"$"&amp;TEXT(C607,"###")):INDIRECT(DatCol&amp;"$"&amp;TEXT(C607+57,"###"))))</f>
        <v>561.91875000000005</v>
      </c>
      <c r="F607" s="26" t="str">
        <f t="shared" si="552"/>
        <v>I</v>
      </c>
      <c r="G607" s="8"/>
      <c r="H607" s="8">
        <v>203</v>
      </c>
      <c r="I607" s="8">
        <v>258</v>
      </c>
      <c r="J607" s="8">
        <v>819</v>
      </c>
      <c r="K607" s="9">
        <f t="shared" si="598"/>
        <v>1022</v>
      </c>
      <c r="L607" s="12">
        <v>600</v>
      </c>
      <c r="M607" s="11">
        <f t="shared" si="601"/>
        <v>30000</v>
      </c>
      <c r="N607" s="12">
        <v>490</v>
      </c>
      <c r="O607" s="11">
        <f t="shared" si="602"/>
        <v>24500</v>
      </c>
      <c r="P607" s="12">
        <v>4047</v>
      </c>
      <c r="Q607" s="11">
        <f t="shared" si="603"/>
        <v>242820</v>
      </c>
      <c r="X607" s="12">
        <v>600</v>
      </c>
      <c r="Y607" s="11">
        <f t="shared" si="604"/>
        <v>36000</v>
      </c>
      <c r="AF607" s="12">
        <v>300</v>
      </c>
      <c r="AG607" s="11">
        <f t="shared" si="605"/>
        <v>19500</v>
      </c>
      <c r="AI607" s="11">
        <f t="shared" si="606"/>
        <v>0</v>
      </c>
      <c r="AJ607" s="12">
        <v>17536</v>
      </c>
      <c r="AK607" s="13">
        <f t="shared" si="607"/>
        <v>157824</v>
      </c>
      <c r="AL607" s="12">
        <v>1250</v>
      </c>
      <c r="AM607" s="13">
        <f t="shared" si="608"/>
        <v>11250</v>
      </c>
      <c r="AO607" s="11">
        <f t="shared" si="609"/>
        <v>0</v>
      </c>
      <c r="AQ607" s="11">
        <f t="shared" si="610"/>
        <v>0</v>
      </c>
      <c r="AS607" s="11">
        <f t="shared" si="611"/>
        <v>0</v>
      </c>
      <c r="AU607" s="11">
        <f t="shared" si="612"/>
        <v>0</v>
      </c>
      <c r="AV607" s="12">
        <f>674000/65</f>
        <v>10369.23076923077</v>
      </c>
      <c r="AW607" s="11">
        <f t="shared" si="613"/>
        <v>622153.84615384613</v>
      </c>
      <c r="AY607" s="11">
        <f t="shared" si="614"/>
        <v>0</v>
      </c>
      <c r="BA607" s="11">
        <f t="shared" si="615"/>
        <v>0</v>
      </c>
      <c r="BC607" s="11">
        <f t="shared" si="616"/>
        <v>0</v>
      </c>
      <c r="BE607" s="11">
        <f t="shared" si="617"/>
        <v>0</v>
      </c>
      <c r="BG607" s="11">
        <f t="shared" si="618"/>
        <v>0</v>
      </c>
      <c r="BN607" s="8">
        <f t="shared" si="596"/>
        <v>33452.230769230766</v>
      </c>
      <c r="BO607" s="8">
        <f t="shared" si="597"/>
        <v>1108297.846153846</v>
      </c>
      <c r="BP607" s="8">
        <f t="shared" si="599"/>
        <v>2340</v>
      </c>
      <c r="BQ607" s="12">
        <f t="shared" si="600"/>
        <v>71750</v>
      </c>
    </row>
    <row r="608" spans="1:69">
      <c r="A608" s="28">
        <v>1981</v>
      </c>
      <c r="B608" s="27" t="s">
        <v>55</v>
      </c>
      <c r="C608" s="24">
        <f t="shared" si="577"/>
        <v>582</v>
      </c>
      <c r="D608" s="7" t="e">
        <f t="shared" ca="1" si="575"/>
        <v>#N/A</v>
      </c>
      <c r="E608" s="26">
        <f t="array" aca="1" ref="E608" ca="1">AVERAGE(IF(INDIRECT(DatCol&amp;"$"&amp;TEXT(C608,"###")):INDIRECT(DatCol&amp;"$"&amp;TEXT(C608+57,"###"))&gt;0,INDIRECT(DatCol&amp;"$"&amp;TEXT(C608,"###")):INDIRECT(DatCol&amp;"$"&amp;TEXT(C608+57,"###"))))</f>
        <v>561.91875000000005</v>
      </c>
      <c r="F608" s="26" t="str">
        <f t="shared" ref="F608:F674" si="619">VLOOKUP(B608,town_region,2,FALSE)</f>
        <v>I</v>
      </c>
      <c r="G608" s="8"/>
      <c r="H608" s="8">
        <v>166</v>
      </c>
      <c r="I608" s="8">
        <v>306</v>
      </c>
      <c r="J608" s="8">
        <v>764</v>
      </c>
      <c r="K608" s="9">
        <f t="shared" si="598"/>
        <v>930</v>
      </c>
      <c r="L608" s="12">
        <v>675</v>
      </c>
      <c r="M608" s="11">
        <f t="shared" si="601"/>
        <v>33750</v>
      </c>
      <c r="N608" s="12">
        <v>410</v>
      </c>
      <c r="O608" s="11">
        <f t="shared" si="602"/>
        <v>20500</v>
      </c>
      <c r="P608" s="12">
        <v>3197</v>
      </c>
      <c r="Q608" s="11">
        <f t="shared" si="603"/>
        <v>191820</v>
      </c>
      <c r="X608" s="12">
        <v>1000</v>
      </c>
      <c r="Y608" s="11">
        <f t="shared" si="604"/>
        <v>60000</v>
      </c>
      <c r="AF608" s="12">
        <v>150</v>
      </c>
      <c r="AG608" s="11">
        <f t="shared" si="605"/>
        <v>9750</v>
      </c>
      <c r="AI608" s="11">
        <f t="shared" si="606"/>
        <v>0</v>
      </c>
      <c r="AJ608" s="12">
        <v>13950</v>
      </c>
      <c r="AK608" s="13">
        <f t="shared" si="607"/>
        <v>125550</v>
      </c>
      <c r="AL608" s="12">
        <v>2200</v>
      </c>
      <c r="AM608" s="13">
        <f t="shared" si="608"/>
        <v>19800</v>
      </c>
      <c r="AO608" s="11">
        <f t="shared" si="609"/>
        <v>0</v>
      </c>
      <c r="AQ608" s="11">
        <f t="shared" si="610"/>
        <v>0</v>
      </c>
      <c r="AS608" s="11">
        <f t="shared" si="611"/>
        <v>0</v>
      </c>
      <c r="AU608" s="11">
        <f t="shared" si="612"/>
        <v>0</v>
      </c>
      <c r="AV608" s="12">
        <f>600000/65</f>
        <v>9230.7692307692305</v>
      </c>
      <c r="AW608" s="11">
        <f t="shared" si="613"/>
        <v>553846.15384615387</v>
      </c>
      <c r="AY608" s="11">
        <f t="shared" si="614"/>
        <v>0</v>
      </c>
      <c r="BA608" s="11">
        <f t="shared" si="615"/>
        <v>0</v>
      </c>
      <c r="BC608" s="11">
        <f t="shared" si="616"/>
        <v>0</v>
      </c>
      <c r="BE608" s="11">
        <f t="shared" si="617"/>
        <v>0</v>
      </c>
      <c r="BG608" s="11">
        <f t="shared" si="618"/>
        <v>0</v>
      </c>
      <c r="BN608" s="8">
        <f t="shared" si="596"/>
        <v>28202.76923076923</v>
      </c>
      <c r="BO608" s="8">
        <f t="shared" si="597"/>
        <v>974716.15384615387</v>
      </c>
      <c r="BP608" s="8">
        <f t="shared" si="599"/>
        <v>3610</v>
      </c>
      <c r="BQ608" s="12">
        <f t="shared" si="600"/>
        <v>100300</v>
      </c>
    </row>
    <row r="609" spans="1:69">
      <c r="A609" s="28">
        <v>1982</v>
      </c>
      <c r="B609" s="27" t="s">
        <v>55</v>
      </c>
      <c r="C609" s="24">
        <f t="shared" si="577"/>
        <v>582</v>
      </c>
      <c r="D609" s="7" t="e">
        <f t="shared" ca="1" si="575"/>
        <v>#N/A</v>
      </c>
      <c r="E609" s="26">
        <f t="array" aca="1" ref="E609" ca="1">AVERAGE(IF(INDIRECT(DatCol&amp;"$"&amp;TEXT(C609,"###")):INDIRECT(DatCol&amp;"$"&amp;TEXT(C609+57,"###"))&gt;0,INDIRECT(DatCol&amp;"$"&amp;TEXT(C609,"###")):INDIRECT(DatCol&amp;"$"&amp;TEXT(C609+57,"###"))))</f>
        <v>561.91875000000005</v>
      </c>
      <c r="F609" s="26" t="str">
        <f t="shared" si="619"/>
        <v>I</v>
      </c>
      <c r="G609" s="8"/>
      <c r="H609" s="8">
        <v>192</v>
      </c>
      <c r="I609" s="8">
        <v>233</v>
      </c>
      <c r="J609" s="8">
        <v>958</v>
      </c>
      <c r="K609" s="9">
        <f t="shared" si="598"/>
        <v>1150</v>
      </c>
      <c r="L609" s="12">
        <v>590</v>
      </c>
      <c r="M609" s="11">
        <f t="shared" si="601"/>
        <v>29500</v>
      </c>
      <c r="N609" s="12">
        <v>100</v>
      </c>
      <c r="O609" s="11">
        <f t="shared" si="602"/>
        <v>5000</v>
      </c>
      <c r="P609" s="12">
        <v>2800</v>
      </c>
      <c r="Q609" s="11">
        <f t="shared" si="603"/>
        <v>168000</v>
      </c>
      <c r="X609" s="12">
        <v>500</v>
      </c>
      <c r="Y609" s="11">
        <f t="shared" si="604"/>
        <v>30000</v>
      </c>
      <c r="AF609" s="12">
        <v>330</v>
      </c>
      <c r="AG609" s="11">
        <f t="shared" si="605"/>
        <v>21450</v>
      </c>
      <c r="AH609" s="12">
        <v>200</v>
      </c>
      <c r="AI609" s="11">
        <f t="shared" si="606"/>
        <v>13000</v>
      </c>
      <c r="AJ609" s="12">
        <v>14190</v>
      </c>
      <c r="AK609" s="13">
        <f t="shared" si="607"/>
        <v>127710</v>
      </c>
      <c r="AL609" s="12">
        <v>2500</v>
      </c>
      <c r="AM609" s="13">
        <f t="shared" si="608"/>
        <v>22500</v>
      </c>
      <c r="AO609" s="11">
        <f t="shared" si="609"/>
        <v>0</v>
      </c>
      <c r="AQ609" s="11">
        <f t="shared" si="610"/>
        <v>0</v>
      </c>
      <c r="AS609" s="11">
        <f t="shared" si="611"/>
        <v>0</v>
      </c>
      <c r="AU609" s="11">
        <f t="shared" si="612"/>
        <v>0</v>
      </c>
      <c r="AV609" s="12">
        <f>770160/65</f>
        <v>11848.615384615385</v>
      </c>
      <c r="AW609" s="11">
        <f t="shared" si="613"/>
        <v>710916.92307692312</v>
      </c>
      <c r="AY609" s="11">
        <f t="shared" si="614"/>
        <v>0</v>
      </c>
      <c r="BA609" s="11">
        <f t="shared" si="615"/>
        <v>0</v>
      </c>
      <c r="BC609" s="11">
        <f t="shared" si="616"/>
        <v>0</v>
      </c>
      <c r="BE609" s="11">
        <f t="shared" si="617"/>
        <v>0</v>
      </c>
      <c r="BG609" s="11">
        <f t="shared" si="618"/>
        <v>0</v>
      </c>
      <c r="BN609" s="8">
        <f t="shared" si="596"/>
        <v>30258.615384615383</v>
      </c>
      <c r="BO609" s="8">
        <f t="shared" si="597"/>
        <v>1087576.923076923</v>
      </c>
      <c r="BP609" s="8">
        <f t="shared" si="599"/>
        <v>3300</v>
      </c>
      <c r="BQ609" s="12">
        <f t="shared" si="600"/>
        <v>70500</v>
      </c>
    </row>
    <row r="610" spans="1:69">
      <c r="A610" s="28">
        <v>1983</v>
      </c>
      <c r="B610" s="27" t="s">
        <v>55</v>
      </c>
      <c r="C610" s="24">
        <f t="shared" si="577"/>
        <v>582</v>
      </c>
      <c r="D610" s="7" t="e">
        <f t="shared" ca="1" si="575"/>
        <v>#N/A</v>
      </c>
      <c r="E610" s="26">
        <f t="array" aca="1" ref="E610" ca="1">AVERAGE(IF(INDIRECT(DatCol&amp;"$"&amp;TEXT(C610,"###")):INDIRECT(DatCol&amp;"$"&amp;TEXT(C610+57,"###"))&gt;0,INDIRECT(DatCol&amp;"$"&amp;TEXT(C610,"###")):INDIRECT(DatCol&amp;"$"&amp;TEXT(C610+57,"###"))))</f>
        <v>561.91875000000005</v>
      </c>
      <c r="F610" s="26" t="str">
        <f t="shared" si="619"/>
        <v>I</v>
      </c>
      <c r="G610" s="8"/>
      <c r="H610" s="8">
        <v>55</v>
      </c>
      <c r="I610" s="8">
        <v>177</v>
      </c>
      <c r="J610" s="8">
        <v>900</v>
      </c>
      <c r="K610" s="9">
        <f t="shared" si="598"/>
        <v>955</v>
      </c>
      <c r="L610" s="12">
        <v>987</v>
      </c>
      <c r="M610" s="11">
        <f t="shared" si="601"/>
        <v>49350</v>
      </c>
      <c r="N610" s="12">
        <v>848</v>
      </c>
      <c r="O610" s="11">
        <f t="shared" si="602"/>
        <v>42400</v>
      </c>
      <c r="P610" s="12">
        <v>1922</v>
      </c>
      <c r="Q610" s="11">
        <f t="shared" si="603"/>
        <v>115320</v>
      </c>
      <c r="X610" s="12">
        <v>352</v>
      </c>
      <c r="Y610" s="11">
        <f t="shared" si="604"/>
        <v>21120</v>
      </c>
      <c r="AF610" s="12">
        <v>2442</v>
      </c>
      <c r="AG610" s="11">
        <f t="shared" si="605"/>
        <v>158730</v>
      </c>
      <c r="AI610" s="11">
        <f t="shared" si="606"/>
        <v>0</v>
      </c>
      <c r="AJ610" s="12">
        <v>36622</v>
      </c>
      <c r="AK610" s="13">
        <f t="shared" si="607"/>
        <v>329598</v>
      </c>
      <c r="AL610" s="12">
        <v>1200</v>
      </c>
      <c r="AM610" s="13">
        <f t="shared" si="608"/>
        <v>10800</v>
      </c>
      <c r="AO610" s="11">
        <f t="shared" si="609"/>
        <v>0</v>
      </c>
      <c r="AQ610" s="11">
        <f t="shared" si="610"/>
        <v>0</v>
      </c>
      <c r="AS610" s="11">
        <f t="shared" si="611"/>
        <v>0</v>
      </c>
      <c r="AU610" s="11">
        <f t="shared" si="612"/>
        <v>0</v>
      </c>
      <c r="AV610" s="12">
        <f>712282/65</f>
        <v>10958.184615384615</v>
      </c>
      <c r="AW610" s="11">
        <f t="shared" si="613"/>
        <v>657491.07692307688</v>
      </c>
      <c r="AY610" s="11">
        <f t="shared" si="614"/>
        <v>0</v>
      </c>
      <c r="BA610" s="11">
        <f t="shared" si="615"/>
        <v>0</v>
      </c>
      <c r="BC610" s="11">
        <f t="shared" si="616"/>
        <v>0</v>
      </c>
      <c r="BE610" s="11">
        <f t="shared" si="617"/>
        <v>0</v>
      </c>
      <c r="BG610" s="11">
        <f t="shared" si="618"/>
        <v>0</v>
      </c>
      <c r="BN610" s="8">
        <f t="shared" si="596"/>
        <v>53283.184615384613</v>
      </c>
      <c r="BO610" s="8">
        <f t="shared" si="597"/>
        <v>1331609.076923077</v>
      </c>
      <c r="BP610" s="8">
        <f t="shared" si="599"/>
        <v>2400</v>
      </c>
      <c r="BQ610" s="12">
        <f t="shared" si="600"/>
        <v>74320</v>
      </c>
    </row>
    <row r="611" spans="1:69">
      <c r="A611" s="28">
        <v>1984</v>
      </c>
      <c r="B611" s="27" t="s">
        <v>55</v>
      </c>
      <c r="C611" s="24">
        <f t="shared" si="577"/>
        <v>582</v>
      </c>
      <c r="D611" s="7" t="e">
        <f t="shared" ca="1" si="575"/>
        <v>#N/A</v>
      </c>
      <c r="E611" s="26">
        <f t="array" aca="1" ref="E611" ca="1">AVERAGE(IF(INDIRECT(DatCol&amp;"$"&amp;TEXT(C611,"###")):INDIRECT(DatCol&amp;"$"&amp;TEXT(C611+57,"###"))&gt;0,INDIRECT(DatCol&amp;"$"&amp;TEXT(C611,"###")):INDIRECT(DatCol&amp;"$"&amp;TEXT(C611+57,"###"))))</f>
        <v>561.91875000000005</v>
      </c>
      <c r="F611" s="26" t="str">
        <f t="shared" si="619"/>
        <v>I</v>
      </c>
      <c r="G611" s="8"/>
      <c r="H611" s="8">
        <v>58</v>
      </c>
      <c r="I611" s="8">
        <v>203</v>
      </c>
      <c r="J611" s="8">
        <v>610</v>
      </c>
      <c r="K611" s="9">
        <f t="shared" si="598"/>
        <v>668</v>
      </c>
      <c r="L611" s="12">
        <v>872</v>
      </c>
      <c r="M611" s="11">
        <f t="shared" si="601"/>
        <v>43600</v>
      </c>
      <c r="N611" s="12">
        <v>620</v>
      </c>
      <c r="O611" s="11">
        <f t="shared" si="602"/>
        <v>31000</v>
      </c>
      <c r="P611" s="12">
        <v>1897</v>
      </c>
      <c r="Q611" s="11">
        <f t="shared" si="603"/>
        <v>113820</v>
      </c>
      <c r="X611" s="12">
        <v>407</v>
      </c>
      <c r="Y611" s="11">
        <f t="shared" si="604"/>
        <v>24420</v>
      </c>
      <c r="AF611" s="12">
        <v>4021</v>
      </c>
      <c r="AG611" s="11">
        <f t="shared" si="605"/>
        <v>261365</v>
      </c>
      <c r="AH611" s="12">
        <v>37</v>
      </c>
      <c r="AI611" s="11">
        <f t="shared" si="606"/>
        <v>2405</v>
      </c>
      <c r="AJ611" s="12">
        <v>35671</v>
      </c>
      <c r="AK611" s="13">
        <f t="shared" si="607"/>
        <v>321039</v>
      </c>
      <c r="AL611" s="12">
        <v>987</v>
      </c>
      <c r="AM611" s="13">
        <f t="shared" si="608"/>
        <v>8883</v>
      </c>
      <c r="AO611" s="11">
        <f t="shared" si="609"/>
        <v>0</v>
      </c>
      <c r="AQ611" s="11">
        <f t="shared" si="610"/>
        <v>0</v>
      </c>
      <c r="AS611" s="11">
        <f t="shared" si="611"/>
        <v>0</v>
      </c>
      <c r="AU611" s="11">
        <f t="shared" si="612"/>
        <v>0</v>
      </c>
      <c r="AV611" s="12">
        <f>380500/65</f>
        <v>5853.8461538461543</v>
      </c>
      <c r="AW611" s="11">
        <f t="shared" si="613"/>
        <v>351230.76923076925</v>
      </c>
      <c r="AY611" s="11">
        <f t="shared" si="614"/>
        <v>0</v>
      </c>
      <c r="BA611" s="11">
        <f t="shared" si="615"/>
        <v>0</v>
      </c>
      <c r="BC611" s="11">
        <f t="shared" si="616"/>
        <v>0</v>
      </c>
      <c r="BE611" s="11">
        <f t="shared" si="617"/>
        <v>0</v>
      </c>
      <c r="BG611" s="11">
        <f t="shared" si="618"/>
        <v>0</v>
      </c>
      <c r="BN611" s="8">
        <f t="shared" si="596"/>
        <v>48721.846153846156</v>
      </c>
      <c r="BO611" s="8">
        <f t="shared" si="597"/>
        <v>1115474.7692307692</v>
      </c>
      <c r="BP611" s="8">
        <f t="shared" si="599"/>
        <v>2051</v>
      </c>
      <c r="BQ611" s="12">
        <f t="shared" si="600"/>
        <v>66708</v>
      </c>
    </row>
    <row r="612" spans="1:69">
      <c r="A612" s="28">
        <v>1985</v>
      </c>
      <c r="B612" s="27" t="s">
        <v>55</v>
      </c>
      <c r="C612" s="24">
        <f t="shared" si="577"/>
        <v>582</v>
      </c>
      <c r="D612" s="7" t="e">
        <f t="shared" ca="1" si="575"/>
        <v>#N/A</v>
      </c>
      <c r="E612" s="26">
        <f t="array" aca="1" ref="E612" ca="1">AVERAGE(IF(INDIRECT(DatCol&amp;"$"&amp;TEXT(C612,"###")):INDIRECT(DatCol&amp;"$"&amp;TEXT(C612+57,"###"))&gt;0,INDIRECT(DatCol&amp;"$"&amp;TEXT(C612,"###")):INDIRECT(DatCol&amp;"$"&amp;TEXT(C612+57,"###"))))</f>
        <v>561.91875000000005</v>
      </c>
      <c r="F612" s="26" t="str">
        <f t="shared" si="619"/>
        <v>I</v>
      </c>
      <c r="G612" s="8">
        <v>56</v>
      </c>
      <c r="H612" s="8">
        <v>126</v>
      </c>
      <c r="I612" s="8">
        <v>137</v>
      </c>
      <c r="J612" s="8">
        <v>583</v>
      </c>
      <c r="K612" s="9">
        <f t="shared" si="598"/>
        <v>765</v>
      </c>
      <c r="L612" s="12">
        <v>927</v>
      </c>
      <c r="M612" s="11">
        <f t="shared" si="601"/>
        <v>46350</v>
      </c>
      <c r="N612" s="12">
        <v>494</v>
      </c>
      <c r="O612" s="11">
        <f t="shared" si="602"/>
        <v>24700</v>
      </c>
      <c r="P612" s="12">
        <v>2006</v>
      </c>
      <c r="Q612" s="11">
        <f t="shared" si="603"/>
        <v>120360</v>
      </c>
      <c r="X612" s="12">
        <v>481</v>
      </c>
      <c r="Y612" s="11">
        <f t="shared" si="604"/>
        <v>28860</v>
      </c>
      <c r="AF612" s="12">
        <v>921</v>
      </c>
      <c r="AG612" s="11">
        <f t="shared" si="605"/>
        <v>59865</v>
      </c>
      <c r="AH612" s="12">
        <v>27</v>
      </c>
      <c r="AI612" s="11">
        <f t="shared" si="606"/>
        <v>1755</v>
      </c>
      <c r="AJ612" s="12">
        <v>27851</v>
      </c>
      <c r="AK612" s="13">
        <f t="shared" si="607"/>
        <v>250659</v>
      </c>
      <c r="AL612" s="12">
        <v>872</v>
      </c>
      <c r="AM612" s="13">
        <f t="shared" si="608"/>
        <v>7848</v>
      </c>
      <c r="AO612" s="11">
        <f t="shared" si="609"/>
        <v>0</v>
      </c>
      <c r="AQ612" s="11">
        <f t="shared" si="610"/>
        <v>0</v>
      </c>
      <c r="AS612" s="11">
        <f t="shared" si="611"/>
        <v>0</v>
      </c>
      <c r="AU612" s="11">
        <f t="shared" si="612"/>
        <v>0</v>
      </c>
      <c r="AV612" s="12">
        <f>857000/65</f>
        <v>13184.615384615385</v>
      </c>
      <c r="AW612" s="11">
        <f t="shared" si="613"/>
        <v>791076.92307692312</v>
      </c>
      <c r="AY612" s="11">
        <f t="shared" si="614"/>
        <v>0</v>
      </c>
      <c r="BA612" s="11">
        <f t="shared" si="615"/>
        <v>0</v>
      </c>
      <c r="BC612" s="11">
        <f t="shared" si="616"/>
        <v>0</v>
      </c>
      <c r="BE612" s="11">
        <f t="shared" si="617"/>
        <v>0</v>
      </c>
      <c r="BG612" s="11">
        <f t="shared" si="618"/>
        <v>0</v>
      </c>
      <c r="BN612" s="8">
        <f t="shared" si="596"/>
        <v>45370.615384615383</v>
      </c>
      <c r="BO612" s="8">
        <f t="shared" si="597"/>
        <v>1297170.923076923</v>
      </c>
      <c r="BP612" s="8">
        <f t="shared" si="599"/>
        <v>1874</v>
      </c>
      <c r="BQ612" s="12">
        <f t="shared" si="600"/>
        <v>63163</v>
      </c>
    </row>
    <row r="613" spans="1:69">
      <c r="A613" s="28">
        <v>1986</v>
      </c>
      <c r="B613" s="27" t="s">
        <v>55</v>
      </c>
      <c r="C613" s="24">
        <f t="shared" si="577"/>
        <v>582</v>
      </c>
      <c r="D613" s="7" t="e">
        <f t="shared" ca="1" si="575"/>
        <v>#N/A</v>
      </c>
      <c r="E613" s="26">
        <f t="array" aca="1" ref="E613" ca="1">AVERAGE(IF(INDIRECT(DatCol&amp;"$"&amp;TEXT(C613,"###")):INDIRECT(DatCol&amp;"$"&amp;TEXT(C613+57,"###"))&gt;0,INDIRECT(DatCol&amp;"$"&amp;TEXT(C613,"###")):INDIRECT(DatCol&amp;"$"&amp;TEXT(C613+57,"###"))))</f>
        <v>561.91875000000005</v>
      </c>
      <c r="F613" s="26" t="str">
        <f t="shared" si="619"/>
        <v>I</v>
      </c>
      <c r="G613" s="8">
        <v>442</v>
      </c>
      <c r="H613" s="8">
        <v>27</v>
      </c>
      <c r="I613" s="8">
        <v>163</v>
      </c>
      <c r="J613" s="8">
        <v>556</v>
      </c>
      <c r="K613" s="9">
        <f t="shared" si="598"/>
        <v>1025</v>
      </c>
      <c r="L613" s="12">
        <v>745</v>
      </c>
      <c r="M613" s="11">
        <f t="shared" si="601"/>
        <v>37250</v>
      </c>
      <c r="N613" s="12">
        <v>441</v>
      </c>
      <c r="O613" s="11">
        <f t="shared" si="602"/>
        <v>22050</v>
      </c>
      <c r="P613" s="12">
        <v>2421</v>
      </c>
      <c r="Q613" s="11">
        <f t="shared" si="603"/>
        <v>145260</v>
      </c>
      <c r="X613" s="12">
        <v>559</v>
      </c>
      <c r="Y613" s="11">
        <f t="shared" si="604"/>
        <v>33540</v>
      </c>
      <c r="AF613" s="12">
        <v>1320</v>
      </c>
      <c r="AG613" s="11">
        <f t="shared" si="605"/>
        <v>85800</v>
      </c>
      <c r="AH613" s="12">
        <v>35</v>
      </c>
      <c r="AI613" s="11">
        <f t="shared" si="606"/>
        <v>2275</v>
      </c>
      <c r="AJ613" s="12">
        <v>21425</v>
      </c>
      <c r="AK613" s="13">
        <f t="shared" si="607"/>
        <v>192825</v>
      </c>
      <c r="AL613" s="12">
        <v>900</v>
      </c>
      <c r="AM613" s="13">
        <f t="shared" si="608"/>
        <v>8100</v>
      </c>
      <c r="AO613" s="11">
        <f t="shared" si="609"/>
        <v>0</v>
      </c>
      <c r="AQ613" s="11">
        <f t="shared" si="610"/>
        <v>0</v>
      </c>
      <c r="AS613" s="11">
        <f t="shared" si="611"/>
        <v>0</v>
      </c>
      <c r="AU613" s="11">
        <f t="shared" si="612"/>
        <v>0</v>
      </c>
      <c r="AW613" s="11">
        <f t="shared" si="613"/>
        <v>0</v>
      </c>
      <c r="AY613" s="11">
        <f t="shared" si="614"/>
        <v>0</v>
      </c>
      <c r="BA613" s="11">
        <f t="shared" si="615"/>
        <v>0</v>
      </c>
      <c r="BC613" s="11">
        <f t="shared" si="616"/>
        <v>0</v>
      </c>
      <c r="BE613" s="11">
        <f t="shared" si="617"/>
        <v>0</v>
      </c>
      <c r="BG613" s="11">
        <f t="shared" si="618"/>
        <v>0</v>
      </c>
      <c r="BN613" s="8">
        <f t="shared" si="596"/>
        <v>26470</v>
      </c>
      <c r="BO613" s="8">
        <f t="shared" si="597"/>
        <v>494675</v>
      </c>
      <c r="BP613" s="8">
        <f t="shared" si="599"/>
        <v>1935</v>
      </c>
      <c r="BQ613" s="12">
        <f t="shared" si="600"/>
        <v>65965</v>
      </c>
    </row>
    <row r="614" spans="1:69">
      <c r="A614" s="28">
        <v>1987</v>
      </c>
      <c r="B614" s="27" t="s">
        <v>55</v>
      </c>
      <c r="C614" s="24">
        <f t="shared" si="577"/>
        <v>582</v>
      </c>
      <c r="D614" s="7" t="e">
        <f t="shared" ca="1" si="575"/>
        <v>#N/A</v>
      </c>
      <c r="E614" s="26">
        <f t="array" aca="1" ref="E614" ca="1">AVERAGE(IF(INDIRECT(DatCol&amp;"$"&amp;TEXT(C614,"###")):INDIRECT(DatCol&amp;"$"&amp;TEXT(C614+57,"###"))&gt;0,INDIRECT(DatCol&amp;"$"&amp;TEXT(C614,"###")):INDIRECT(DatCol&amp;"$"&amp;TEXT(C614+57,"###"))))</f>
        <v>561.91875000000005</v>
      </c>
      <c r="F614" s="26" t="str">
        <f t="shared" si="619"/>
        <v>I</v>
      </c>
      <c r="G614" s="8">
        <v>250</v>
      </c>
      <c r="H614" s="8">
        <v>134</v>
      </c>
      <c r="I614" s="8">
        <v>164</v>
      </c>
      <c r="J614" s="8">
        <v>734</v>
      </c>
      <c r="K614" s="9">
        <f t="shared" si="598"/>
        <v>1118</v>
      </c>
      <c r="L614" s="12">
        <v>125</v>
      </c>
      <c r="M614" s="11">
        <f t="shared" si="601"/>
        <v>6250</v>
      </c>
      <c r="N614" s="12">
        <v>150</v>
      </c>
      <c r="O614" s="11">
        <f t="shared" si="602"/>
        <v>7500</v>
      </c>
      <c r="P614" s="12">
        <v>2503</v>
      </c>
      <c r="Q614" s="11">
        <f t="shared" si="603"/>
        <v>150180</v>
      </c>
      <c r="X614" s="12">
        <v>750</v>
      </c>
      <c r="Y614" s="11">
        <f t="shared" si="604"/>
        <v>45000</v>
      </c>
      <c r="AF614" s="12">
        <v>200</v>
      </c>
      <c r="AG614" s="11">
        <f t="shared" si="605"/>
        <v>13000</v>
      </c>
      <c r="AH614" s="12">
        <v>0</v>
      </c>
      <c r="AI614" s="11">
        <f t="shared" si="606"/>
        <v>0</v>
      </c>
      <c r="AJ614" s="12">
        <v>26921</v>
      </c>
      <c r="AK614" s="13">
        <f t="shared" si="607"/>
        <v>242289</v>
      </c>
      <c r="AL614" s="12">
        <v>750</v>
      </c>
      <c r="AM614" s="13">
        <f t="shared" si="608"/>
        <v>6750</v>
      </c>
      <c r="AO614" s="11">
        <f t="shared" si="609"/>
        <v>0</v>
      </c>
      <c r="AQ614" s="11">
        <f t="shared" si="610"/>
        <v>0</v>
      </c>
      <c r="AS614" s="11">
        <f t="shared" si="611"/>
        <v>0</v>
      </c>
      <c r="AU614" s="11">
        <f t="shared" si="612"/>
        <v>0</v>
      </c>
      <c r="AW614" s="11">
        <f t="shared" si="613"/>
        <v>0</v>
      </c>
      <c r="AY614" s="11">
        <f t="shared" si="614"/>
        <v>0</v>
      </c>
      <c r="BA614" s="11">
        <f t="shared" si="615"/>
        <v>0</v>
      </c>
      <c r="BB614" s="12">
        <v>40</v>
      </c>
      <c r="BC614" s="11">
        <f t="shared" si="616"/>
        <v>1600</v>
      </c>
      <c r="BE614" s="11">
        <f t="shared" si="617"/>
        <v>0</v>
      </c>
      <c r="BG614" s="11">
        <f t="shared" si="618"/>
        <v>0</v>
      </c>
      <c r="BN614" s="8">
        <f t="shared" si="596"/>
        <v>30499</v>
      </c>
      <c r="BO614" s="8">
        <f t="shared" si="597"/>
        <v>456719</v>
      </c>
      <c r="BP614" s="8">
        <f t="shared" si="599"/>
        <v>1690</v>
      </c>
      <c r="BQ614" s="12">
        <f t="shared" si="600"/>
        <v>60850</v>
      </c>
    </row>
    <row r="615" spans="1:69">
      <c r="A615" s="28">
        <v>1988</v>
      </c>
      <c r="B615" s="27" t="s">
        <v>55</v>
      </c>
      <c r="C615" s="24">
        <f t="shared" si="577"/>
        <v>582</v>
      </c>
      <c r="D615" s="7" t="e">
        <f t="shared" ca="1" si="575"/>
        <v>#N/A</v>
      </c>
      <c r="E615" s="26">
        <f t="array" aca="1" ref="E615" ca="1">AVERAGE(IF(INDIRECT(DatCol&amp;"$"&amp;TEXT(C615,"###")):INDIRECT(DatCol&amp;"$"&amp;TEXT(C615+57,"###"))&gt;0,INDIRECT(DatCol&amp;"$"&amp;TEXT(C615,"###")):INDIRECT(DatCol&amp;"$"&amp;TEXT(C615+57,"###"))))</f>
        <v>561.91875000000005</v>
      </c>
      <c r="F615" s="26" t="str">
        <f t="shared" si="619"/>
        <v>I</v>
      </c>
      <c r="G615" s="8">
        <v>59</v>
      </c>
      <c r="H615" s="8">
        <v>135</v>
      </c>
      <c r="I615" s="8">
        <v>197</v>
      </c>
      <c r="J615" s="8">
        <v>593</v>
      </c>
      <c r="K615" s="9">
        <f t="shared" si="598"/>
        <v>787</v>
      </c>
      <c r="L615" s="12">
        <v>142</v>
      </c>
      <c r="M615" s="11">
        <f t="shared" si="601"/>
        <v>7100</v>
      </c>
      <c r="N615" s="12">
        <v>538</v>
      </c>
      <c r="O615" s="11">
        <f t="shared" si="602"/>
        <v>26900</v>
      </c>
      <c r="P615" s="12">
        <v>2527</v>
      </c>
      <c r="Q615" s="11">
        <f t="shared" si="603"/>
        <v>151620</v>
      </c>
      <c r="X615" s="12">
        <v>562</v>
      </c>
      <c r="Y615" s="11">
        <f t="shared" si="604"/>
        <v>33720</v>
      </c>
      <c r="AF615" s="12">
        <v>960</v>
      </c>
      <c r="AG615" s="11">
        <f t="shared" si="605"/>
        <v>62400</v>
      </c>
      <c r="AH615" s="12">
        <v>27</v>
      </c>
      <c r="AI615" s="11">
        <f t="shared" si="606"/>
        <v>1755</v>
      </c>
      <c r="AJ615" s="12">
        <v>29237</v>
      </c>
      <c r="AK615" s="13">
        <f t="shared" si="607"/>
        <v>263133</v>
      </c>
      <c r="AL615" s="12">
        <v>1200</v>
      </c>
      <c r="AM615" s="13">
        <f t="shared" si="608"/>
        <v>10800</v>
      </c>
      <c r="AO615" s="11">
        <f t="shared" si="609"/>
        <v>0</v>
      </c>
      <c r="AQ615" s="11">
        <f t="shared" si="610"/>
        <v>0</v>
      </c>
      <c r="AS615" s="11">
        <f t="shared" si="611"/>
        <v>0</v>
      </c>
      <c r="AU615" s="11">
        <f t="shared" si="612"/>
        <v>0</v>
      </c>
      <c r="AW615" s="11">
        <f t="shared" si="613"/>
        <v>0</v>
      </c>
      <c r="AY615" s="11">
        <f t="shared" si="614"/>
        <v>0</v>
      </c>
      <c r="BA615" s="11">
        <f t="shared" si="615"/>
        <v>0</v>
      </c>
      <c r="BC615" s="11">
        <f t="shared" si="616"/>
        <v>0</v>
      </c>
      <c r="BE615" s="11">
        <f t="shared" si="617"/>
        <v>0</v>
      </c>
      <c r="BG615" s="11">
        <f t="shared" si="618"/>
        <v>0</v>
      </c>
      <c r="BN615" s="8">
        <f t="shared" si="596"/>
        <v>33428</v>
      </c>
      <c r="BO615" s="8">
        <f t="shared" si="597"/>
        <v>517973</v>
      </c>
      <c r="BP615" s="8">
        <f t="shared" si="599"/>
        <v>2327</v>
      </c>
      <c r="BQ615" s="12">
        <f t="shared" si="600"/>
        <v>73175</v>
      </c>
    </row>
    <row r="616" spans="1:69">
      <c r="A616" s="28">
        <v>1989</v>
      </c>
      <c r="B616" s="27" t="s">
        <v>55</v>
      </c>
      <c r="C616" s="24">
        <f t="shared" si="577"/>
        <v>582</v>
      </c>
      <c r="D616" s="7" t="e">
        <f t="shared" ca="1" si="575"/>
        <v>#N/A</v>
      </c>
      <c r="E616" s="26">
        <f t="array" aca="1" ref="E616" ca="1">AVERAGE(IF(INDIRECT(DatCol&amp;"$"&amp;TEXT(C616,"###")):INDIRECT(DatCol&amp;"$"&amp;TEXT(C616+57,"###"))&gt;0,INDIRECT(DatCol&amp;"$"&amp;TEXT(C616,"###")):INDIRECT(DatCol&amp;"$"&amp;TEXT(C616+57,"###"))))</f>
        <v>561.91875000000005</v>
      </c>
      <c r="F616" s="26" t="str">
        <f t="shared" si="619"/>
        <v>I</v>
      </c>
      <c r="G616" s="8">
        <v>187</v>
      </c>
      <c r="H616" s="8">
        <v>35</v>
      </c>
      <c r="I616" s="8">
        <v>220</v>
      </c>
      <c r="J616" s="8">
        <v>828</v>
      </c>
      <c r="K616" s="9">
        <f t="shared" si="598"/>
        <v>1050</v>
      </c>
      <c r="L616" s="12">
        <v>327</v>
      </c>
      <c r="M616" s="11">
        <f t="shared" si="601"/>
        <v>16350</v>
      </c>
      <c r="N616" s="12">
        <v>400</v>
      </c>
      <c r="O616" s="11">
        <f t="shared" si="602"/>
        <v>20000</v>
      </c>
      <c r="P616" s="12">
        <v>2740</v>
      </c>
      <c r="Q616" s="11">
        <f t="shared" si="603"/>
        <v>164400</v>
      </c>
      <c r="X616" s="12">
        <v>800</v>
      </c>
      <c r="Y616" s="11">
        <f t="shared" si="604"/>
        <v>48000</v>
      </c>
      <c r="AF616" s="12">
        <v>0</v>
      </c>
      <c r="AG616" s="11">
        <f t="shared" si="605"/>
        <v>0</v>
      </c>
      <c r="AH616" s="12">
        <v>85</v>
      </c>
      <c r="AI616" s="11">
        <f t="shared" si="606"/>
        <v>5525</v>
      </c>
      <c r="AJ616" s="12">
        <v>26125</v>
      </c>
      <c r="AK616" s="13">
        <f t="shared" si="607"/>
        <v>235125</v>
      </c>
      <c r="AL616" s="12">
        <v>1200</v>
      </c>
      <c r="AM616" s="13">
        <f t="shared" si="608"/>
        <v>10800</v>
      </c>
      <c r="AN616" s="12">
        <v>0</v>
      </c>
      <c r="AO616" s="11">
        <f t="shared" si="609"/>
        <v>0</v>
      </c>
      <c r="AP616" s="12">
        <v>0</v>
      </c>
      <c r="AQ616" s="11">
        <f t="shared" si="610"/>
        <v>0</v>
      </c>
      <c r="AR616" s="12">
        <v>0</v>
      </c>
      <c r="AS616" s="11">
        <f t="shared" si="611"/>
        <v>0</v>
      </c>
      <c r="AT616" s="12">
        <v>0</v>
      </c>
      <c r="AU616" s="11">
        <f t="shared" si="612"/>
        <v>0</v>
      </c>
      <c r="AV616" s="12">
        <v>115</v>
      </c>
      <c r="AW616" s="11">
        <f t="shared" si="613"/>
        <v>6900</v>
      </c>
      <c r="AX616" s="12">
        <v>2</v>
      </c>
      <c r="AY616" s="11">
        <f t="shared" si="614"/>
        <v>120</v>
      </c>
      <c r="BA616" s="11">
        <f t="shared" si="615"/>
        <v>0</v>
      </c>
      <c r="BC616" s="11">
        <f t="shared" si="616"/>
        <v>0</v>
      </c>
      <c r="BE616" s="11">
        <f t="shared" si="617"/>
        <v>0</v>
      </c>
      <c r="BG616" s="11">
        <f t="shared" si="618"/>
        <v>0</v>
      </c>
      <c r="BN616" s="8">
        <f t="shared" si="596"/>
        <v>30107</v>
      </c>
      <c r="BO616" s="8">
        <f t="shared" si="597"/>
        <v>470775</v>
      </c>
      <c r="BP616" s="8">
        <f t="shared" si="599"/>
        <v>2487</v>
      </c>
      <c r="BQ616" s="12">
        <f t="shared" si="600"/>
        <v>84445</v>
      </c>
    </row>
    <row r="617" spans="1:69">
      <c r="A617" s="28">
        <v>1990</v>
      </c>
      <c r="B617" s="27" t="s">
        <v>55</v>
      </c>
      <c r="C617" s="24">
        <f t="shared" si="577"/>
        <v>582</v>
      </c>
      <c r="D617" s="7" t="e">
        <f t="shared" ca="1" si="575"/>
        <v>#N/A</v>
      </c>
      <c r="E617" s="26">
        <f t="array" aca="1" ref="E617" ca="1">AVERAGE(IF(INDIRECT(DatCol&amp;"$"&amp;TEXT(C617,"###")):INDIRECT(DatCol&amp;"$"&amp;TEXT(C617+57,"###"))&gt;0,INDIRECT(DatCol&amp;"$"&amp;TEXT(C617,"###")):INDIRECT(DatCol&amp;"$"&amp;TEXT(C617+57,"###"))))</f>
        <v>561.91875000000005</v>
      </c>
      <c r="F617" s="26" t="str">
        <f t="shared" si="619"/>
        <v>I</v>
      </c>
      <c r="G617" s="8">
        <v>275</v>
      </c>
      <c r="H617" s="8">
        <v>39</v>
      </c>
      <c r="I617" s="8">
        <v>218</v>
      </c>
      <c r="J617" s="8">
        <v>496</v>
      </c>
      <c r="K617" s="9">
        <f t="shared" si="598"/>
        <v>810</v>
      </c>
      <c r="L617" s="12">
        <v>572</v>
      </c>
      <c r="M617" s="11">
        <f t="shared" ref="M617:M647" si="620">(L617*50)</f>
        <v>28600</v>
      </c>
      <c r="N617" s="12">
        <v>375</v>
      </c>
      <c r="O617" s="11">
        <f t="shared" ref="O617:O647" si="621">(N617*50)</f>
        <v>18750</v>
      </c>
      <c r="P617" s="12">
        <v>3002</v>
      </c>
      <c r="Q617" s="11">
        <f t="shared" ref="Q617:Q647" si="622">((P617*330)/5.5)</f>
        <v>180120</v>
      </c>
      <c r="X617" s="12">
        <v>605</v>
      </c>
      <c r="Y617" s="11">
        <f t="shared" ref="Y617:Y647" si="623">((X617*330)/5.5)</f>
        <v>36300</v>
      </c>
      <c r="AF617" s="12">
        <v>1044</v>
      </c>
      <c r="AG617" s="11">
        <f t="shared" ref="AG617:AG647" si="624">(AF617*65)</f>
        <v>67860</v>
      </c>
      <c r="AH617" s="12">
        <v>605</v>
      </c>
      <c r="AI617" s="11">
        <f t="shared" ref="AI617:AI647" si="625">(AH617*65)</f>
        <v>39325</v>
      </c>
      <c r="AJ617" s="12">
        <v>13648</v>
      </c>
      <c r="AK617" s="13">
        <f t="shared" ref="AK617:AK647" si="626">(AJ617*9)</f>
        <v>122832</v>
      </c>
      <c r="AL617" s="12">
        <v>1045</v>
      </c>
      <c r="AM617" s="13">
        <f t="shared" ref="AM617:AM647" si="627">(AL617*9)</f>
        <v>9405</v>
      </c>
      <c r="AN617" s="12">
        <v>0</v>
      </c>
      <c r="AO617" s="11">
        <f t="shared" ref="AO617:AO647" si="628">(AN617*80)</f>
        <v>0</v>
      </c>
      <c r="AP617" s="12">
        <v>0</v>
      </c>
      <c r="AQ617" s="11">
        <f t="shared" ref="AQ617:AQ647" si="629">(AP617*80)</f>
        <v>0</v>
      </c>
      <c r="AR617" s="12">
        <v>0</v>
      </c>
      <c r="AS617" s="11">
        <f t="shared" ref="AS617:AS647" si="630">(AR617*50)</f>
        <v>0</v>
      </c>
      <c r="AT617" s="12">
        <v>0</v>
      </c>
      <c r="AU617" s="11">
        <f t="shared" ref="AU617:AU647" si="631">(AT617*50)</f>
        <v>0</v>
      </c>
      <c r="AV617" s="12">
        <f>990000/65</f>
        <v>15230.76923076923</v>
      </c>
      <c r="AW617" s="11">
        <f t="shared" ref="AW617:AW647" si="632">(AV617*60)</f>
        <v>913846.15384615387</v>
      </c>
      <c r="AX617" s="12">
        <v>0</v>
      </c>
      <c r="AY617" s="11">
        <f t="shared" ref="AY617:AY647" si="633">(AX617*60)</f>
        <v>0</v>
      </c>
      <c r="BA617" s="11">
        <f t="shared" ref="BA617:BA647" si="634">(AZ617*40)</f>
        <v>0</v>
      </c>
      <c r="BC617" s="11">
        <f t="shared" ref="BC617:BC647" si="635">(BB617*40)</f>
        <v>0</v>
      </c>
      <c r="BE617" s="11">
        <f t="shared" ref="BE617:BE647" si="636">(BD617*95)</f>
        <v>0</v>
      </c>
      <c r="BG617" s="11">
        <f t="shared" ref="BG617:BG647" si="637">(BF617*95)</f>
        <v>0</v>
      </c>
      <c r="BN617" s="8">
        <f t="shared" si="596"/>
        <v>34101.769230769234</v>
      </c>
      <c r="BO617" s="8">
        <f t="shared" si="597"/>
        <v>1349558.153846154</v>
      </c>
      <c r="BP617" s="8">
        <f t="shared" si="599"/>
        <v>2630</v>
      </c>
      <c r="BQ617" s="12">
        <f t="shared" si="600"/>
        <v>103780</v>
      </c>
    </row>
    <row r="618" spans="1:69">
      <c r="A618" s="28">
        <v>1991</v>
      </c>
      <c r="B618" s="27" t="s">
        <v>55</v>
      </c>
      <c r="C618" s="24">
        <f t="shared" si="577"/>
        <v>582</v>
      </c>
      <c r="D618" s="7" t="e">
        <f t="shared" ca="1" si="575"/>
        <v>#N/A</v>
      </c>
      <c r="E618" s="26">
        <f t="array" aca="1" ref="E618" ca="1">AVERAGE(IF(INDIRECT(DatCol&amp;"$"&amp;TEXT(C618,"###")):INDIRECT(DatCol&amp;"$"&amp;TEXT(C618+57,"###"))&gt;0,INDIRECT(DatCol&amp;"$"&amp;TEXT(C618,"###")):INDIRECT(DatCol&amp;"$"&amp;TEXT(C618+57,"###"))))</f>
        <v>561.91875000000005</v>
      </c>
      <c r="F618" s="26" t="str">
        <f t="shared" si="619"/>
        <v>I</v>
      </c>
      <c r="G618" s="8">
        <v>349</v>
      </c>
      <c r="H618" s="8">
        <v>50</v>
      </c>
      <c r="I618" s="8">
        <f>71+32+4+2+84</f>
        <v>193</v>
      </c>
      <c r="J618" s="8">
        <v>262</v>
      </c>
      <c r="K618" s="9">
        <f t="shared" si="598"/>
        <v>661</v>
      </c>
      <c r="L618" s="12">
        <v>1556</v>
      </c>
      <c r="M618" s="11">
        <f t="shared" si="620"/>
        <v>77800</v>
      </c>
      <c r="N618" s="12">
        <v>850</v>
      </c>
      <c r="O618" s="11">
        <f t="shared" si="621"/>
        <v>42500</v>
      </c>
      <c r="P618" s="12">
        <v>3827</v>
      </c>
      <c r="Q618" s="11">
        <f t="shared" si="622"/>
        <v>229620</v>
      </c>
      <c r="X618" s="12">
        <v>747</v>
      </c>
      <c r="Y618" s="11">
        <f t="shared" si="623"/>
        <v>44820</v>
      </c>
      <c r="AF618" s="12">
        <v>1020</v>
      </c>
      <c r="AG618" s="11">
        <f t="shared" si="624"/>
        <v>66300</v>
      </c>
      <c r="AH618" s="12">
        <v>176</v>
      </c>
      <c r="AI618" s="11">
        <f t="shared" si="625"/>
        <v>11440</v>
      </c>
      <c r="AJ618" s="12">
        <v>10361</v>
      </c>
      <c r="AK618" s="13">
        <f t="shared" si="626"/>
        <v>93249</v>
      </c>
      <c r="AL618" s="12">
        <v>804</v>
      </c>
      <c r="AM618" s="13">
        <f t="shared" si="627"/>
        <v>7236</v>
      </c>
      <c r="AO618" s="11">
        <f t="shared" si="628"/>
        <v>0</v>
      </c>
      <c r="AQ618" s="11">
        <f t="shared" si="629"/>
        <v>0</v>
      </c>
      <c r="AS618" s="11">
        <f t="shared" si="630"/>
        <v>0</v>
      </c>
      <c r="AU618" s="11">
        <f t="shared" si="631"/>
        <v>0</v>
      </c>
      <c r="AW618" s="11">
        <f t="shared" si="632"/>
        <v>0</v>
      </c>
      <c r="AY618" s="11">
        <f t="shared" si="633"/>
        <v>0</v>
      </c>
      <c r="BA618" s="11">
        <f t="shared" si="634"/>
        <v>0</v>
      </c>
      <c r="BC618" s="11">
        <f t="shared" si="635"/>
        <v>0</v>
      </c>
      <c r="BE618" s="11">
        <f t="shared" si="636"/>
        <v>0</v>
      </c>
      <c r="BG618" s="11">
        <f t="shared" si="637"/>
        <v>0</v>
      </c>
      <c r="BN618" s="8">
        <f t="shared" si="596"/>
        <v>17511</v>
      </c>
      <c r="BO618" s="8">
        <f t="shared" si="597"/>
        <v>511789</v>
      </c>
      <c r="BP618" s="8">
        <f t="shared" si="599"/>
        <v>2577</v>
      </c>
      <c r="BQ618" s="12">
        <f t="shared" si="600"/>
        <v>105996</v>
      </c>
    </row>
    <row r="619" spans="1:69">
      <c r="A619" s="28">
        <v>1992</v>
      </c>
      <c r="B619" s="27" t="s">
        <v>55</v>
      </c>
      <c r="C619" s="24">
        <f t="shared" si="577"/>
        <v>582</v>
      </c>
      <c r="D619" s="7" t="e">
        <f t="shared" ca="1" si="575"/>
        <v>#N/A</v>
      </c>
      <c r="E619" s="26">
        <f t="array" aca="1" ref="E619" ca="1">AVERAGE(IF(INDIRECT(DatCol&amp;"$"&amp;TEXT(C619,"###")):INDIRECT(DatCol&amp;"$"&amp;TEXT(C619+57,"###"))&gt;0,INDIRECT(DatCol&amp;"$"&amp;TEXT(C619,"###")):INDIRECT(DatCol&amp;"$"&amp;TEXT(C619+57,"###"))))</f>
        <v>561.91875000000005</v>
      </c>
      <c r="F619" s="26" t="str">
        <f t="shared" si="619"/>
        <v>I</v>
      </c>
      <c r="G619" s="8">
        <v>381</v>
      </c>
      <c r="H619" s="8">
        <v>48</v>
      </c>
      <c r="I619" s="8">
        <f>90+21+2+84+402</f>
        <v>599</v>
      </c>
      <c r="J619" s="8">
        <v>247</v>
      </c>
      <c r="K619" s="9">
        <f t="shared" si="598"/>
        <v>676</v>
      </c>
      <c r="L619" s="12">
        <v>1061</v>
      </c>
      <c r="M619" s="11">
        <f t="shared" si="620"/>
        <v>53050</v>
      </c>
      <c r="N619" s="12">
        <v>638</v>
      </c>
      <c r="O619" s="11">
        <f t="shared" si="621"/>
        <v>31900</v>
      </c>
      <c r="P619" s="12">
        <v>3489</v>
      </c>
      <c r="Q619" s="11">
        <f t="shared" si="622"/>
        <v>209340</v>
      </c>
      <c r="X619" s="12">
        <v>722</v>
      </c>
      <c r="Y619" s="11">
        <f t="shared" si="623"/>
        <v>43320</v>
      </c>
      <c r="AF619" s="12">
        <v>2296</v>
      </c>
      <c r="AG619" s="11">
        <f t="shared" si="624"/>
        <v>149240</v>
      </c>
      <c r="AH619" s="12">
        <v>88</v>
      </c>
      <c r="AI619" s="11">
        <f t="shared" si="625"/>
        <v>5720</v>
      </c>
      <c r="AJ619" s="12">
        <v>11484</v>
      </c>
      <c r="AK619" s="13">
        <f t="shared" si="626"/>
        <v>103356</v>
      </c>
      <c r="AL619" s="12">
        <v>980</v>
      </c>
      <c r="AM619" s="13">
        <f t="shared" si="627"/>
        <v>8820</v>
      </c>
      <c r="AO619" s="11">
        <f t="shared" si="628"/>
        <v>0</v>
      </c>
      <c r="AQ619" s="11">
        <f t="shared" si="629"/>
        <v>0</v>
      </c>
      <c r="AS619" s="11">
        <f t="shared" si="630"/>
        <v>0</v>
      </c>
      <c r="AU619" s="11">
        <f t="shared" si="631"/>
        <v>0</v>
      </c>
      <c r="AW619" s="11">
        <f t="shared" si="632"/>
        <v>0</v>
      </c>
      <c r="AY619" s="11">
        <f t="shared" si="633"/>
        <v>0</v>
      </c>
      <c r="BA619" s="11">
        <f t="shared" si="634"/>
        <v>0</v>
      </c>
      <c r="BC619" s="11">
        <f t="shared" si="635"/>
        <v>0</v>
      </c>
      <c r="BE619" s="11">
        <f t="shared" si="636"/>
        <v>0</v>
      </c>
      <c r="BG619" s="11">
        <f t="shared" si="637"/>
        <v>0</v>
      </c>
      <c r="BN619" s="8">
        <f t="shared" si="596"/>
        <v>19052</v>
      </c>
      <c r="BO619" s="8">
        <f t="shared" si="597"/>
        <v>558306</v>
      </c>
      <c r="BP619" s="8">
        <f t="shared" si="599"/>
        <v>2428</v>
      </c>
      <c r="BQ619" s="12">
        <f t="shared" si="600"/>
        <v>89760</v>
      </c>
    </row>
    <row r="620" spans="1:69">
      <c r="A620" s="28">
        <v>1993</v>
      </c>
      <c r="B620" s="27" t="s">
        <v>55</v>
      </c>
      <c r="C620" s="24">
        <f t="shared" si="577"/>
        <v>582</v>
      </c>
      <c r="D620" s="7" t="e">
        <f t="shared" ca="1" si="575"/>
        <v>#N/A</v>
      </c>
      <c r="E620" s="26">
        <f t="array" aca="1" ref="E620" ca="1">AVERAGE(IF(INDIRECT(DatCol&amp;"$"&amp;TEXT(C620,"###")):INDIRECT(DatCol&amp;"$"&amp;TEXT(C620+57,"###"))&gt;0,INDIRECT(DatCol&amp;"$"&amp;TEXT(C620,"###")):INDIRECT(DatCol&amp;"$"&amp;TEXT(C620+57,"###"))))</f>
        <v>561.91875000000005</v>
      </c>
      <c r="F620" s="26" t="str">
        <f t="shared" si="619"/>
        <v>I</v>
      </c>
      <c r="G620" s="8">
        <v>219</v>
      </c>
      <c r="H620" s="8">
        <v>137</v>
      </c>
      <c r="I620" s="8">
        <f>57+48+10+5+2</f>
        <v>122</v>
      </c>
      <c r="J620" s="8">
        <v>247</v>
      </c>
      <c r="K620" s="9">
        <f t="shared" si="598"/>
        <v>603</v>
      </c>
      <c r="L620" s="12">
        <v>734</v>
      </c>
      <c r="M620" s="11">
        <f t="shared" si="620"/>
        <v>36700</v>
      </c>
      <c r="N620" s="12">
        <v>499</v>
      </c>
      <c r="O620" s="11">
        <f t="shared" si="621"/>
        <v>24950</v>
      </c>
      <c r="P620" s="12">
        <v>1540</v>
      </c>
      <c r="Q620" s="11">
        <f t="shared" si="622"/>
        <v>92400</v>
      </c>
      <c r="X620" s="12">
        <v>470</v>
      </c>
      <c r="Y620" s="11">
        <f t="shared" si="623"/>
        <v>28200</v>
      </c>
      <c r="AF620" s="12">
        <v>2070</v>
      </c>
      <c r="AG620" s="11">
        <f t="shared" si="624"/>
        <v>134550</v>
      </c>
      <c r="AH620" s="12">
        <v>126</v>
      </c>
      <c r="AI620" s="11">
        <f t="shared" si="625"/>
        <v>8190</v>
      </c>
      <c r="AJ620" s="12">
        <v>3462</v>
      </c>
      <c r="AK620" s="13">
        <f t="shared" si="626"/>
        <v>31158</v>
      </c>
      <c r="AL620" s="12">
        <v>143</v>
      </c>
      <c r="AM620" s="13">
        <f t="shared" si="627"/>
        <v>1287</v>
      </c>
      <c r="AO620" s="11">
        <f t="shared" si="628"/>
        <v>0</v>
      </c>
      <c r="AQ620" s="11">
        <f t="shared" si="629"/>
        <v>0</v>
      </c>
      <c r="AS620" s="11">
        <f t="shared" si="630"/>
        <v>0</v>
      </c>
      <c r="AU620" s="11">
        <f t="shared" si="631"/>
        <v>0</v>
      </c>
      <c r="AW620" s="11">
        <f t="shared" si="632"/>
        <v>0</v>
      </c>
      <c r="AY620" s="11">
        <f t="shared" si="633"/>
        <v>0</v>
      </c>
      <c r="BA620" s="11">
        <f t="shared" si="634"/>
        <v>0</v>
      </c>
      <c r="BC620" s="11">
        <f t="shared" si="635"/>
        <v>0</v>
      </c>
      <c r="BE620" s="11">
        <f t="shared" si="636"/>
        <v>0</v>
      </c>
      <c r="BG620" s="11">
        <f t="shared" si="637"/>
        <v>0</v>
      </c>
      <c r="BN620" s="8">
        <f t="shared" si="596"/>
        <v>8276</v>
      </c>
      <c r="BO620" s="8">
        <f t="shared" si="597"/>
        <v>323008</v>
      </c>
      <c r="BP620" s="8">
        <f t="shared" si="599"/>
        <v>1238</v>
      </c>
      <c r="BQ620" s="12">
        <f t="shared" si="600"/>
        <v>62627</v>
      </c>
    </row>
    <row r="621" spans="1:69">
      <c r="A621" s="28">
        <v>1994</v>
      </c>
      <c r="B621" s="27" t="s">
        <v>55</v>
      </c>
      <c r="C621" s="24">
        <f t="shared" si="577"/>
        <v>582</v>
      </c>
      <c r="D621" s="7" t="e">
        <f t="shared" ca="1" si="575"/>
        <v>#N/A</v>
      </c>
      <c r="E621" s="26">
        <f t="array" aca="1" ref="E621" ca="1">AVERAGE(IF(INDIRECT(DatCol&amp;"$"&amp;TEXT(C621,"###")):INDIRECT(DatCol&amp;"$"&amp;TEXT(C621+57,"###"))&gt;0,INDIRECT(DatCol&amp;"$"&amp;TEXT(C621,"###")):INDIRECT(DatCol&amp;"$"&amp;TEXT(C621+57,"###"))))</f>
        <v>561.91875000000005</v>
      </c>
      <c r="F621" s="26" t="str">
        <f t="shared" si="619"/>
        <v>I</v>
      </c>
      <c r="G621" s="8">
        <v>238</v>
      </c>
      <c r="H621" s="8">
        <v>162</v>
      </c>
      <c r="I621" s="8">
        <f>34+46+52+10+2</f>
        <v>144</v>
      </c>
      <c r="J621" s="8">
        <f>468-238</f>
        <v>230</v>
      </c>
      <c r="K621" s="9">
        <f t="shared" si="598"/>
        <v>630</v>
      </c>
      <c r="L621" s="12">
        <v>1557</v>
      </c>
      <c r="M621" s="11">
        <f t="shared" si="620"/>
        <v>77850</v>
      </c>
      <c r="N621" s="12">
        <v>779</v>
      </c>
      <c r="O621" s="11">
        <f t="shared" si="621"/>
        <v>38950</v>
      </c>
      <c r="P621" s="12">
        <v>2074</v>
      </c>
      <c r="Q621" s="11">
        <f t="shared" si="622"/>
        <v>124440</v>
      </c>
      <c r="X621" s="12">
        <v>752</v>
      </c>
      <c r="Y621" s="11">
        <f t="shared" si="623"/>
        <v>45120</v>
      </c>
      <c r="AF621" s="12">
        <v>190</v>
      </c>
      <c r="AG621" s="11">
        <f t="shared" si="624"/>
        <v>12350</v>
      </c>
      <c r="AH621" s="12">
        <v>105</v>
      </c>
      <c r="AI621" s="11">
        <f t="shared" si="625"/>
        <v>6825</v>
      </c>
      <c r="AJ621" s="12">
        <v>2958</v>
      </c>
      <c r="AK621" s="13">
        <f t="shared" si="626"/>
        <v>26622</v>
      </c>
      <c r="AL621" s="12">
        <v>426</v>
      </c>
      <c r="AM621" s="13">
        <f t="shared" si="627"/>
        <v>3834</v>
      </c>
      <c r="AN621" s="12">
        <v>0</v>
      </c>
      <c r="AO621" s="11">
        <f t="shared" si="628"/>
        <v>0</v>
      </c>
      <c r="AP621" s="12">
        <v>0</v>
      </c>
      <c r="AQ621" s="11">
        <f t="shared" si="629"/>
        <v>0</v>
      </c>
      <c r="AR621" s="12">
        <v>0</v>
      </c>
      <c r="AS621" s="11">
        <f t="shared" si="630"/>
        <v>0</v>
      </c>
      <c r="AT621" s="12">
        <v>0</v>
      </c>
      <c r="AU621" s="11">
        <f t="shared" si="631"/>
        <v>0</v>
      </c>
      <c r="AV621" s="12">
        <v>0</v>
      </c>
      <c r="AW621" s="11">
        <f t="shared" si="632"/>
        <v>0</v>
      </c>
      <c r="AX621" s="12">
        <v>0</v>
      </c>
      <c r="AY621" s="11">
        <f t="shared" si="633"/>
        <v>0</v>
      </c>
      <c r="AZ621" s="12">
        <v>0</v>
      </c>
      <c r="BA621" s="11">
        <f t="shared" si="634"/>
        <v>0</v>
      </c>
      <c r="BB621" s="12">
        <v>0</v>
      </c>
      <c r="BC621" s="11">
        <f t="shared" si="635"/>
        <v>0</v>
      </c>
      <c r="BD621" s="12">
        <v>0</v>
      </c>
      <c r="BE621" s="11">
        <f t="shared" si="636"/>
        <v>0</v>
      </c>
      <c r="BF621" s="12">
        <v>0</v>
      </c>
      <c r="BG621" s="11">
        <f t="shared" si="637"/>
        <v>0</v>
      </c>
      <c r="BH621" s="13">
        <v>0</v>
      </c>
      <c r="BI621" s="13">
        <v>0</v>
      </c>
      <c r="BN621" s="8">
        <f t="shared" si="596"/>
        <v>7531</v>
      </c>
      <c r="BO621" s="8">
        <f t="shared" si="597"/>
        <v>286382</v>
      </c>
      <c r="BP621" s="8">
        <f t="shared" si="599"/>
        <v>2062</v>
      </c>
      <c r="BQ621" s="12">
        <f t="shared" si="600"/>
        <v>94729</v>
      </c>
    </row>
    <row r="622" spans="1:69">
      <c r="A622" s="28">
        <v>1995</v>
      </c>
      <c r="B622" s="27" t="s">
        <v>55</v>
      </c>
      <c r="C622" s="24">
        <f t="shared" si="577"/>
        <v>582</v>
      </c>
      <c r="D622" s="7" t="e">
        <f t="shared" ca="1" si="575"/>
        <v>#N/A</v>
      </c>
      <c r="E622" s="26">
        <f t="array" aca="1" ref="E622" ca="1">AVERAGE(IF(INDIRECT(DatCol&amp;"$"&amp;TEXT(C622,"###")):INDIRECT(DatCol&amp;"$"&amp;TEXT(C622+57,"###"))&gt;0,INDIRECT(DatCol&amp;"$"&amp;TEXT(C622,"###")):INDIRECT(DatCol&amp;"$"&amp;TEXT(C622+57,"###"))))</f>
        <v>561.91875000000005</v>
      </c>
      <c r="F622" s="26" t="str">
        <f t="shared" si="619"/>
        <v>I</v>
      </c>
      <c r="G622" s="8">
        <v>269</v>
      </c>
      <c r="H622" s="8">
        <v>170</v>
      </c>
      <c r="I622" s="8">
        <f>29+38+53+8+3+1</f>
        <v>132</v>
      </c>
      <c r="J622" s="8">
        <v>298</v>
      </c>
      <c r="K622" s="9">
        <f t="shared" si="598"/>
        <v>737</v>
      </c>
      <c r="L622" s="12">
        <v>1739</v>
      </c>
      <c r="M622" s="11">
        <f t="shared" si="620"/>
        <v>86950</v>
      </c>
      <c r="N622" s="12">
        <v>660</v>
      </c>
      <c r="O622" s="11">
        <f t="shared" si="621"/>
        <v>33000</v>
      </c>
      <c r="P622" s="12">
        <v>1944</v>
      </c>
      <c r="Q622" s="11">
        <f t="shared" si="622"/>
        <v>116640</v>
      </c>
      <c r="X622" s="12">
        <v>614</v>
      </c>
      <c r="Y622" s="11">
        <f t="shared" si="623"/>
        <v>36840</v>
      </c>
      <c r="AF622" s="12">
        <v>360</v>
      </c>
      <c r="AG622" s="11">
        <f t="shared" si="624"/>
        <v>23400</v>
      </c>
      <c r="AH622" s="12">
        <v>109</v>
      </c>
      <c r="AI622" s="11">
        <f t="shared" si="625"/>
        <v>7085</v>
      </c>
      <c r="AJ622" s="12">
        <v>4419</v>
      </c>
      <c r="AK622" s="13">
        <f t="shared" si="626"/>
        <v>39771</v>
      </c>
      <c r="AL622" s="12">
        <v>623</v>
      </c>
      <c r="AM622" s="13">
        <f t="shared" si="627"/>
        <v>5607</v>
      </c>
      <c r="AN622" s="12">
        <v>0</v>
      </c>
      <c r="AO622" s="11">
        <f t="shared" si="628"/>
        <v>0</v>
      </c>
      <c r="AP622" s="12">
        <v>0</v>
      </c>
      <c r="AQ622" s="11">
        <f t="shared" si="629"/>
        <v>0</v>
      </c>
      <c r="AR622" s="12">
        <v>0</v>
      </c>
      <c r="AS622" s="11">
        <f t="shared" si="630"/>
        <v>0</v>
      </c>
      <c r="AT622" s="12">
        <v>0</v>
      </c>
      <c r="AU622" s="11">
        <f t="shared" si="631"/>
        <v>0</v>
      </c>
      <c r="AV622" s="12">
        <v>0</v>
      </c>
      <c r="AW622" s="11">
        <f t="shared" si="632"/>
        <v>0</v>
      </c>
      <c r="AX622" s="12">
        <v>0</v>
      </c>
      <c r="AY622" s="11">
        <f t="shared" si="633"/>
        <v>0</v>
      </c>
      <c r="AZ622" s="12">
        <v>0</v>
      </c>
      <c r="BA622" s="11">
        <f t="shared" si="634"/>
        <v>0</v>
      </c>
      <c r="BB622" s="12">
        <v>0</v>
      </c>
      <c r="BC622" s="11">
        <f t="shared" si="635"/>
        <v>0</v>
      </c>
      <c r="BD622" s="12">
        <v>0</v>
      </c>
      <c r="BE622" s="11">
        <f t="shared" si="636"/>
        <v>0</v>
      </c>
      <c r="BF622" s="12">
        <v>0</v>
      </c>
      <c r="BG622" s="11">
        <f t="shared" si="637"/>
        <v>0</v>
      </c>
      <c r="BH622" s="13">
        <v>0</v>
      </c>
      <c r="BI622" s="13">
        <v>0</v>
      </c>
      <c r="BN622" s="8">
        <f t="shared" si="596"/>
        <v>9076</v>
      </c>
      <c r="BO622" s="8">
        <f t="shared" si="597"/>
        <v>303601</v>
      </c>
      <c r="BP622" s="8">
        <f t="shared" si="599"/>
        <v>2006</v>
      </c>
      <c r="BQ622" s="12">
        <f t="shared" si="600"/>
        <v>82532</v>
      </c>
    </row>
    <row r="623" spans="1:69">
      <c r="A623" s="28">
        <v>1996</v>
      </c>
      <c r="B623" s="27" t="s">
        <v>55</v>
      </c>
      <c r="C623" s="24">
        <f t="shared" si="577"/>
        <v>582</v>
      </c>
      <c r="D623" s="7" t="e">
        <f t="shared" ca="1" si="575"/>
        <v>#N/A</v>
      </c>
      <c r="E623" s="26">
        <f t="array" aca="1" ref="E623" ca="1">AVERAGE(IF(INDIRECT(DatCol&amp;"$"&amp;TEXT(C623,"###")):INDIRECT(DatCol&amp;"$"&amp;TEXT(C623+57,"###"))&gt;0,INDIRECT(DatCol&amp;"$"&amp;TEXT(C623,"###")):INDIRECT(DatCol&amp;"$"&amp;TEXT(C623+57,"###"))))</f>
        <v>561.91875000000005</v>
      </c>
      <c r="F623" s="26" t="str">
        <f t="shared" si="619"/>
        <v>I</v>
      </c>
      <c r="G623" s="8">
        <v>244</v>
      </c>
      <c r="H623" s="8">
        <v>204</v>
      </c>
      <c r="I623" s="8">
        <f>21+42+26+5+2</f>
        <v>96</v>
      </c>
      <c r="J623" s="8">
        <v>455</v>
      </c>
      <c r="K623" s="9">
        <f t="shared" si="598"/>
        <v>903</v>
      </c>
      <c r="L623" s="12">
        <v>1635</v>
      </c>
      <c r="M623" s="11">
        <f t="shared" si="620"/>
        <v>81750</v>
      </c>
      <c r="N623" s="12">
        <v>665</v>
      </c>
      <c r="O623" s="11">
        <f t="shared" si="621"/>
        <v>33250</v>
      </c>
      <c r="P623" s="12">
        <v>1799</v>
      </c>
      <c r="Q623" s="11">
        <f t="shared" si="622"/>
        <v>107940</v>
      </c>
      <c r="X623" s="12">
        <v>670</v>
      </c>
      <c r="Y623" s="11">
        <f t="shared" si="623"/>
        <v>40200</v>
      </c>
      <c r="AF623" s="12">
        <v>25</v>
      </c>
      <c r="AG623" s="11">
        <f t="shared" si="624"/>
        <v>1625</v>
      </c>
      <c r="AH623" s="12">
        <v>120</v>
      </c>
      <c r="AI623" s="11">
        <f t="shared" si="625"/>
        <v>7800</v>
      </c>
      <c r="AJ623" s="12">
        <v>2359</v>
      </c>
      <c r="AK623" s="13">
        <f t="shared" si="626"/>
        <v>21231</v>
      </c>
      <c r="AL623" s="12">
        <v>712</v>
      </c>
      <c r="AM623" s="13">
        <f t="shared" si="627"/>
        <v>6408</v>
      </c>
      <c r="AN623" s="12">
        <v>0</v>
      </c>
      <c r="AO623" s="11">
        <f t="shared" si="628"/>
        <v>0</v>
      </c>
      <c r="AP623" s="12">
        <v>0</v>
      </c>
      <c r="AQ623" s="11">
        <f t="shared" si="629"/>
        <v>0</v>
      </c>
      <c r="AR623" s="12">
        <v>0</v>
      </c>
      <c r="AS623" s="11">
        <f t="shared" si="630"/>
        <v>0</v>
      </c>
      <c r="AT623" s="12">
        <v>0</v>
      </c>
      <c r="AU623" s="11">
        <f t="shared" si="631"/>
        <v>0</v>
      </c>
      <c r="AV623" s="12">
        <v>0</v>
      </c>
      <c r="AW623" s="11">
        <f t="shared" si="632"/>
        <v>0</v>
      </c>
      <c r="AX623" s="12">
        <v>0</v>
      </c>
      <c r="AY623" s="11">
        <f t="shared" si="633"/>
        <v>0</v>
      </c>
      <c r="AZ623" s="12">
        <v>0</v>
      </c>
      <c r="BA623" s="11">
        <f t="shared" si="634"/>
        <v>0</v>
      </c>
      <c r="BB623" s="12">
        <v>0</v>
      </c>
      <c r="BC623" s="11">
        <f t="shared" si="635"/>
        <v>0</v>
      </c>
      <c r="BD623" s="12">
        <v>0</v>
      </c>
      <c r="BE623" s="11">
        <f t="shared" si="636"/>
        <v>0</v>
      </c>
      <c r="BF623" s="12">
        <v>0</v>
      </c>
      <c r="BG623" s="11">
        <f t="shared" si="637"/>
        <v>0</v>
      </c>
      <c r="BH623" s="13">
        <v>0</v>
      </c>
      <c r="BI623" s="13">
        <v>0</v>
      </c>
      <c r="BN623" s="8">
        <f t="shared" si="596"/>
        <v>6488</v>
      </c>
      <c r="BO623" s="8">
        <f t="shared" si="597"/>
        <v>252746</v>
      </c>
      <c r="BP623" s="8">
        <f t="shared" si="599"/>
        <v>2167</v>
      </c>
      <c r="BQ623" s="12">
        <f t="shared" si="600"/>
        <v>87658</v>
      </c>
    </row>
    <row r="624" spans="1:69">
      <c r="A624" s="28">
        <v>1997</v>
      </c>
      <c r="B624" s="27" t="s">
        <v>55</v>
      </c>
      <c r="C624" s="24">
        <f t="shared" si="577"/>
        <v>582</v>
      </c>
      <c r="D624" s="7" t="e">
        <f t="shared" ca="1" si="575"/>
        <v>#N/A</v>
      </c>
      <c r="E624" s="26">
        <f t="array" aca="1" ref="E624" ca="1">AVERAGE(IF(INDIRECT(DatCol&amp;"$"&amp;TEXT(C624,"###")):INDIRECT(DatCol&amp;"$"&amp;TEXT(C624+57,"###"))&gt;0,INDIRECT(DatCol&amp;"$"&amp;TEXT(C624,"###")):INDIRECT(DatCol&amp;"$"&amp;TEXT(C624+57,"###"))))</f>
        <v>561.91875000000005</v>
      </c>
      <c r="F624" s="26" t="str">
        <f t="shared" si="619"/>
        <v>I</v>
      </c>
      <c r="G624" s="8">
        <v>327</v>
      </c>
      <c r="H624" s="8">
        <v>230</v>
      </c>
      <c r="I624" s="8">
        <v>100</v>
      </c>
      <c r="J624" s="8">
        <v>454</v>
      </c>
      <c r="K624" s="9">
        <f t="shared" si="598"/>
        <v>1011</v>
      </c>
      <c r="L624" s="12">
        <v>1781</v>
      </c>
      <c r="M624" s="11">
        <f t="shared" si="620"/>
        <v>89050</v>
      </c>
      <c r="N624" s="12">
        <v>344</v>
      </c>
      <c r="O624" s="11">
        <f t="shared" si="621"/>
        <v>17200</v>
      </c>
      <c r="P624" s="12">
        <v>2157</v>
      </c>
      <c r="Q624" s="11">
        <f t="shared" si="622"/>
        <v>129420</v>
      </c>
      <c r="X624" s="12">
        <v>883</v>
      </c>
      <c r="Y624" s="11">
        <f t="shared" si="623"/>
        <v>52980</v>
      </c>
      <c r="AF624" s="12">
        <v>229</v>
      </c>
      <c r="AG624" s="11">
        <f t="shared" si="624"/>
        <v>14885</v>
      </c>
      <c r="AH624" s="12">
        <v>205</v>
      </c>
      <c r="AI624" s="11">
        <f t="shared" si="625"/>
        <v>13325</v>
      </c>
      <c r="AJ624" s="12">
        <v>2223</v>
      </c>
      <c r="AK624" s="13">
        <f t="shared" si="626"/>
        <v>20007</v>
      </c>
      <c r="AL624" s="12">
        <v>197</v>
      </c>
      <c r="AM624" s="13">
        <f t="shared" si="627"/>
        <v>1773</v>
      </c>
      <c r="AN624" s="12">
        <v>0</v>
      </c>
      <c r="AO624" s="11">
        <f t="shared" si="628"/>
        <v>0</v>
      </c>
      <c r="AP624" s="12">
        <v>0</v>
      </c>
      <c r="AQ624" s="11">
        <f t="shared" si="629"/>
        <v>0</v>
      </c>
      <c r="AR624" s="12">
        <v>0</v>
      </c>
      <c r="AS624" s="11">
        <f t="shared" si="630"/>
        <v>0</v>
      </c>
      <c r="AT624" s="12">
        <v>0</v>
      </c>
      <c r="AU624" s="11">
        <f t="shared" si="631"/>
        <v>0</v>
      </c>
      <c r="AV624" s="12">
        <v>0</v>
      </c>
      <c r="AW624" s="11">
        <f t="shared" si="632"/>
        <v>0</v>
      </c>
      <c r="AX624" s="12">
        <v>0</v>
      </c>
      <c r="AY624" s="11">
        <f t="shared" si="633"/>
        <v>0</v>
      </c>
      <c r="AZ624" s="12">
        <v>0</v>
      </c>
      <c r="BA624" s="11">
        <f t="shared" si="634"/>
        <v>0</v>
      </c>
      <c r="BB624" s="12">
        <v>0</v>
      </c>
      <c r="BC624" s="11">
        <f t="shared" si="635"/>
        <v>0</v>
      </c>
      <c r="BD624" s="12">
        <v>0</v>
      </c>
      <c r="BE624" s="11">
        <f t="shared" si="636"/>
        <v>0</v>
      </c>
      <c r="BF624" s="12">
        <v>0</v>
      </c>
      <c r="BG624" s="11">
        <f t="shared" si="637"/>
        <v>0</v>
      </c>
      <c r="BH624" s="13">
        <v>0</v>
      </c>
      <c r="BI624" s="13">
        <v>0</v>
      </c>
      <c r="BN624" s="8">
        <f t="shared" si="596"/>
        <v>7273</v>
      </c>
      <c r="BO624" s="8">
        <f t="shared" si="597"/>
        <v>306342</v>
      </c>
      <c r="BP624" s="8">
        <f t="shared" si="599"/>
        <v>1629</v>
      </c>
      <c r="BQ624" s="12">
        <f t="shared" si="600"/>
        <v>85278</v>
      </c>
    </row>
    <row r="625" spans="1:69">
      <c r="A625" s="28">
        <v>1998</v>
      </c>
      <c r="B625" s="27" t="s">
        <v>55</v>
      </c>
      <c r="C625" s="24">
        <f t="shared" si="577"/>
        <v>582</v>
      </c>
      <c r="D625" s="7" t="e">
        <f t="shared" ca="1" si="575"/>
        <v>#N/A</v>
      </c>
      <c r="E625" s="26">
        <f t="array" aca="1" ref="E625" ca="1">AVERAGE(IF(INDIRECT(DatCol&amp;"$"&amp;TEXT(C625,"###")):INDIRECT(DatCol&amp;"$"&amp;TEXT(C625+57,"###"))&gt;0,INDIRECT(DatCol&amp;"$"&amp;TEXT(C625,"###")):INDIRECT(DatCol&amp;"$"&amp;TEXT(C625+57,"###"))))</f>
        <v>561.91875000000005</v>
      </c>
      <c r="F625" s="26" t="str">
        <f t="shared" si="619"/>
        <v>I</v>
      </c>
      <c r="G625" s="8">
        <v>260</v>
      </c>
      <c r="H625" s="8">
        <v>210</v>
      </c>
      <c r="I625" s="8">
        <v>108</v>
      </c>
      <c r="J625" s="8">
        <v>479</v>
      </c>
      <c r="K625" s="9">
        <f t="shared" si="598"/>
        <v>949</v>
      </c>
      <c r="L625" s="12">
        <v>2187</v>
      </c>
      <c r="M625" s="11">
        <f>L625*50</f>
        <v>109350</v>
      </c>
      <c r="N625" s="12">
        <v>444</v>
      </c>
      <c r="O625" s="11">
        <f>N625*50</f>
        <v>22200</v>
      </c>
      <c r="P625" s="12">
        <v>1949</v>
      </c>
      <c r="Q625" s="11">
        <f>P625*60</f>
        <v>116940</v>
      </c>
      <c r="R625" s="10">
        <v>0</v>
      </c>
      <c r="S625" s="11">
        <v>0</v>
      </c>
      <c r="T625" s="10">
        <v>0</v>
      </c>
      <c r="U625" s="11">
        <v>0</v>
      </c>
      <c r="V625" s="10">
        <v>0</v>
      </c>
      <c r="W625" s="11">
        <v>0</v>
      </c>
      <c r="X625" s="12">
        <v>690</v>
      </c>
      <c r="Y625" s="11">
        <f>X625*60</f>
        <v>41400</v>
      </c>
      <c r="Z625" s="10">
        <v>0</v>
      </c>
      <c r="AA625" s="11">
        <v>0</v>
      </c>
      <c r="AB625" s="10">
        <v>0</v>
      </c>
      <c r="AC625" s="11">
        <v>0</v>
      </c>
      <c r="AD625" s="10">
        <v>0</v>
      </c>
      <c r="AE625" s="11">
        <v>0</v>
      </c>
      <c r="AF625" s="12">
        <v>545</v>
      </c>
      <c r="AG625" s="11">
        <f>AF625*50</f>
        <v>27250</v>
      </c>
      <c r="AH625" s="12">
        <v>165</v>
      </c>
      <c r="AI625" s="11">
        <f>AH625*50</f>
        <v>8250</v>
      </c>
      <c r="AJ625" s="12">
        <v>2166</v>
      </c>
      <c r="AK625" s="13">
        <f>AJ625*9</f>
        <v>19494</v>
      </c>
      <c r="AL625" s="12">
        <v>247</v>
      </c>
      <c r="AM625" s="13">
        <f>AL625*9</f>
        <v>2223</v>
      </c>
      <c r="AN625" s="12">
        <v>0</v>
      </c>
      <c r="AO625" s="11">
        <v>0</v>
      </c>
      <c r="AP625" s="12">
        <v>0</v>
      </c>
      <c r="AQ625" s="11">
        <v>0</v>
      </c>
      <c r="AR625" s="12">
        <v>0</v>
      </c>
      <c r="AS625" s="11">
        <v>0</v>
      </c>
      <c r="AT625" s="12">
        <v>0</v>
      </c>
      <c r="AU625" s="11">
        <v>0</v>
      </c>
      <c r="AV625" s="12">
        <v>0</v>
      </c>
      <c r="AW625" s="11">
        <v>0</v>
      </c>
      <c r="AX625" s="12">
        <v>0</v>
      </c>
      <c r="AY625" s="11">
        <v>0</v>
      </c>
      <c r="AZ625" s="12">
        <v>0</v>
      </c>
      <c r="BA625" s="11">
        <v>0</v>
      </c>
      <c r="BB625" s="12">
        <v>0</v>
      </c>
      <c r="BC625" s="11">
        <v>0</v>
      </c>
      <c r="BD625" s="12">
        <v>0</v>
      </c>
      <c r="BE625" s="11">
        <f t="shared" si="636"/>
        <v>0</v>
      </c>
      <c r="BF625" s="12"/>
      <c r="BH625" s="13"/>
      <c r="BI625" s="13"/>
      <c r="BN625" s="8">
        <f t="shared" si="596"/>
        <v>7537</v>
      </c>
      <c r="BO625" s="8">
        <f t="shared" si="597"/>
        <v>314434</v>
      </c>
      <c r="BP625" s="8">
        <f t="shared" si="599"/>
        <v>1546</v>
      </c>
      <c r="BQ625" s="12">
        <f t="shared" si="600"/>
        <v>74073</v>
      </c>
    </row>
    <row r="626" spans="1:69">
      <c r="A626" s="28">
        <v>1999</v>
      </c>
      <c r="B626" s="27" t="s">
        <v>55</v>
      </c>
      <c r="C626" s="24">
        <f t="shared" si="577"/>
        <v>582</v>
      </c>
      <c r="D626" s="7" t="e">
        <f t="shared" ca="1" si="575"/>
        <v>#N/A</v>
      </c>
      <c r="E626" s="26">
        <f t="array" aca="1" ref="E626" ca="1">AVERAGE(IF(INDIRECT(DatCol&amp;"$"&amp;TEXT(C626,"###")):INDIRECT(DatCol&amp;"$"&amp;TEXT(C626+57,"###"))&gt;0,INDIRECT(DatCol&amp;"$"&amp;TEXT(C626,"###")):INDIRECT(DatCol&amp;"$"&amp;TEXT(C626+57,"###"))))</f>
        <v>561.91875000000005</v>
      </c>
      <c r="F626" s="26" t="str">
        <f t="shared" si="619"/>
        <v>I</v>
      </c>
      <c r="G626" s="8">
        <v>335</v>
      </c>
      <c r="H626" s="8">
        <v>16</v>
      </c>
      <c r="I626" s="8">
        <v>81</v>
      </c>
      <c r="J626" s="8">
        <v>442</v>
      </c>
      <c r="K626" s="9">
        <f t="shared" si="598"/>
        <v>793</v>
      </c>
      <c r="L626" s="12">
        <f>M626/50</f>
        <v>774</v>
      </c>
      <c r="M626" s="11">
        <v>38700</v>
      </c>
      <c r="N626" s="12">
        <f>O626/50</f>
        <v>853</v>
      </c>
      <c r="O626" s="11">
        <v>42650</v>
      </c>
      <c r="P626" s="12">
        <f>Q626/75</f>
        <v>635.20000000000005</v>
      </c>
      <c r="Q626" s="11">
        <v>47640</v>
      </c>
      <c r="X626" s="12">
        <f>Y626/75</f>
        <v>635.20000000000005</v>
      </c>
      <c r="Y626" s="11">
        <v>47640</v>
      </c>
      <c r="AF626" s="12">
        <f>AG626/47.5</f>
        <v>189.47368421052633</v>
      </c>
      <c r="AG626" s="11">
        <v>9000</v>
      </c>
      <c r="AH626" s="12">
        <v>189.5</v>
      </c>
      <c r="AI626" s="11">
        <v>9000</v>
      </c>
      <c r="AJ626" s="12">
        <f>AK626/9</f>
        <v>7527.7777777777774</v>
      </c>
      <c r="AK626" s="13">
        <v>67750</v>
      </c>
      <c r="AL626" s="12">
        <f>AM626/9</f>
        <v>2500</v>
      </c>
      <c r="AM626" s="13">
        <v>22500</v>
      </c>
      <c r="AN626" s="12">
        <v>0</v>
      </c>
      <c r="AO626" s="11">
        <v>0</v>
      </c>
      <c r="AP626" s="12">
        <v>0</v>
      </c>
      <c r="AQ626" s="11">
        <v>0</v>
      </c>
      <c r="AR626" s="12">
        <v>0</v>
      </c>
      <c r="AS626" s="11">
        <v>0</v>
      </c>
      <c r="AT626" s="12">
        <v>0</v>
      </c>
      <c r="AU626" s="11">
        <v>0</v>
      </c>
      <c r="AV626" s="12">
        <v>0</v>
      </c>
      <c r="AW626" s="11">
        <v>0</v>
      </c>
      <c r="AX626" s="12">
        <v>0</v>
      </c>
      <c r="AY626" s="11">
        <v>0</v>
      </c>
      <c r="AZ626" s="12">
        <v>0</v>
      </c>
      <c r="BA626" s="11">
        <v>0</v>
      </c>
      <c r="BB626" s="12">
        <v>0</v>
      </c>
      <c r="BC626" s="11">
        <v>0</v>
      </c>
      <c r="BD626" s="12">
        <v>0</v>
      </c>
      <c r="BE626" s="11">
        <v>0</v>
      </c>
      <c r="BF626" s="12">
        <v>0</v>
      </c>
      <c r="BG626" s="11">
        <v>0</v>
      </c>
      <c r="BH626" s="13">
        <v>0</v>
      </c>
      <c r="BI626" s="13">
        <v>0</v>
      </c>
      <c r="BJ626" s="10">
        <v>0</v>
      </c>
      <c r="BN626" s="8">
        <f t="shared" si="596"/>
        <v>9761.6514619883037</v>
      </c>
      <c r="BO626" s="8">
        <f t="shared" si="597"/>
        <v>210730</v>
      </c>
      <c r="BP626" s="8">
        <f t="shared" si="599"/>
        <v>4177.7</v>
      </c>
      <c r="BQ626" s="12">
        <f t="shared" si="600"/>
        <v>121790</v>
      </c>
    </row>
    <row r="627" spans="1:69">
      <c r="A627" s="28">
        <v>2000</v>
      </c>
      <c r="B627" s="27" t="s">
        <v>55</v>
      </c>
      <c r="C627" s="24">
        <f t="shared" si="577"/>
        <v>582</v>
      </c>
      <c r="D627" s="7" t="e">
        <f t="shared" ca="1" si="575"/>
        <v>#N/A</v>
      </c>
      <c r="E627" s="26">
        <f t="array" aca="1" ref="E627" ca="1">AVERAGE(IF(INDIRECT(DatCol&amp;"$"&amp;TEXT(C627,"###")):INDIRECT(DatCol&amp;"$"&amp;TEXT(C627+57,"###"))&gt;0,INDIRECT(DatCol&amp;"$"&amp;TEXT(C627,"###")):INDIRECT(DatCol&amp;"$"&amp;TEXT(C627+57,"###"))))</f>
        <v>561.91875000000005</v>
      </c>
      <c r="F627" s="26" t="str">
        <f t="shared" si="619"/>
        <v>I</v>
      </c>
      <c r="G627" s="8">
        <v>298</v>
      </c>
      <c r="H627" s="8">
        <v>251</v>
      </c>
      <c r="I627" s="8">
        <f>25+22+15+4+39</f>
        <v>105</v>
      </c>
      <c r="J627" s="8">
        <v>461</v>
      </c>
      <c r="K627" s="9">
        <f t="shared" si="598"/>
        <v>1010</v>
      </c>
      <c r="L627" s="12">
        <f>534*1.2</f>
        <v>640.79999999999995</v>
      </c>
      <c r="M627" s="11">
        <f>L627*50</f>
        <v>32039.999999999996</v>
      </c>
      <c r="N627" s="12">
        <f>501*1.2</f>
        <v>601.19999999999993</v>
      </c>
      <c r="O627" s="11">
        <f>N627*50</f>
        <v>30059.999999999996</v>
      </c>
      <c r="P627" s="12">
        <f>570*1.2</f>
        <v>684</v>
      </c>
      <c r="Q627" s="11">
        <f>P627*75</f>
        <v>51300</v>
      </c>
      <c r="R627" s="10">
        <v>0</v>
      </c>
      <c r="S627" s="11">
        <v>0</v>
      </c>
      <c r="T627" s="10">
        <v>0</v>
      </c>
      <c r="U627" s="11">
        <v>0</v>
      </c>
      <c r="V627" s="10">
        <v>0</v>
      </c>
      <c r="W627" s="11">
        <v>0</v>
      </c>
      <c r="X627" s="12">
        <f>880*1.2</f>
        <v>1056</v>
      </c>
      <c r="Y627" s="11">
        <f>X627*75</f>
        <v>79200</v>
      </c>
      <c r="Z627" s="10">
        <v>0</v>
      </c>
      <c r="AA627" s="11">
        <v>0</v>
      </c>
      <c r="AB627" s="10">
        <v>0</v>
      </c>
      <c r="AC627" s="11">
        <v>0</v>
      </c>
      <c r="AD627" s="10">
        <v>0</v>
      </c>
      <c r="AE627" s="11">
        <v>0</v>
      </c>
      <c r="AF627" s="12">
        <f>500*1.2</f>
        <v>600</v>
      </c>
      <c r="AG627" s="11">
        <f>AF627*47.5</f>
        <v>28500</v>
      </c>
      <c r="AH627" s="12">
        <f>87*1.2</f>
        <v>104.39999999999999</v>
      </c>
      <c r="AI627" s="11">
        <f>AH627*47.5</f>
        <v>4959</v>
      </c>
      <c r="AJ627" s="12">
        <f>3307*1.2</f>
        <v>3968.3999999999996</v>
      </c>
      <c r="AK627" s="13">
        <f>AJ627*9</f>
        <v>35715.599999999999</v>
      </c>
      <c r="AL627" s="12">
        <f>197*1.2</f>
        <v>236.39999999999998</v>
      </c>
      <c r="AM627" s="13">
        <f>AL627*9</f>
        <v>2127.6</v>
      </c>
      <c r="AN627" s="12">
        <v>0</v>
      </c>
      <c r="AO627" s="11">
        <v>0</v>
      </c>
      <c r="AP627" s="12">
        <v>0</v>
      </c>
      <c r="AQ627" s="11">
        <v>0</v>
      </c>
      <c r="AR627" s="12">
        <v>0</v>
      </c>
      <c r="AS627" s="11">
        <v>0</v>
      </c>
      <c r="AT627" s="12">
        <v>0</v>
      </c>
      <c r="AU627" s="11">
        <v>0</v>
      </c>
      <c r="AV627" s="12">
        <v>0</v>
      </c>
      <c r="AW627" s="11">
        <v>0</v>
      </c>
      <c r="AX627" s="12">
        <v>0</v>
      </c>
      <c r="AY627" s="11">
        <v>0</v>
      </c>
      <c r="AZ627" s="12">
        <v>0</v>
      </c>
      <c r="BA627" s="11">
        <v>0</v>
      </c>
      <c r="BB627" s="12">
        <v>0</v>
      </c>
      <c r="BC627" s="11">
        <v>0</v>
      </c>
      <c r="BD627" s="12">
        <v>0</v>
      </c>
      <c r="BF627" s="12"/>
      <c r="BH627" s="13"/>
      <c r="BI627" s="13"/>
      <c r="BN627" s="8">
        <f t="shared" si="596"/>
        <v>6949.2</v>
      </c>
      <c r="BO627" s="8">
        <f t="shared" si="597"/>
        <v>226755.6</v>
      </c>
      <c r="BP627" s="8">
        <f t="shared" si="599"/>
        <v>1998</v>
      </c>
      <c r="BQ627" s="12">
        <f t="shared" si="600"/>
        <v>116346.6</v>
      </c>
    </row>
    <row r="628" spans="1:69">
      <c r="A628" s="28">
        <v>2001</v>
      </c>
      <c r="B628" s="27" t="s">
        <v>55</v>
      </c>
      <c r="C628" s="24">
        <f t="shared" si="577"/>
        <v>582</v>
      </c>
      <c r="D628" s="7" t="e">
        <f t="shared" ca="1" si="575"/>
        <v>#N/A</v>
      </c>
      <c r="E628" s="26">
        <f t="array" aca="1" ref="E628" ca="1">AVERAGE(IF(INDIRECT(DatCol&amp;"$"&amp;TEXT(C628,"###")):INDIRECT(DatCol&amp;"$"&amp;TEXT(C628+57,"###"))&gt;0,INDIRECT(DatCol&amp;"$"&amp;TEXT(C628,"###")):INDIRECT(DatCol&amp;"$"&amp;TEXT(C628+57,"###"))))</f>
        <v>561.91875000000005</v>
      </c>
      <c r="F628" s="26" t="str">
        <f t="shared" si="619"/>
        <v>I</v>
      </c>
      <c r="G628" s="8">
        <v>309</v>
      </c>
      <c r="H628" s="8">
        <f>35+256</f>
        <v>291</v>
      </c>
      <c r="I628" s="8">
        <f>29+39+34+15+4+2</f>
        <v>123</v>
      </c>
      <c r="J628" s="8">
        <v>558</v>
      </c>
      <c r="K628" s="9">
        <f t="shared" si="598"/>
        <v>1158</v>
      </c>
      <c r="L628" s="12">
        <f>678*1.2</f>
        <v>813.6</v>
      </c>
      <c r="M628" s="11">
        <f>L628*50</f>
        <v>40680</v>
      </c>
      <c r="N628" s="12">
        <f>556*1.2</f>
        <v>667.19999999999993</v>
      </c>
      <c r="O628" s="11">
        <f>N628*50</f>
        <v>33360</v>
      </c>
      <c r="P628" s="12">
        <f>1726*1.2</f>
        <v>2071.1999999999998</v>
      </c>
      <c r="Q628" s="11">
        <f>P628*75</f>
        <v>155340</v>
      </c>
      <c r="R628" s="10">
        <v>0</v>
      </c>
      <c r="S628" s="11">
        <v>0</v>
      </c>
      <c r="T628" s="10">
        <v>0</v>
      </c>
      <c r="U628" s="11">
        <v>0</v>
      </c>
      <c r="V628" s="10">
        <v>0</v>
      </c>
      <c r="W628" s="11">
        <v>0</v>
      </c>
      <c r="X628" s="12">
        <f>785*1.2</f>
        <v>942</v>
      </c>
      <c r="Y628" s="11">
        <f>X628*75</f>
        <v>70650</v>
      </c>
      <c r="Z628" s="10">
        <v>0</v>
      </c>
      <c r="AA628" s="11">
        <v>0</v>
      </c>
      <c r="AB628" s="10">
        <v>0</v>
      </c>
      <c r="AC628" s="11">
        <v>0</v>
      </c>
      <c r="AD628" s="10">
        <v>0</v>
      </c>
      <c r="AE628" s="11">
        <v>0</v>
      </c>
      <c r="AF628" s="12">
        <f>448*1.2</f>
        <v>537.6</v>
      </c>
      <c r="AG628" s="11">
        <f>AF628*47.5</f>
        <v>25536</v>
      </c>
      <c r="AH628" s="12">
        <f>132*1.2</f>
        <v>158.4</v>
      </c>
      <c r="AI628" s="11">
        <f>AH628*47.5</f>
        <v>7524</v>
      </c>
      <c r="AJ628" s="12">
        <f>9893*1.2</f>
        <v>11871.6</v>
      </c>
      <c r="AK628" s="13">
        <f>AJ628*9</f>
        <v>106844.40000000001</v>
      </c>
      <c r="AL628" s="12">
        <f>529*1.2</f>
        <v>634.79999999999995</v>
      </c>
      <c r="AM628" s="13">
        <f>AL628*9</f>
        <v>5713.2</v>
      </c>
      <c r="AN628" s="12">
        <v>0</v>
      </c>
      <c r="AO628" s="11">
        <v>0</v>
      </c>
      <c r="AP628" s="12">
        <v>0</v>
      </c>
      <c r="AQ628" s="11">
        <v>0</v>
      </c>
      <c r="AR628" s="12">
        <v>0</v>
      </c>
      <c r="AS628" s="11">
        <v>0</v>
      </c>
      <c r="AT628" s="12">
        <v>0</v>
      </c>
      <c r="AU628" s="11">
        <v>0</v>
      </c>
      <c r="AV628" s="12">
        <v>0</v>
      </c>
      <c r="AW628" s="11">
        <v>0</v>
      </c>
      <c r="AX628" s="12">
        <v>0</v>
      </c>
      <c r="AY628" s="11">
        <v>0</v>
      </c>
      <c r="AZ628" s="12">
        <v>0</v>
      </c>
      <c r="BA628" s="11">
        <v>0</v>
      </c>
      <c r="BB628" s="12">
        <v>0</v>
      </c>
      <c r="BC628" s="11">
        <v>0</v>
      </c>
      <c r="BD628" s="12">
        <v>0</v>
      </c>
      <c r="BF628" s="12"/>
      <c r="BH628" s="13"/>
      <c r="BI628" s="13"/>
      <c r="BN628" s="8">
        <f t="shared" si="596"/>
        <v>16236</v>
      </c>
      <c r="BO628" s="8">
        <f t="shared" si="597"/>
        <v>399050.4</v>
      </c>
      <c r="BP628" s="8">
        <f t="shared" si="599"/>
        <v>2402.3999999999996</v>
      </c>
      <c r="BQ628" s="12">
        <f t="shared" si="600"/>
        <v>117247.2</v>
      </c>
    </row>
    <row r="629" spans="1:69">
      <c r="A629" s="28">
        <v>2002</v>
      </c>
      <c r="B629" s="27" t="s">
        <v>55</v>
      </c>
      <c r="C629" s="24">
        <f t="shared" si="577"/>
        <v>582</v>
      </c>
      <c r="D629" s="7" t="e">
        <f t="shared" ca="1" si="575"/>
        <v>#N/A</v>
      </c>
      <c r="E629" s="26">
        <f t="array" aca="1" ref="E629" ca="1">AVERAGE(IF(INDIRECT(DatCol&amp;"$"&amp;TEXT(C629,"###")):INDIRECT(DatCol&amp;"$"&amp;TEXT(C629+57,"###"))&gt;0,INDIRECT(DatCol&amp;"$"&amp;TEXT(C629,"###")):INDIRECT(DatCol&amp;"$"&amp;TEXT(C629+57,"###"))))</f>
        <v>561.91875000000005</v>
      </c>
      <c r="F629" s="26" t="str">
        <f t="shared" si="619"/>
        <v>I</v>
      </c>
      <c r="G629" s="8">
        <v>324</v>
      </c>
      <c r="H629" s="8">
        <f>52+290</f>
        <v>342</v>
      </c>
      <c r="I629" s="8">
        <f>39+39+41+8+6</f>
        <v>133</v>
      </c>
      <c r="J629" s="8">
        <v>570</v>
      </c>
      <c r="K629" s="9">
        <f t="shared" si="598"/>
        <v>1236</v>
      </c>
      <c r="L629" s="12">
        <f>288*1.2</f>
        <v>345.59999999999997</v>
      </c>
      <c r="M629" s="11">
        <f>L629*50</f>
        <v>17280</v>
      </c>
      <c r="N629" s="12">
        <f>365*1.2</f>
        <v>438</v>
      </c>
      <c r="O629" s="11">
        <f>N629*50</f>
        <v>21900</v>
      </c>
      <c r="P629" s="12">
        <f>613*1.2</f>
        <v>735.6</v>
      </c>
      <c r="Q629" s="11">
        <f>P629*75</f>
        <v>55170</v>
      </c>
      <c r="R629" s="10">
        <v>0</v>
      </c>
      <c r="S629" s="11">
        <v>0</v>
      </c>
      <c r="T629" s="10">
        <v>0</v>
      </c>
      <c r="U629" s="11">
        <v>0</v>
      </c>
      <c r="V629" s="10">
        <v>0</v>
      </c>
      <c r="W629" s="11">
        <v>0</v>
      </c>
      <c r="X629" s="12">
        <f>572*1.2</f>
        <v>686.4</v>
      </c>
      <c r="Y629" s="11">
        <f>X629*75</f>
        <v>51480</v>
      </c>
      <c r="Z629" s="10">
        <v>0</v>
      </c>
      <c r="AA629" s="11">
        <v>0</v>
      </c>
      <c r="AB629" s="10">
        <v>0</v>
      </c>
      <c r="AC629" s="11">
        <v>0</v>
      </c>
      <c r="AD629" s="10">
        <v>0</v>
      </c>
      <c r="AE629" s="11">
        <v>0</v>
      </c>
      <c r="AF629" s="12">
        <f>490*1.2</f>
        <v>588</v>
      </c>
      <c r="AG629" s="11">
        <f>AF629*47.5</f>
        <v>27930</v>
      </c>
      <c r="AH629" s="12">
        <f>65*1.2</f>
        <v>78</v>
      </c>
      <c r="AI629" s="11">
        <f>AH629*47.5</f>
        <v>3705</v>
      </c>
      <c r="AJ629" s="12">
        <f>7930*1.2</f>
        <v>9516</v>
      </c>
      <c r="AK629" s="13">
        <f>AJ629*9</f>
        <v>85644</v>
      </c>
      <c r="AL629" s="12">
        <f>207*1.2</f>
        <v>248.39999999999998</v>
      </c>
      <c r="AM629" s="13">
        <f>AL629*9</f>
        <v>2235.6</v>
      </c>
      <c r="AN629" s="12">
        <v>0</v>
      </c>
      <c r="AO629" s="11">
        <v>0</v>
      </c>
      <c r="AP629" s="12">
        <v>0</v>
      </c>
      <c r="AQ629" s="11">
        <v>0</v>
      </c>
      <c r="AR629" s="12">
        <v>0</v>
      </c>
      <c r="AS629" s="11">
        <v>0</v>
      </c>
      <c r="AT629" s="12">
        <v>0</v>
      </c>
      <c r="AU629" s="11">
        <v>0</v>
      </c>
      <c r="AV629" s="12">
        <v>0</v>
      </c>
      <c r="AW629" s="11">
        <v>0</v>
      </c>
      <c r="AX629" s="12">
        <v>0</v>
      </c>
      <c r="AY629" s="11">
        <v>0</v>
      </c>
      <c r="AZ629" s="12">
        <v>0</v>
      </c>
      <c r="BA629" s="11">
        <v>0</v>
      </c>
      <c r="BB629" s="12">
        <v>0</v>
      </c>
      <c r="BC629" s="11">
        <v>0</v>
      </c>
      <c r="BD629" s="12">
        <v>0</v>
      </c>
      <c r="BF629" s="12"/>
      <c r="BH629" s="13"/>
      <c r="BI629" s="13"/>
      <c r="BN629" s="8">
        <f t="shared" si="596"/>
        <v>11871.6</v>
      </c>
      <c r="BO629" s="8">
        <f t="shared" si="597"/>
        <v>237504</v>
      </c>
      <c r="BP629" s="8">
        <f t="shared" si="599"/>
        <v>1450.8000000000002</v>
      </c>
      <c r="BQ629" s="12">
        <f t="shared" si="600"/>
        <v>79320.600000000006</v>
      </c>
    </row>
    <row r="630" spans="1:69">
      <c r="A630" s="28">
        <v>2003</v>
      </c>
      <c r="B630" s="27" t="s">
        <v>55</v>
      </c>
      <c r="C630" s="24">
        <f t="shared" si="577"/>
        <v>582</v>
      </c>
      <c r="D630" s="7" t="e">
        <f t="shared" ca="1" si="575"/>
        <v>#N/A</v>
      </c>
      <c r="E630" s="26">
        <f t="array" aca="1" ref="E630" ca="1">AVERAGE(IF(INDIRECT(DatCol&amp;"$"&amp;TEXT(C630,"###")):INDIRECT(DatCol&amp;"$"&amp;TEXT(C630+57,"###"))&gt;0,INDIRECT(DatCol&amp;"$"&amp;TEXT(C630,"###")):INDIRECT(DatCol&amp;"$"&amp;TEXT(C630+57,"###"))))</f>
        <v>561.91875000000005</v>
      </c>
      <c r="F630" s="26" t="str">
        <f t="shared" si="619"/>
        <v>I</v>
      </c>
      <c r="G630" s="8"/>
      <c r="H630" s="8">
        <f>4+24+289+45</f>
        <v>362</v>
      </c>
      <c r="I630" s="8">
        <f>30+36+39+9+1+2</f>
        <v>117</v>
      </c>
      <c r="J630" s="8">
        <f>100+514</f>
        <v>614</v>
      </c>
      <c r="K630" s="9">
        <f t="shared" si="598"/>
        <v>976</v>
      </c>
      <c r="L630" s="12">
        <v>127</v>
      </c>
      <c r="M630" s="11">
        <f>L630*50</f>
        <v>6350</v>
      </c>
      <c r="N630" s="12">
        <v>107</v>
      </c>
      <c r="O630" s="11">
        <f>N630*50</f>
        <v>5350</v>
      </c>
      <c r="P630" s="12">
        <v>419</v>
      </c>
      <c r="Q630" s="11">
        <f>P630*75</f>
        <v>31425</v>
      </c>
      <c r="R630" s="10">
        <v>0</v>
      </c>
      <c r="S630" s="11">
        <v>0</v>
      </c>
      <c r="T630" s="10">
        <v>0</v>
      </c>
      <c r="U630" s="11">
        <v>0</v>
      </c>
      <c r="V630" s="10">
        <v>0</v>
      </c>
      <c r="W630" s="11">
        <v>0</v>
      </c>
      <c r="X630" s="12">
        <v>587</v>
      </c>
      <c r="Y630" s="11">
        <f>X630*75</f>
        <v>44025</v>
      </c>
      <c r="Z630" s="10">
        <v>0</v>
      </c>
      <c r="AA630" s="11">
        <v>0</v>
      </c>
      <c r="AB630" s="10">
        <v>0</v>
      </c>
      <c r="AC630" s="11">
        <v>0</v>
      </c>
      <c r="AD630" s="10">
        <v>0</v>
      </c>
      <c r="AE630" s="11">
        <v>0</v>
      </c>
      <c r="AF630" s="12">
        <v>285</v>
      </c>
      <c r="AG630" s="11">
        <f>AF630*47.5</f>
        <v>13537.5</v>
      </c>
      <c r="AH630" s="12">
        <v>72</v>
      </c>
      <c r="AI630" s="11">
        <f>AH630*47.5</f>
        <v>3420</v>
      </c>
      <c r="AJ630" s="12">
        <v>6875</v>
      </c>
      <c r="AK630" s="13">
        <f>AJ630*9</f>
        <v>61875</v>
      </c>
      <c r="AL630" s="12">
        <v>210</v>
      </c>
      <c r="AM630" s="13">
        <f>AL630*9</f>
        <v>1890</v>
      </c>
      <c r="AN630" s="12"/>
      <c r="AP630" s="12"/>
      <c r="AR630" s="12"/>
      <c r="AT630" s="12"/>
      <c r="AV630" s="12"/>
      <c r="AX630" s="12"/>
      <c r="AZ630" s="12"/>
      <c r="BB630" s="12"/>
      <c r="BD630" s="12"/>
      <c r="BF630" s="12"/>
      <c r="BH630" s="13"/>
      <c r="BI630" s="13"/>
      <c r="BN630" s="8">
        <f t="shared" si="596"/>
        <v>8293</v>
      </c>
      <c r="BO630" s="8">
        <f t="shared" si="597"/>
        <v>157212.5</v>
      </c>
      <c r="BP630" s="8">
        <f t="shared" si="599"/>
        <v>976</v>
      </c>
      <c r="BQ630" s="12">
        <f t="shared" si="600"/>
        <v>54685</v>
      </c>
    </row>
    <row r="631" spans="1:69">
      <c r="A631" s="28">
        <v>2004</v>
      </c>
      <c r="B631" s="27" t="s">
        <v>55</v>
      </c>
      <c r="C631" s="24">
        <f t="shared" si="577"/>
        <v>582</v>
      </c>
      <c r="D631" s="7" t="e">
        <f t="shared" ca="1" si="575"/>
        <v>#N/A</v>
      </c>
      <c r="E631" s="26">
        <f t="array" aca="1" ref="E631" ca="1">AVERAGE(IF(INDIRECT(DatCol&amp;"$"&amp;TEXT(C631,"###")):INDIRECT(DatCol&amp;"$"&amp;TEXT(C631+57,"###"))&gt;0,INDIRECT(DatCol&amp;"$"&amp;TEXT(C631,"###")):INDIRECT(DatCol&amp;"$"&amp;TEXT(C631+57,"###"))))</f>
        <v>561.91875000000005</v>
      </c>
      <c r="F631" s="26" t="str">
        <f t="shared" si="619"/>
        <v>I</v>
      </c>
      <c r="G631" s="8"/>
      <c r="H631" s="8">
        <f>23+241</f>
        <v>264</v>
      </c>
      <c r="I631" s="8">
        <f>25+37+34+8+1+7</f>
        <v>112</v>
      </c>
      <c r="J631" s="8">
        <f>480+386</f>
        <v>866</v>
      </c>
      <c r="K631" s="9">
        <f t="shared" si="598"/>
        <v>1130</v>
      </c>
      <c r="L631" s="12">
        <v>401</v>
      </c>
      <c r="M631" s="11">
        <f>L631*50</f>
        <v>20050</v>
      </c>
      <c r="N631" s="12">
        <v>106</v>
      </c>
      <c r="O631" s="11">
        <f>N631*50</f>
        <v>5300</v>
      </c>
      <c r="P631" s="12">
        <v>336</v>
      </c>
      <c r="Q631" s="11">
        <f>P631*75</f>
        <v>25200</v>
      </c>
      <c r="R631" s="10">
        <v>0</v>
      </c>
      <c r="S631" s="11">
        <v>0</v>
      </c>
      <c r="T631" s="10">
        <v>0</v>
      </c>
      <c r="U631" s="11">
        <v>0</v>
      </c>
      <c r="V631" s="10">
        <v>0</v>
      </c>
      <c r="W631" s="11">
        <v>0</v>
      </c>
      <c r="X631" s="12">
        <v>598</v>
      </c>
      <c r="Y631" s="11">
        <f>X631*75</f>
        <v>44850</v>
      </c>
      <c r="Z631" s="10">
        <v>0</v>
      </c>
      <c r="AA631" s="11">
        <v>0</v>
      </c>
      <c r="AB631" s="10">
        <v>0</v>
      </c>
      <c r="AC631" s="11">
        <v>0</v>
      </c>
      <c r="AD631" s="10">
        <v>0</v>
      </c>
      <c r="AE631" s="11">
        <v>0</v>
      </c>
      <c r="AF631" s="12">
        <v>336</v>
      </c>
      <c r="AG631" s="11">
        <f>AF631*47.5</f>
        <v>15960</v>
      </c>
      <c r="AH631" s="12">
        <v>65</v>
      </c>
      <c r="AI631" s="11">
        <f>AH631*47.5</f>
        <v>3087.5</v>
      </c>
      <c r="AJ631" s="12">
        <v>1552</v>
      </c>
      <c r="AK631" s="13">
        <f>AJ631*9</f>
        <v>13968</v>
      </c>
      <c r="AL631" s="12">
        <v>81</v>
      </c>
      <c r="AM631" s="13">
        <f>AL631*9</f>
        <v>729</v>
      </c>
      <c r="AN631" s="12"/>
      <c r="AP631" s="12"/>
      <c r="AR631" s="12"/>
      <c r="AT631" s="12"/>
      <c r="AV631" s="12"/>
      <c r="AX631" s="12"/>
      <c r="AZ631" s="12"/>
      <c r="BB631" s="12"/>
      <c r="BD631" s="12"/>
      <c r="BF631" s="12"/>
      <c r="BH631" s="13"/>
      <c r="BI631" s="13"/>
      <c r="BN631" s="8">
        <f t="shared" si="596"/>
        <v>3223</v>
      </c>
      <c r="BO631" s="8">
        <f t="shared" si="597"/>
        <v>120028</v>
      </c>
      <c r="BP631" s="8">
        <f t="shared" si="599"/>
        <v>850</v>
      </c>
      <c r="BQ631" s="12">
        <f t="shared" si="600"/>
        <v>53966.5</v>
      </c>
    </row>
    <row r="632" spans="1:69">
      <c r="A632" s="28">
        <v>2005</v>
      </c>
      <c r="B632" s="27" t="s">
        <v>55</v>
      </c>
      <c r="C632" s="24">
        <f t="shared" si="577"/>
        <v>582</v>
      </c>
      <c r="D632" s="7" t="e">
        <f t="shared" ca="1" si="575"/>
        <v>#N/A</v>
      </c>
      <c r="E632" s="26">
        <f t="array" aca="1" ref="E632" ca="1">AVERAGE(IF(INDIRECT(DatCol&amp;"$"&amp;TEXT(C632,"###")):INDIRECT(DatCol&amp;"$"&amp;TEXT(C632+57,"###"))&gt;0,INDIRECT(DatCol&amp;"$"&amp;TEXT(C632,"###")):INDIRECT(DatCol&amp;"$"&amp;TEXT(C632+57,"###"))))</f>
        <v>561.91875000000005</v>
      </c>
      <c r="F632" s="26" t="str">
        <f t="shared" si="619"/>
        <v>I</v>
      </c>
      <c r="G632" s="8"/>
      <c r="H632" s="8"/>
      <c r="I632" s="8"/>
      <c r="J632" s="8"/>
      <c r="K632" s="9">
        <f t="shared" si="598"/>
        <v>0</v>
      </c>
      <c r="L632" s="12"/>
      <c r="N632" s="12"/>
      <c r="P632" s="12"/>
      <c r="X632" s="12"/>
      <c r="AF632" s="12"/>
      <c r="AH632" s="12"/>
      <c r="AJ632" s="12"/>
      <c r="AK632" s="13"/>
      <c r="AL632" s="12"/>
      <c r="AM632" s="13"/>
      <c r="AN632" s="12"/>
      <c r="AP632" s="12"/>
      <c r="AR632" s="12"/>
      <c r="AT632" s="12"/>
      <c r="AV632" s="12"/>
      <c r="AX632" s="12"/>
      <c r="AZ632" s="12"/>
      <c r="BB632" s="12"/>
      <c r="BD632" s="12"/>
      <c r="BF632" s="12"/>
      <c r="BH632" s="13"/>
      <c r="BI632" s="13"/>
      <c r="BN632" s="8">
        <f t="shared" si="596"/>
        <v>0</v>
      </c>
      <c r="BO632" s="8">
        <f t="shared" si="597"/>
        <v>0</v>
      </c>
      <c r="BP632" s="8">
        <f t="shared" si="599"/>
        <v>0</v>
      </c>
      <c r="BQ632" s="12">
        <f t="shared" si="600"/>
        <v>0</v>
      </c>
    </row>
    <row r="633" spans="1:69">
      <c r="A633" s="28">
        <v>2006</v>
      </c>
      <c r="B633" s="27" t="s">
        <v>55</v>
      </c>
      <c r="C633" s="24">
        <f t="shared" si="577"/>
        <v>582</v>
      </c>
      <c r="D633" s="7" t="e">
        <f t="shared" ca="1" si="575"/>
        <v>#N/A</v>
      </c>
      <c r="E633" s="26">
        <f t="array" aca="1" ref="E633" ca="1">AVERAGE(IF(INDIRECT(DatCol&amp;"$"&amp;TEXT(C633,"###")):INDIRECT(DatCol&amp;"$"&amp;TEXT(C633+57,"###"))&gt;0,INDIRECT(DatCol&amp;"$"&amp;TEXT(C633,"###")):INDIRECT(DatCol&amp;"$"&amp;TEXT(C633+57,"###"))))</f>
        <v>561.91875000000005</v>
      </c>
      <c r="F633" s="26" t="str">
        <f t="shared" si="619"/>
        <v>I</v>
      </c>
      <c r="G633" s="8"/>
      <c r="H633" s="8"/>
      <c r="I633" s="8"/>
      <c r="J633" s="8"/>
      <c r="K633" s="9">
        <f t="shared" si="598"/>
        <v>0</v>
      </c>
      <c r="L633" s="12"/>
      <c r="N633" s="12"/>
      <c r="P633" s="12"/>
      <c r="X633" s="12"/>
      <c r="AF633" s="12"/>
      <c r="AH633" s="12"/>
      <c r="AJ633" s="12"/>
      <c r="AK633" s="13"/>
      <c r="AL633" s="12"/>
      <c r="AM633" s="13"/>
      <c r="AN633" s="12"/>
      <c r="AP633" s="12"/>
      <c r="AR633" s="12"/>
      <c r="AT633" s="12"/>
      <c r="AV633" s="12"/>
      <c r="AX633" s="12"/>
      <c r="AZ633" s="12"/>
      <c r="BB633" s="12"/>
      <c r="BD633" s="12"/>
      <c r="BF633" s="12"/>
      <c r="BH633" s="13"/>
      <c r="BI633" s="13"/>
      <c r="BN633" s="8">
        <f t="shared" si="596"/>
        <v>0</v>
      </c>
      <c r="BO633" s="8">
        <f t="shared" si="597"/>
        <v>0</v>
      </c>
      <c r="BP633" s="8">
        <f t="shared" si="599"/>
        <v>0</v>
      </c>
      <c r="BQ633" s="12">
        <f t="shared" si="600"/>
        <v>0</v>
      </c>
    </row>
    <row r="634" spans="1:69">
      <c r="A634" s="28">
        <v>2007</v>
      </c>
      <c r="B634" s="27" t="s">
        <v>55</v>
      </c>
      <c r="C634" s="24">
        <f t="shared" si="577"/>
        <v>582</v>
      </c>
      <c r="D634" s="7" t="e">
        <f t="shared" ca="1" si="575"/>
        <v>#N/A</v>
      </c>
      <c r="E634" s="26">
        <f t="array" aca="1" ref="E634" ca="1">AVERAGE(IF(INDIRECT(DatCol&amp;"$"&amp;TEXT(C634,"###")):INDIRECT(DatCol&amp;"$"&amp;TEXT(C634+57,"###"))&gt;0,INDIRECT(DatCol&amp;"$"&amp;TEXT(C634,"###")):INDIRECT(DatCol&amp;"$"&amp;TEXT(C634+57,"###"))))</f>
        <v>561.91875000000005</v>
      </c>
      <c r="F634" s="26" t="str">
        <f t="shared" si="619"/>
        <v>I</v>
      </c>
      <c r="G634" s="8"/>
      <c r="H634" s="8"/>
      <c r="I634" s="8"/>
      <c r="J634" s="8"/>
      <c r="K634" s="9">
        <f t="shared" si="598"/>
        <v>0</v>
      </c>
      <c r="L634" s="12"/>
      <c r="N634" s="12"/>
      <c r="P634" s="12"/>
      <c r="X634" s="12"/>
      <c r="AF634" s="12"/>
      <c r="AH634" s="12"/>
      <c r="AJ634" s="12"/>
      <c r="AK634" s="13"/>
      <c r="AL634" s="12"/>
      <c r="AM634" s="13"/>
      <c r="AN634" s="12"/>
      <c r="AP634" s="12"/>
      <c r="AR634" s="12"/>
      <c r="AT634" s="12"/>
      <c r="AV634" s="12"/>
      <c r="AX634" s="12"/>
      <c r="AZ634" s="12"/>
      <c r="BB634" s="12"/>
      <c r="BD634" s="12"/>
      <c r="BF634" s="12"/>
      <c r="BH634" s="13"/>
      <c r="BI634" s="13"/>
      <c r="BN634" s="8">
        <f t="shared" si="596"/>
        <v>0</v>
      </c>
      <c r="BO634" s="8">
        <f t="shared" si="597"/>
        <v>0</v>
      </c>
      <c r="BP634" s="8">
        <f t="shared" si="599"/>
        <v>0</v>
      </c>
      <c r="BQ634" s="12">
        <f t="shared" si="600"/>
        <v>0</v>
      </c>
    </row>
    <row r="635" spans="1:69">
      <c r="A635" s="28">
        <v>2008</v>
      </c>
      <c r="B635" s="27" t="s">
        <v>55</v>
      </c>
      <c r="C635" s="24">
        <f t="shared" si="577"/>
        <v>582</v>
      </c>
      <c r="D635" s="7" t="e">
        <f t="shared" ca="1" si="575"/>
        <v>#N/A</v>
      </c>
      <c r="E635" s="26">
        <f t="array" aca="1" ref="E635" ca="1">AVERAGE(IF(INDIRECT(DatCol&amp;"$"&amp;TEXT(C635,"###")):INDIRECT(DatCol&amp;"$"&amp;TEXT(C635+57,"###"))&gt;0,INDIRECT(DatCol&amp;"$"&amp;TEXT(C635,"###")):INDIRECT(DatCol&amp;"$"&amp;TEXT(C635+57,"###"))))</f>
        <v>561.91875000000005</v>
      </c>
      <c r="F635" s="26" t="str">
        <f t="shared" si="619"/>
        <v>I</v>
      </c>
      <c r="G635" s="8"/>
      <c r="H635" s="8"/>
      <c r="I635" s="8"/>
      <c r="J635" s="8"/>
      <c r="K635" s="9">
        <f t="shared" si="598"/>
        <v>0</v>
      </c>
      <c r="L635" s="12"/>
      <c r="N635" s="12"/>
      <c r="P635" s="12"/>
      <c r="X635" s="12"/>
      <c r="AF635" s="12"/>
      <c r="AH635" s="12"/>
      <c r="AJ635" s="12"/>
      <c r="AK635" s="13"/>
      <c r="AL635" s="12"/>
      <c r="AM635" s="13"/>
      <c r="AN635" s="12"/>
      <c r="AP635" s="12"/>
      <c r="AR635" s="12"/>
      <c r="AT635" s="12"/>
      <c r="AV635" s="12"/>
      <c r="AX635" s="12"/>
      <c r="AZ635" s="12"/>
      <c r="BB635" s="12"/>
      <c r="BD635" s="12"/>
      <c r="BF635" s="12"/>
      <c r="BH635" s="13"/>
      <c r="BI635" s="13"/>
      <c r="BN635" s="8">
        <f t="shared" si="596"/>
        <v>0</v>
      </c>
      <c r="BO635" s="8">
        <f t="shared" si="597"/>
        <v>0</v>
      </c>
      <c r="BP635" s="8">
        <f t="shared" si="599"/>
        <v>0</v>
      </c>
      <c r="BQ635" s="12">
        <f t="shared" si="600"/>
        <v>0</v>
      </c>
    </row>
    <row r="636" spans="1:69">
      <c r="A636" s="28">
        <v>2009</v>
      </c>
      <c r="B636" s="27" t="s">
        <v>55</v>
      </c>
      <c r="C636" s="24">
        <f t="shared" si="577"/>
        <v>582</v>
      </c>
      <c r="D636" s="7" t="e">
        <f t="shared" ca="1" si="575"/>
        <v>#N/A</v>
      </c>
      <c r="E636" s="26">
        <f t="array" aca="1" ref="E636" ca="1">AVERAGE(IF(INDIRECT(DatCol&amp;"$"&amp;TEXT(C636,"###")):INDIRECT(DatCol&amp;"$"&amp;TEXT(C636+57,"###"))&gt;0,INDIRECT(DatCol&amp;"$"&amp;TEXT(C636,"###")):INDIRECT(DatCol&amp;"$"&amp;TEXT(C636+57,"###"))))</f>
        <v>561.91875000000005</v>
      </c>
      <c r="F636" s="26" t="str">
        <f t="shared" si="619"/>
        <v>I</v>
      </c>
      <c r="K636" s="9">
        <f t="shared" si="598"/>
        <v>0</v>
      </c>
      <c r="AK636" s="13"/>
      <c r="AM636" s="13"/>
      <c r="BN636" s="8">
        <f t="shared" si="596"/>
        <v>0</v>
      </c>
      <c r="BO636" s="8">
        <f t="shared" si="597"/>
        <v>0</v>
      </c>
      <c r="BP636" s="8">
        <f t="shared" si="599"/>
        <v>0</v>
      </c>
      <c r="BQ636" s="12">
        <f t="shared" si="600"/>
        <v>0</v>
      </c>
    </row>
    <row r="637" spans="1:69">
      <c r="A637" s="28">
        <v>2010</v>
      </c>
      <c r="B637" s="27" t="s">
        <v>55</v>
      </c>
      <c r="C637" s="24">
        <f t="shared" si="577"/>
        <v>582</v>
      </c>
      <c r="D637" s="7" t="e">
        <f t="shared" ca="1" si="575"/>
        <v>#N/A</v>
      </c>
      <c r="E637" s="26">
        <f t="array" aca="1" ref="E637" ca="1">AVERAGE(IF(INDIRECT(DatCol&amp;"$"&amp;TEXT(C637,"###")):INDIRECT(DatCol&amp;"$"&amp;TEXT(C637+57,"###"))&gt;0,INDIRECT(DatCol&amp;"$"&amp;TEXT(C637,"###")):INDIRECT(DatCol&amp;"$"&amp;TEXT(C637+57,"###"))))</f>
        <v>561.91875000000005</v>
      </c>
      <c r="F637" s="26" t="str">
        <f t="shared" ref="F637:F639" si="638">VLOOKUP(B637,town_region,2,FALSE)</f>
        <v>I</v>
      </c>
      <c r="AK637" s="13"/>
      <c r="AM637" s="13"/>
      <c r="BN637" s="8"/>
      <c r="BO637" s="8"/>
      <c r="BP637" s="8"/>
      <c r="BQ637" s="12"/>
    </row>
    <row r="638" spans="1:69">
      <c r="A638" s="28">
        <v>2011</v>
      </c>
      <c r="B638" s="27" t="s">
        <v>55</v>
      </c>
      <c r="C638" s="24">
        <f t="shared" si="577"/>
        <v>582</v>
      </c>
      <c r="D638" s="7" t="e">
        <f t="shared" ca="1" si="575"/>
        <v>#N/A</v>
      </c>
      <c r="E638" s="26">
        <f t="array" aca="1" ref="E638" ca="1">AVERAGE(IF(INDIRECT(DatCol&amp;"$"&amp;TEXT(C638,"###")):INDIRECT(DatCol&amp;"$"&amp;TEXT(C638+57,"###"))&gt;0,INDIRECT(DatCol&amp;"$"&amp;TEXT(C638,"###")):INDIRECT(DatCol&amp;"$"&amp;TEXT(C638+57,"###"))))</f>
        <v>561.91875000000005</v>
      </c>
      <c r="F638" s="26" t="str">
        <f t="shared" si="638"/>
        <v>I</v>
      </c>
      <c r="AK638" s="13"/>
      <c r="AM638" s="13"/>
      <c r="BN638" s="8"/>
      <c r="BO638" s="8"/>
      <c r="BP638" s="8"/>
      <c r="BQ638" s="12"/>
    </row>
    <row r="639" spans="1:69">
      <c r="A639" s="28">
        <v>2012</v>
      </c>
      <c r="B639" s="27" t="s">
        <v>55</v>
      </c>
      <c r="C639" s="24">
        <f t="shared" si="577"/>
        <v>582</v>
      </c>
      <c r="D639" s="7" t="e">
        <f t="shared" ca="1" si="575"/>
        <v>#N/A</v>
      </c>
      <c r="E639" s="26">
        <f t="array" aca="1" ref="E639" ca="1">AVERAGE(IF(INDIRECT(DatCol&amp;"$"&amp;TEXT(C639,"###")):INDIRECT(DatCol&amp;"$"&amp;TEXT(C639+57,"###"))&gt;0,INDIRECT(DatCol&amp;"$"&amp;TEXT(C639,"###")):INDIRECT(DatCol&amp;"$"&amp;TEXT(C639+57,"###"))))</f>
        <v>561.91875000000005</v>
      </c>
      <c r="F639" s="26" t="str">
        <f t="shared" si="638"/>
        <v>I</v>
      </c>
      <c r="AK639" s="13"/>
      <c r="AM639" s="13"/>
      <c r="BN639" s="8"/>
      <c r="BO639" s="8"/>
      <c r="BP639" s="8"/>
      <c r="BQ639" s="12"/>
    </row>
    <row r="640" spans="1:69">
      <c r="A640" s="28">
        <v>1955</v>
      </c>
      <c r="B640" s="27" t="s">
        <v>56</v>
      </c>
      <c r="C640" s="24">
        <f>ROW()</f>
        <v>640</v>
      </c>
      <c r="D640" s="7" t="e">
        <f t="shared" ca="1" si="575"/>
        <v>#N/A</v>
      </c>
      <c r="E640" s="26">
        <f t="array" aca="1" ref="E640" ca="1">AVERAGE(IF(INDIRECT(DatCol&amp;"$"&amp;TEXT(C640,"###")):INDIRECT(DatCol&amp;"$"&amp;TEXT(C640+57,"###"))&gt;0,INDIRECT(DatCol&amp;"$"&amp;TEXT(C640,"###")):INDIRECT(DatCol&amp;"$"&amp;TEXT(C640+57,"###"))))</f>
        <v>267.21724137931034</v>
      </c>
      <c r="F640" s="26" t="str">
        <f t="shared" si="619"/>
        <v>N</v>
      </c>
      <c r="G640" s="8"/>
      <c r="K640" s="9">
        <f t="shared" si="598"/>
        <v>0</v>
      </c>
      <c r="M640" s="11">
        <f t="shared" si="620"/>
        <v>0</v>
      </c>
      <c r="O640" s="11">
        <f t="shared" si="621"/>
        <v>0</v>
      </c>
      <c r="Q640" s="11">
        <f t="shared" si="622"/>
        <v>0</v>
      </c>
      <c r="Y640" s="11">
        <f t="shared" si="623"/>
        <v>0</v>
      </c>
      <c r="AG640" s="11">
        <f t="shared" si="624"/>
        <v>0</v>
      </c>
      <c r="AI640" s="11">
        <f t="shared" si="625"/>
        <v>0</v>
      </c>
      <c r="AK640" s="13">
        <f t="shared" si="626"/>
        <v>0</v>
      </c>
      <c r="AM640" s="13">
        <f t="shared" si="627"/>
        <v>0</v>
      </c>
      <c r="AO640" s="11">
        <f t="shared" si="628"/>
        <v>0</v>
      </c>
      <c r="AQ640" s="11">
        <f t="shared" si="629"/>
        <v>0</v>
      </c>
      <c r="AS640" s="11">
        <f t="shared" si="630"/>
        <v>0</v>
      </c>
      <c r="AU640" s="11">
        <f t="shared" si="631"/>
        <v>0</v>
      </c>
      <c r="AW640" s="11">
        <f t="shared" si="632"/>
        <v>0</v>
      </c>
      <c r="AY640" s="11">
        <f t="shared" si="633"/>
        <v>0</v>
      </c>
      <c r="BA640" s="11">
        <f t="shared" si="634"/>
        <v>0</v>
      </c>
      <c r="BC640" s="11">
        <f t="shared" si="635"/>
        <v>0</v>
      </c>
      <c r="BE640" s="11">
        <f t="shared" si="636"/>
        <v>0</v>
      </c>
      <c r="BG640" s="11">
        <f t="shared" si="637"/>
        <v>0</v>
      </c>
      <c r="BN640" s="8">
        <f t="shared" si="596"/>
        <v>0</v>
      </c>
      <c r="BO640" s="8">
        <f t="shared" si="597"/>
        <v>0</v>
      </c>
      <c r="BP640" s="8">
        <f t="shared" si="599"/>
        <v>0</v>
      </c>
      <c r="BQ640" s="12">
        <f t="shared" si="600"/>
        <v>0</v>
      </c>
    </row>
    <row r="641" spans="1:69">
      <c r="A641" s="28">
        <v>1956</v>
      </c>
      <c r="B641" s="27" t="s">
        <v>56</v>
      </c>
      <c r="C641" s="24">
        <f t="shared" ref="C641:C697" si="639">C640</f>
        <v>640</v>
      </c>
      <c r="D641" s="7" t="e">
        <f t="shared" ca="1" si="575"/>
        <v>#N/A</v>
      </c>
      <c r="E641" s="26">
        <f t="array" aca="1" ref="E641" ca="1">AVERAGE(IF(INDIRECT(DatCol&amp;"$"&amp;TEXT(C641,"###")):INDIRECT(DatCol&amp;"$"&amp;TEXT(C641+57,"###"))&gt;0,INDIRECT(DatCol&amp;"$"&amp;TEXT(C641,"###")):INDIRECT(DatCol&amp;"$"&amp;TEXT(C641+57,"###"))))</f>
        <v>267.21724137931034</v>
      </c>
      <c r="F641" s="26" t="str">
        <f t="shared" si="619"/>
        <v>N</v>
      </c>
      <c r="G641" s="8"/>
      <c r="K641" s="9">
        <f t="shared" si="598"/>
        <v>0</v>
      </c>
      <c r="M641" s="11">
        <f t="shared" si="620"/>
        <v>0</v>
      </c>
      <c r="O641" s="11">
        <f t="shared" si="621"/>
        <v>0</v>
      </c>
      <c r="Q641" s="11">
        <f t="shared" si="622"/>
        <v>0</v>
      </c>
      <c r="Y641" s="11">
        <f t="shared" si="623"/>
        <v>0</v>
      </c>
      <c r="AG641" s="11">
        <f t="shared" si="624"/>
        <v>0</v>
      </c>
      <c r="AI641" s="11">
        <f t="shared" si="625"/>
        <v>0</v>
      </c>
      <c r="AK641" s="13">
        <f t="shared" si="626"/>
        <v>0</v>
      </c>
      <c r="AM641" s="13">
        <f t="shared" si="627"/>
        <v>0</v>
      </c>
      <c r="AO641" s="11">
        <f t="shared" si="628"/>
        <v>0</v>
      </c>
      <c r="AQ641" s="11">
        <f t="shared" si="629"/>
        <v>0</v>
      </c>
      <c r="AS641" s="11">
        <f t="shared" si="630"/>
        <v>0</v>
      </c>
      <c r="AU641" s="11">
        <f t="shared" si="631"/>
        <v>0</v>
      </c>
      <c r="AW641" s="11">
        <f t="shared" si="632"/>
        <v>0</v>
      </c>
      <c r="AY641" s="11">
        <f t="shared" si="633"/>
        <v>0</v>
      </c>
      <c r="BA641" s="11">
        <f t="shared" si="634"/>
        <v>0</v>
      </c>
      <c r="BC641" s="11">
        <f t="shared" si="635"/>
        <v>0</v>
      </c>
      <c r="BE641" s="11">
        <f t="shared" si="636"/>
        <v>0</v>
      </c>
      <c r="BG641" s="11">
        <f t="shared" si="637"/>
        <v>0</v>
      </c>
      <c r="BN641" s="8">
        <f t="shared" si="596"/>
        <v>0</v>
      </c>
      <c r="BO641" s="8">
        <f t="shared" si="597"/>
        <v>0</v>
      </c>
      <c r="BP641" s="8">
        <f t="shared" si="599"/>
        <v>0</v>
      </c>
      <c r="BQ641" s="12">
        <f t="shared" si="600"/>
        <v>0</v>
      </c>
    </row>
    <row r="642" spans="1:69">
      <c r="A642" s="28">
        <v>1957</v>
      </c>
      <c r="B642" s="27" t="s">
        <v>56</v>
      </c>
      <c r="C642" s="24">
        <f t="shared" si="639"/>
        <v>640</v>
      </c>
      <c r="D642" s="7" t="e">
        <f t="shared" ref="D642:D705" ca="1" si="640">IF(AND((INDIRECT(DatCol&amp;TEXT(ROW(),"###"))&gt;0),((F642=RegionSelect)+(RegionSelect="A"))),INDIRECT(DatCol&amp;TEXT(ROW(),"###"))/E642,NA())</f>
        <v>#N/A</v>
      </c>
      <c r="E642" s="26">
        <f t="array" aca="1" ref="E642" ca="1">AVERAGE(IF(INDIRECT(DatCol&amp;"$"&amp;TEXT(C642,"###")):INDIRECT(DatCol&amp;"$"&amp;TEXT(C642+57,"###"))&gt;0,INDIRECT(DatCol&amp;"$"&amp;TEXT(C642,"###")):INDIRECT(DatCol&amp;"$"&amp;TEXT(C642+57,"###"))))</f>
        <v>267.21724137931034</v>
      </c>
      <c r="F642" s="26" t="str">
        <f t="shared" si="619"/>
        <v>N</v>
      </c>
      <c r="G642" s="8"/>
      <c r="K642" s="9">
        <f t="shared" si="598"/>
        <v>0</v>
      </c>
      <c r="M642" s="11">
        <f t="shared" si="620"/>
        <v>0</v>
      </c>
      <c r="O642" s="11">
        <f t="shared" si="621"/>
        <v>0</v>
      </c>
      <c r="Q642" s="11">
        <f t="shared" si="622"/>
        <v>0</v>
      </c>
      <c r="Y642" s="11">
        <f t="shared" si="623"/>
        <v>0</v>
      </c>
      <c r="AG642" s="11">
        <f t="shared" si="624"/>
        <v>0</v>
      </c>
      <c r="AI642" s="11">
        <f t="shared" si="625"/>
        <v>0</v>
      </c>
      <c r="AK642" s="13">
        <f t="shared" si="626"/>
        <v>0</v>
      </c>
      <c r="AM642" s="13">
        <f t="shared" si="627"/>
        <v>0</v>
      </c>
      <c r="AO642" s="11">
        <f t="shared" si="628"/>
        <v>0</v>
      </c>
      <c r="AQ642" s="11">
        <f t="shared" si="629"/>
        <v>0</v>
      </c>
      <c r="AS642" s="11">
        <f t="shared" si="630"/>
        <v>0</v>
      </c>
      <c r="AU642" s="11">
        <f t="shared" si="631"/>
        <v>0</v>
      </c>
      <c r="AW642" s="11">
        <f t="shared" si="632"/>
        <v>0</v>
      </c>
      <c r="AY642" s="11">
        <f t="shared" si="633"/>
        <v>0</v>
      </c>
      <c r="BA642" s="11">
        <f t="shared" si="634"/>
        <v>0</v>
      </c>
      <c r="BC642" s="11">
        <f t="shared" si="635"/>
        <v>0</v>
      </c>
      <c r="BE642" s="11">
        <f t="shared" si="636"/>
        <v>0</v>
      </c>
      <c r="BG642" s="11">
        <f t="shared" si="637"/>
        <v>0</v>
      </c>
      <c r="BN642" s="8">
        <f t="shared" si="596"/>
        <v>0</v>
      </c>
      <c r="BO642" s="8">
        <f t="shared" si="597"/>
        <v>0</v>
      </c>
      <c r="BP642" s="8">
        <f t="shared" si="599"/>
        <v>0</v>
      </c>
      <c r="BQ642" s="12">
        <f t="shared" si="600"/>
        <v>0</v>
      </c>
    </row>
    <row r="643" spans="1:69">
      <c r="A643" s="28">
        <v>1958</v>
      </c>
      <c r="B643" s="27" t="s">
        <v>56</v>
      </c>
      <c r="C643" s="24">
        <f t="shared" si="639"/>
        <v>640</v>
      </c>
      <c r="D643" s="7" t="e">
        <f t="shared" ca="1" si="640"/>
        <v>#N/A</v>
      </c>
      <c r="E643" s="26">
        <f t="array" aca="1" ref="E643" ca="1">AVERAGE(IF(INDIRECT(DatCol&amp;"$"&amp;TEXT(C643,"###")):INDIRECT(DatCol&amp;"$"&amp;TEXT(C643+57,"###"))&gt;0,INDIRECT(DatCol&amp;"$"&amp;TEXT(C643,"###")):INDIRECT(DatCol&amp;"$"&amp;TEXT(C643+57,"###"))))</f>
        <v>267.21724137931034</v>
      </c>
      <c r="F643" s="26" t="str">
        <f t="shared" si="619"/>
        <v>N</v>
      </c>
      <c r="G643" s="8"/>
      <c r="K643" s="9">
        <f t="shared" si="598"/>
        <v>0</v>
      </c>
      <c r="M643" s="11">
        <f t="shared" si="620"/>
        <v>0</v>
      </c>
      <c r="O643" s="11">
        <f t="shared" si="621"/>
        <v>0</v>
      </c>
      <c r="Q643" s="11">
        <f t="shared" si="622"/>
        <v>0</v>
      </c>
      <c r="Y643" s="11">
        <f t="shared" si="623"/>
        <v>0</v>
      </c>
      <c r="AG643" s="11">
        <f t="shared" si="624"/>
        <v>0</v>
      </c>
      <c r="AI643" s="11">
        <f t="shared" si="625"/>
        <v>0</v>
      </c>
      <c r="AK643" s="13">
        <f t="shared" si="626"/>
        <v>0</v>
      </c>
      <c r="AM643" s="13">
        <f t="shared" si="627"/>
        <v>0</v>
      </c>
      <c r="AO643" s="11">
        <f t="shared" si="628"/>
        <v>0</v>
      </c>
      <c r="AQ643" s="11">
        <f t="shared" si="629"/>
        <v>0</v>
      </c>
      <c r="AS643" s="11">
        <f t="shared" si="630"/>
        <v>0</v>
      </c>
      <c r="AU643" s="11">
        <f t="shared" si="631"/>
        <v>0</v>
      </c>
      <c r="AW643" s="11">
        <f t="shared" si="632"/>
        <v>0</v>
      </c>
      <c r="AY643" s="11">
        <f t="shared" si="633"/>
        <v>0</v>
      </c>
      <c r="BA643" s="11">
        <f t="shared" si="634"/>
        <v>0</v>
      </c>
      <c r="BC643" s="11">
        <f t="shared" si="635"/>
        <v>0</v>
      </c>
      <c r="BE643" s="11">
        <f t="shared" si="636"/>
        <v>0</v>
      </c>
      <c r="BG643" s="11">
        <f t="shared" si="637"/>
        <v>0</v>
      </c>
      <c r="BN643" s="8">
        <f t="shared" si="596"/>
        <v>0</v>
      </c>
      <c r="BO643" s="8">
        <f t="shared" si="597"/>
        <v>0</v>
      </c>
      <c r="BP643" s="8">
        <f t="shared" si="599"/>
        <v>0</v>
      </c>
      <c r="BQ643" s="12">
        <f t="shared" si="600"/>
        <v>0</v>
      </c>
    </row>
    <row r="644" spans="1:69">
      <c r="A644" s="28">
        <v>1959</v>
      </c>
      <c r="B644" s="27" t="s">
        <v>56</v>
      </c>
      <c r="C644" s="24">
        <f t="shared" si="639"/>
        <v>640</v>
      </c>
      <c r="D644" s="7" t="e">
        <f t="shared" ca="1" si="640"/>
        <v>#N/A</v>
      </c>
      <c r="E644" s="26">
        <f t="array" aca="1" ref="E644" ca="1">AVERAGE(IF(INDIRECT(DatCol&amp;"$"&amp;TEXT(C644,"###")):INDIRECT(DatCol&amp;"$"&amp;TEXT(C644+57,"###"))&gt;0,INDIRECT(DatCol&amp;"$"&amp;TEXT(C644,"###")):INDIRECT(DatCol&amp;"$"&amp;TEXT(C644+57,"###"))))</f>
        <v>267.21724137931034</v>
      </c>
      <c r="F644" s="26" t="str">
        <f t="shared" si="619"/>
        <v>N</v>
      </c>
      <c r="G644" s="8"/>
      <c r="K644" s="9">
        <f t="shared" si="598"/>
        <v>0</v>
      </c>
      <c r="M644" s="11">
        <f t="shared" si="620"/>
        <v>0</v>
      </c>
      <c r="O644" s="11">
        <f t="shared" si="621"/>
        <v>0</v>
      </c>
      <c r="Q644" s="11">
        <f t="shared" si="622"/>
        <v>0</v>
      </c>
      <c r="Y644" s="11">
        <f t="shared" si="623"/>
        <v>0</v>
      </c>
      <c r="AG644" s="11">
        <f t="shared" si="624"/>
        <v>0</v>
      </c>
      <c r="AI644" s="11">
        <f t="shared" si="625"/>
        <v>0</v>
      </c>
      <c r="AK644" s="13">
        <f t="shared" si="626"/>
        <v>0</v>
      </c>
      <c r="AM644" s="13">
        <f t="shared" si="627"/>
        <v>0</v>
      </c>
      <c r="AO644" s="11">
        <f t="shared" si="628"/>
        <v>0</v>
      </c>
      <c r="AQ644" s="11">
        <f t="shared" si="629"/>
        <v>0</v>
      </c>
      <c r="AS644" s="11">
        <f t="shared" si="630"/>
        <v>0</v>
      </c>
      <c r="AU644" s="11">
        <f t="shared" si="631"/>
        <v>0</v>
      </c>
      <c r="AW644" s="11">
        <f t="shared" si="632"/>
        <v>0</v>
      </c>
      <c r="AY644" s="11">
        <f t="shared" si="633"/>
        <v>0</v>
      </c>
      <c r="BA644" s="11">
        <f t="shared" si="634"/>
        <v>0</v>
      </c>
      <c r="BC644" s="11">
        <f t="shared" si="635"/>
        <v>0</v>
      </c>
      <c r="BE644" s="11">
        <f t="shared" si="636"/>
        <v>0</v>
      </c>
      <c r="BG644" s="11">
        <f t="shared" si="637"/>
        <v>0</v>
      </c>
      <c r="BN644" s="8">
        <f t="shared" si="596"/>
        <v>0</v>
      </c>
      <c r="BO644" s="8">
        <f t="shared" si="597"/>
        <v>0</v>
      </c>
      <c r="BP644" s="8">
        <f t="shared" si="599"/>
        <v>0</v>
      </c>
      <c r="BQ644" s="12">
        <f t="shared" si="600"/>
        <v>0</v>
      </c>
    </row>
    <row r="645" spans="1:69">
      <c r="A645" s="28">
        <v>1960</v>
      </c>
      <c r="B645" s="27" t="s">
        <v>56</v>
      </c>
      <c r="C645" s="24">
        <f t="shared" si="639"/>
        <v>640</v>
      </c>
      <c r="D645" s="7" t="e">
        <f t="shared" ca="1" si="640"/>
        <v>#N/A</v>
      </c>
      <c r="E645" s="26">
        <f t="array" aca="1" ref="E645" ca="1">AVERAGE(IF(INDIRECT(DatCol&amp;"$"&amp;TEXT(C645,"###")):INDIRECT(DatCol&amp;"$"&amp;TEXT(C645+57,"###"))&gt;0,INDIRECT(DatCol&amp;"$"&amp;TEXT(C645,"###")):INDIRECT(DatCol&amp;"$"&amp;TEXT(C645+57,"###"))))</f>
        <v>267.21724137931034</v>
      </c>
      <c r="F645" s="26" t="str">
        <f t="shared" si="619"/>
        <v>N</v>
      </c>
      <c r="G645" s="8"/>
      <c r="K645" s="9">
        <f t="shared" si="598"/>
        <v>0</v>
      </c>
      <c r="M645" s="11">
        <f t="shared" si="620"/>
        <v>0</v>
      </c>
      <c r="O645" s="11">
        <f t="shared" si="621"/>
        <v>0</v>
      </c>
      <c r="Q645" s="11">
        <f t="shared" si="622"/>
        <v>0</v>
      </c>
      <c r="Y645" s="11">
        <f t="shared" si="623"/>
        <v>0</v>
      </c>
      <c r="AG645" s="11">
        <f t="shared" si="624"/>
        <v>0</v>
      </c>
      <c r="AI645" s="11">
        <f t="shared" si="625"/>
        <v>0</v>
      </c>
      <c r="AK645" s="13">
        <f t="shared" si="626"/>
        <v>0</v>
      </c>
      <c r="AM645" s="13">
        <f t="shared" si="627"/>
        <v>0</v>
      </c>
      <c r="AO645" s="11">
        <f t="shared" si="628"/>
        <v>0</v>
      </c>
      <c r="AQ645" s="11">
        <f t="shared" si="629"/>
        <v>0</v>
      </c>
      <c r="AS645" s="11">
        <f t="shared" si="630"/>
        <v>0</v>
      </c>
      <c r="AU645" s="11">
        <f t="shared" si="631"/>
        <v>0</v>
      </c>
      <c r="AW645" s="11">
        <f t="shared" si="632"/>
        <v>0</v>
      </c>
      <c r="AY645" s="11">
        <f t="shared" si="633"/>
        <v>0</v>
      </c>
      <c r="BA645" s="11">
        <f t="shared" si="634"/>
        <v>0</v>
      </c>
      <c r="BC645" s="11">
        <f t="shared" si="635"/>
        <v>0</v>
      </c>
      <c r="BE645" s="11">
        <f t="shared" si="636"/>
        <v>0</v>
      </c>
      <c r="BG645" s="11">
        <f t="shared" si="637"/>
        <v>0</v>
      </c>
      <c r="BN645" s="8">
        <f t="shared" si="596"/>
        <v>0</v>
      </c>
      <c r="BO645" s="8">
        <f t="shared" si="597"/>
        <v>0</v>
      </c>
      <c r="BP645" s="8">
        <f t="shared" si="599"/>
        <v>0</v>
      </c>
      <c r="BQ645" s="12">
        <f t="shared" si="600"/>
        <v>0</v>
      </c>
    </row>
    <row r="646" spans="1:69">
      <c r="A646" s="28">
        <v>1961</v>
      </c>
      <c r="B646" s="27" t="s">
        <v>56</v>
      </c>
      <c r="C646" s="24">
        <f t="shared" si="639"/>
        <v>640</v>
      </c>
      <c r="D646" s="7" t="e">
        <f t="shared" ca="1" si="640"/>
        <v>#N/A</v>
      </c>
      <c r="E646" s="26">
        <f t="array" aca="1" ref="E646" ca="1">AVERAGE(IF(INDIRECT(DatCol&amp;"$"&amp;TEXT(C646,"###")):INDIRECT(DatCol&amp;"$"&amp;TEXT(C646+57,"###"))&gt;0,INDIRECT(DatCol&amp;"$"&amp;TEXT(C646,"###")):INDIRECT(DatCol&amp;"$"&amp;TEXT(C646+57,"###"))))</f>
        <v>267.21724137931034</v>
      </c>
      <c r="F646" s="26" t="str">
        <f t="shared" si="619"/>
        <v>N</v>
      </c>
      <c r="G646" s="8"/>
      <c r="K646" s="9">
        <f t="shared" si="598"/>
        <v>0</v>
      </c>
      <c r="M646" s="11">
        <f t="shared" si="620"/>
        <v>0</v>
      </c>
      <c r="O646" s="11">
        <f t="shared" si="621"/>
        <v>0</v>
      </c>
      <c r="Q646" s="11">
        <f t="shared" si="622"/>
        <v>0</v>
      </c>
      <c r="Y646" s="11">
        <f t="shared" si="623"/>
        <v>0</v>
      </c>
      <c r="AG646" s="11">
        <f t="shared" si="624"/>
        <v>0</v>
      </c>
      <c r="AI646" s="11">
        <f t="shared" si="625"/>
        <v>0</v>
      </c>
      <c r="AK646" s="13">
        <f t="shared" si="626"/>
        <v>0</v>
      </c>
      <c r="AM646" s="13">
        <f t="shared" si="627"/>
        <v>0</v>
      </c>
      <c r="AO646" s="11">
        <f t="shared" si="628"/>
        <v>0</v>
      </c>
      <c r="AQ646" s="11">
        <f t="shared" si="629"/>
        <v>0</v>
      </c>
      <c r="AS646" s="11">
        <f t="shared" si="630"/>
        <v>0</v>
      </c>
      <c r="AU646" s="11">
        <f t="shared" si="631"/>
        <v>0</v>
      </c>
      <c r="AW646" s="11">
        <f t="shared" si="632"/>
        <v>0</v>
      </c>
      <c r="AY646" s="11">
        <f t="shared" si="633"/>
        <v>0</v>
      </c>
      <c r="BA646" s="11">
        <f t="shared" si="634"/>
        <v>0</v>
      </c>
      <c r="BC646" s="11">
        <f t="shared" si="635"/>
        <v>0</v>
      </c>
      <c r="BE646" s="11">
        <f t="shared" si="636"/>
        <v>0</v>
      </c>
      <c r="BG646" s="11">
        <f t="shared" si="637"/>
        <v>0</v>
      </c>
      <c r="BN646" s="8">
        <f t="shared" si="596"/>
        <v>0</v>
      </c>
      <c r="BO646" s="8">
        <f t="shared" si="597"/>
        <v>0</v>
      </c>
      <c r="BP646" s="8">
        <f t="shared" si="599"/>
        <v>0</v>
      </c>
      <c r="BQ646" s="12">
        <f t="shared" si="600"/>
        <v>0</v>
      </c>
    </row>
    <row r="647" spans="1:69">
      <c r="A647" s="28">
        <v>1962</v>
      </c>
      <c r="B647" s="27" t="s">
        <v>56</v>
      </c>
      <c r="C647" s="24">
        <f t="shared" si="639"/>
        <v>640</v>
      </c>
      <c r="D647" s="7" t="e">
        <f t="shared" ca="1" si="640"/>
        <v>#N/A</v>
      </c>
      <c r="E647" s="26">
        <f t="array" aca="1" ref="E647" ca="1">AVERAGE(IF(INDIRECT(DatCol&amp;"$"&amp;TEXT(C647,"###")):INDIRECT(DatCol&amp;"$"&amp;TEXT(C647+57,"###"))&gt;0,INDIRECT(DatCol&amp;"$"&amp;TEXT(C647,"###")):INDIRECT(DatCol&amp;"$"&amp;TEXT(C647+57,"###"))))</f>
        <v>267.21724137931034</v>
      </c>
      <c r="F647" s="26" t="str">
        <f t="shared" si="619"/>
        <v>N</v>
      </c>
      <c r="G647" s="8"/>
      <c r="K647" s="9">
        <f t="shared" si="598"/>
        <v>0</v>
      </c>
      <c r="M647" s="11">
        <f t="shared" si="620"/>
        <v>0</v>
      </c>
      <c r="O647" s="11">
        <f t="shared" si="621"/>
        <v>0</v>
      </c>
      <c r="Q647" s="11">
        <f t="shared" si="622"/>
        <v>0</v>
      </c>
      <c r="Y647" s="11">
        <f t="shared" si="623"/>
        <v>0</v>
      </c>
      <c r="AG647" s="11">
        <f t="shared" si="624"/>
        <v>0</v>
      </c>
      <c r="AI647" s="11">
        <f t="shared" si="625"/>
        <v>0</v>
      </c>
      <c r="AK647" s="13">
        <f t="shared" si="626"/>
        <v>0</v>
      </c>
      <c r="AM647" s="13">
        <f t="shared" si="627"/>
        <v>0</v>
      </c>
      <c r="AO647" s="11">
        <f t="shared" si="628"/>
        <v>0</v>
      </c>
      <c r="AQ647" s="11">
        <f t="shared" si="629"/>
        <v>0</v>
      </c>
      <c r="AS647" s="11">
        <f t="shared" si="630"/>
        <v>0</v>
      </c>
      <c r="AU647" s="11">
        <f t="shared" si="631"/>
        <v>0</v>
      </c>
      <c r="AW647" s="11">
        <f t="shared" si="632"/>
        <v>0</v>
      </c>
      <c r="AY647" s="11">
        <f t="shared" si="633"/>
        <v>0</v>
      </c>
      <c r="BA647" s="11">
        <f t="shared" si="634"/>
        <v>0</v>
      </c>
      <c r="BC647" s="11">
        <f t="shared" si="635"/>
        <v>0</v>
      </c>
      <c r="BE647" s="11">
        <f t="shared" si="636"/>
        <v>0</v>
      </c>
      <c r="BG647" s="11">
        <f t="shared" si="637"/>
        <v>0</v>
      </c>
      <c r="BN647" s="8">
        <f t="shared" si="596"/>
        <v>0</v>
      </c>
      <c r="BO647" s="8">
        <f t="shared" si="597"/>
        <v>0</v>
      </c>
      <c r="BP647" s="8">
        <f t="shared" si="599"/>
        <v>0</v>
      </c>
      <c r="BQ647" s="12">
        <f t="shared" si="600"/>
        <v>0</v>
      </c>
    </row>
    <row r="648" spans="1:69">
      <c r="A648" s="28">
        <v>1963</v>
      </c>
      <c r="B648" s="27" t="s">
        <v>56</v>
      </c>
      <c r="C648" s="24">
        <f t="shared" si="639"/>
        <v>640</v>
      </c>
      <c r="D648" s="7" t="e">
        <f t="shared" ca="1" si="640"/>
        <v>#N/A</v>
      </c>
      <c r="E648" s="26">
        <f t="array" aca="1" ref="E648" ca="1">AVERAGE(IF(INDIRECT(DatCol&amp;"$"&amp;TEXT(C648,"###")):INDIRECT(DatCol&amp;"$"&amp;TEXT(C648+57,"###"))&gt;0,INDIRECT(DatCol&amp;"$"&amp;TEXT(C648,"###")):INDIRECT(DatCol&amp;"$"&amp;TEXT(C648+57,"###"))))</f>
        <v>267.21724137931034</v>
      </c>
      <c r="F648" s="26" t="str">
        <f t="shared" si="619"/>
        <v>N</v>
      </c>
      <c r="G648" s="8"/>
      <c r="K648" s="9">
        <f t="shared" si="598"/>
        <v>0</v>
      </c>
      <c r="M648" s="11">
        <f t="shared" ref="M648:M663" si="641">(L648*50)</f>
        <v>0</v>
      </c>
      <c r="O648" s="11">
        <f t="shared" ref="O648:O663" si="642">(N648*50)</f>
        <v>0</v>
      </c>
      <c r="Q648" s="11">
        <f t="shared" ref="Q648:Q663" si="643">((P648*330)/5.5)</f>
        <v>0</v>
      </c>
      <c r="Y648" s="11">
        <f t="shared" ref="Y648:Y663" si="644">((X648*330)/5.5)</f>
        <v>0</v>
      </c>
      <c r="AG648" s="11">
        <f t="shared" ref="AG648:AG663" si="645">(AF648*65)</f>
        <v>0</v>
      </c>
      <c r="AI648" s="11">
        <f t="shared" ref="AI648:AI663" si="646">(AH648*65)</f>
        <v>0</v>
      </c>
      <c r="AK648" s="13">
        <f t="shared" ref="AK648:AK663" si="647">(AJ648*9)</f>
        <v>0</v>
      </c>
      <c r="AM648" s="13">
        <f t="shared" ref="AM648:AM663" si="648">(AL648*9)</f>
        <v>0</v>
      </c>
      <c r="AO648" s="11">
        <f t="shared" ref="AO648:AO663" si="649">(AN648*80)</f>
        <v>0</v>
      </c>
      <c r="AQ648" s="11">
        <f t="shared" ref="AQ648:AQ663" si="650">(AP648*80)</f>
        <v>0</v>
      </c>
      <c r="AS648" s="11">
        <f t="shared" ref="AS648:AS663" si="651">(AR648*50)</f>
        <v>0</v>
      </c>
      <c r="AU648" s="11">
        <f t="shared" ref="AU648:AU663" si="652">(AT648*50)</f>
        <v>0</v>
      </c>
      <c r="AW648" s="11">
        <f t="shared" ref="AW648:AW663" si="653">(AV648*60)</f>
        <v>0</v>
      </c>
      <c r="AY648" s="11">
        <f t="shared" ref="AY648:AY663" si="654">(AX648*60)</f>
        <v>0</v>
      </c>
      <c r="BA648" s="11">
        <f t="shared" ref="BA648:BA663" si="655">(AZ648*40)</f>
        <v>0</v>
      </c>
      <c r="BC648" s="11">
        <f t="shared" ref="BC648:BC663" si="656">(BB648*40)</f>
        <v>0</v>
      </c>
      <c r="BE648" s="11">
        <f t="shared" ref="BE648:BE663" si="657">(BD648*95)</f>
        <v>0</v>
      </c>
      <c r="BG648" s="11">
        <f t="shared" ref="BG648:BG663" si="658">(BF648*95)</f>
        <v>0</v>
      </c>
      <c r="BN648" s="8">
        <f t="shared" si="596"/>
        <v>0</v>
      </c>
      <c r="BO648" s="8">
        <f t="shared" si="597"/>
        <v>0</v>
      </c>
      <c r="BP648" s="8">
        <f t="shared" si="599"/>
        <v>0</v>
      </c>
      <c r="BQ648" s="12">
        <f t="shared" si="600"/>
        <v>0</v>
      </c>
    </row>
    <row r="649" spans="1:69">
      <c r="A649" s="28">
        <v>1964</v>
      </c>
      <c r="B649" s="27" t="s">
        <v>56</v>
      </c>
      <c r="C649" s="24">
        <f t="shared" si="639"/>
        <v>640</v>
      </c>
      <c r="D649" s="7" t="e">
        <f t="shared" ca="1" si="640"/>
        <v>#N/A</v>
      </c>
      <c r="E649" s="26">
        <f t="array" aca="1" ref="E649" ca="1">AVERAGE(IF(INDIRECT(DatCol&amp;"$"&amp;TEXT(C649,"###")):INDIRECT(DatCol&amp;"$"&amp;TEXT(C649+57,"###"))&gt;0,INDIRECT(DatCol&amp;"$"&amp;TEXT(C649,"###")):INDIRECT(DatCol&amp;"$"&amp;TEXT(C649+57,"###"))))</f>
        <v>267.21724137931034</v>
      </c>
      <c r="F649" s="26" t="str">
        <f t="shared" si="619"/>
        <v>N</v>
      </c>
      <c r="G649" s="8"/>
      <c r="K649" s="9">
        <f t="shared" si="598"/>
        <v>0</v>
      </c>
      <c r="M649" s="11">
        <f t="shared" si="641"/>
        <v>0</v>
      </c>
      <c r="O649" s="11">
        <f t="shared" si="642"/>
        <v>0</v>
      </c>
      <c r="Q649" s="11">
        <f t="shared" si="643"/>
        <v>0</v>
      </c>
      <c r="Y649" s="11">
        <f t="shared" si="644"/>
        <v>0</v>
      </c>
      <c r="AG649" s="11">
        <f t="shared" si="645"/>
        <v>0</v>
      </c>
      <c r="AI649" s="11">
        <f t="shared" si="646"/>
        <v>0</v>
      </c>
      <c r="AK649" s="13">
        <f t="shared" si="647"/>
        <v>0</v>
      </c>
      <c r="AM649" s="13">
        <f t="shared" si="648"/>
        <v>0</v>
      </c>
      <c r="AO649" s="11">
        <f t="shared" si="649"/>
        <v>0</v>
      </c>
      <c r="AQ649" s="11">
        <f t="shared" si="650"/>
        <v>0</v>
      </c>
      <c r="AS649" s="11">
        <f t="shared" si="651"/>
        <v>0</v>
      </c>
      <c r="AU649" s="11">
        <f t="shared" si="652"/>
        <v>0</v>
      </c>
      <c r="AW649" s="11">
        <f t="shared" si="653"/>
        <v>0</v>
      </c>
      <c r="AY649" s="11">
        <f t="shared" si="654"/>
        <v>0</v>
      </c>
      <c r="BA649" s="11">
        <f t="shared" si="655"/>
        <v>0</v>
      </c>
      <c r="BC649" s="11">
        <f t="shared" si="656"/>
        <v>0</v>
      </c>
      <c r="BE649" s="11">
        <f t="shared" si="657"/>
        <v>0</v>
      </c>
      <c r="BG649" s="11">
        <f t="shared" si="658"/>
        <v>0</v>
      </c>
      <c r="BN649" s="8">
        <f t="shared" si="596"/>
        <v>0</v>
      </c>
      <c r="BO649" s="8">
        <f t="shared" si="597"/>
        <v>0</v>
      </c>
      <c r="BP649" s="8">
        <f t="shared" si="599"/>
        <v>0</v>
      </c>
      <c r="BQ649" s="12">
        <f t="shared" si="600"/>
        <v>0</v>
      </c>
    </row>
    <row r="650" spans="1:69">
      <c r="A650" s="28">
        <v>1965</v>
      </c>
      <c r="B650" s="27" t="s">
        <v>56</v>
      </c>
      <c r="C650" s="24">
        <f t="shared" si="639"/>
        <v>640</v>
      </c>
      <c r="D650" s="7" t="e">
        <f t="shared" ca="1" si="640"/>
        <v>#N/A</v>
      </c>
      <c r="E650" s="26">
        <f t="array" aca="1" ref="E650" ca="1">AVERAGE(IF(INDIRECT(DatCol&amp;"$"&amp;TEXT(C650,"###")):INDIRECT(DatCol&amp;"$"&amp;TEXT(C650+57,"###"))&gt;0,INDIRECT(DatCol&amp;"$"&amp;TEXT(C650,"###")):INDIRECT(DatCol&amp;"$"&amp;TEXT(C650+57,"###"))))</f>
        <v>267.21724137931034</v>
      </c>
      <c r="F650" s="26" t="str">
        <f t="shared" si="619"/>
        <v>N</v>
      </c>
      <c r="G650" s="8"/>
      <c r="K650" s="9">
        <f t="shared" si="598"/>
        <v>0</v>
      </c>
      <c r="M650" s="11">
        <f t="shared" si="641"/>
        <v>0</v>
      </c>
      <c r="O650" s="11">
        <f t="shared" si="642"/>
        <v>0</v>
      </c>
      <c r="Q650" s="11">
        <f t="shared" si="643"/>
        <v>0</v>
      </c>
      <c r="Y650" s="11">
        <f t="shared" si="644"/>
        <v>0</v>
      </c>
      <c r="AG650" s="11">
        <f t="shared" si="645"/>
        <v>0</v>
      </c>
      <c r="AI650" s="11">
        <f t="shared" si="646"/>
        <v>0</v>
      </c>
      <c r="AK650" s="13">
        <f t="shared" si="647"/>
        <v>0</v>
      </c>
      <c r="AM650" s="13">
        <f t="shared" si="648"/>
        <v>0</v>
      </c>
      <c r="AO650" s="11">
        <f t="shared" si="649"/>
        <v>0</v>
      </c>
      <c r="AQ650" s="11">
        <f t="shared" si="650"/>
        <v>0</v>
      </c>
      <c r="AS650" s="11">
        <f t="shared" si="651"/>
        <v>0</v>
      </c>
      <c r="AU650" s="11">
        <f t="shared" si="652"/>
        <v>0</v>
      </c>
      <c r="AW650" s="11">
        <f t="shared" si="653"/>
        <v>0</v>
      </c>
      <c r="AY650" s="11">
        <f t="shared" si="654"/>
        <v>0</v>
      </c>
      <c r="BA650" s="11">
        <f t="shared" si="655"/>
        <v>0</v>
      </c>
      <c r="BC650" s="11">
        <f t="shared" si="656"/>
        <v>0</v>
      </c>
      <c r="BE650" s="11">
        <f t="shared" si="657"/>
        <v>0</v>
      </c>
      <c r="BG650" s="11">
        <f t="shared" si="658"/>
        <v>0</v>
      </c>
      <c r="BN650" s="8">
        <f t="shared" si="596"/>
        <v>0</v>
      </c>
      <c r="BO650" s="8">
        <f t="shared" si="597"/>
        <v>0</v>
      </c>
      <c r="BP650" s="8">
        <f t="shared" si="599"/>
        <v>0</v>
      </c>
      <c r="BQ650" s="12">
        <f t="shared" si="600"/>
        <v>0</v>
      </c>
    </row>
    <row r="651" spans="1:69">
      <c r="A651" s="28">
        <v>1966</v>
      </c>
      <c r="B651" s="27" t="s">
        <v>56</v>
      </c>
      <c r="C651" s="24">
        <f t="shared" si="639"/>
        <v>640</v>
      </c>
      <c r="D651" s="7" t="e">
        <f t="shared" ca="1" si="640"/>
        <v>#N/A</v>
      </c>
      <c r="E651" s="26">
        <f t="array" aca="1" ref="E651" ca="1">AVERAGE(IF(INDIRECT(DatCol&amp;"$"&amp;TEXT(C651,"###")):INDIRECT(DatCol&amp;"$"&amp;TEXT(C651+57,"###"))&gt;0,INDIRECT(DatCol&amp;"$"&amp;TEXT(C651,"###")):INDIRECT(DatCol&amp;"$"&amp;TEXT(C651+57,"###"))))</f>
        <v>267.21724137931034</v>
      </c>
      <c r="F651" s="26" t="str">
        <f t="shared" si="619"/>
        <v>N</v>
      </c>
      <c r="G651" s="8"/>
      <c r="K651" s="9">
        <f t="shared" si="598"/>
        <v>0</v>
      </c>
      <c r="M651" s="11">
        <f t="shared" si="641"/>
        <v>0</v>
      </c>
      <c r="O651" s="11">
        <f t="shared" si="642"/>
        <v>0</v>
      </c>
      <c r="Q651" s="11">
        <f t="shared" si="643"/>
        <v>0</v>
      </c>
      <c r="Y651" s="11">
        <f t="shared" si="644"/>
        <v>0</v>
      </c>
      <c r="AG651" s="11">
        <f t="shared" si="645"/>
        <v>0</v>
      </c>
      <c r="AI651" s="11">
        <f t="shared" si="646"/>
        <v>0</v>
      </c>
      <c r="AK651" s="13">
        <f t="shared" si="647"/>
        <v>0</v>
      </c>
      <c r="AM651" s="13">
        <f t="shared" si="648"/>
        <v>0</v>
      </c>
      <c r="AO651" s="11">
        <f t="shared" si="649"/>
        <v>0</v>
      </c>
      <c r="AQ651" s="11">
        <f t="shared" si="650"/>
        <v>0</v>
      </c>
      <c r="AS651" s="11">
        <f t="shared" si="651"/>
        <v>0</v>
      </c>
      <c r="AU651" s="11">
        <f t="shared" si="652"/>
        <v>0</v>
      </c>
      <c r="AW651" s="11">
        <f t="shared" si="653"/>
        <v>0</v>
      </c>
      <c r="AY651" s="11">
        <f t="shared" si="654"/>
        <v>0</v>
      </c>
      <c r="BA651" s="11">
        <f t="shared" si="655"/>
        <v>0</v>
      </c>
      <c r="BC651" s="11">
        <f t="shared" si="656"/>
        <v>0</v>
      </c>
      <c r="BE651" s="11">
        <f t="shared" si="657"/>
        <v>0</v>
      </c>
      <c r="BG651" s="11">
        <f t="shared" si="658"/>
        <v>0</v>
      </c>
      <c r="BN651" s="8">
        <f t="shared" si="596"/>
        <v>0</v>
      </c>
      <c r="BO651" s="8">
        <f t="shared" si="597"/>
        <v>0</v>
      </c>
      <c r="BP651" s="8">
        <f t="shared" si="599"/>
        <v>0</v>
      </c>
      <c r="BQ651" s="12">
        <f t="shared" si="600"/>
        <v>0</v>
      </c>
    </row>
    <row r="652" spans="1:69">
      <c r="A652" s="28">
        <v>1967</v>
      </c>
      <c r="B652" s="27" t="s">
        <v>56</v>
      </c>
      <c r="C652" s="24">
        <f t="shared" si="639"/>
        <v>640</v>
      </c>
      <c r="D652" s="7" t="e">
        <f t="shared" ca="1" si="640"/>
        <v>#N/A</v>
      </c>
      <c r="E652" s="26">
        <f t="array" aca="1" ref="E652" ca="1">AVERAGE(IF(INDIRECT(DatCol&amp;"$"&amp;TEXT(C652,"###")):INDIRECT(DatCol&amp;"$"&amp;TEXT(C652+57,"###"))&gt;0,INDIRECT(DatCol&amp;"$"&amp;TEXT(C652,"###")):INDIRECT(DatCol&amp;"$"&amp;TEXT(C652+57,"###"))))</f>
        <v>267.21724137931034</v>
      </c>
      <c r="F652" s="26" t="str">
        <f t="shared" si="619"/>
        <v>N</v>
      </c>
      <c r="G652" s="8"/>
      <c r="K652" s="9">
        <f t="shared" si="598"/>
        <v>0</v>
      </c>
      <c r="M652" s="11">
        <f t="shared" si="641"/>
        <v>0</v>
      </c>
      <c r="O652" s="11">
        <f t="shared" si="642"/>
        <v>0</v>
      </c>
      <c r="Q652" s="11">
        <f t="shared" si="643"/>
        <v>0</v>
      </c>
      <c r="Y652" s="11">
        <f t="shared" si="644"/>
        <v>0</v>
      </c>
      <c r="AG652" s="11">
        <f t="shared" si="645"/>
        <v>0</v>
      </c>
      <c r="AI652" s="11">
        <f t="shared" si="646"/>
        <v>0</v>
      </c>
      <c r="AK652" s="13">
        <f t="shared" si="647"/>
        <v>0</v>
      </c>
      <c r="AM652" s="13">
        <f t="shared" si="648"/>
        <v>0</v>
      </c>
      <c r="AO652" s="11">
        <f t="shared" si="649"/>
        <v>0</v>
      </c>
      <c r="AQ652" s="11">
        <f t="shared" si="650"/>
        <v>0</v>
      </c>
      <c r="AS652" s="11">
        <f t="shared" si="651"/>
        <v>0</v>
      </c>
      <c r="AU652" s="11">
        <f t="shared" si="652"/>
        <v>0</v>
      </c>
      <c r="AW652" s="11">
        <f t="shared" si="653"/>
        <v>0</v>
      </c>
      <c r="AY652" s="11">
        <f t="shared" si="654"/>
        <v>0</v>
      </c>
      <c r="BA652" s="11">
        <f t="shared" si="655"/>
        <v>0</v>
      </c>
      <c r="BC652" s="11">
        <f t="shared" si="656"/>
        <v>0</v>
      </c>
      <c r="BE652" s="11">
        <f t="shared" si="657"/>
        <v>0</v>
      </c>
      <c r="BG652" s="11">
        <f t="shared" si="658"/>
        <v>0</v>
      </c>
      <c r="BN652" s="8">
        <f t="shared" ref="BN652:BN716" si="659">(L652+P652+R652+T652+V652+X652+Z652+AB652+AD652+AF652+AJ652+AN652+AR652+AV652+AZ652+BD652)</f>
        <v>0</v>
      </c>
      <c r="BO652" s="8">
        <f t="shared" si="597"/>
        <v>0</v>
      </c>
      <c r="BP652" s="8">
        <f t="shared" si="599"/>
        <v>0</v>
      </c>
      <c r="BQ652" s="12">
        <f t="shared" si="600"/>
        <v>0</v>
      </c>
    </row>
    <row r="653" spans="1:69">
      <c r="A653" s="28">
        <v>1968</v>
      </c>
      <c r="B653" s="27" t="s">
        <v>56</v>
      </c>
      <c r="C653" s="24">
        <f t="shared" si="639"/>
        <v>640</v>
      </c>
      <c r="D653" s="7" t="e">
        <f t="shared" ca="1" si="640"/>
        <v>#N/A</v>
      </c>
      <c r="E653" s="26">
        <f t="array" aca="1" ref="E653" ca="1">AVERAGE(IF(INDIRECT(DatCol&amp;"$"&amp;TEXT(C653,"###")):INDIRECT(DatCol&amp;"$"&amp;TEXT(C653+57,"###"))&gt;0,INDIRECT(DatCol&amp;"$"&amp;TEXT(C653,"###")):INDIRECT(DatCol&amp;"$"&amp;TEXT(C653+57,"###"))))</f>
        <v>267.21724137931034</v>
      </c>
      <c r="F653" s="26" t="str">
        <f t="shared" si="619"/>
        <v>N</v>
      </c>
      <c r="G653" s="8"/>
      <c r="H653" s="8">
        <v>50</v>
      </c>
      <c r="I653" s="8">
        <v>50</v>
      </c>
      <c r="J653" s="8">
        <v>56</v>
      </c>
      <c r="K653" s="9">
        <f t="shared" si="598"/>
        <v>106</v>
      </c>
      <c r="L653" s="12">
        <v>17129</v>
      </c>
      <c r="M653" s="11">
        <f t="shared" si="641"/>
        <v>856450</v>
      </c>
      <c r="N653" s="12">
        <v>1696</v>
      </c>
      <c r="O653" s="11">
        <f t="shared" si="642"/>
        <v>84800</v>
      </c>
      <c r="Q653" s="11">
        <f t="shared" si="643"/>
        <v>0</v>
      </c>
      <c r="Y653" s="11">
        <f t="shared" si="644"/>
        <v>0</v>
      </c>
      <c r="AG653" s="11">
        <f t="shared" si="645"/>
        <v>0</v>
      </c>
      <c r="AI653" s="11">
        <f t="shared" si="646"/>
        <v>0</v>
      </c>
      <c r="AK653" s="13">
        <f t="shared" si="647"/>
        <v>0</v>
      </c>
      <c r="AM653" s="13">
        <f t="shared" si="648"/>
        <v>0</v>
      </c>
      <c r="AO653" s="11">
        <f t="shared" si="649"/>
        <v>0</v>
      </c>
      <c r="AQ653" s="11">
        <f t="shared" si="650"/>
        <v>0</v>
      </c>
      <c r="AS653" s="11">
        <f t="shared" si="651"/>
        <v>0</v>
      </c>
      <c r="AU653" s="11">
        <f t="shared" si="652"/>
        <v>0</v>
      </c>
      <c r="AW653" s="11">
        <f t="shared" si="653"/>
        <v>0</v>
      </c>
      <c r="AY653" s="11">
        <f t="shared" si="654"/>
        <v>0</v>
      </c>
      <c r="BA653" s="11">
        <f t="shared" si="655"/>
        <v>0</v>
      </c>
      <c r="BC653" s="11">
        <f t="shared" si="656"/>
        <v>0</v>
      </c>
      <c r="BE653" s="11">
        <f t="shared" si="657"/>
        <v>0</v>
      </c>
      <c r="BG653" s="11">
        <f t="shared" si="658"/>
        <v>0</v>
      </c>
      <c r="BN653" s="8">
        <f t="shared" si="659"/>
        <v>17129</v>
      </c>
      <c r="BO653" s="8">
        <f t="shared" ref="BO653:BO717" si="660">(M653+Q653+S653+U653+W653+Y653+AA653+AC653+AG653+AK653+AO653+AS653+AW653+BA653+BE653)</f>
        <v>856450</v>
      </c>
      <c r="BP653" s="8">
        <f t="shared" si="599"/>
        <v>1696</v>
      </c>
      <c r="BQ653" s="12">
        <f t="shared" si="600"/>
        <v>84800</v>
      </c>
    </row>
    <row r="654" spans="1:69">
      <c r="A654" s="28">
        <v>1969</v>
      </c>
      <c r="B654" s="27" t="s">
        <v>56</v>
      </c>
      <c r="C654" s="24">
        <f t="shared" si="639"/>
        <v>640</v>
      </c>
      <c r="D654" s="7" t="e">
        <f t="shared" ca="1" si="640"/>
        <v>#N/A</v>
      </c>
      <c r="E654" s="26">
        <f t="array" aca="1" ref="E654" ca="1">AVERAGE(IF(INDIRECT(DatCol&amp;"$"&amp;TEXT(C654,"###")):INDIRECT(DatCol&amp;"$"&amp;TEXT(C654+57,"###"))&gt;0,INDIRECT(DatCol&amp;"$"&amp;TEXT(C654,"###")):INDIRECT(DatCol&amp;"$"&amp;TEXT(C654+57,"###"))))</f>
        <v>267.21724137931034</v>
      </c>
      <c r="F654" s="26" t="str">
        <f t="shared" si="619"/>
        <v>N</v>
      </c>
      <c r="G654" s="8"/>
      <c r="H654" s="8">
        <v>100</v>
      </c>
      <c r="I654" s="8">
        <v>81</v>
      </c>
      <c r="J654" s="8">
        <v>180</v>
      </c>
      <c r="K654" s="9">
        <f t="shared" ref="K654:K718" si="661">G654+H654+J654</f>
        <v>280</v>
      </c>
      <c r="M654" s="11">
        <f t="shared" si="641"/>
        <v>0</v>
      </c>
      <c r="O654" s="11">
        <f t="shared" si="642"/>
        <v>0</v>
      </c>
      <c r="Q654" s="11">
        <f t="shared" si="643"/>
        <v>0</v>
      </c>
      <c r="Y654" s="11">
        <f t="shared" si="644"/>
        <v>0</v>
      </c>
      <c r="AG654" s="11">
        <f t="shared" si="645"/>
        <v>0</v>
      </c>
      <c r="AI654" s="11">
        <f t="shared" si="646"/>
        <v>0</v>
      </c>
      <c r="AK654" s="13">
        <f t="shared" si="647"/>
        <v>0</v>
      </c>
      <c r="AM654" s="13">
        <f t="shared" si="648"/>
        <v>0</v>
      </c>
      <c r="AO654" s="11">
        <f t="shared" si="649"/>
        <v>0</v>
      </c>
      <c r="AQ654" s="11">
        <f t="shared" si="650"/>
        <v>0</v>
      </c>
      <c r="AS654" s="11">
        <f t="shared" si="651"/>
        <v>0</v>
      </c>
      <c r="AU654" s="11">
        <f t="shared" si="652"/>
        <v>0</v>
      </c>
      <c r="AW654" s="11">
        <f t="shared" si="653"/>
        <v>0</v>
      </c>
      <c r="AY654" s="11">
        <f t="shared" si="654"/>
        <v>0</v>
      </c>
      <c r="BA654" s="11">
        <f t="shared" si="655"/>
        <v>0</v>
      </c>
      <c r="BC654" s="11">
        <f t="shared" si="656"/>
        <v>0</v>
      </c>
      <c r="BE654" s="11">
        <f t="shared" si="657"/>
        <v>0</v>
      </c>
      <c r="BG654" s="11">
        <f t="shared" si="658"/>
        <v>0</v>
      </c>
      <c r="BN654" s="8">
        <f t="shared" si="659"/>
        <v>0</v>
      </c>
      <c r="BO654" s="8">
        <f t="shared" si="660"/>
        <v>0</v>
      </c>
      <c r="BP654" s="8">
        <f t="shared" si="599"/>
        <v>0</v>
      </c>
      <c r="BQ654" s="12">
        <f t="shared" si="600"/>
        <v>0</v>
      </c>
    </row>
    <row r="655" spans="1:69">
      <c r="A655" s="28">
        <v>1970</v>
      </c>
      <c r="B655" s="27" t="s">
        <v>56</v>
      </c>
      <c r="C655" s="24">
        <f t="shared" si="639"/>
        <v>640</v>
      </c>
      <c r="D655" s="7" t="e">
        <f t="shared" ca="1" si="640"/>
        <v>#N/A</v>
      </c>
      <c r="E655" s="26">
        <f t="array" aca="1" ref="E655" ca="1">AVERAGE(IF(INDIRECT(DatCol&amp;"$"&amp;TEXT(C655,"###")):INDIRECT(DatCol&amp;"$"&amp;TEXT(C655+57,"###"))&gt;0,INDIRECT(DatCol&amp;"$"&amp;TEXT(C655,"###")):INDIRECT(DatCol&amp;"$"&amp;TEXT(C655+57,"###"))))</f>
        <v>267.21724137931034</v>
      </c>
      <c r="F655" s="26" t="str">
        <f t="shared" si="619"/>
        <v>N</v>
      </c>
      <c r="G655" s="8"/>
      <c r="I655" s="8" t="s">
        <v>21</v>
      </c>
      <c r="K655" s="9">
        <f t="shared" si="661"/>
        <v>0</v>
      </c>
      <c r="M655" s="11">
        <f t="shared" si="641"/>
        <v>0</v>
      </c>
      <c r="O655" s="11">
        <f t="shared" si="642"/>
        <v>0</v>
      </c>
      <c r="Q655" s="11">
        <f t="shared" si="643"/>
        <v>0</v>
      </c>
      <c r="Y655" s="11">
        <f t="shared" si="644"/>
        <v>0</v>
      </c>
      <c r="AG655" s="11">
        <f t="shared" si="645"/>
        <v>0</v>
      </c>
      <c r="AI655" s="11">
        <f t="shared" si="646"/>
        <v>0</v>
      </c>
      <c r="AK655" s="13">
        <f t="shared" si="647"/>
        <v>0</v>
      </c>
      <c r="AM655" s="13">
        <f t="shared" si="648"/>
        <v>0</v>
      </c>
      <c r="AO655" s="11">
        <f t="shared" si="649"/>
        <v>0</v>
      </c>
      <c r="AQ655" s="11">
        <f t="shared" si="650"/>
        <v>0</v>
      </c>
      <c r="AS655" s="11">
        <f t="shared" si="651"/>
        <v>0</v>
      </c>
      <c r="AU655" s="11">
        <f t="shared" si="652"/>
        <v>0</v>
      </c>
      <c r="AW655" s="11">
        <f t="shared" si="653"/>
        <v>0</v>
      </c>
      <c r="AY655" s="11">
        <f t="shared" si="654"/>
        <v>0</v>
      </c>
      <c r="BA655" s="11">
        <f t="shared" si="655"/>
        <v>0</v>
      </c>
      <c r="BC655" s="11">
        <f t="shared" si="656"/>
        <v>0</v>
      </c>
      <c r="BE655" s="11">
        <f t="shared" si="657"/>
        <v>0</v>
      </c>
      <c r="BG655" s="11">
        <f t="shared" si="658"/>
        <v>0</v>
      </c>
      <c r="BN655" s="8">
        <f t="shared" si="659"/>
        <v>0</v>
      </c>
      <c r="BO655" s="8">
        <f t="shared" si="660"/>
        <v>0</v>
      </c>
      <c r="BP655" s="8">
        <f t="shared" si="599"/>
        <v>0</v>
      </c>
      <c r="BQ655" s="12">
        <f t="shared" si="600"/>
        <v>0</v>
      </c>
    </row>
    <row r="656" spans="1:69">
      <c r="A656" s="28">
        <v>1971</v>
      </c>
      <c r="B656" s="27" t="s">
        <v>56</v>
      </c>
      <c r="C656" s="24">
        <f t="shared" si="639"/>
        <v>640</v>
      </c>
      <c r="D656" s="7" t="e">
        <f t="shared" ca="1" si="640"/>
        <v>#N/A</v>
      </c>
      <c r="E656" s="26">
        <f t="array" aca="1" ref="E656" ca="1">AVERAGE(IF(INDIRECT(DatCol&amp;"$"&amp;TEXT(C656,"###")):INDIRECT(DatCol&amp;"$"&amp;TEXT(C656+57,"###"))&gt;0,INDIRECT(DatCol&amp;"$"&amp;TEXT(C656,"###")):INDIRECT(DatCol&amp;"$"&amp;TEXT(C656+57,"###"))))</f>
        <v>267.21724137931034</v>
      </c>
      <c r="F656" s="26" t="str">
        <f t="shared" si="619"/>
        <v>N</v>
      </c>
      <c r="G656" s="8"/>
      <c r="K656" s="9">
        <f t="shared" si="661"/>
        <v>0</v>
      </c>
      <c r="M656" s="11">
        <f t="shared" si="641"/>
        <v>0</v>
      </c>
      <c r="O656" s="11">
        <f t="shared" si="642"/>
        <v>0</v>
      </c>
      <c r="Q656" s="11">
        <f t="shared" si="643"/>
        <v>0</v>
      </c>
      <c r="Y656" s="11">
        <f t="shared" si="644"/>
        <v>0</v>
      </c>
      <c r="AG656" s="11">
        <f t="shared" si="645"/>
        <v>0</v>
      </c>
      <c r="AI656" s="11">
        <f t="shared" si="646"/>
        <v>0</v>
      </c>
      <c r="AK656" s="13">
        <f t="shared" si="647"/>
        <v>0</v>
      </c>
      <c r="AM656" s="13">
        <f t="shared" si="648"/>
        <v>0</v>
      </c>
      <c r="AO656" s="11">
        <f t="shared" si="649"/>
        <v>0</v>
      </c>
      <c r="AQ656" s="11">
        <f t="shared" si="650"/>
        <v>0</v>
      </c>
      <c r="AS656" s="11">
        <f t="shared" si="651"/>
        <v>0</v>
      </c>
      <c r="AU656" s="11">
        <f t="shared" si="652"/>
        <v>0</v>
      </c>
      <c r="AW656" s="11">
        <f t="shared" si="653"/>
        <v>0</v>
      </c>
      <c r="AY656" s="11">
        <f t="shared" si="654"/>
        <v>0</v>
      </c>
      <c r="BA656" s="11">
        <f t="shared" si="655"/>
        <v>0</v>
      </c>
      <c r="BC656" s="11">
        <f t="shared" si="656"/>
        <v>0</v>
      </c>
      <c r="BE656" s="11">
        <f t="shared" si="657"/>
        <v>0</v>
      </c>
      <c r="BG656" s="11">
        <f t="shared" si="658"/>
        <v>0</v>
      </c>
      <c r="BN656" s="8">
        <f t="shared" si="659"/>
        <v>0</v>
      </c>
      <c r="BO656" s="8">
        <f t="shared" si="660"/>
        <v>0</v>
      </c>
      <c r="BP656" s="8">
        <f t="shared" si="599"/>
        <v>0</v>
      </c>
      <c r="BQ656" s="12">
        <f t="shared" si="600"/>
        <v>0</v>
      </c>
    </row>
    <row r="657" spans="1:69">
      <c r="A657" s="28">
        <v>1972</v>
      </c>
      <c r="B657" s="27" t="s">
        <v>56</v>
      </c>
      <c r="C657" s="24">
        <f t="shared" si="639"/>
        <v>640</v>
      </c>
      <c r="D657" s="7" t="e">
        <f t="shared" ca="1" si="640"/>
        <v>#N/A</v>
      </c>
      <c r="E657" s="26">
        <f t="array" aca="1" ref="E657" ca="1">AVERAGE(IF(INDIRECT(DatCol&amp;"$"&amp;TEXT(C657,"###")):INDIRECT(DatCol&amp;"$"&amp;TEXT(C657+57,"###"))&gt;0,INDIRECT(DatCol&amp;"$"&amp;TEXT(C657,"###")):INDIRECT(DatCol&amp;"$"&amp;TEXT(C657+57,"###"))))</f>
        <v>267.21724137931034</v>
      </c>
      <c r="F657" s="26" t="str">
        <f t="shared" si="619"/>
        <v>N</v>
      </c>
      <c r="G657" s="8"/>
      <c r="K657" s="9">
        <f t="shared" si="661"/>
        <v>0</v>
      </c>
      <c r="M657" s="11">
        <f t="shared" si="641"/>
        <v>0</v>
      </c>
      <c r="O657" s="11">
        <f t="shared" si="642"/>
        <v>0</v>
      </c>
      <c r="Q657" s="11">
        <f t="shared" si="643"/>
        <v>0</v>
      </c>
      <c r="Y657" s="11">
        <f t="shared" si="644"/>
        <v>0</v>
      </c>
      <c r="AG657" s="11">
        <f t="shared" si="645"/>
        <v>0</v>
      </c>
      <c r="AI657" s="11">
        <f t="shared" si="646"/>
        <v>0</v>
      </c>
      <c r="AK657" s="13">
        <f t="shared" si="647"/>
        <v>0</v>
      </c>
      <c r="AM657" s="13">
        <f t="shared" si="648"/>
        <v>0</v>
      </c>
      <c r="AO657" s="11">
        <f t="shared" si="649"/>
        <v>0</v>
      </c>
      <c r="AQ657" s="11">
        <f t="shared" si="650"/>
        <v>0</v>
      </c>
      <c r="AS657" s="11">
        <f t="shared" si="651"/>
        <v>0</v>
      </c>
      <c r="AU657" s="11">
        <f t="shared" si="652"/>
        <v>0</v>
      </c>
      <c r="AW657" s="11">
        <f t="shared" si="653"/>
        <v>0</v>
      </c>
      <c r="AY657" s="11">
        <f t="shared" si="654"/>
        <v>0</v>
      </c>
      <c r="BA657" s="11">
        <f t="shared" si="655"/>
        <v>0</v>
      </c>
      <c r="BC657" s="11">
        <f t="shared" si="656"/>
        <v>0</v>
      </c>
      <c r="BE657" s="11">
        <f t="shared" si="657"/>
        <v>0</v>
      </c>
      <c r="BG657" s="11">
        <f t="shared" si="658"/>
        <v>0</v>
      </c>
      <c r="BN657" s="8">
        <f t="shared" si="659"/>
        <v>0</v>
      </c>
      <c r="BO657" s="8">
        <f t="shared" si="660"/>
        <v>0</v>
      </c>
      <c r="BP657" s="8">
        <f t="shared" si="599"/>
        <v>0</v>
      </c>
      <c r="BQ657" s="12">
        <f t="shared" si="600"/>
        <v>0</v>
      </c>
    </row>
    <row r="658" spans="1:69">
      <c r="A658" s="28">
        <v>1973</v>
      </c>
      <c r="B658" s="27" t="s">
        <v>56</v>
      </c>
      <c r="C658" s="24">
        <f t="shared" si="639"/>
        <v>640</v>
      </c>
      <c r="D658" s="7" t="e">
        <f t="shared" ca="1" si="640"/>
        <v>#N/A</v>
      </c>
      <c r="E658" s="26">
        <f t="array" aca="1" ref="E658" ca="1">AVERAGE(IF(INDIRECT(DatCol&amp;"$"&amp;TEXT(C658,"###")):INDIRECT(DatCol&amp;"$"&amp;TEXT(C658+57,"###"))&gt;0,INDIRECT(DatCol&amp;"$"&amp;TEXT(C658,"###")):INDIRECT(DatCol&amp;"$"&amp;TEXT(C658+57,"###"))))</f>
        <v>267.21724137931034</v>
      </c>
      <c r="F658" s="26" t="str">
        <f t="shared" si="619"/>
        <v>N</v>
      </c>
      <c r="G658" s="8"/>
      <c r="K658" s="9">
        <f t="shared" si="661"/>
        <v>0</v>
      </c>
      <c r="M658" s="11">
        <f t="shared" si="641"/>
        <v>0</v>
      </c>
      <c r="O658" s="11">
        <f t="shared" si="642"/>
        <v>0</v>
      </c>
      <c r="Q658" s="11">
        <f t="shared" si="643"/>
        <v>0</v>
      </c>
      <c r="Y658" s="11">
        <f t="shared" si="644"/>
        <v>0</v>
      </c>
      <c r="AG658" s="11">
        <f t="shared" si="645"/>
        <v>0</v>
      </c>
      <c r="AI658" s="11">
        <f t="shared" si="646"/>
        <v>0</v>
      </c>
      <c r="AK658" s="13">
        <f t="shared" si="647"/>
        <v>0</v>
      </c>
      <c r="AM658" s="13">
        <f t="shared" si="648"/>
        <v>0</v>
      </c>
      <c r="AO658" s="11">
        <f t="shared" si="649"/>
        <v>0</v>
      </c>
      <c r="AQ658" s="11">
        <f t="shared" si="650"/>
        <v>0</v>
      </c>
      <c r="AS658" s="11">
        <f t="shared" si="651"/>
        <v>0</v>
      </c>
      <c r="AU658" s="11">
        <f t="shared" si="652"/>
        <v>0</v>
      </c>
      <c r="AW658" s="11">
        <f t="shared" si="653"/>
        <v>0</v>
      </c>
      <c r="AY658" s="11">
        <f t="shared" si="654"/>
        <v>0</v>
      </c>
      <c r="BA658" s="11">
        <f t="shared" si="655"/>
        <v>0</v>
      </c>
      <c r="BC658" s="11">
        <f t="shared" si="656"/>
        <v>0</v>
      </c>
      <c r="BE658" s="11">
        <f t="shared" si="657"/>
        <v>0</v>
      </c>
      <c r="BG658" s="11">
        <f t="shared" si="658"/>
        <v>0</v>
      </c>
      <c r="BN658" s="8">
        <f t="shared" si="659"/>
        <v>0</v>
      </c>
      <c r="BO658" s="8">
        <f t="shared" si="660"/>
        <v>0</v>
      </c>
      <c r="BP658" s="8">
        <f t="shared" si="599"/>
        <v>0</v>
      </c>
      <c r="BQ658" s="12">
        <f t="shared" si="600"/>
        <v>0</v>
      </c>
    </row>
    <row r="659" spans="1:69">
      <c r="A659" s="28">
        <v>1974</v>
      </c>
      <c r="B659" s="27" t="s">
        <v>56</v>
      </c>
      <c r="C659" s="24">
        <f t="shared" si="639"/>
        <v>640</v>
      </c>
      <c r="D659" s="7" t="e">
        <f t="shared" ca="1" si="640"/>
        <v>#N/A</v>
      </c>
      <c r="E659" s="26">
        <f t="array" aca="1" ref="E659" ca="1">AVERAGE(IF(INDIRECT(DatCol&amp;"$"&amp;TEXT(C659,"###")):INDIRECT(DatCol&amp;"$"&amp;TEXT(C659+57,"###"))&gt;0,INDIRECT(DatCol&amp;"$"&amp;TEXT(C659,"###")):INDIRECT(DatCol&amp;"$"&amp;TEXT(C659+57,"###"))))</f>
        <v>267.21724137931034</v>
      </c>
      <c r="F659" s="26" t="str">
        <f t="shared" si="619"/>
        <v>N</v>
      </c>
      <c r="G659" s="8"/>
      <c r="K659" s="9">
        <f t="shared" si="661"/>
        <v>0</v>
      </c>
      <c r="M659" s="11">
        <f t="shared" si="641"/>
        <v>0</v>
      </c>
      <c r="O659" s="11">
        <f t="shared" si="642"/>
        <v>0</v>
      </c>
      <c r="Q659" s="11">
        <f t="shared" si="643"/>
        <v>0</v>
      </c>
      <c r="Y659" s="11">
        <f t="shared" si="644"/>
        <v>0</v>
      </c>
      <c r="AG659" s="11">
        <f t="shared" si="645"/>
        <v>0</v>
      </c>
      <c r="AI659" s="11">
        <f t="shared" si="646"/>
        <v>0</v>
      </c>
      <c r="AK659" s="13">
        <f t="shared" si="647"/>
        <v>0</v>
      </c>
      <c r="AM659" s="13">
        <f t="shared" si="648"/>
        <v>0</v>
      </c>
      <c r="AO659" s="11">
        <f t="shared" si="649"/>
        <v>0</v>
      </c>
      <c r="AQ659" s="11">
        <f t="shared" si="650"/>
        <v>0</v>
      </c>
      <c r="AS659" s="11">
        <f t="shared" si="651"/>
        <v>0</v>
      </c>
      <c r="AU659" s="11">
        <f t="shared" si="652"/>
        <v>0</v>
      </c>
      <c r="AW659" s="11">
        <f t="shared" si="653"/>
        <v>0</v>
      </c>
      <c r="AY659" s="11">
        <f t="shared" si="654"/>
        <v>0</v>
      </c>
      <c r="BA659" s="11">
        <f t="shared" si="655"/>
        <v>0</v>
      </c>
      <c r="BC659" s="11">
        <f t="shared" si="656"/>
        <v>0</v>
      </c>
      <c r="BE659" s="11">
        <f t="shared" si="657"/>
        <v>0</v>
      </c>
      <c r="BG659" s="11">
        <f t="shared" si="658"/>
        <v>0</v>
      </c>
      <c r="BN659" s="8">
        <f t="shared" si="659"/>
        <v>0</v>
      </c>
      <c r="BO659" s="8">
        <f t="shared" si="660"/>
        <v>0</v>
      </c>
      <c r="BP659" s="8">
        <f t="shared" si="599"/>
        <v>0</v>
      </c>
      <c r="BQ659" s="12">
        <f t="shared" si="600"/>
        <v>0</v>
      </c>
    </row>
    <row r="660" spans="1:69">
      <c r="A660" s="28">
        <v>1975</v>
      </c>
      <c r="B660" s="27" t="s">
        <v>56</v>
      </c>
      <c r="C660" s="24">
        <f t="shared" si="639"/>
        <v>640</v>
      </c>
      <c r="D660" s="7" t="e">
        <f t="shared" ca="1" si="640"/>
        <v>#N/A</v>
      </c>
      <c r="E660" s="26">
        <f t="array" aca="1" ref="E660" ca="1">AVERAGE(IF(INDIRECT(DatCol&amp;"$"&amp;TEXT(C660,"###")):INDIRECT(DatCol&amp;"$"&amp;TEXT(C660+57,"###"))&gt;0,INDIRECT(DatCol&amp;"$"&amp;TEXT(C660,"###")):INDIRECT(DatCol&amp;"$"&amp;TEXT(C660+57,"###"))))</f>
        <v>267.21724137931034</v>
      </c>
      <c r="F660" s="26" t="str">
        <f t="shared" si="619"/>
        <v>N</v>
      </c>
      <c r="G660" s="8"/>
      <c r="H660" s="8">
        <v>65</v>
      </c>
      <c r="I660" s="8">
        <v>102</v>
      </c>
      <c r="J660" s="8">
        <v>285</v>
      </c>
      <c r="K660" s="9">
        <f t="shared" si="661"/>
        <v>350</v>
      </c>
      <c r="L660" s="12">
        <v>200</v>
      </c>
      <c r="M660" s="11">
        <f t="shared" si="641"/>
        <v>10000</v>
      </c>
      <c r="N660" s="12">
        <v>855</v>
      </c>
      <c r="O660" s="11">
        <f t="shared" si="642"/>
        <v>42750</v>
      </c>
      <c r="Q660" s="11">
        <f t="shared" si="643"/>
        <v>0</v>
      </c>
      <c r="Y660" s="11">
        <f t="shared" si="644"/>
        <v>0</v>
      </c>
      <c r="AG660" s="11">
        <f t="shared" si="645"/>
        <v>0</v>
      </c>
      <c r="AI660" s="11">
        <f t="shared" si="646"/>
        <v>0</v>
      </c>
      <c r="AK660" s="13">
        <f t="shared" si="647"/>
        <v>0</v>
      </c>
      <c r="AM660" s="13">
        <f t="shared" si="648"/>
        <v>0</v>
      </c>
      <c r="AO660" s="11">
        <f t="shared" si="649"/>
        <v>0</v>
      </c>
      <c r="AQ660" s="11">
        <f t="shared" si="650"/>
        <v>0</v>
      </c>
      <c r="AS660" s="11">
        <f t="shared" si="651"/>
        <v>0</v>
      </c>
      <c r="AU660" s="11">
        <f t="shared" si="652"/>
        <v>0</v>
      </c>
      <c r="AW660" s="11">
        <f t="shared" si="653"/>
        <v>0</v>
      </c>
      <c r="AY660" s="11">
        <f t="shared" si="654"/>
        <v>0</v>
      </c>
      <c r="BA660" s="11">
        <f t="shared" si="655"/>
        <v>0</v>
      </c>
      <c r="BC660" s="11">
        <f t="shared" si="656"/>
        <v>0</v>
      </c>
      <c r="BE660" s="11">
        <f t="shared" si="657"/>
        <v>0</v>
      </c>
      <c r="BG660" s="11">
        <f t="shared" si="658"/>
        <v>0</v>
      </c>
      <c r="BN660" s="8">
        <f t="shared" si="659"/>
        <v>200</v>
      </c>
      <c r="BO660" s="8">
        <f t="shared" si="660"/>
        <v>10000</v>
      </c>
      <c r="BP660" s="8">
        <f t="shared" si="599"/>
        <v>855</v>
      </c>
      <c r="BQ660" s="12">
        <f t="shared" si="600"/>
        <v>42750</v>
      </c>
    </row>
    <row r="661" spans="1:69">
      <c r="A661" s="28">
        <v>1976</v>
      </c>
      <c r="B661" s="27" t="s">
        <v>56</v>
      </c>
      <c r="C661" s="24">
        <f t="shared" si="639"/>
        <v>640</v>
      </c>
      <c r="D661" s="7" t="e">
        <f t="shared" ca="1" si="640"/>
        <v>#N/A</v>
      </c>
      <c r="E661" s="26">
        <f t="array" aca="1" ref="E661" ca="1">AVERAGE(IF(INDIRECT(DatCol&amp;"$"&amp;TEXT(C661,"###")):INDIRECT(DatCol&amp;"$"&amp;TEXT(C661+57,"###"))&gt;0,INDIRECT(DatCol&amp;"$"&amp;TEXT(C661,"###")):INDIRECT(DatCol&amp;"$"&amp;TEXT(C661+57,"###"))))</f>
        <v>267.21724137931034</v>
      </c>
      <c r="F661" s="26" t="str">
        <f t="shared" si="619"/>
        <v>N</v>
      </c>
      <c r="G661" s="8"/>
      <c r="K661" s="9">
        <f t="shared" si="661"/>
        <v>0</v>
      </c>
      <c r="M661" s="11">
        <f t="shared" si="641"/>
        <v>0</v>
      </c>
      <c r="O661" s="11">
        <f t="shared" si="642"/>
        <v>0</v>
      </c>
      <c r="Q661" s="11">
        <f t="shared" si="643"/>
        <v>0</v>
      </c>
      <c r="Y661" s="11">
        <f t="shared" si="644"/>
        <v>0</v>
      </c>
      <c r="AG661" s="11">
        <f t="shared" si="645"/>
        <v>0</v>
      </c>
      <c r="AI661" s="11">
        <f t="shared" si="646"/>
        <v>0</v>
      </c>
      <c r="AK661" s="13">
        <f t="shared" si="647"/>
        <v>0</v>
      </c>
      <c r="AM661" s="13">
        <f t="shared" si="648"/>
        <v>0</v>
      </c>
      <c r="AO661" s="11">
        <f t="shared" si="649"/>
        <v>0</v>
      </c>
      <c r="AQ661" s="11">
        <f t="shared" si="650"/>
        <v>0</v>
      </c>
      <c r="AS661" s="11">
        <f t="shared" si="651"/>
        <v>0</v>
      </c>
      <c r="AU661" s="11">
        <f t="shared" si="652"/>
        <v>0</v>
      </c>
      <c r="AW661" s="11">
        <f t="shared" si="653"/>
        <v>0</v>
      </c>
      <c r="AY661" s="11">
        <f t="shared" si="654"/>
        <v>0</v>
      </c>
      <c r="BA661" s="11">
        <f t="shared" si="655"/>
        <v>0</v>
      </c>
      <c r="BC661" s="11">
        <f t="shared" si="656"/>
        <v>0</v>
      </c>
      <c r="BE661" s="11">
        <f t="shared" si="657"/>
        <v>0</v>
      </c>
      <c r="BG661" s="11">
        <f t="shared" si="658"/>
        <v>0</v>
      </c>
      <c r="BN661" s="8">
        <f t="shared" si="659"/>
        <v>0</v>
      </c>
      <c r="BO661" s="8">
        <f t="shared" si="660"/>
        <v>0</v>
      </c>
      <c r="BP661" s="8">
        <f t="shared" si="599"/>
        <v>0</v>
      </c>
      <c r="BQ661" s="12">
        <f t="shared" si="600"/>
        <v>0</v>
      </c>
    </row>
    <row r="662" spans="1:69">
      <c r="A662" s="28">
        <v>1977</v>
      </c>
      <c r="B662" s="27" t="s">
        <v>56</v>
      </c>
      <c r="C662" s="24">
        <f t="shared" si="639"/>
        <v>640</v>
      </c>
      <c r="D662" s="7" t="e">
        <f t="shared" ca="1" si="640"/>
        <v>#N/A</v>
      </c>
      <c r="E662" s="26">
        <f t="array" aca="1" ref="E662" ca="1">AVERAGE(IF(INDIRECT(DatCol&amp;"$"&amp;TEXT(C662,"###")):INDIRECT(DatCol&amp;"$"&amp;TEXT(C662+57,"###"))&gt;0,INDIRECT(DatCol&amp;"$"&amp;TEXT(C662,"###")):INDIRECT(DatCol&amp;"$"&amp;TEXT(C662+57,"###"))))</f>
        <v>267.21724137931034</v>
      </c>
      <c r="F662" s="26" t="str">
        <f t="shared" si="619"/>
        <v>N</v>
      </c>
      <c r="G662" s="8"/>
      <c r="K662" s="9">
        <f t="shared" si="661"/>
        <v>0</v>
      </c>
      <c r="M662" s="11">
        <f t="shared" si="641"/>
        <v>0</v>
      </c>
      <c r="O662" s="11">
        <f t="shared" si="642"/>
        <v>0</v>
      </c>
      <c r="Q662" s="11">
        <f t="shared" si="643"/>
        <v>0</v>
      </c>
      <c r="Y662" s="11">
        <f t="shared" si="644"/>
        <v>0</v>
      </c>
      <c r="AG662" s="11">
        <f t="shared" si="645"/>
        <v>0</v>
      </c>
      <c r="AI662" s="11">
        <f t="shared" si="646"/>
        <v>0</v>
      </c>
      <c r="AK662" s="13">
        <f t="shared" si="647"/>
        <v>0</v>
      </c>
      <c r="AM662" s="13">
        <f t="shared" si="648"/>
        <v>0</v>
      </c>
      <c r="AO662" s="11">
        <f t="shared" si="649"/>
        <v>0</v>
      </c>
      <c r="AQ662" s="11">
        <f t="shared" si="650"/>
        <v>0</v>
      </c>
      <c r="AS662" s="11">
        <f t="shared" si="651"/>
        <v>0</v>
      </c>
      <c r="AU662" s="11">
        <f t="shared" si="652"/>
        <v>0</v>
      </c>
      <c r="AW662" s="11">
        <f t="shared" si="653"/>
        <v>0</v>
      </c>
      <c r="AY662" s="11">
        <f t="shared" si="654"/>
        <v>0</v>
      </c>
      <c r="BA662" s="11">
        <f t="shared" si="655"/>
        <v>0</v>
      </c>
      <c r="BC662" s="11">
        <f t="shared" si="656"/>
        <v>0</v>
      </c>
      <c r="BE662" s="11">
        <f t="shared" si="657"/>
        <v>0</v>
      </c>
      <c r="BG662" s="11">
        <f t="shared" si="658"/>
        <v>0</v>
      </c>
      <c r="BN662" s="8">
        <f t="shared" si="659"/>
        <v>0</v>
      </c>
      <c r="BO662" s="8">
        <f t="shared" si="660"/>
        <v>0</v>
      </c>
      <c r="BP662" s="8">
        <f t="shared" si="599"/>
        <v>0</v>
      </c>
      <c r="BQ662" s="12">
        <f t="shared" si="600"/>
        <v>0</v>
      </c>
    </row>
    <row r="663" spans="1:69">
      <c r="A663" s="28">
        <v>1978</v>
      </c>
      <c r="B663" s="27" t="s">
        <v>56</v>
      </c>
      <c r="C663" s="24">
        <f t="shared" si="639"/>
        <v>640</v>
      </c>
      <c r="D663" s="7" t="e">
        <f t="shared" ca="1" si="640"/>
        <v>#N/A</v>
      </c>
      <c r="E663" s="26">
        <f t="array" aca="1" ref="E663" ca="1">AVERAGE(IF(INDIRECT(DatCol&amp;"$"&amp;TEXT(C663,"###")):INDIRECT(DatCol&amp;"$"&amp;TEXT(C663+57,"###"))&gt;0,INDIRECT(DatCol&amp;"$"&amp;TEXT(C663,"###")):INDIRECT(DatCol&amp;"$"&amp;TEXT(C663+57,"###"))))</f>
        <v>267.21724137931034</v>
      </c>
      <c r="F663" s="26" t="str">
        <f t="shared" si="619"/>
        <v>N</v>
      </c>
      <c r="G663" s="8"/>
      <c r="H663" s="8">
        <v>407</v>
      </c>
      <c r="I663" s="8">
        <v>47</v>
      </c>
      <c r="J663" s="8">
        <v>77</v>
      </c>
      <c r="K663" s="9">
        <f t="shared" si="661"/>
        <v>484</v>
      </c>
      <c r="L663" s="12">
        <v>8000</v>
      </c>
      <c r="M663" s="11">
        <f t="shared" si="641"/>
        <v>400000</v>
      </c>
      <c r="N663" s="12">
        <v>432</v>
      </c>
      <c r="O663" s="11">
        <f t="shared" si="642"/>
        <v>21600</v>
      </c>
      <c r="Q663" s="11">
        <f t="shared" si="643"/>
        <v>0</v>
      </c>
      <c r="Y663" s="11">
        <f t="shared" si="644"/>
        <v>0</v>
      </c>
      <c r="AG663" s="11">
        <f t="shared" si="645"/>
        <v>0</v>
      </c>
      <c r="AI663" s="11">
        <f t="shared" si="646"/>
        <v>0</v>
      </c>
      <c r="AK663" s="13">
        <f t="shared" si="647"/>
        <v>0</v>
      </c>
      <c r="AM663" s="13">
        <f t="shared" si="648"/>
        <v>0</v>
      </c>
      <c r="AO663" s="11">
        <f t="shared" si="649"/>
        <v>0</v>
      </c>
      <c r="AQ663" s="11">
        <f t="shared" si="650"/>
        <v>0</v>
      </c>
      <c r="AS663" s="11">
        <f t="shared" si="651"/>
        <v>0</v>
      </c>
      <c r="AU663" s="11">
        <f t="shared" si="652"/>
        <v>0</v>
      </c>
      <c r="AW663" s="11">
        <f t="shared" si="653"/>
        <v>0</v>
      </c>
      <c r="AY663" s="11">
        <f t="shared" si="654"/>
        <v>0</v>
      </c>
      <c r="BA663" s="11">
        <f t="shared" si="655"/>
        <v>0</v>
      </c>
      <c r="BC663" s="11">
        <f t="shared" si="656"/>
        <v>0</v>
      </c>
      <c r="BE663" s="11">
        <f t="shared" si="657"/>
        <v>0</v>
      </c>
      <c r="BG663" s="11">
        <f t="shared" si="658"/>
        <v>0</v>
      </c>
      <c r="BN663" s="8">
        <f t="shared" si="659"/>
        <v>8000</v>
      </c>
      <c r="BO663" s="8">
        <f t="shared" si="660"/>
        <v>400000</v>
      </c>
      <c r="BP663" s="8">
        <f t="shared" ref="BP663:BP727" si="662">(N663+X663+Z663+AB663+AD663+AH663+AL663+AP663+AT663+AX663+BB663+BF663)</f>
        <v>432</v>
      </c>
      <c r="BQ663" s="12">
        <f t="shared" ref="BQ663:BQ727" si="663">(O663+Y663+AA663+AC663+AE663+AI663+AM663+AQ663+AU663+AY663+BC663+BG663)</f>
        <v>21600</v>
      </c>
    </row>
    <row r="664" spans="1:69">
      <c r="A664" s="28">
        <v>1979</v>
      </c>
      <c r="B664" s="27" t="s">
        <v>56</v>
      </c>
      <c r="C664" s="24">
        <f t="shared" si="639"/>
        <v>640</v>
      </c>
      <c r="D664" s="7" t="e">
        <f t="shared" ca="1" si="640"/>
        <v>#N/A</v>
      </c>
      <c r="E664" s="26">
        <f t="array" aca="1" ref="E664" ca="1">AVERAGE(IF(INDIRECT(DatCol&amp;"$"&amp;TEXT(C664,"###")):INDIRECT(DatCol&amp;"$"&amp;TEXT(C664+57,"###"))&gt;0,INDIRECT(DatCol&amp;"$"&amp;TEXT(C664,"###")):INDIRECT(DatCol&amp;"$"&amp;TEXT(C664+57,"###"))))</f>
        <v>267.21724137931034</v>
      </c>
      <c r="F664" s="26" t="str">
        <f t="shared" si="619"/>
        <v>N</v>
      </c>
      <c r="G664" s="8"/>
      <c r="H664" s="8">
        <v>35</v>
      </c>
      <c r="I664" s="8">
        <v>62</v>
      </c>
      <c r="J664" s="8">
        <v>108</v>
      </c>
      <c r="K664" s="9">
        <f t="shared" si="661"/>
        <v>143</v>
      </c>
      <c r="L664" s="12">
        <v>18740</v>
      </c>
      <c r="M664" s="11">
        <f t="shared" ref="M664:M679" si="664">(L664*50)</f>
        <v>937000</v>
      </c>
      <c r="N664" s="12">
        <v>429</v>
      </c>
      <c r="O664" s="11">
        <f t="shared" ref="O664:O679" si="665">(N664*50)</f>
        <v>21450</v>
      </c>
      <c r="Q664" s="11">
        <f t="shared" ref="Q664:Q679" si="666">((P664*330)/5.5)</f>
        <v>0</v>
      </c>
      <c r="Y664" s="11">
        <f t="shared" ref="Y664:Y679" si="667">((X664*330)/5.5)</f>
        <v>0</v>
      </c>
      <c r="AG664" s="11">
        <f t="shared" ref="AG664:AG679" si="668">(AF664*65)</f>
        <v>0</v>
      </c>
      <c r="AI664" s="11">
        <f t="shared" ref="AI664:AI679" si="669">(AH664*65)</f>
        <v>0</v>
      </c>
      <c r="AK664" s="13">
        <f t="shared" ref="AK664:AK679" si="670">(AJ664*9)</f>
        <v>0</v>
      </c>
      <c r="AM664" s="13">
        <f t="shared" ref="AM664:AM679" si="671">(AL664*9)</f>
        <v>0</v>
      </c>
      <c r="AO664" s="11">
        <f t="shared" ref="AO664:AO679" si="672">(AN664*80)</f>
        <v>0</v>
      </c>
      <c r="AQ664" s="11">
        <f t="shared" ref="AQ664:AQ679" si="673">(AP664*80)</f>
        <v>0</v>
      </c>
      <c r="AS664" s="11">
        <f t="shared" ref="AS664:AS679" si="674">(AR664*50)</f>
        <v>0</v>
      </c>
      <c r="AU664" s="11">
        <f t="shared" ref="AU664:AU679" si="675">(AT664*50)</f>
        <v>0</v>
      </c>
      <c r="AW664" s="11">
        <f t="shared" ref="AW664:AW679" si="676">(AV664*60)</f>
        <v>0</v>
      </c>
      <c r="AY664" s="11">
        <f t="shared" ref="AY664:AY679" si="677">(AX664*60)</f>
        <v>0</v>
      </c>
      <c r="BA664" s="11">
        <f t="shared" ref="BA664:BA679" si="678">(AZ664*40)</f>
        <v>0</v>
      </c>
      <c r="BC664" s="11">
        <f t="shared" ref="BC664:BC679" si="679">(BB664*40)</f>
        <v>0</v>
      </c>
      <c r="BE664" s="11">
        <f t="shared" ref="BE664:BE679" si="680">(BD664*95)</f>
        <v>0</v>
      </c>
      <c r="BG664" s="11">
        <f t="shared" ref="BG664:BG679" si="681">(BF664*95)</f>
        <v>0</v>
      </c>
      <c r="BN664" s="8">
        <f t="shared" si="659"/>
        <v>18740</v>
      </c>
      <c r="BO664" s="8">
        <f t="shared" si="660"/>
        <v>937000</v>
      </c>
      <c r="BP664" s="8">
        <f t="shared" si="662"/>
        <v>429</v>
      </c>
      <c r="BQ664" s="12">
        <f t="shared" si="663"/>
        <v>21450</v>
      </c>
    </row>
    <row r="665" spans="1:69">
      <c r="A665" s="28">
        <v>1980</v>
      </c>
      <c r="B665" s="27" t="s">
        <v>56</v>
      </c>
      <c r="C665" s="24">
        <f t="shared" si="639"/>
        <v>640</v>
      </c>
      <c r="D665" s="7" t="e">
        <f t="shared" ca="1" si="640"/>
        <v>#N/A</v>
      </c>
      <c r="E665" s="26">
        <f t="array" aca="1" ref="E665" ca="1">AVERAGE(IF(INDIRECT(DatCol&amp;"$"&amp;TEXT(C665,"###")):INDIRECT(DatCol&amp;"$"&amp;TEXT(C665+57,"###"))&gt;0,INDIRECT(DatCol&amp;"$"&amp;TEXT(C665,"###")):INDIRECT(DatCol&amp;"$"&amp;TEXT(C665+57,"###"))))</f>
        <v>267.21724137931034</v>
      </c>
      <c r="F665" s="26" t="str">
        <f t="shared" si="619"/>
        <v>N</v>
      </c>
      <c r="G665" s="8"/>
      <c r="H665" s="8">
        <v>56</v>
      </c>
      <c r="I665" s="8">
        <v>137</v>
      </c>
      <c r="J665" s="8">
        <v>158</v>
      </c>
      <c r="K665" s="9">
        <f t="shared" si="661"/>
        <v>214</v>
      </c>
      <c r="L665" s="12">
        <v>33100</v>
      </c>
      <c r="M665" s="11">
        <f t="shared" si="664"/>
        <v>1655000</v>
      </c>
      <c r="N665" s="12">
        <v>1600</v>
      </c>
      <c r="O665" s="11">
        <f t="shared" si="665"/>
        <v>80000</v>
      </c>
      <c r="Q665" s="11">
        <f t="shared" si="666"/>
        <v>0</v>
      </c>
      <c r="Y665" s="11">
        <f t="shared" si="667"/>
        <v>0</v>
      </c>
      <c r="AG665" s="11">
        <f t="shared" si="668"/>
        <v>0</v>
      </c>
      <c r="AI665" s="11">
        <f t="shared" si="669"/>
        <v>0</v>
      </c>
      <c r="AK665" s="13">
        <f t="shared" si="670"/>
        <v>0</v>
      </c>
      <c r="AM665" s="13">
        <f t="shared" si="671"/>
        <v>0</v>
      </c>
      <c r="AO665" s="11">
        <f t="shared" si="672"/>
        <v>0</v>
      </c>
      <c r="AQ665" s="11">
        <f t="shared" si="673"/>
        <v>0</v>
      </c>
      <c r="AS665" s="11">
        <f t="shared" si="674"/>
        <v>0</v>
      </c>
      <c r="AU665" s="11">
        <f t="shared" si="675"/>
        <v>0</v>
      </c>
      <c r="AW665" s="11">
        <f t="shared" si="676"/>
        <v>0</v>
      </c>
      <c r="AY665" s="11">
        <f t="shared" si="677"/>
        <v>0</v>
      </c>
      <c r="BA665" s="11">
        <f t="shared" si="678"/>
        <v>0</v>
      </c>
      <c r="BC665" s="11">
        <f t="shared" si="679"/>
        <v>0</v>
      </c>
      <c r="BE665" s="11">
        <f t="shared" si="680"/>
        <v>0</v>
      </c>
      <c r="BG665" s="11">
        <f t="shared" si="681"/>
        <v>0</v>
      </c>
      <c r="BN665" s="8">
        <f t="shared" si="659"/>
        <v>33100</v>
      </c>
      <c r="BO665" s="8">
        <f t="shared" si="660"/>
        <v>1655000</v>
      </c>
      <c r="BP665" s="8">
        <f t="shared" si="662"/>
        <v>1600</v>
      </c>
      <c r="BQ665" s="12">
        <f t="shared" si="663"/>
        <v>80000</v>
      </c>
    </row>
    <row r="666" spans="1:69">
      <c r="A666" s="28">
        <v>1981</v>
      </c>
      <c r="B666" s="27" t="s">
        <v>56</v>
      </c>
      <c r="C666" s="24">
        <f t="shared" si="639"/>
        <v>640</v>
      </c>
      <c r="D666" s="7" t="e">
        <f t="shared" ca="1" si="640"/>
        <v>#N/A</v>
      </c>
      <c r="E666" s="26">
        <f t="array" aca="1" ref="E666" ca="1">AVERAGE(IF(INDIRECT(DatCol&amp;"$"&amp;TEXT(C666,"###")):INDIRECT(DatCol&amp;"$"&amp;TEXT(C666+57,"###"))&gt;0,INDIRECT(DatCol&amp;"$"&amp;TEXT(C666,"###")):INDIRECT(DatCol&amp;"$"&amp;TEXT(C666+57,"###"))))</f>
        <v>267.21724137931034</v>
      </c>
      <c r="F666" s="26" t="str">
        <f t="shared" si="619"/>
        <v>N</v>
      </c>
      <c r="G666" s="8"/>
      <c r="H666" s="8">
        <v>42</v>
      </c>
      <c r="I666" s="8">
        <v>187</v>
      </c>
      <c r="J666" s="8">
        <v>140</v>
      </c>
      <c r="K666" s="9">
        <f t="shared" si="661"/>
        <v>182</v>
      </c>
      <c r="L666" s="12">
        <v>32630</v>
      </c>
      <c r="M666" s="11">
        <f t="shared" si="664"/>
        <v>1631500</v>
      </c>
      <c r="N666" s="12">
        <v>100</v>
      </c>
      <c r="O666" s="11">
        <f t="shared" si="665"/>
        <v>5000</v>
      </c>
      <c r="Q666" s="11">
        <f t="shared" si="666"/>
        <v>0</v>
      </c>
      <c r="Y666" s="11">
        <f t="shared" si="667"/>
        <v>0</v>
      </c>
      <c r="AG666" s="11">
        <f t="shared" si="668"/>
        <v>0</v>
      </c>
      <c r="AI666" s="11">
        <f t="shared" si="669"/>
        <v>0</v>
      </c>
      <c r="AK666" s="13">
        <f t="shared" si="670"/>
        <v>0</v>
      </c>
      <c r="AM666" s="13">
        <f t="shared" si="671"/>
        <v>0</v>
      </c>
      <c r="AO666" s="11">
        <f t="shared" si="672"/>
        <v>0</v>
      </c>
      <c r="AQ666" s="11">
        <f t="shared" si="673"/>
        <v>0</v>
      </c>
      <c r="AS666" s="11">
        <f t="shared" si="674"/>
        <v>0</v>
      </c>
      <c r="AU666" s="11">
        <f t="shared" si="675"/>
        <v>0</v>
      </c>
      <c r="AW666" s="11">
        <f t="shared" si="676"/>
        <v>0</v>
      </c>
      <c r="AY666" s="11">
        <f t="shared" si="677"/>
        <v>0</v>
      </c>
      <c r="BA666" s="11">
        <f t="shared" si="678"/>
        <v>0</v>
      </c>
      <c r="BC666" s="11">
        <f t="shared" si="679"/>
        <v>0</v>
      </c>
      <c r="BE666" s="11">
        <f t="shared" si="680"/>
        <v>0</v>
      </c>
      <c r="BG666" s="11">
        <f t="shared" si="681"/>
        <v>0</v>
      </c>
      <c r="BN666" s="8">
        <f t="shared" si="659"/>
        <v>32630</v>
      </c>
      <c r="BO666" s="8">
        <f t="shared" si="660"/>
        <v>1631500</v>
      </c>
      <c r="BP666" s="8">
        <f t="shared" si="662"/>
        <v>100</v>
      </c>
      <c r="BQ666" s="12">
        <f t="shared" si="663"/>
        <v>5000</v>
      </c>
    </row>
    <row r="667" spans="1:69">
      <c r="A667" s="28">
        <v>1982</v>
      </c>
      <c r="B667" s="27" t="s">
        <v>56</v>
      </c>
      <c r="C667" s="24">
        <f t="shared" si="639"/>
        <v>640</v>
      </c>
      <c r="D667" s="7" t="e">
        <f t="shared" ca="1" si="640"/>
        <v>#N/A</v>
      </c>
      <c r="E667" s="26">
        <f t="array" aca="1" ref="E667" ca="1">AVERAGE(IF(INDIRECT(DatCol&amp;"$"&amp;TEXT(C667,"###")):INDIRECT(DatCol&amp;"$"&amp;TEXT(C667+57,"###"))&gt;0,INDIRECT(DatCol&amp;"$"&amp;TEXT(C667,"###")):INDIRECT(DatCol&amp;"$"&amp;TEXT(C667+57,"###"))))</f>
        <v>267.21724137931034</v>
      </c>
      <c r="F667" s="26" t="str">
        <f t="shared" si="619"/>
        <v>N</v>
      </c>
      <c r="G667" s="8"/>
      <c r="H667" s="8">
        <v>34</v>
      </c>
      <c r="I667" s="8">
        <v>208</v>
      </c>
      <c r="J667" s="8">
        <v>185</v>
      </c>
      <c r="K667" s="9">
        <f t="shared" si="661"/>
        <v>219</v>
      </c>
      <c r="L667" s="12">
        <v>32391</v>
      </c>
      <c r="M667" s="11">
        <f t="shared" si="664"/>
        <v>1619550</v>
      </c>
      <c r="N667" s="12">
        <v>110</v>
      </c>
      <c r="O667" s="11">
        <f t="shared" si="665"/>
        <v>5500</v>
      </c>
      <c r="Q667" s="11">
        <f t="shared" si="666"/>
        <v>0</v>
      </c>
      <c r="Y667" s="11">
        <f t="shared" si="667"/>
        <v>0</v>
      </c>
      <c r="AG667" s="11">
        <f t="shared" si="668"/>
        <v>0</v>
      </c>
      <c r="AI667" s="11">
        <f t="shared" si="669"/>
        <v>0</v>
      </c>
      <c r="AK667" s="13">
        <f t="shared" si="670"/>
        <v>0</v>
      </c>
      <c r="AM667" s="13">
        <f t="shared" si="671"/>
        <v>0</v>
      </c>
      <c r="AO667" s="11">
        <f t="shared" si="672"/>
        <v>0</v>
      </c>
      <c r="AQ667" s="11">
        <f t="shared" si="673"/>
        <v>0</v>
      </c>
      <c r="AS667" s="11">
        <f t="shared" si="674"/>
        <v>0</v>
      </c>
      <c r="AU667" s="11">
        <f t="shared" si="675"/>
        <v>0</v>
      </c>
      <c r="AW667" s="11">
        <f t="shared" si="676"/>
        <v>0</v>
      </c>
      <c r="AY667" s="11">
        <f t="shared" si="677"/>
        <v>0</v>
      </c>
      <c r="BA667" s="11">
        <f t="shared" si="678"/>
        <v>0</v>
      </c>
      <c r="BC667" s="11">
        <f t="shared" si="679"/>
        <v>0</v>
      </c>
      <c r="BE667" s="11">
        <f t="shared" si="680"/>
        <v>0</v>
      </c>
      <c r="BG667" s="11">
        <f t="shared" si="681"/>
        <v>0</v>
      </c>
      <c r="BN667" s="8">
        <f t="shared" si="659"/>
        <v>32391</v>
      </c>
      <c r="BO667" s="8">
        <f t="shared" si="660"/>
        <v>1619550</v>
      </c>
      <c r="BP667" s="8">
        <f t="shared" si="662"/>
        <v>110</v>
      </c>
      <c r="BQ667" s="12">
        <f t="shared" si="663"/>
        <v>5500</v>
      </c>
    </row>
    <row r="668" spans="1:69">
      <c r="A668" s="28">
        <v>1983</v>
      </c>
      <c r="B668" s="27" t="s">
        <v>56</v>
      </c>
      <c r="C668" s="24">
        <f t="shared" si="639"/>
        <v>640</v>
      </c>
      <c r="D668" s="7" t="e">
        <f t="shared" ca="1" si="640"/>
        <v>#N/A</v>
      </c>
      <c r="E668" s="26">
        <f t="array" aca="1" ref="E668" ca="1">AVERAGE(IF(INDIRECT(DatCol&amp;"$"&amp;TEXT(C668,"###")):INDIRECT(DatCol&amp;"$"&amp;TEXT(C668+57,"###"))&gt;0,INDIRECT(DatCol&amp;"$"&amp;TEXT(C668,"###")):INDIRECT(DatCol&amp;"$"&amp;TEXT(C668+57,"###"))))</f>
        <v>267.21724137931034</v>
      </c>
      <c r="F668" s="26" t="str">
        <f t="shared" si="619"/>
        <v>N</v>
      </c>
      <c r="G668" s="8"/>
      <c r="H668" s="8">
        <v>25</v>
      </c>
      <c r="I668" s="8">
        <v>202</v>
      </c>
      <c r="J668" s="8">
        <v>106</v>
      </c>
      <c r="K668" s="9">
        <f t="shared" si="661"/>
        <v>131</v>
      </c>
      <c r="L668" s="12">
        <v>25805</v>
      </c>
      <c r="M668" s="11">
        <f t="shared" si="664"/>
        <v>1290250</v>
      </c>
      <c r="N668" s="12">
        <v>150</v>
      </c>
      <c r="O668" s="11">
        <f t="shared" si="665"/>
        <v>7500</v>
      </c>
      <c r="Q668" s="11">
        <f t="shared" si="666"/>
        <v>0</v>
      </c>
      <c r="Y668" s="11">
        <f t="shared" si="667"/>
        <v>0</v>
      </c>
      <c r="AG668" s="11">
        <f t="shared" si="668"/>
        <v>0</v>
      </c>
      <c r="AI668" s="11">
        <f t="shared" si="669"/>
        <v>0</v>
      </c>
      <c r="AK668" s="13">
        <f t="shared" si="670"/>
        <v>0</v>
      </c>
      <c r="AM668" s="13">
        <f t="shared" si="671"/>
        <v>0</v>
      </c>
      <c r="AO668" s="11">
        <f t="shared" si="672"/>
        <v>0</v>
      </c>
      <c r="AQ668" s="11">
        <f t="shared" si="673"/>
        <v>0</v>
      </c>
      <c r="AS668" s="11">
        <f t="shared" si="674"/>
        <v>0</v>
      </c>
      <c r="AU668" s="11">
        <f t="shared" si="675"/>
        <v>0</v>
      </c>
      <c r="AW668" s="11">
        <f t="shared" si="676"/>
        <v>0</v>
      </c>
      <c r="AY668" s="11">
        <f t="shared" si="677"/>
        <v>0</v>
      </c>
      <c r="BA668" s="11">
        <f t="shared" si="678"/>
        <v>0</v>
      </c>
      <c r="BC668" s="11">
        <f t="shared" si="679"/>
        <v>0</v>
      </c>
      <c r="BE668" s="11">
        <f t="shared" si="680"/>
        <v>0</v>
      </c>
      <c r="BG668" s="11">
        <f t="shared" si="681"/>
        <v>0</v>
      </c>
      <c r="BN668" s="8">
        <f t="shared" si="659"/>
        <v>25805</v>
      </c>
      <c r="BO668" s="8">
        <f t="shared" si="660"/>
        <v>1290250</v>
      </c>
      <c r="BP668" s="8">
        <f t="shared" si="662"/>
        <v>150</v>
      </c>
      <c r="BQ668" s="12">
        <f t="shared" si="663"/>
        <v>7500</v>
      </c>
    </row>
    <row r="669" spans="1:69">
      <c r="A669" s="28">
        <v>1984</v>
      </c>
      <c r="B669" s="27" t="s">
        <v>56</v>
      </c>
      <c r="C669" s="24">
        <f t="shared" si="639"/>
        <v>640</v>
      </c>
      <c r="D669" s="7" t="e">
        <f t="shared" ca="1" si="640"/>
        <v>#N/A</v>
      </c>
      <c r="E669" s="26">
        <f t="array" aca="1" ref="E669" ca="1">AVERAGE(IF(INDIRECT(DatCol&amp;"$"&amp;TEXT(C669,"###")):INDIRECT(DatCol&amp;"$"&amp;TEXT(C669+57,"###"))&gt;0,INDIRECT(DatCol&amp;"$"&amp;TEXT(C669,"###")):INDIRECT(DatCol&amp;"$"&amp;TEXT(C669+57,"###"))))</f>
        <v>267.21724137931034</v>
      </c>
      <c r="F669" s="26" t="str">
        <f t="shared" si="619"/>
        <v>N</v>
      </c>
      <c r="G669" s="8"/>
      <c r="H669" s="8">
        <v>16</v>
      </c>
      <c r="I669" s="8">
        <v>200</v>
      </c>
      <c r="J669" s="8">
        <v>77</v>
      </c>
      <c r="K669" s="9">
        <f t="shared" si="661"/>
        <v>93</v>
      </c>
      <c r="L669" s="12">
        <v>20000</v>
      </c>
      <c r="M669" s="11">
        <f t="shared" si="664"/>
        <v>1000000</v>
      </c>
      <c r="N669" s="12">
        <v>100</v>
      </c>
      <c r="O669" s="11">
        <f t="shared" si="665"/>
        <v>5000</v>
      </c>
      <c r="Q669" s="11">
        <f t="shared" si="666"/>
        <v>0</v>
      </c>
      <c r="Y669" s="11">
        <f t="shared" si="667"/>
        <v>0</v>
      </c>
      <c r="AG669" s="11">
        <f t="shared" si="668"/>
        <v>0</v>
      </c>
      <c r="AI669" s="11">
        <f t="shared" si="669"/>
        <v>0</v>
      </c>
      <c r="AK669" s="13">
        <f t="shared" si="670"/>
        <v>0</v>
      </c>
      <c r="AM669" s="13">
        <f t="shared" si="671"/>
        <v>0</v>
      </c>
      <c r="AO669" s="11">
        <f t="shared" si="672"/>
        <v>0</v>
      </c>
      <c r="AQ669" s="11">
        <f t="shared" si="673"/>
        <v>0</v>
      </c>
      <c r="AS669" s="11">
        <f t="shared" si="674"/>
        <v>0</v>
      </c>
      <c r="AU669" s="11">
        <f t="shared" si="675"/>
        <v>0</v>
      </c>
      <c r="AW669" s="11">
        <f t="shared" si="676"/>
        <v>0</v>
      </c>
      <c r="AY669" s="11">
        <f t="shared" si="677"/>
        <v>0</v>
      </c>
      <c r="BA669" s="11">
        <f t="shared" si="678"/>
        <v>0</v>
      </c>
      <c r="BC669" s="11">
        <f t="shared" si="679"/>
        <v>0</v>
      </c>
      <c r="BE669" s="11">
        <f t="shared" si="680"/>
        <v>0</v>
      </c>
      <c r="BG669" s="11">
        <f t="shared" si="681"/>
        <v>0</v>
      </c>
      <c r="BN669" s="8">
        <f t="shared" si="659"/>
        <v>20000</v>
      </c>
      <c r="BO669" s="8">
        <f t="shared" si="660"/>
        <v>1000000</v>
      </c>
      <c r="BP669" s="8">
        <f t="shared" si="662"/>
        <v>100</v>
      </c>
      <c r="BQ669" s="12">
        <f t="shared" si="663"/>
        <v>5000</v>
      </c>
    </row>
    <row r="670" spans="1:69">
      <c r="A670" s="28">
        <v>1985</v>
      </c>
      <c r="B670" s="27" t="s">
        <v>56</v>
      </c>
      <c r="C670" s="24">
        <f t="shared" si="639"/>
        <v>640</v>
      </c>
      <c r="D670" s="7" t="e">
        <f t="shared" ca="1" si="640"/>
        <v>#N/A</v>
      </c>
      <c r="E670" s="26">
        <f t="array" aca="1" ref="E670" ca="1">AVERAGE(IF(INDIRECT(DatCol&amp;"$"&amp;TEXT(C670,"###")):INDIRECT(DatCol&amp;"$"&amp;TEXT(C670+57,"###"))&gt;0,INDIRECT(DatCol&amp;"$"&amp;TEXT(C670,"###")):INDIRECT(DatCol&amp;"$"&amp;TEXT(C670+57,"###"))))</f>
        <v>267.21724137931034</v>
      </c>
      <c r="F670" s="26" t="str">
        <f t="shared" si="619"/>
        <v>N</v>
      </c>
      <c r="G670" s="8">
        <v>9</v>
      </c>
      <c r="H670" s="8">
        <v>12</v>
      </c>
      <c r="I670" s="8">
        <v>183</v>
      </c>
      <c r="J670" s="8">
        <v>63</v>
      </c>
      <c r="K670" s="9">
        <f t="shared" si="661"/>
        <v>84</v>
      </c>
      <c r="L670" s="12">
        <v>10000</v>
      </c>
      <c r="M670" s="11">
        <f t="shared" si="664"/>
        <v>500000</v>
      </c>
      <c r="N670" s="12">
        <v>50</v>
      </c>
      <c r="O670" s="11">
        <f t="shared" si="665"/>
        <v>2500</v>
      </c>
      <c r="Q670" s="11">
        <f t="shared" si="666"/>
        <v>0</v>
      </c>
      <c r="Y670" s="11">
        <f t="shared" si="667"/>
        <v>0</v>
      </c>
      <c r="AG670" s="11">
        <f t="shared" si="668"/>
        <v>0</v>
      </c>
      <c r="AI670" s="11">
        <f t="shared" si="669"/>
        <v>0</v>
      </c>
      <c r="AK670" s="13">
        <f t="shared" si="670"/>
        <v>0</v>
      </c>
      <c r="AM670" s="13">
        <f t="shared" si="671"/>
        <v>0</v>
      </c>
      <c r="AO670" s="11">
        <f t="shared" si="672"/>
        <v>0</v>
      </c>
      <c r="AQ670" s="11">
        <f t="shared" si="673"/>
        <v>0</v>
      </c>
      <c r="AS670" s="11">
        <f t="shared" si="674"/>
        <v>0</v>
      </c>
      <c r="AU670" s="11">
        <f t="shared" si="675"/>
        <v>0</v>
      </c>
      <c r="AW670" s="11">
        <f t="shared" si="676"/>
        <v>0</v>
      </c>
      <c r="AY670" s="11">
        <f t="shared" si="677"/>
        <v>0</v>
      </c>
      <c r="BA670" s="11">
        <f t="shared" si="678"/>
        <v>0</v>
      </c>
      <c r="BC670" s="11">
        <f t="shared" si="679"/>
        <v>0</v>
      </c>
      <c r="BE670" s="11">
        <f t="shared" si="680"/>
        <v>0</v>
      </c>
      <c r="BG670" s="11">
        <f t="shared" si="681"/>
        <v>0</v>
      </c>
      <c r="BN670" s="8">
        <f t="shared" si="659"/>
        <v>10000</v>
      </c>
      <c r="BO670" s="8">
        <f t="shared" si="660"/>
        <v>500000</v>
      </c>
      <c r="BP670" s="8">
        <f t="shared" si="662"/>
        <v>50</v>
      </c>
      <c r="BQ670" s="12">
        <f t="shared" si="663"/>
        <v>2500</v>
      </c>
    </row>
    <row r="671" spans="1:69">
      <c r="A671" s="28">
        <v>1986</v>
      </c>
      <c r="B671" s="27" t="s">
        <v>56</v>
      </c>
      <c r="C671" s="24">
        <f t="shared" si="639"/>
        <v>640</v>
      </c>
      <c r="D671" s="7" t="e">
        <f t="shared" ca="1" si="640"/>
        <v>#N/A</v>
      </c>
      <c r="E671" s="26">
        <f t="array" aca="1" ref="E671" ca="1">AVERAGE(IF(INDIRECT(DatCol&amp;"$"&amp;TEXT(C671,"###")):INDIRECT(DatCol&amp;"$"&amp;TEXT(C671+57,"###"))&gt;0,INDIRECT(DatCol&amp;"$"&amp;TEXT(C671,"###")):INDIRECT(DatCol&amp;"$"&amp;TEXT(C671+57,"###"))))</f>
        <v>267.21724137931034</v>
      </c>
      <c r="F671" s="26" t="str">
        <f t="shared" si="619"/>
        <v>N</v>
      </c>
      <c r="G671" s="8">
        <v>4</v>
      </c>
      <c r="H671" s="8">
        <v>6</v>
      </c>
      <c r="I671" s="8">
        <v>48</v>
      </c>
      <c r="J671" s="8">
        <v>42</v>
      </c>
      <c r="K671" s="9">
        <f t="shared" si="661"/>
        <v>52</v>
      </c>
      <c r="L671" s="12">
        <v>2000</v>
      </c>
      <c r="M671" s="11">
        <f t="shared" si="664"/>
        <v>100000</v>
      </c>
      <c r="N671" s="12">
        <v>15</v>
      </c>
      <c r="O671" s="11">
        <f t="shared" si="665"/>
        <v>750</v>
      </c>
      <c r="Q671" s="11">
        <f t="shared" si="666"/>
        <v>0</v>
      </c>
      <c r="Y671" s="11">
        <f t="shared" si="667"/>
        <v>0</v>
      </c>
      <c r="AG671" s="11">
        <f t="shared" si="668"/>
        <v>0</v>
      </c>
      <c r="AI671" s="11">
        <f t="shared" si="669"/>
        <v>0</v>
      </c>
      <c r="AK671" s="13">
        <f t="shared" si="670"/>
        <v>0</v>
      </c>
      <c r="AM671" s="13">
        <f t="shared" si="671"/>
        <v>0</v>
      </c>
      <c r="AO671" s="11">
        <f t="shared" si="672"/>
        <v>0</v>
      </c>
      <c r="AQ671" s="11">
        <f t="shared" si="673"/>
        <v>0</v>
      </c>
      <c r="AS671" s="11">
        <f t="shared" si="674"/>
        <v>0</v>
      </c>
      <c r="AU671" s="11">
        <f t="shared" si="675"/>
        <v>0</v>
      </c>
      <c r="AW671" s="11">
        <f t="shared" si="676"/>
        <v>0</v>
      </c>
      <c r="AY671" s="11">
        <f t="shared" si="677"/>
        <v>0</v>
      </c>
      <c r="BA671" s="11">
        <f t="shared" si="678"/>
        <v>0</v>
      </c>
      <c r="BC671" s="11">
        <f t="shared" si="679"/>
        <v>0</v>
      </c>
      <c r="BE671" s="11">
        <f t="shared" si="680"/>
        <v>0</v>
      </c>
      <c r="BG671" s="11">
        <f t="shared" si="681"/>
        <v>0</v>
      </c>
      <c r="BN671" s="8">
        <f t="shared" si="659"/>
        <v>2000</v>
      </c>
      <c r="BO671" s="8">
        <f t="shared" si="660"/>
        <v>100000</v>
      </c>
      <c r="BP671" s="8">
        <f t="shared" si="662"/>
        <v>15</v>
      </c>
      <c r="BQ671" s="12">
        <f t="shared" si="663"/>
        <v>750</v>
      </c>
    </row>
    <row r="672" spans="1:69">
      <c r="A672" s="28">
        <v>1987</v>
      </c>
      <c r="B672" s="27" t="s">
        <v>56</v>
      </c>
      <c r="C672" s="24">
        <f t="shared" si="639"/>
        <v>640</v>
      </c>
      <c r="D672" s="7" t="e">
        <f t="shared" ca="1" si="640"/>
        <v>#N/A</v>
      </c>
      <c r="E672" s="26">
        <f t="array" aca="1" ref="E672" ca="1">AVERAGE(IF(INDIRECT(DatCol&amp;"$"&amp;TEXT(C672,"###")):INDIRECT(DatCol&amp;"$"&amp;TEXT(C672+57,"###"))&gt;0,INDIRECT(DatCol&amp;"$"&amp;TEXT(C672,"###")):INDIRECT(DatCol&amp;"$"&amp;TEXT(C672+57,"###"))))</f>
        <v>267.21724137931034</v>
      </c>
      <c r="F672" s="26" t="str">
        <f t="shared" si="619"/>
        <v>N</v>
      </c>
      <c r="G672" s="8">
        <v>5</v>
      </c>
      <c r="H672" s="8">
        <v>8</v>
      </c>
      <c r="I672" s="8">
        <v>36</v>
      </c>
      <c r="J672" s="8">
        <v>54</v>
      </c>
      <c r="K672" s="9">
        <f t="shared" si="661"/>
        <v>67</v>
      </c>
      <c r="L672" s="12">
        <v>2000</v>
      </c>
      <c r="M672" s="11">
        <f t="shared" si="664"/>
        <v>100000</v>
      </c>
      <c r="N672" s="12">
        <v>15</v>
      </c>
      <c r="O672" s="11">
        <f t="shared" si="665"/>
        <v>750</v>
      </c>
      <c r="Q672" s="11">
        <f t="shared" si="666"/>
        <v>0</v>
      </c>
      <c r="Y672" s="11">
        <f t="shared" si="667"/>
        <v>0</v>
      </c>
      <c r="AG672" s="11">
        <f t="shared" si="668"/>
        <v>0</v>
      </c>
      <c r="AI672" s="11">
        <f t="shared" si="669"/>
        <v>0</v>
      </c>
      <c r="AK672" s="13">
        <f t="shared" si="670"/>
        <v>0</v>
      </c>
      <c r="AM672" s="13">
        <f t="shared" si="671"/>
        <v>0</v>
      </c>
      <c r="AO672" s="11">
        <f t="shared" si="672"/>
        <v>0</v>
      </c>
      <c r="AQ672" s="11">
        <f t="shared" si="673"/>
        <v>0</v>
      </c>
      <c r="AS672" s="11">
        <f t="shared" si="674"/>
        <v>0</v>
      </c>
      <c r="AU672" s="11">
        <f t="shared" si="675"/>
        <v>0</v>
      </c>
      <c r="AW672" s="11">
        <f t="shared" si="676"/>
        <v>0</v>
      </c>
      <c r="AY672" s="11">
        <f t="shared" si="677"/>
        <v>0</v>
      </c>
      <c r="BA672" s="11">
        <f t="shared" si="678"/>
        <v>0</v>
      </c>
      <c r="BC672" s="11">
        <f t="shared" si="679"/>
        <v>0</v>
      </c>
      <c r="BE672" s="11">
        <f t="shared" si="680"/>
        <v>0</v>
      </c>
      <c r="BG672" s="11">
        <f t="shared" si="681"/>
        <v>0</v>
      </c>
      <c r="BN672" s="8">
        <f t="shared" si="659"/>
        <v>2000</v>
      </c>
      <c r="BO672" s="8">
        <f t="shared" si="660"/>
        <v>100000</v>
      </c>
      <c r="BP672" s="8">
        <f t="shared" si="662"/>
        <v>15</v>
      </c>
      <c r="BQ672" s="12">
        <f t="shared" si="663"/>
        <v>750</v>
      </c>
    </row>
    <row r="673" spans="1:69">
      <c r="A673" s="28">
        <v>1988</v>
      </c>
      <c r="B673" s="27" t="s">
        <v>56</v>
      </c>
      <c r="C673" s="24">
        <f t="shared" si="639"/>
        <v>640</v>
      </c>
      <c r="D673" s="7" t="e">
        <f t="shared" ca="1" si="640"/>
        <v>#N/A</v>
      </c>
      <c r="E673" s="26">
        <f t="array" aca="1" ref="E673" ca="1">AVERAGE(IF(INDIRECT(DatCol&amp;"$"&amp;TEXT(C673,"###")):INDIRECT(DatCol&amp;"$"&amp;TEXT(C673+57,"###"))&gt;0,INDIRECT(DatCol&amp;"$"&amp;TEXT(C673,"###")):INDIRECT(DatCol&amp;"$"&amp;TEXT(C673+57,"###"))))</f>
        <v>267.21724137931034</v>
      </c>
      <c r="F673" s="26" t="str">
        <f t="shared" si="619"/>
        <v>N</v>
      </c>
      <c r="G673" s="8">
        <v>2</v>
      </c>
      <c r="H673" s="8">
        <v>3</v>
      </c>
      <c r="I673" s="8">
        <v>18</v>
      </c>
      <c r="J673" s="8">
        <v>36</v>
      </c>
      <c r="K673" s="9">
        <f t="shared" si="661"/>
        <v>41</v>
      </c>
      <c r="L673" s="12">
        <v>1500</v>
      </c>
      <c r="M673" s="11">
        <f t="shared" si="664"/>
        <v>75000</v>
      </c>
      <c r="N673" s="12">
        <v>18</v>
      </c>
      <c r="O673" s="11">
        <f t="shared" si="665"/>
        <v>900</v>
      </c>
      <c r="Q673" s="11">
        <f t="shared" si="666"/>
        <v>0</v>
      </c>
      <c r="Y673" s="11">
        <f t="shared" si="667"/>
        <v>0</v>
      </c>
      <c r="AG673" s="11">
        <f t="shared" si="668"/>
        <v>0</v>
      </c>
      <c r="AI673" s="11">
        <f t="shared" si="669"/>
        <v>0</v>
      </c>
      <c r="AK673" s="13">
        <f t="shared" si="670"/>
        <v>0</v>
      </c>
      <c r="AM673" s="13">
        <f t="shared" si="671"/>
        <v>0</v>
      </c>
      <c r="AO673" s="11">
        <f t="shared" si="672"/>
        <v>0</v>
      </c>
      <c r="AQ673" s="11">
        <f t="shared" si="673"/>
        <v>0</v>
      </c>
      <c r="AS673" s="11">
        <f t="shared" si="674"/>
        <v>0</v>
      </c>
      <c r="AU673" s="11">
        <f t="shared" si="675"/>
        <v>0</v>
      </c>
      <c r="AW673" s="11">
        <f t="shared" si="676"/>
        <v>0</v>
      </c>
      <c r="AY673" s="11">
        <f t="shared" si="677"/>
        <v>0</v>
      </c>
      <c r="BA673" s="11">
        <f t="shared" si="678"/>
        <v>0</v>
      </c>
      <c r="BC673" s="11">
        <f t="shared" si="679"/>
        <v>0</v>
      </c>
      <c r="BE673" s="11">
        <f t="shared" si="680"/>
        <v>0</v>
      </c>
      <c r="BG673" s="11">
        <f t="shared" si="681"/>
        <v>0</v>
      </c>
      <c r="BN673" s="8">
        <f t="shared" si="659"/>
        <v>1500</v>
      </c>
      <c r="BO673" s="8">
        <f t="shared" si="660"/>
        <v>75000</v>
      </c>
      <c r="BP673" s="8">
        <f t="shared" si="662"/>
        <v>18</v>
      </c>
      <c r="BQ673" s="12">
        <f t="shared" si="663"/>
        <v>900</v>
      </c>
    </row>
    <row r="674" spans="1:69">
      <c r="A674" s="28">
        <v>1989</v>
      </c>
      <c r="B674" s="27" t="s">
        <v>56</v>
      </c>
      <c r="C674" s="24">
        <f t="shared" si="639"/>
        <v>640</v>
      </c>
      <c r="D674" s="7" t="e">
        <f t="shared" ca="1" si="640"/>
        <v>#N/A</v>
      </c>
      <c r="E674" s="26">
        <f t="array" aca="1" ref="E674" ca="1">AVERAGE(IF(INDIRECT(DatCol&amp;"$"&amp;TEXT(C674,"###")):INDIRECT(DatCol&amp;"$"&amp;TEXT(C674+57,"###"))&gt;0,INDIRECT(DatCol&amp;"$"&amp;TEXT(C674,"###")):INDIRECT(DatCol&amp;"$"&amp;TEXT(C674+57,"###"))))</f>
        <v>267.21724137931034</v>
      </c>
      <c r="F674" s="26" t="str">
        <f t="shared" si="619"/>
        <v>N</v>
      </c>
      <c r="G674" s="8">
        <v>2</v>
      </c>
      <c r="H674" s="8">
        <v>4</v>
      </c>
      <c r="I674" s="8">
        <v>30</v>
      </c>
      <c r="J674" s="8">
        <v>44</v>
      </c>
      <c r="K674" s="9">
        <f t="shared" si="661"/>
        <v>50</v>
      </c>
      <c r="L674" s="12">
        <v>3500</v>
      </c>
      <c r="M674" s="11">
        <f t="shared" si="664"/>
        <v>175000</v>
      </c>
      <c r="N674" s="12">
        <v>18</v>
      </c>
      <c r="O674" s="11">
        <f t="shared" si="665"/>
        <v>900</v>
      </c>
      <c r="Q674" s="11">
        <f t="shared" si="666"/>
        <v>0</v>
      </c>
      <c r="Y674" s="11">
        <f t="shared" si="667"/>
        <v>0</v>
      </c>
      <c r="AG674" s="11">
        <f t="shared" si="668"/>
        <v>0</v>
      </c>
      <c r="AI674" s="11">
        <f t="shared" si="669"/>
        <v>0</v>
      </c>
      <c r="AK674" s="13">
        <f t="shared" si="670"/>
        <v>0</v>
      </c>
      <c r="AM674" s="13">
        <f t="shared" si="671"/>
        <v>0</v>
      </c>
      <c r="AO674" s="11">
        <f t="shared" si="672"/>
        <v>0</v>
      </c>
      <c r="AQ674" s="11">
        <f t="shared" si="673"/>
        <v>0</v>
      </c>
      <c r="AS674" s="11">
        <f t="shared" si="674"/>
        <v>0</v>
      </c>
      <c r="AU674" s="11">
        <f t="shared" si="675"/>
        <v>0</v>
      </c>
      <c r="AW674" s="11">
        <f t="shared" si="676"/>
        <v>0</v>
      </c>
      <c r="AY674" s="11">
        <f t="shared" si="677"/>
        <v>0</v>
      </c>
      <c r="BA674" s="11">
        <f t="shared" si="678"/>
        <v>0</v>
      </c>
      <c r="BC674" s="11">
        <f t="shared" si="679"/>
        <v>0</v>
      </c>
      <c r="BE674" s="11">
        <f t="shared" si="680"/>
        <v>0</v>
      </c>
      <c r="BG674" s="11">
        <f t="shared" si="681"/>
        <v>0</v>
      </c>
      <c r="BN674" s="8">
        <f t="shared" si="659"/>
        <v>3500</v>
      </c>
      <c r="BO674" s="8">
        <f t="shared" si="660"/>
        <v>175000</v>
      </c>
      <c r="BP674" s="8">
        <f t="shared" si="662"/>
        <v>18</v>
      </c>
      <c r="BQ674" s="12">
        <f t="shared" si="663"/>
        <v>900</v>
      </c>
    </row>
    <row r="675" spans="1:69">
      <c r="A675" s="28">
        <v>1990</v>
      </c>
      <c r="B675" s="27" t="s">
        <v>56</v>
      </c>
      <c r="C675" s="24">
        <f t="shared" si="639"/>
        <v>640</v>
      </c>
      <c r="D675" s="7" t="e">
        <f t="shared" ca="1" si="640"/>
        <v>#N/A</v>
      </c>
      <c r="E675" s="26">
        <f t="array" aca="1" ref="E675" ca="1">AVERAGE(IF(INDIRECT(DatCol&amp;"$"&amp;TEXT(C675,"###")):INDIRECT(DatCol&amp;"$"&amp;TEXT(C675+57,"###"))&gt;0,INDIRECT(DatCol&amp;"$"&amp;TEXT(C675,"###")):INDIRECT(DatCol&amp;"$"&amp;TEXT(C675+57,"###"))))</f>
        <v>267.21724137931034</v>
      </c>
      <c r="F675" s="26" t="str">
        <f t="shared" ref="F675:F741" si="682">VLOOKUP(B675,town_region,2,FALSE)</f>
        <v>N</v>
      </c>
      <c r="G675" s="8">
        <v>8</v>
      </c>
      <c r="H675" s="8">
        <v>3</v>
      </c>
      <c r="I675" s="8">
        <v>71</v>
      </c>
      <c r="J675" s="8">
        <v>65</v>
      </c>
      <c r="K675" s="9">
        <f t="shared" si="661"/>
        <v>76</v>
      </c>
      <c r="L675" s="12">
        <v>5000</v>
      </c>
      <c r="M675" s="11">
        <f t="shared" si="664"/>
        <v>250000</v>
      </c>
      <c r="N675" s="12">
        <v>150</v>
      </c>
      <c r="O675" s="11">
        <f t="shared" si="665"/>
        <v>7500</v>
      </c>
      <c r="Q675" s="11">
        <f t="shared" si="666"/>
        <v>0</v>
      </c>
      <c r="Y675" s="11">
        <f t="shared" si="667"/>
        <v>0</v>
      </c>
      <c r="AG675" s="11">
        <f t="shared" si="668"/>
        <v>0</v>
      </c>
      <c r="AI675" s="11">
        <f t="shared" si="669"/>
        <v>0</v>
      </c>
      <c r="AK675" s="13">
        <f t="shared" si="670"/>
        <v>0</v>
      </c>
      <c r="AM675" s="13">
        <f t="shared" si="671"/>
        <v>0</v>
      </c>
      <c r="AO675" s="11">
        <f t="shared" si="672"/>
        <v>0</v>
      </c>
      <c r="AQ675" s="11">
        <f t="shared" si="673"/>
        <v>0</v>
      </c>
      <c r="AS675" s="11">
        <f t="shared" si="674"/>
        <v>0</v>
      </c>
      <c r="AU675" s="11">
        <f t="shared" si="675"/>
        <v>0</v>
      </c>
      <c r="AW675" s="11">
        <f t="shared" si="676"/>
        <v>0</v>
      </c>
      <c r="AY675" s="11">
        <f t="shared" si="677"/>
        <v>0</v>
      </c>
      <c r="BA675" s="11">
        <f t="shared" si="678"/>
        <v>0</v>
      </c>
      <c r="BC675" s="11">
        <f t="shared" si="679"/>
        <v>0</v>
      </c>
      <c r="BE675" s="11">
        <f t="shared" si="680"/>
        <v>0</v>
      </c>
      <c r="BG675" s="11">
        <f t="shared" si="681"/>
        <v>0</v>
      </c>
      <c r="BN675" s="8">
        <f t="shared" si="659"/>
        <v>5000</v>
      </c>
      <c r="BO675" s="8">
        <f t="shared" si="660"/>
        <v>250000</v>
      </c>
      <c r="BP675" s="8">
        <f t="shared" si="662"/>
        <v>150</v>
      </c>
      <c r="BQ675" s="12">
        <f t="shared" si="663"/>
        <v>7500</v>
      </c>
    </row>
    <row r="676" spans="1:69">
      <c r="A676" s="28">
        <v>1991</v>
      </c>
      <c r="B676" s="27" t="s">
        <v>56</v>
      </c>
      <c r="C676" s="24">
        <f t="shared" si="639"/>
        <v>640</v>
      </c>
      <c r="D676" s="7" t="e">
        <f t="shared" ca="1" si="640"/>
        <v>#N/A</v>
      </c>
      <c r="E676" s="26">
        <f t="array" aca="1" ref="E676" ca="1">AVERAGE(IF(INDIRECT(DatCol&amp;"$"&amp;TEXT(C676,"###")):INDIRECT(DatCol&amp;"$"&amp;TEXT(C676+57,"###"))&gt;0,INDIRECT(DatCol&amp;"$"&amp;TEXT(C676,"###")):INDIRECT(DatCol&amp;"$"&amp;TEXT(C676+57,"###"))))</f>
        <v>267.21724137931034</v>
      </c>
      <c r="F676" s="26" t="str">
        <f t="shared" si="682"/>
        <v>N</v>
      </c>
      <c r="G676" s="8">
        <v>9</v>
      </c>
      <c r="H676" s="8">
        <v>17</v>
      </c>
      <c r="I676" s="8">
        <v>100</v>
      </c>
      <c r="J676" s="8">
        <v>90</v>
      </c>
      <c r="K676" s="9">
        <f t="shared" si="661"/>
        <v>116</v>
      </c>
      <c r="L676" s="12">
        <v>5000</v>
      </c>
      <c r="M676" s="11">
        <f t="shared" si="664"/>
        <v>250000</v>
      </c>
      <c r="N676" s="12">
        <v>150</v>
      </c>
      <c r="O676" s="11">
        <f t="shared" si="665"/>
        <v>7500</v>
      </c>
      <c r="Q676" s="11">
        <f t="shared" si="666"/>
        <v>0</v>
      </c>
      <c r="Y676" s="11">
        <f t="shared" si="667"/>
        <v>0</v>
      </c>
      <c r="AG676" s="11">
        <f t="shared" si="668"/>
        <v>0</v>
      </c>
      <c r="AI676" s="11">
        <f t="shared" si="669"/>
        <v>0</v>
      </c>
      <c r="AK676" s="13">
        <f t="shared" si="670"/>
        <v>0</v>
      </c>
      <c r="AM676" s="13">
        <f t="shared" si="671"/>
        <v>0</v>
      </c>
      <c r="AO676" s="11">
        <f t="shared" si="672"/>
        <v>0</v>
      </c>
      <c r="AQ676" s="11">
        <f t="shared" si="673"/>
        <v>0</v>
      </c>
      <c r="AS676" s="11">
        <f t="shared" si="674"/>
        <v>0</v>
      </c>
      <c r="AU676" s="11">
        <f t="shared" si="675"/>
        <v>0</v>
      </c>
      <c r="AW676" s="11">
        <f t="shared" si="676"/>
        <v>0</v>
      </c>
      <c r="AY676" s="11">
        <f t="shared" si="677"/>
        <v>0</v>
      </c>
      <c r="BA676" s="11">
        <f t="shared" si="678"/>
        <v>0</v>
      </c>
      <c r="BC676" s="11">
        <f t="shared" si="679"/>
        <v>0</v>
      </c>
      <c r="BE676" s="11">
        <f t="shared" si="680"/>
        <v>0</v>
      </c>
      <c r="BG676" s="11">
        <f t="shared" si="681"/>
        <v>0</v>
      </c>
      <c r="BN676" s="8">
        <f t="shared" si="659"/>
        <v>5000</v>
      </c>
      <c r="BO676" s="8">
        <f t="shared" si="660"/>
        <v>250000</v>
      </c>
      <c r="BP676" s="8">
        <f t="shared" si="662"/>
        <v>150</v>
      </c>
      <c r="BQ676" s="12">
        <f t="shared" si="663"/>
        <v>7500</v>
      </c>
    </row>
    <row r="677" spans="1:69">
      <c r="A677" s="28">
        <v>1992</v>
      </c>
      <c r="B677" s="27" t="s">
        <v>56</v>
      </c>
      <c r="C677" s="24">
        <f t="shared" si="639"/>
        <v>640</v>
      </c>
      <c r="D677" s="7" t="e">
        <f t="shared" ca="1" si="640"/>
        <v>#N/A</v>
      </c>
      <c r="E677" s="26">
        <f t="array" aca="1" ref="E677" ca="1">AVERAGE(IF(INDIRECT(DatCol&amp;"$"&amp;TEXT(C677,"###")):INDIRECT(DatCol&amp;"$"&amp;TEXT(C677+57,"###"))&gt;0,INDIRECT(DatCol&amp;"$"&amp;TEXT(C677,"###")):INDIRECT(DatCol&amp;"$"&amp;TEXT(C677+57,"###"))))</f>
        <v>267.21724137931034</v>
      </c>
      <c r="F677" s="26" t="str">
        <f t="shared" si="682"/>
        <v>N</v>
      </c>
      <c r="G677" s="8">
        <v>6</v>
      </c>
      <c r="H677" s="8">
        <v>17</v>
      </c>
      <c r="I677" s="8">
        <v>116</v>
      </c>
      <c r="J677" s="8">
        <v>107</v>
      </c>
      <c r="K677" s="9">
        <f t="shared" si="661"/>
        <v>130</v>
      </c>
      <c r="L677" s="12">
        <v>8125</v>
      </c>
      <c r="M677" s="11">
        <f t="shared" si="664"/>
        <v>406250</v>
      </c>
      <c r="N677" s="12">
        <v>700</v>
      </c>
      <c r="O677" s="11">
        <f t="shared" si="665"/>
        <v>35000</v>
      </c>
      <c r="P677" s="12">
        <v>0</v>
      </c>
      <c r="Q677" s="11">
        <f t="shared" si="666"/>
        <v>0</v>
      </c>
      <c r="X677" s="12">
        <v>0</v>
      </c>
      <c r="Y677" s="11">
        <f t="shared" si="667"/>
        <v>0</v>
      </c>
      <c r="AF677" s="12">
        <v>0</v>
      </c>
      <c r="AG677" s="11">
        <f t="shared" si="668"/>
        <v>0</v>
      </c>
      <c r="AH677" s="12">
        <v>0</v>
      </c>
      <c r="AI677" s="11">
        <f t="shared" si="669"/>
        <v>0</v>
      </c>
      <c r="AJ677" s="12">
        <v>0</v>
      </c>
      <c r="AK677" s="13">
        <f t="shared" si="670"/>
        <v>0</v>
      </c>
      <c r="AL677" s="12">
        <v>0</v>
      </c>
      <c r="AM677" s="13">
        <f t="shared" si="671"/>
        <v>0</v>
      </c>
      <c r="AN677" s="12">
        <v>0</v>
      </c>
      <c r="AO677" s="11">
        <f t="shared" si="672"/>
        <v>0</v>
      </c>
      <c r="AP677" s="12">
        <v>0</v>
      </c>
      <c r="AQ677" s="11">
        <f t="shared" si="673"/>
        <v>0</v>
      </c>
      <c r="AR677" s="12">
        <v>0</v>
      </c>
      <c r="AS677" s="11">
        <f t="shared" si="674"/>
        <v>0</v>
      </c>
      <c r="AT677" s="12">
        <v>28</v>
      </c>
      <c r="AU677" s="11">
        <f t="shared" si="675"/>
        <v>1400</v>
      </c>
      <c r="AW677" s="11">
        <f t="shared" si="676"/>
        <v>0</v>
      </c>
      <c r="AY677" s="11">
        <f t="shared" si="677"/>
        <v>0</v>
      </c>
      <c r="BA677" s="11">
        <f t="shared" si="678"/>
        <v>0</v>
      </c>
      <c r="BC677" s="11">
        <f t="shared" si="679"/>
        <v>0</v>
      </c>
      <c r="BE677" s="11">
        <f t="shared" si="680"/>
        <v>0</v>
      </c>
      <c r="BG677" s="11">
        <f t="shared" si="681"/>
        <v>0</v>
      </c>
      <c r="BN677" s="8">
        <f t="shared" si="659"/>
        <v>8125</v>
      </c>
      <c r="BO677" s="8">
        <f t="shared" si="660"/>
        <v>406250</v>
      </c>
      <c r="BP677" s="8">
        <f t="shared" si="662"/>
        <v>728</v>
      </c>
      <c r="BQ677" s="12">
        <f t="shared" si="663"/>
        <v>36400</v>
      </c>
    </row>
    <row r="678" spans="1:69">
      <c r="A678" s="28">
        <v>1993</v>
      </c>
      <c r="B678" s="27" t="s">
        <v>56</v>
      </c>
      <c r="C678" s="24">
        <f t="shared" si="639"/>
        <v>640</v>
      </c>
      <c r="D678" s="7" t="e">
        <f t="shared" ca="1" si="640"/>
        <v>#N/A</v>
      </c>
      <c r="E678" s="26">
        <f t="array" aca="1" ref="E678" ca="1">AVERAGE(IF(INDIRECT(DatCol&amp;"$"&amp;TEXT(C678,"###")):INDIRECT(DatCol&amp;"$"&amp;TEXT(C678+57,"###"))&gt;0,INDIRECT(DatCol&amp;"$"&amp;TEXT(C678,"###")):INDIRECT(DatCol&amp;"$"&amp;TEXT(C678+57,"###"))))</f>
        <v>267.21724137931034</v>
      </c>
      <c r="F678" s="26" t="str">
        <f t="shared" si="682"/>
        <v>N</v>
      </c>
      <c r="G678" s="8">
        <v>4</v>
      </c>
      <c r="H678" s="8">
        <v>19</v>
      </c>
      <c r="I678" s="8">
        <v>105</v>
      </c>
      <c r="J678" s="8">
        <v>89</v>
      </c>
      <c r="K678" s="9">
        <f t="shared" si="661"/>
        <v>112</v>
      </c>
      <c r="L678" s="12">
        <v>5000</v>
      </c>
      <c r="M678" s="11">
        <f t="shared" si="664"/>
        <v>250000</v>
      </c>
      <c r="N678" s="12">
        <v>500</v>
      </c>
      <c r="O678" s="11">
        <f t="shared" si="665"/>
        <v>25000</v>
      </c>
      <c r="P678" s="12">
        <v>0</v>
      </c>
      <c r="Q678" s="11">
        <f t="shared" si="666"/>
        <v>0</v>
      </c>
      <c r="X678" s="12">
        <v>0</v>
      </c>
      <c r="Y678" s="11">
        <f t="shared" si="667"/>
        <v>0</v>
      </c>
      <c r="AF678" s="12">
        <v>0</v>
      </c>
      <c r="AG678" s="11">
        <f t="shared" si="668"/>
        <v>0</v>
      </c>
      <c r="AH678" s="12">
        <v>0</v>
      </c>
      <c r="AI678" s="11">
        <f t="shared" si="669"/>
        <v>0</v>
      </c>
      <c r="AJ678" s="12">
        <v>0</v>
      </c>
      <c r="AK678" s="13">
        <f t="shared" si="670"/>
        <v>0</v>
      </c>
      <c r="AL678" s="12">
        <v>0</v>
      </c>
      <c r="AM678" s="13">
        <f t="shared" si="671"/>
        <v>0</v>
      </c>
      <c r="AN678" s="12">
        <v>0</v>
      </c>
      <c r="AO678" s="11">
        <f t="shared" si="672"/>
        <v>0</v>
      </c>
      <c r="AP678" s="12">
        <v>0</v>
      </c>
      <c r="AQ678" s="11">
        <f t="shared" si="673"/>
        <v>0</v>
      </c>
      <c r="AR678" s="12">
        <v>0</v>
      </c>
      <c r="AS678" s="11">
        <f t="shared" si="674"/>
        <v>0</v>
      </c>
      <c r="AT678" s="12">
        <v>30</v>
      </c>
      <c r="AU678" s="11">
        <f t="shared" si="675"/>
        <v>1500</v>
      </c>
      <c r="AV678" s="12">
        <v>0</v>
      </c>
      <c r="AW678" s="11">
        <f t="shared" si="676"/>
        <v>0</v>
      </c>
      <c r="AX678" s="12">
        <v>0</v>
      </c>
      <c r="AY678" s="11">
        <f t="shared" si="677"/>
        <v>0</v>
      </c>
      <c r="AZ678" s="12">
        <v>40</v>
      </c>
      <c r="BA678" s="11">
        <f t="shared" si="678"/>
        <v>1600</v>
      </c>
      <c r="BB678" s="12">
        <v>0</v>
      </c>
      <c r="BC678" s="11">
        <f t="shared" si="679"/>
        <v>0</v>
      </c>
      <c r="BE678" s="11">
        <f t="shared" si="680"/>
        <v>0</v>
      </c>
      <c r="BG678" s="11">
        <f t="shared" si="681"/>
        <v>0</v>
      </c>
      <c r="BN678" s="8">
        <f t="shared" si="659"/>
        <v>5040</v>
      </c>
      <c r="BO678" s="8">
        <f t="shared" si="660"/>
        <v>251600</v>
      </c>
      <c r="BP678" s="8">
        <f t="shared" si="662"/>
        <v>530</v>
      </c>
      <c r="BQ678" s="12">
        <f t="shared" si="663"/>
        <v>26500</v>
      </c>
    </row>
    <row r="679" spans="1:69">
      <c r="A679" s="28">
        <v>1994</v>
      </c>
      <c r="B679" s="27" t="s">
        <v>56</v>
      </c>
      <c r="C679" s="24">
        <f t="shared" si="639"/>
        <v>640</v>
      </c>
      <c r="D679" s="7" t="e">
        <f t="shared" ca="1" si="640"/>
        <v>#N/A</v>
      </c>
      <c r="E679" s="26">
        <f t="array" aca="1" ref="E679" ca="1">AVERAGE(IF(INDIRECT(DatCol&amp;"$"&amp;TEXT(C679,"###")):INDIRECT(DatCol&amp;"$"&amp;TEXT(C679+57,"###"))&gt;0,INDIRECT(DatCol&amp;"$"&amp;TEXT(C679,"###")):INDIRECT(DatCol&amp;"$"&amp;TEXT(C679+57,"###"))))</f>
        <v>267.21724137931034</v>
      </c>
      <c r="F679" s="26" t="str">
        <f t="shared" si="682"/>
        <v>N</v>
      </c>
      <c r="G679" s="8">
        <v>7</v>
      </c>
      <c r="H679" s="8">
        <v>23</v>
      </c>
      <c r="I679" s="8">
        <v>65</v>
      </c>
      <c r="J679" s="8">
        <v>77</v>
      </c>
      <c r="K679" s="9">
        <f t="shared" si="661"/>
        <v>107</v>
      </c>
      <c r="L679" s="12">
        <v>6750</v>
      </c>
      <c r="M679" s="11">
        <f t="shared" si="664"/>
        <v>337500</v>
      </c>
      <c r="N679" s="12">
        <v>10</v>
      </c>
      <c r="O679" s="11">
        <f t="shared" si="665"/>
        <v>500</v>
      </c>
      <c r="P679" s="12">
        <v>0</v>
      </c>
      <c r="Q679" s="11">
        <f t="shared" si="666"/>
        <v>0</v>
      </c>
      <c r="X679" s="12">
        <v>0</v>
      </c>
      <c r="Y679" s="11">
        <f t="shared" si="667"/>
        <v>0</v>
      </c>
      <c r="AF679" s="12">
        <v>0</v>
      </c>
      <c r="AG679" s="11">
        <f t="shared" si="668"/>
        <v>0</v>
      </c>
      <c r="AH679" s="12">
        <v>0</v>
      </c>
      <c r="AI679" s="11">
        <f t="shared" si="669"/>
        <v>0</v>
      </c>
      <c r="AJ679" s="12">
        <v>0</v>
      </c>
      <c r="AK679" s="13">
        <f t="shared" si="670"/>
        <v>0</v>
      </c>
      <c r="AL679" s="12">
        <v>0</v>
      </c>
      <c r="AM679" s="13">
        <f t="shared" si="671"/>
        <v>0</v>
      </c>
      <c r="AN679" s="12">
        <v>0</v>
      </c>
      <c r="AO679" s="11">
        <f t="shared" si="672"/>
        <v>0</v>
      </c>
      <c r="AP679" s="12">
        <v>2</v>
      </c>
      <c r="AQ679" s="11">
        <f t="shared" si="673"/>
        <v>160</v>
      </c>
      <c r="AR679" s="12">
        <v>0</v>
      </c>
      <c r="AS679" s="11">
        <f t="shared" si="674"/>
        <v>0</v>
      </c>
      <c r="AT679" s="12">
        <v>7</v>
      </c>
      <c r="AU679" s="11">
        <f t="shared" si="675"/>
        <v>350</v>
      </c>
      <c r="AV679" s="12">
        <v>0</v>
      </c>
      <c r="AW679" s="11">
        <f t="shared" si="676"/>
        <v>0</v>
      </c>
      <c r="AX679" s="12">
        <v>0</v>
      </c>
      <c r="AY679" s="11">
        <f t="shared" si="677"/>
        <v>0</v>
      </c>
      <c r="AZ679" s="12">
        <v>350</v>
      </c>
      <c r="BA679" s="11">
        <f t="shared" si="678"/>
        <v>14000</v>
      </c>
      <c r="BB679" s="12">
        <v>0</v>
      </c>
      <c r="BC679" s="11">
        <f t="shared" si="679"/>
        <v>0</v>
      </c>
      <c r="BE679" s="11">
        <f t="shared" si="680"/>
        <v>0</v>
      </c>
      <c r="BG679" s="11">
        <f t="shared" si="681"/>
        <v>0</v>
      </c>
      <c r="BN679" s="8">
        <f t="shared" si="659"/>
        <v>7100</v>
      </c>
      <c r="BO679" s="8">
        <f t="shared" si="660"/>
        <v>351500</v>
      </c>
      <c r="BP679" s="8">
        <f t="shared" si="662"/>
        <v>19</v>
      </c>
      <c r="BQ679" s="12">
        <f t="shared" si="663"/>
        <v>1010</v>
      </c>
    </row>
    <row r="680" spans="1:69">
      <c r="A680" s="28">
        <v>1995</v>
      </c>
      <c r="B680" s="27" t="s">
        <v>56</v>
      </c>
      <c r="C680" s="24">
        <f t="shared" si="639"/>
        <v>640</v>
      </c>
      <c r="D680" s="7" t="e">
        <f t="shared" ca="1" si="640"/>
        <v>#N/A</v>
      </c>
      <c r="E680" s="26">
        <f t="array" aca="1" ref="E680" ca="1">AVERAGE(IF(INDIRECT(DatCol&amp;"$"&amp;TEXT(C680,"###")):INDIRECT(DatCol&amp;"$"&amp;TEXT(C680+57,"###"))&gt;0,INDIRECT(DatCol&amp;"$"&amp;TEXT(C680,"###")):INDIRECT(DatCol&amp;"$"&amp;TEXT(C680+57,"###"))))</f>
        <v>267.21724137931034</v>
      </c>
      <c r="F680" s="26" t="str">
        <f t="shared" si="682"/>
        <v>N</v>
      </c>
      <c r="G680" s="9">
        <v>6</v>
      </c>
      <c r="H680" s="9">
        <v>43</v>
      </c>
      <c r="I680" s="9">
        <v>78</v>
      </c>
      <c r="J680" s="9">
        <v>112</v>
      </c>
      <c r="K680" s="9">
        <f t="shared" si="661"/>
        <v>161</v>
      </c>
      <c r="L680" s="10">
        <v>6670</v>
      </c>
      <c r="M680" s="11">
        <f t="shared" ref="M680:M710" si="683">(L680*50)</f>
        <v>333500</v>
      </c>
      <c r="N680" s="10">
        <v>38</v>
      </c>
      <c r="O680" s="11">
        <f t="shared" ref="O680:O710" si="684">(N680*50)</f>
        <v>1900</v>
      </c>
      <c r="Q680" s="11">
        <f t="shared" ref="Q680:Q710" si="685">((P680*330)/5.5)</f>
        <v>0</v>
      </c>
      <c r="Y680" s="11">
        <f t="shared" ref="Y680:Y710" si="686">((X680*330)/5.5)</f>
        <v>0</v>
      </c>
      <c r="AG680" s="11">
        <f t="shared" ref="AG680:AG710" si="687">(AF680*65)</f>
        <v>0</v>
      </c>
      <c r="AI680" s="11">
        <f t="shared" ref="AI680:AI710" si="688">(AH680*65)</f>
        <v>0</v>
      </c>
      <c r="AK680" s="13">
        <f t="shared" ref="AK680:AK710" si="689">(AJ680*9)</f>
        <v>0</v>
      </c>
      <c r="AM680" s="13">
        <f t="shared" ref="AM680:AM710" si="690">(AL680*9)</f>
        <v>0</v>
      </c>
      <c r="AO680" s="11">
        <f t="shared" ref="AO680:AO710" si="691">(AN680*80)</f>
        <v>0</v>
      </c>
      <c r="AQ680" s="11">
        <f t="shared" ref="AQ680:AQ710" si="692">(AP680*80)</f>
        <v>0</v>
      </c>
      <c r="AS680" s="11">
        <f t="shared" ref="AS680:AS710" si="693">(AR680*50)</f>
        <v>0</v>
      </c>
      <c r="AU680" s="11">
        <f t="shared" ref="AU680:AU710" si="694">(AT680*50)</f>
        <v>0</v>
      </c>
      <c r="AW680" s="11">
        <f t="shared" ref="AW680:AW710" si="695">(AV680*60)</f>
        <v>0</v>
      </c>
      <c r="AY680" s="11">
        <f t="shared" ref="AY680:AY710" si="696">(AX680*60)</f>
        <v>0</v>
      </c>
      <c r="AZ680" s="10">
        <v>684</v>
      </c>
      <c r="BA680" s="11">
        <f t="shared" ref="BA680:BA710" si="697">(AZ680*40)</f>
        <v>27360</v>
      </c>
      <c r="BC680" s="11">
        <f t="shared" ref="BC680:BC710" si="698">(BB680*40)</f>
        <v>0</v>
      </c>
      <c r="BE680" s="11">
        <f t="shared" ref="BE680:BE710" si="699">(BD680*95)</f>
        <v>0</v>
      </c>
      <c r="BG680" s="11">
        <f t="shared" ref="BG680:BG710" si="700">(BF680*95)</f>
        <v>0</v>
      </c>
      <c r="BN680" s="8">
        <f t="shared" si="659"/>
        <v>7354</v>
      </c>
      <c r="BO680" s="8">
        <f t="shared" si="660"/>
        <v>360860</v>
      </c>
      <c r="BP680" s="8">
        <f t="shared" si="662"/>
        <v>38</v>
      </c>
      <c r="BQ680" s="12">
        <f t="shared" si="663"/>
        <v>1900</v>
      </c>
    </row>
    <row r="681" spans="1:69">
      <c r="A681" s="28">
        <v>1996</v>
      </c>
      <c r="B681" s="27" t="s">
        <v>56</v>
      </c>
      <c r="C681" s="24">
        <f t="shared" si="639"/>
        <v>640</v>
      </c>
      <c r="D681" s="7" t="e">
        <f t="shared" ca="1" si="640"/>
        <v>#N/A</v>
      </c>
      <c r="E681" s="26">
        <f t="array" aca="1" ref="E681" ca="1">AVERAGE(IF(INDIRECT(DatCol&amp;"$"&amp;TEXT(C681,"###")):INDIRECT(DatCol&amp;"$"&amp;TEXT(C681+57,"###"))&gt;0,INDIRECT(DatCol&amp;"$"&amp;TEXT(C681,"###")):INDIRECT(DatCol&amp;"$"&amp;TEXT(C681+57,"###"))))</f>
        <v>267.21724137931034</v>
      </c>
      <c r="F681" s="26" t="str">
        <f t="shared" si="682"/>
        <v>N</v>
      </c>
      <c r="G681" s="9">
        <v>9</v>
      </c>
      <c r="H681" s="9">
        <v>50</v>
      </c>
      <c r="I681" s="9">
        <v>107</v>
      </c>
      <c r="J681" s="9">
        <v>132</v>
      </c>
      <c r="K681" s="9">
        <f t="shared" si="661"/>
        <v>191</v>
      </c>
      <c r="L681" s="10">
        <v>14999</v>
      </c>
      <c r="M681" s="11">
        <f t="shared" si="683"/>
        <v>749950</v>
      </c>
      <c r="N681" s="10">
        <v>63</v>
      </c>
      <c r="O681" s="11">
        <f t="shared" si="684"/>
        <v>3150</v>
      </c>
      <c r="Q681" s="11">
        <f t="shared" si="685"/>
        <v>0</v>
      </c>
      <c r="Y681" s="11">
        <f t="shared" si="686"/>
        <v>0</v>
      </c>
      <c r="AG681" s="11">
        <f t="shared" si="687"/>
        <v>0</v>
      </c>
      <c r="AI681" s="11">
        <f t="shared" si="688"/>
        <v>0</v>
      </c>
      <c r="AK681" s="13">
        <f t="shared" si="689"/>
        <v>0</v>
      </c>
      <c r="AM681" s="13">
        <f t="shared" si="690"/>
        <v>0</v>
      </c>
      <c r="AO681" s="11">
        <f t="shared" si="691"/>
        <v>0</v>
      </c>
      <c r="AQ681" s="11">
        <f t="shared" si="692"/>
        <v>0</v>
      </c>
      <c r="AS681" s="11">
        <f t="shared" si="693"/>
        <v>0</v>
      </c>
      <c r="AT681" s="10">
        <v>3</v>
      </c>
      <c r="AU681" s="11">
        <f t="shared" si="694"/>
        <v>150</v>
      </c>
      <c r="AW681" s="11">
        <f t="shared" si="695"/>
        <v>0</v>
      </c>
      <c r="AY681" s="11">
        <f t="shared" si="696"/>
        <v>0</v>
      </c>
      <c r="AZ681" s="10">
        <v>32</v>
      </c>
      <c r="BA681" s="11">
        <f t="shared" si="697"/>
        <v>1280</v>
      </c>
      <c r="BC681" s="11">
        <f t="shared" si="698"/>
        <v>0</v>
      </c>
      <c r="BE681" s="11">
        <f t="shared" si="699"/>
        <v>0</v>
      </c>
      <c r="BG681" s="11">
        <f t="shared" si="700"/>
        <v>0</v>
      </c>
      <c r="BN681" s="8">
        <f t="shared" si="659"/>
        <v>15031</v>
      </c>
      <c r="BO681" s="8">
        <f t="shared" si="660"/>
        <v>751230</v>
      </c>
      <c r="BP681" s="8">
        <f t="shared" si="662"/>
        <v>66</v>
      </c>
      <c r="BQ681" s="12">
        <f t="shared" si="663"/>
        <v>3300</v>
      </c>
    </row>
    <row r="682" spans="1:69">
      <c r="A682" s="28">
        <v>1997</v>
      </c>
      <c r="B682" s="27" t="s">
        <v>56</v>
      </c>
      <c r="C682" s="24">
        <f t="shared" si="639"/>
        <v>640</v>
      </c>
      <c r="D682" s="7" t="e">
        <f t="shared" ca="1" si="640"/>
        <v>#N/A</v>
      </c>
      <c r="E682" s="26">
        <f t="array" aca="1" ref="E682" ca="1">AVERAGE(IF(INDIRECT(DatCol&amp;"$"&amp;TEXT(C682,"###")):INDIRECT(DatCol&amp;"$"&amp;TEXT(C682+57,"###"))&gt;0,INDIRECT(DatCol&amp;"$"&amp;TEXT(C682,"###")):INDIRECT(DatCol&amp;"$"&amp;TEXT(C682+57,"###"))))</f>
        <v>267.21724137931034</v>
      </c>
      <c r="F682" s="26" t="str">
        <f t="shared" si="682"/>
        <v>N</v>
      </c>
      <c r="G682" s="9">
        <v>9</v>
      </c>
      <c r="H682" s="9">
        <v>36</v>
      </c>
      <c r="I682" s="9">
        <v>123</v>
      </c>
      <c r="J682" s="9">
        <v>142</v>
      </c>
      <c r="K682" s="9">
        <f t="shared" si="661"/>
        <v>187</v>
      </c>
      <c r="L682" s="10">
        <v>24562</v>
      </c>
      <c r="M682" s="11">
        <f t="shared" si="683"/>
        <v>1228100</v>
      </c>
      <c r="N682" s="10">
        <v>400</v>
      </c>
      <c r="O682" s="11">
        <f t="shared" si="684"/>
        <v>20000</v>
      </c>
      <c r="Q682" s="11">
        <f t="shared" si="685"/>
        <v>0</v>
      </c>
      <c r="Y682" s="11">
        <f t="shared" si="686"/>
        <v>0</v>
      </c>
      <c r="AG682" s="11">
        <f t="shared" si="687"/>
        <v>0</v>
      </c>
      <c r="AI682" s="11">
        <f t="shared" si="688"/>
        <v>0</v>
      </c>
      <c r="AK682" s="13">
        <f t="shared" si="689"/>
        <v>0</v>
      </c>
      <c r="AM682" s="13">
        <f t="shared" si="690"/>
        <v>0</v>
      </c>
      <c r="AO682" s="11">
        <f t="shared" si="691"/>
        <v>0</v>
      </c>
      <c r="AQ682" s="11">
        <f t="shared" si="692"/>
        <v>0</v>
      </c>
      <c r="AS682" s="11">
        <f t="shared" si="693"/>
        <v>0</v>
      </c>
      <c r="AT682" s="10">
        <v>10</v>
      </c>
      <c r="AU682" s="11">
        <f t="shared" si="694"/>
        <v>500</v>
      </c>
      <c r="AW682" s="11">
        <f t="shared" si="695"/>
        <v>0</v>
      </c>
      <c r="AY682" s="11">
        <f t="shared" si="696"/>
        <v>0</v>
      </c>
      <c r="AZ682" s="10">
        <v>150</v>
      </c>
      <c r="BA682" s="11">
        <f t="shared" si="697"/>
        <v>6000</v>
      </c>
      <c r="BC682" s="11">
        <f t="shared" si="698"/>
        <v>0</v>
      </c>
      <c r="BE682" s="11">
        <f t="shared" si="699"/>
        <v>0</v>
      </c>
      <c r="BG682" s="11">
        <f t="shared" si="700"/>
        <v>0</v>
      </c>
      <c r="BN682" s="8">
        <f t="shared" si="659"/>
        <v>24712</v>
      </c>
      <c r="BO682" s="8">
        <f t="shared" si="660"/>
        <v>1234100</v>
      </c>
      <c r="BP682" s="8">
        <f t="shared" si="662"/>
        <v>410</v>
      </c>
      <c r="BQ682" s="12">
        <f t="shared" si="663"/>
        <v>20500</v>
      </c>
    </row>
    <row r="683" spans="1:69">
      <c r="A683" s="28">
        <v>1998</v>
      </c>
      <c r="B683" s="27" t="s">
        <v>56</v>
      </c>
      <c r="C683" s="24">
        <f t="shared" si="639"/>
        <v>640</v>
      </c>
      <c r="D683" s="7" t="e">
        <f t="shared" ca="1" si="640"/>
        <v>#N/A</v>
      </c>
      <c r="E683" s="26">
        <f t="array" aca="1" ref="E683" ca="1">AVERAGE(IF(INDIRECT(DatCol&amp;"$"&amp;TEXT(C683,"###")):INDIRECT(DatCol&amp;"$"&amp;TEXT(C683+57,"###"))&gt;0,INDIRECT(DatCol&amp;"$"&amp;TEXT(C683,"###")):INDIRECT(DatCol&amp;"$"&amp;TEXT(C683+57,"###"))))</f>
        <v>267.21724137931034</v>
      </c>
      <c r="F683" s="26" t="str">
        <f t="shared" si="682"/>
        <v>N</v>
      </c>
      <c r="G683" s="9">
        <v>39</v>
      </c>
      <c r="H683" s="9">
        <v>38</v>
      </c>
      <c r="I683" s="9">
        <v>138</v>
      </c>
      <c r="J683" s="9">
        <v>121</v>
      </c>
      <c r="K683" s="9">
        <f t="shared" si="661"/>
        <v>198</v>
      </c>
      <c r="L683" s="10">
        <f>(M683/50)</f>
        <v>16696.8</v>
      </c>
      <c r="M683" s="11">
        <v>834840</v>
      </c>
      <c r="N683" s="10">
        <f t="shared" ref="N683:N689" si="701">O683/50</f>
        <v>38</v>
      </c>
      <c r="O683" s="11">
        <v>1900</v>
      </c>
      <c r="P683" s="10">
        <v>0</v>
      </c>
      <c r="Q683" s="11">
        <v>0</v>
      </c>
      <c r="R683" s="10">
        <v>0</v>
      </c>
      <c r="S683" s="11">
        <v>0</v>
      </c>
      <c r="T683" s="10">
        <v>0</v>
      </c>
      <c r="U683" s="11">
        <v>0</v>
      </c>
      <c r="V683" s="10">
        <v>0</v>
      </c>
      <c r="W683" s="11">
        <v>0</v>
      </c>
      <c r="X683" s="10">
        <v>0</v>
      </c>
      <c r="Y683" s="11">
        <v>0</v>
      </c>
      <c r="Z683" s="10">
        <v>0</v>
      </c>
      <c r="AA683" s="11">
        <v>0</v>
      </c>
      <c r="AB683" s="10">
        <v>0</v>
      </c>
      <c r="AC683" s="11">
        <v>0</v>
      </c>
      <c r="AD683" s="10">
        <v>0</v>
      </c>
      <c r="AE683" s="11">
        <v>0</v>
      </c>
      <c r="AF683" s="10">
        <v>0</v>
      </c>
      <c r="AG683" s="11">
        <v>0</v>
      </c>
      <c r="AH683" s="10">
        <v>0</v>
      </c>
      <c r="AI683" s="11">
        <v>0</v>
      </c>
      <c r="AJ683" s="10">
        <v>0</v>
      </c>
      <c r="AK683" s="13">
        <v>0</v>
      </c>
      <c r="AL683" s="10">
        <v>0</v>
      </c>
      <c r="AM683" s="13">
        <v>0</v>
      </c>
      <c r="AN683" s="10">
        <v>0</v>
      </c>
      <c r="AO683" s="11">
        <v>0</v>
      </c>
      <c r="AP683" s="10">
        <v>0</v>
      </c>
      <c r="AQ683" s="11">
        <v>0</v>
      </c>
      <c r="AR683" s="10">
        <v>0</v>
      </c>
      <c r="AS683" s="11">
        <v>0</v>
      </c>
      <c r="AT683" s="10">
        <f>AU683/55</f>
        <v>5.4545454545454541</v>
      </c>
      <c r="AU683" s="11">
        <v>300</v>
      </c>
      <c r="AV683" s="10">
        <v>0</v>
      </c>
      <c r="AW683" s="11">
        <v>0</v>
      </c>
      <c r="AX683" s="10">
        <v>0</v>
      </c>
      <c r="AY683" s="11">
        <v>0</v>
      </c>
      <c r="AZ683" s="10">
        <f>BA683/40</f>
        <v>105</v>
      </c>
      <c r="BA683" s="11">
        <v>4200</v>
      </c>
      <c r="BN683" s="8">
        <f t="shared" si="659"/>
        <v>16801.8</v>
      </c>
      <c r="BO683" s="8">
        <f t="shared" si="660"/>
        <v>839040</v>
      </c>
      <c r="BP683" s="8">
        <f t="shared" si="662"/>
        <v>43.454545454545453</v>
      </c>
      <c r="BQ683" s="12">
        <f t="shared" si="663"/>
        <v>2200</v>
      </c>
    </row>
    <row r="684" spans="1:69">
      <c r="A684" s="28">
        <v>1999</v>
      </c>
      <c r="B684" s="27" t="s">
        <v>56</v>
      </c>
      <c r="C684" s="24">
        <f t="shared" si="639"/>
        <v>640</v>
      </c>
      <c r="D684" s="7" t="e">
        <f t="shared" ca="1" si="640"/>
        <v>#N/A</v>
      </c>
      <c r="E684" s="26">
        <f t="array" aca="1" ref="E684" ca="1">AVERAGE(IF(INDIRECT(DatCol&amp;"$"&amp;TEXT(C684,"###")):INDIRECT(DatCol&amp;"$"&amp;TEXT(C684+57,"###"))&gt;0,INDIRECT(DatCol&amp;"$"&amp;TEXT(C684,"###")):INDIRECT(DatCol&amp;"$"&amp;TEXT(C684+57,"###"))))</f>
        <v>267.21724137931034</v>
      </c>
      <c r="F684" s="26" t="str">
        <f t="shared" si="682"/>
        <v>N</v>
      </c>
      <c r="G684" s="9">
        <v>39</v>
      </c>
      <c r="H684" s="9">
        <v>38</v>
      </c>
      <c r="I684" s="9">
        <v>138</v>
      </c>
      <c r="J684" s="9">
        <v>121</v>
      </c>
      <c r="K684" s="9">
        <f t="shared" si="661"/>
        <v>198</v>
      </c>
      <c r="L684" s="10">
        <f t="shared" ref="L684:L689" si="702">M684/50</f>
        <v>10222</v>
      </c>
      <c r="M684" s="11">
        <v>511100</v>
      </c>
      <c r="N684" s="10">
        <f t="shared" si="701"/>
        <v>24</v>
      </c>
      <c r="O684" s="11">
        <v>1200</v>
      </c>
      <c r="P684" s="10">
        <v>0</v>
      </c>
      <c r="Q684" s="11">
        <v>0</v>
      </c>
      <c r="R684" s="10">
        <v>0</v>
      </c>
      <c r="S684" s="11">
        <v>0</v>
      </c>
      <c r="T684" s="10">
        <v>0</v>
      </c>
      <c r="U684" s="11">
        <v>0</v>
      </c>
      <c r="V684" s="10">
        <v>0</v>
      </c>
      <c r="W684" s="11">
        <v>0</v>
      </c>
      <c r="X684" s="10">
        <v>0</v>
      </c>
      <c r="Y684" s="11">
        <v>0</v>
      </c>
      <c r="Z684" s="10">
        <v>0</v>
      </c>
      <c r="AA684" s="11">
        <v>0</v>
      </c>
      <c r="AB684" s="10">
        <v>0</v>
      </c>
      <c r="AC684" s="11">
        <v>0</v>
      </c>
      <c r="AD684" s="10">
        <v>0</v>
      </c>
      <c r="AE684" s="11">
        <v>0</v>
      </c>
      <c r="AF684" s="10">
        <v>0</v>
      </c>
      <c r="AG684" s="11">
        <v>0</v>
      </c>
      <c r="AH684" s="10">
        <v>0</v>
      </c>
      <c r="AI684" s="11">
        <v>0</v>
      </c>
      <c r="AJ684" s="10">
        <v>0</v>
      </c>
      <c r="AK684" s="13">
        <v>0</v>
      </c>
      <c r="AL684" s="10">
        <v>0</v>
      </c>
      <c r="AM684" s="13">
        <v>0</v>
      </c>
      <c r="AN684" s="10">
        <v>0</v>
      </c>
      <c r="AO684" s="11">
        <v>0</v>
      </c>
      <c r="AP684" s="10">
        <v>0</v>
      </c>
      <c r="AQ684" s="11">
        <v>0</v>
      </c>
      <c r="AR684" s="10">
        <v>0</v>
      </c>
      <c r="AS684" s="11">
        <v>0</v>
      </c>
      <c r="AT684" s="10">
        <v>0</v>
      </c>
      <c r="AU684" s="11">
        <v>0</v>
      </c>
      <c r="AV684" s="10">
        <v>0</v>
      </c>
      <c r="AW684" s="11">
        <v>0</v>
      </c>
      <c r="AX684" s="10">
        <v>0</v>
      </c>
      <c r="AY684" s="11">
        <v>0</v>
      </c>
      <c r="AZ684" s="10">
        <f>BA684/40</f>
        <v>173</v>
      </c>
      <c r="BA684" s="11">
        <v>6920</v>
      </c>
      <c r="BB684" s="10">
        <v>0</v>
      </c>
      <c r="BC684" s="11">
        <v>0</v>
      </c>
      <c r="BD684" s="10">
        <v>0</v>
      </c>
      <c r="BE684" s="11">
        <v>0</v>
      </c>
      <c r="BF684" s="10">
        <v>0</v>
      </c>
      <c r="BG684" s="11">
        <v>0</v>
      </c>
      <c r="BH684" s="11">
        <v>0</v>
      </c>
      <c r="BN684" s="8">
        <f t="shared" si="659"/>
        <v>10395</v>
      </c>
      <c r="BO684" s="8">
        <f t="shared" si="660"/>
        <v>518020</v>
      </c>
      <c r="BP684" s="8">
        <f t="shared" si="662"/>
        <v>24</v>
      </c>
      <c r="BQ684" s="12">
        <f t="shared" si="663"/>
        <v>1200</v>
      </c>
    </row>
    <row r="685" spans="1:69">
      <c r="A685" s="28">
        <v>2000</v>
      </c>
      <c r="B685" s="27" t="s">
        <v>56</v>
      </c>
      <c r="C685" s="24">
        <f t="shared" si="639"/>
        <v>640</v>
      </c>
      <c r="D685" s="7" t="e">
        <f t="shared" ca="1" si="640"/>
        <v>#N/A</v>
      </c>
      <c r="E685" s="26">
        <f t="array" aca="1" ref="E685" ca="1">AVERAGE(IF(INDIRECT(DatCol&amp;"$"&amp;TEXT(C685,"###")):INDIRECT(DatCol&amp;"$"&amp;TEXT(C685+57,"###"))&gt;0,INDIRECT(DatCol&amp;"$"&amp;TEXT(C685,"###")):INDIRECT(DatCol&amp;"$"&amp;TEXT(C685+57,"###"))))</f>
        <v>267.21724137931034</v>
      </c>
      <c r="F685" s="26" t="str">
        <f t="shared" si="682"/>
        <v>N</v>
      </c>
      <c r="G685" s="9">
        <v>8</v>
      </c>
      <c r="H685" s="9">
        <v>38</v>
      </c>
      <c r="I685" s="9">
        <v>55</v>
      </c>
      <c r="J685" s="9">
        <v>79</v>
      </c>
      <c r="K685" s="9">
        <f t="shared" si="661"/>
        <v>125</v>
      </c>
      <c r="L685" s="10">
        <f t="shared" si="702"/>
        <v>4160</v>
      </c>
      <c r="M685" s="11">
        <v>208000</v>
      </c>
      <c r="N685" s="10">
        <f t="shared" si="701"/>
        <v>22</v>
      </c>
      <c r="O685" s="11">
        <v>1100</v>
      </c>
      <c r="P685" s="10">
        <v>0</v>
      </c>
      <c r="Q685" s="11">
        <v>0</v>
      </c>
      <c r="R685" s="10">
        <v>0</v>
      </c>
      <c r="S685" s="11">
        <v>0</v>
      </c>
      <c r="T685" s="10">
        <v>0</v>
      </c>
      <c r="V685" s="10">
        <v>0</v>
      </c>
      <c r="W685" s="11">
        <v>0</v>
      </c>
      <c r="X685" s="10">
        <v>0</v>
      </c>
      <c r="Y685" s="11">
        <v>0</v>
      </c>
      <c r="Z685" s="10">
        <v>0</v>
      </c>
      <c r="AA685" s="11">
        <v>0</v>
      </c>
      <c r="AB685" s="10">
        <v>0</v>
      </c>
      <c r="AC685" s="11">
        <v>0</v>
      </c>
      <c r="AD685" s="10">
        <v>0</v>
      </c>
      <c r="AE685" s="11">
        <v>0</v>
      </c>
      <c r="AF685" s="10">
        <v>0</v>
      </c>
      <c r="AG685" s="11">
        <v>0</v>
      </c>
      <c r="AH685" s="10">
        <v>0</v>
      </c>
      <c r="AI685" s="11">
        <v>0</v>
      </c>
      <c r="AJ685" s="10">
        <v>0</v>
      </c>
      <c r="AK685" s="13">
        <v>0</v>
      </c>
      <c r="AL685" s="10">
        <v>0</v>
      </c>
      <c r="AM685" s="13">
        <v>0</v>
      </c>
      <c r="AN685" s="10">
        <v>0</v>
      </c>
      <c r="AO685" s="11">
        <v>0</v>
      </c>
      <c r="AP685" s="10">
        <v>0</v>
      </c>
      <c r="AQ685" s="11">
        <v>0</v>
      </c>
      <c r="AR685" s="10">
        <f>AS685/55</f>
        <v>18.90909090909091</v>
      </c>
      <c r="AS685" s="11">
        <v>1040</v>
      </c>
      <c r="AT685" s="10">
        <f>AU685/55</f>
        <v>6</v>
      </c>
      <c r="AU685" s="11">
        <v>330</v>
      </c>
      <c r="BN685" s="8">
        <f t="shared" si="659"/>
        <v>4178.909090909091</v>
      </c>
      <c r="BO685" s="8">
        <f t="shared" si="660"/>
        <v>209040</v>
      </c>
      <c r="BP685" s="8">
        <f t="shared" si="662"/>
        <v>28</v>
      </c>
      <c r="BQ685" s="12">
        <f t="shared" si="663"/>
        <v>1430</v>
      </c>
    </row>
    <row r="686" spans="1:69">
      <c r="A686" s="28">
        <v>2001</v>
      </c>
      <c r="B686" s="27" t="s">
        <v>56</v>
      </c>
      <c r="C686" s="24">
        <f t="shared" si="639"/>
        <v>640</v>
      </c>
      <c r="D686" s="7" t="e">
        <f t="shared" ca="1" si="640"/>
        <v>#N/A</v>
      </c>
      <c r="E686" s="26">
        <f t="array" aca="1" ref="E686" ca="1">AVERAGE(IF(INDIRECT(DatCol&amp;"$"&amp;TEXT(C686,"###")):INDIRECT(DatCol&amp;"$"&amp;TEXT(C686+57,"###"))&gt;0,INDIRECT(DatCol&amp;"$"&amp;TEXT(C686,"###")):INDIRECT(DatCol&amp;"$"&amp;TEXT(C686+57,"###"))))</f>
        <v>267.21724137931034</v>
      </c>
      <c r="F686" s="26" t="str">
        <f t="shared" si="682"/>
        <v>N</v>
      </c>
      <c r="G686" s="9">
        <v>0</v>
      </c>
      <c r="H686" s="9">
        <v>33</v>
      </c>
      <c r="I686" s="9">
        <v>45</v>
      </c>
      <c r="J686" s="9">
        <v>111</v>
      </c>
      <c r="K686" s="9">
        <f t="shared" si="661"/>
        <v>144</v>
      </c>
      <c r="L686" s="10">
        <f t="shared" si="702"/>
        <v>9660</v>
      </c>
      <c r="M686" s="11">
        <v>483000</v>
      </c>
      <c r="N686" s="10">
        <f t="shared" si="701"/>
        <v>15.5</v>
      </c>
      <c r="O686" s="11">
        <v>775</v>
      </c>
      <c r="P686" s="10">
        <v>0</v>
      </c>
      <c r="Q686" s="11">
        <v>0</v>
      </c>
      <c r="R686" s="10">
        <v>0</v>
      </c>
      <c r="S686" s="11">
        <v>0</v>
      </c>
      <c r="T686" s="10">
        <v>0</v>
      </c>
      <c r="U686" s="11">
        <v>0</v>
      </c>
      <c r="V686" s="10">
        <v>0</v>
      </c>
      <c r="W686" s="11">
        <v>0</v>
      </c>
      <c r="X686" s="10">
        <v>0</v>
      </c>
      <c r="Y686" s="11">
        <v>0</v>
      </c>
      <c r="Z686" s="10">
        <v>0</v>
      </c>
      <c r="AA686" s="11">
        <v>0</v>
      </c>
      <c r="AB686" s="10">
        <v>0</v>
      </c>
      <c r="AC686" s="11">
        <v>0</v>
      </c>
      <c r="AD686" s="10">
        <v>0</v>
      </c>
      <c r="AE686" s="11">
        <v>0</v>
      </c>
      <c r="AF686" s="10">
        <v>0</v>
      </c>
      <c r="AG686" s="11">
        <v>0</v>
      </c>
      <c r="AH686" s="10">
        <v>0</v>
      </c>
      <c r="AI686" s="11">
        <v>0</v>
      </c>
      <c r="AJ686" s="10">
        <v>0</v>
      </c>
      <c r="AK686" s="13">
        <v>0</v>
      </c>
      <c r="AL686" s="10">
        <v>0</v>
      </c>
      <c r="AM686" s="13">
        <v>0</v>
      </c>
      <c r="AN686" s="10">
        <v>0</v>
      </c>
      <c r="AO686" s="11">
        <v>0</v>
      </c>
      <c r="AP686" s="10">
        <f>AQ686/80</f>
        <v>8</v>
      </c>
      <c r="AQ686" s="11">
        <v>640</v>
      </c>
      <c r="AR686" s="10">
        <v>0</v>
      </c>
      <c r="AS686" s="11">
        <v>0</v>
      </c>
      <c r="AT686" s="10">
        <f>AU686/55</f>
        <v>3.2727272727272729</v>
      </c>
      <c r="AU686" s="11">
        <v>180</v>
      </c>
      <c r="AV686" s="10">
        <v>0</v>
      </c>
      <c r="AW686" s="11">
        <v>0</v>
      </c>
      <c r="AX686" s="10">
        <v>0</v>
      </c>
      <c r="AY686" s="11">
        <v>0</v>
      </c>
      <c r="AZ686" s="10">
        <f>BA686/40</f>
        <v>180</v>
      </c>
      <c r="BA686" s="11">
        <v>7200</v>
      </c>
      <c r="BB686" s="10">
        <v>0</v>
      </c>
      <c r="BC686" s="11">
        <v>0</v>
      </c>
      <c r="BD686" s="10">
        <v>0</v>
      </c>
      <c r="BN686" s="8">
        <f t="shared" si="659"/>
        <v>9840</v>
      </c>
      <c r="BO686" s="8">
        <f t="shared" si="660"/>
        <v>490200</v>
      </c>
      <c r="BP686" s="8">
        <f t="shared" si="662"/>
        <v>26.772727272727273</v>
      </c>
      <c r="BQ686" s="12">
        <f t="shared" si="663"/>
        <v>1595</v>
      </c>
    </row>
    <row r="687" spans="1:69">
      <c r="A687" s="28">
        <v>2002</v>
      </c>
      <c r="B687" s="27" t="s">
        <v>56</v>
      </c>
      <c r="C687" s="24">
        <f t="shared" si="639"/>
        <v>640</v>
      </c>
      <c r="D687" s="7" t="e">
        <f t="shared" ca="1" si="640"/>
        <v>#N/A</v>
      </c>
      <c r="E687" s="26">
        <f t="array" aca="1" ref="E687" ca="1">AVERAGE(IF(INDIRECT(DatCol&amp;"$"&amp;TEXT(C687,"###")):INDIRECT(DatCol&amp;"$"&amp;TEXT(C687+57,"###"))&gt;0,INDIRECT(DatCol&amp;"$"&amp;TEXT(C687,"###")):INDIRECT(DatCol&amp;"$"&amp;TEXT(C687+57,"###"))))</f>
        <v>267.21724137931034</v>
      </c>
      <c r="F687" s="26" t="str">
        <f t="shared" si="682"/>
        <v>N</v>
      </c>
      <c r="G687" s="9">
        <v>0</v>
      </c>
      <c r="H687" s="9">
        <v>26</v>
      </c>
      <c r="I687" s="9">
        <v>38</v>
      </c>
      <c r="J687" s="9">
        <v>70</v>
      </c>
      <c r="K687" s="9">
        <f t="shared" si="661"/>
        <v>96</v>
      </c>
      <c r="L687" s="10">
        <f t="shared" si="702"/>
        <v>6647</v>
      </c>
      <c r="M687" s="11">
        <v>332350</v>
      </c>
      <c r="N687" s="10">
        <f t="shared" si="701"/>
        <v>11.6</v>
      </c>
      <c r="O687" s="11">
        <v>580</v>
      </c>
      <c r="P687" s="10">
        <v>0</v>
      </c>
      <c r="Q687" s="11">
        <v>0</v>
      </c>
      <c r="R687" s="10">
        <v>0</v>
      </c>
      <c r="S687" s="11">
        <v>0</v>
      </c>
      <c r="T687" s="10">
        <v>0</v>
      </c>
      <c r="U687" s="11">
        <v>0</v>
      </c>
      <c r="V687" s="10">
        <v>0</v>
      </c>
      <c r="W687" s="11">
        <v>0</v>
      </c>
      <c r="X687" s="10">
        <v>0</v>
      </c>
      <c r="Y687" s="11">
        <v>0</v>
      </c>
      <c r="Z687" s="10">
        <v>0</v>
      </c>
      <c r="AA687" s="11">
        <v>0</v>
      </c>
      <c r="AB687" s="10">
        <v>0</v>
      </c>
      <c r="AC687" s="11">
        <v>0</v>
      </c>
      <c r="AD687" s="10">
        <v>0</v>
      </c>
      <c r="AE687" s="11">
        <v>0</v>
      </c>
      <c r="AF687" s="10">
        <v>0</v>
      </c>
      <c r="AG687" s="11">
        <v>0</v>
      </c>
      <c r="AH687" s="10">
        <v>0</v>
      </c>
      <c r="AI687" s="11">
        <v>0</v>
      </c>
      <c r="AJ687" s="10">
        <v>0</v>
      </c>
      <c r="AK687" s="13">
        <v>0</v>
      </c>
      <c r="AL687" s="10">
        <v>0</v>
      </c>
      <c r="AM687" s="13">
        <v>0</v>
      </c>
      <c r="AN687" s="10">
        <v>0</v>
      </c>
      <c r="AO687" s="11">
        <v>0</v>
      </c>
      <c r="AP687" s="10">
        <f>AQ687/80</f>
        <v>3.75</v>
      </c>
      <c r="AQ687" s="11">
        <v>300</v>
      </c>
      <c r="AR687" s="10">
        <v>0</v>
      </c>
      <c r="AS687" s="11">
        <v>0</v>
      </c>
      <c r="AT687" s="10">
        <f>AU687/55</f>
        <v>1.2727272727272727</v>
      </c>
      <c r="AU687" s="11">
        <v>70</v>
      </c>
      <c r="AV687" s="10">
        <v>0</v>
      </c>
      <c r="AW687" s="11">
        <v>0</v>
      </c>
      <c r="AX687" s="10">
        <v>0</v>
      </c>
      <c r="AY687" s="11">
        <v>0</v>
      </c>
      <c r="AZ687" s="10">
        <f>BA687/40</f>
        <v>237.5</v>
      </c>
      <c r="BA687" s="11">
        <v>9500</v>
      </c>
      <c r="BB687" s="10">
        <v>0</v>
      </c>
      <c r="BC687" s="11">
        <v>0</v>
      </c>
      <c r="BD687" s="10">
        <v>0</v>
      </c>
      <c r="BE687" s="11">
        <v>0</v>
      </c>
      <c r="BN687" s="8">
        <f t="shared" si="659"/>
        <v>6884.5</v>
      </c>
      <c r="BO687" s="8">
        <f t="shared" si="660"/>
        <v>341850</v>
      </c>
      <c r="BP687" s="8">
        <f t="shared" si="662"/>
        <v>16.622727272727271</v>
      </c>
      <c r="BQ687" s="12">
        <f t="shared" si="663"/>
        <v>950</v>
      </c>
    </row>
    <row r="688" spans="1:69">
      <c r="A688" s="28">
        <v>2003</v>
      </c>
      <c r="B688" s="27" t="s">
        <v>56</v>
      </c>
      <c r="C688" s="24">
        <f t="shared" si="639"/>
        <v>640</v>
      </c>
      <c r="D688" s="7" t="e">
        <f t="shared" ca="1" si="640"/>
        <v>#N/A</v>
      </c>
      <c r="E688" s="26">
        <f t="array" aca="1" ref="E688" ca="1">AVERAGE(IF(INDIRECT(DatCol&amp;"$"&amp;TEXT(C688,"###")):INDIRECT(DatCol&amp;"$"&amp;TEXT(C688+57,"###"))&gt;0,INDIRECT(DatCol&amp;"$"&amp;TEXT(C688,"###")):INDIRECT(DatCol&amp;"$"&amp;TEXT(C688+57,"###"))))</f>
        <v>267.21724137931034</v>
      </c>
      <c r="F688" s="26" t="str">
        <f t="shared" si="682"/>
        <v>N</v>
      </c>
      <c r="H688" s="9">
        <v>7</v>
      </c>
      <c r="I688" s="9">
        <v>43</v>
      </c>
      <c r="J688" s="9">
        <v>23</v>
      </c>
      <c r="K688" s="9">
        <f t="shared" si="661"/>
        <v>30</v>
      </c>
      <c r="L688" s="10">
        <f t="shared" si="702"/>
        <v>3920.4</v>
      </c>
      <c r="M688" s="11">
        <v>196020</v>
      </c>
      <c r="N688" s="10">
        <f t="shared" si="701"/>
        <v>19.2</v>
      </c>
      <c r="O688" s="11">
        <v>960</v>
      </c>
      <c r="P688" s="10">
        <v>0</v>
      </c>
      <c r="Q688" s="11">
        <v>0</v>
      </c>
      <c r="R688" s="10">
        <v>0</v>
      </c>
      <c r="S688" s="11">
        <v>0</v>
      </c>
      <c r="T688" s="10">
        <v>0</v>
      </c>
      <c r="U688" s="11">
        <v>0</v>
      </c>
      <c r="V688" s="10">
        <v>0</v>
      </c>
      <c r="W688" s="11">
        <v>0</v>
      </c>
      <c r="X688" s="10">
        <v>0</v>
      </c>
      <c r="Y688" s="11">
        <v>0</v>
      </c>
      <c r="Z688" s="10">
        <v>0</v>
      </c>
      <c r="AA688" s="11">
        <v>0</v>
      </c>
      <c r="AB688" s="10">
        <v>0</v>
      </c>
      <c r="AC688" s="11">
        <v>0</v>
      </c>
      <c r="AD688" s="10">
        <v>0</v>
      </c>
      <c r="AE688" s="11">
        <v>0</v>
      </c>
      <c r="AF688" s="10">
        <v>0</v>
      </c>
      <c r="AG688" s="11">
        <v>0</v>
      </c>
      <c r="AH688" s="10">
        <v>0</v>
      </c>
      <c r="AI688" s="11">
        <v>0</v>
      </c>
      <c r="AJ688" s="10">
        <v>0</v>
      </c>
      <c r="AK688" s="13">
        <v>0</v>
      </c>
      <c r="AL688" s="10">
        <v>0</v>
      </c>
      <c r="AM688" s="13">
        <v>0</v>
      </c>
      <c r="AN688" s="10">
        <v>0</v>
      </c>
      <c r="AO688" s="11">
        <v>0</v>
      </c>
      <c r="AP688" s="10">
        <v>0</v>
      </c>
      <c r="AQ688" s="11">
        <v>0</v>
      </c>
      <c r="AR688" s="10">
        <v>0</v>
      </c>
      <c r="AS688" s="11">
        <v>0</v>
      </c>
      <c r="AT688" s="10">
        <v>0</v>
      </c>
      <c r="AU688" s="11">
        <v>0</v>
      </c>
      <c r="AV688" s="10">
        <v>0</v>
      </c>
      <c r="AW688" s="11">
        <v>0</v>
      </c>
      <c r="AX688" s="10">
        <v>0</v>
      </c>
      <c r="AY688" s="11">
        <v>0</v>
      </c>
      <c r="AZ688" s="10">
        <f>BA688/40</f>
        <v>120</v>
      </c>
      <c r="BA688" s="11">
        <v>4800</v>
      </c>
      <c r="BN688" s="8">
        <f t="shared" si="659"/>
        <v>4040.4</v>
      </c>
      <c r="BO688" s="8">
        <f t="shared" si="660"/>
        <v>200820</v>
      </c>
      <c r="BP688" s="8">
        <f t="shared" si="662"/>
        <v>19.2</v>
      </c>
      <c r="BQ688" s="12">
        <f t="shared" si="663"/>
        <v>960</v>
      </c>
    </row>
    <row r="689" spans="1:69">
      <c r="A689" s="28">
        <v>2004</v>
      </c>
      <c r="B689" s="27" t="s">
        <v>56</v>
      </c>
      <c r="C689" s="24">
        <f t="shared" si="639"/>
        <v>640</v>
      </c>
      <c r="D689" s="7" t="e">
        <f t="shared" ca="1" si="640"/>
        <v>#N/A</v>
      </c>
      <c r="E689" s="26">
        <f t="array" aca="1" ref="E689" ca="1">AVERAGE(IF(INDIRECT(DatCol&amp;"$"&amp;TEXT(C689,"###")):INDIRECT(DatCol&amp;"$"&amp;TEXT(C689+57,"###"))&gt;0,INDIRECT(DatCol&amp;"$"&amp;TEXT(C689,"###")):INDIRECT(DatCol&amp;"$"&amp;TEXT(C689+57,"###"))))</f>
        <v>267.21724137931034</v>
      </c>
      <c r="F689" s="26" t="str">
        <f t="shared" si="682"/>
        <v>N</v>
      </c>
      <c r="H689" s="9">
        <v>10</v>
      </c>
      <c r="I689" s="9">
        <v>58</v>
      </c>
      <c r="J689" s="9">
        <v>26</v>
      </c>
      <c r="K689" s="9">
        <f t="shared" si="661"/>
        <v>36</v>
      </c>
      <c r="L689" s="10">
        <f t="shared" si="702"/>
        <v>10104</v>
      </c>
      <c r="M689" s="11">
        <v>505200</v>
      </c>
      <c r="N689" s="10">
        <f t="shared" si="701"/>
        <v>20</v>
      </c>
      <c r="O689" s="11">
        <v>1000</v>
      </c>
      <c r="P689" s="10">
        <v>0</v>
      </c>
      <c r="Q689" s="11">
        <v>0</v>
      </c>
      <c r="R689" s="10">
        <v>0</v>
      </c>
      <c r="S689" s="11">
        <v>0</v>
      </c>
      <c r="T689" s="10">
        <v>0</v>
      </c>
      <c r="U689" s="11">
        <v>0</v>
      </c>
      <c r="V689" s="10">
        <v>0</v>
      </c>
      <c r="W689" s="11">
        <v>0</v>
      </c>
      <c r="X689" s="10">
        <v>0</v>
      </c>
      <c r="Y689" s="11">
        <v>0</v>
      </c>
      <c r="Z689" s="10">
        <v>0</v>
      </c>
      <c r="AA689" s="11">
        <v>0</v>
      </c>
      <c r="AB689" s="10">
        <v>0</v>
      </c>
      <c r="AC689" s="11">
        <v>0</v>
      </c>
      <c r="AD689" s="10">
        <v>0</v>
      </c>
      <c r="AE689" s="11">
        <v>0</v>
      </c>
      <c r="AF689" s="10">
        <v>0</v>
      </c>
      <c r="AG689" s="11">
        <v>0</v>
      </c>
      <c r="AH689" s="10">
        <v>0</v>
      </c>
      <c r="AI689" s="11">
        <v>0</v>
      </c>
      <c r="AJ689" s="10">
        <v>0</v>
      </c>
      <c r="AK689" s="13">
        <v>0</v>
      </c>
      <c r="AL689" s="10">
        <v>0</v>
      </c>
      <c r="AM689" s="13">
        <v>0</v>
      </c>
      <c r="AN689" s="10">
        <v>0</v>
      </c>
      <c r="AO689" s="11">
        <v>0</v>
      </c>
      <c r="AP689" s="10">
        <v>0</v>
      </c>
      <c r="AQ689" s="11">
        <v>0</v>
      </c>
      <c r="AR689" s="10">
        <v>0</v>
      </c>
      <c r="AS689" s="11">
        <v>0</v>
      </c>
      <c r="AT689" s="10">
        <v>0</v>
      </c>
      <c r="AU689" s="11">
        <v>0</v>
      </c>
      <c r="AV689" s="10">
        <v>0</v>
      </c>
      <c r="AW689" s="11">
        <v>0</v>
      </c>
      <c r="AX689" s="10">
        <v>0</v>
      </c>
      <c r="AY689" s="11">
        <v>0</v>
      </c>
      <c r="AZ689" s="10">
        <f>BA689/40</f>
        <v>127.5</v>
      </c>
      <c r="BA689" s="11">
        <v>5100</v>
      </c>
      <c r="BB689" s="10">
        <v>0</v>
      </c>
      <c r="BC689" s="11">
        <v>0</v>
      </c>
      <c r="BN689" s="8">
        <f t="shared" si="659"/>
        <v>10231.5</v>
      </c>
      <c r="BO689" s="8">
        <f t="shared" si="660"/>
        <v>510300</v>
      </c>
      <c r="BP689" s="8">
        <f t="shared" si="662"/>
        <v>20</v>
      </c>
      <c r="BQ689" s="12">
        <f t="shared" si="663"/>
        <v>1000</v>
      </c>
    </row>
    <row r="690" spans="1:69">
      <c r="A690" s="28">
        <v>2005</v>
      </c>
      <c r="B690" s="27" t="s">
        <v>56</v>
      </c>
      <c r="C690" s="24">
        <f t="shared" si="639"/>
        <v>640</v>
      </c>
      <c r="D690" s="7" t="e">
        <f t="shared" ca="1" si="640"/>
        <v>#N/A</v>
      </c>
      <c r="E690" s="26">
        <f t="array" aca="1" ref="E690" ca="1">AVERAGE(IF(INDIRECT(DatCol&amp;"$"&amp;TEXT(C690,"###")):INDIRECT(DatCol&amp;"$"&amp;TEXT(C690+57,"###"))&gt;0,INDIRECT(DatCol&amp;"$"&amp;TEXT(C690,"###")):INDIRECT(DatCol&amp;"$"&amp;TEXT(C690+57,"###"))))</f>
        <v>267.21724137931034</v>
      </c>
      <c r="F690" s="26" t="str">
        <f t="shared" si="682"/>
        <v>N</v>
      </c>
      <c r="K690" s="9">
        <f t="shared" si="661"/>
        <v>0</v>
      </c>
      <c r="AK690" s="13"/>
      <c r="AM690" s="13"/>
      <c r="BN690" s="8">
        <f t="shared" si="659"/>
        <v>0</v>
      </c>
      <c r="BO690" s="8">
        <f t="shared" si="660"/>
        <v>0</v>
      </c>
      <c r="BP690" s="8">
        <f t="shared" si="662"/>
        <v>0</v>
      </c>
      <c r="BQ690" s="12">
        <f t="shared" si="663"/>
        <v>0</v>
      </c>
    </row>
    <row r="691" spans="1:69">
      <c r="A691" s="28">
        <v>2006</v>
      </c>
      <c r="B691" s="27" t="s">
        <v>56</v>
      </c>
      <c r="C691" s="24">
        <f t="shared" si="639"/>
        <v>640</v>
      </c>
      <c r="D691" s="7" t="e">
        <f t="shared" ca="1" si="640"/>
        <v>#N/A</v>
      </c>
      <c r="E691" s="26">
        <f t="array" aca="1" ref="E691" ca="1">AVERAGE(IF(INDIRECT(DatCol&amp;"$"&amp;TEXT(C691,"###")):INDIRECT(DatCol&amp;"$"&amp;TEXT(C691+57,"###"))&gt;0,INDIRECT(DatCol&amp;"$"&amp;TEXT(C691,"###")):INDIRECT(DatCol&amp;"$"&amp;TEXT(C691+57,"###"))))</f>
        <v>267.21724137931034</v>
      </c>
      <c r="F691" s="26" t="str">
        <f t="shared" si="682"/>
        <v>N</v>
      </c>
      <c r="K691" s="9">
        <f t="shared" si="661"/>
        <v>0</v>
      </c>
      <c r="AK691" s="13"/>
      <c r="AM691" s="13"/>
      <c r="BN691" s="8">
        <f t="shared" si="659"/>
        <v>0</v>
      </c>
      <c r="BO691" s="8">
        <f t="shared" si="660"/>
        <v>0</v>
      </c>
      <c r="BP691" s="8">
        <f t="shared" si="662"/>
        <v>0</v>
      </c>
      <c r="BQ691" s="12">
        <f t="shared" si="663"/>
        <v>0</v>
      </c>
    </row>
    <row r="692" spans="1:69">
      <c r="A692" s="28">
        <v>2007</v>
      </c>
      <c r="B692" s="27" t="s">
        <v>56</v>
      </c>
      <c r="C692" s="24">
        <f t="shared" si="639"/>
        <v>640</v>
      </c>
      <c r="D692" s="7" t="e">
        <f t="shared" ca="1" si="640"/>
        <v>#N/A</v>
      </c>
      <c r="E692" s="26">
        <f t="array" aca="1" ref="E692" ca="1">AVERAGE(IF(INDIRECT(DatCol&amp;"$"&amp;TEXT(C692,"###")):INDIRECT(DatCol&amp;"$"&amp;TEXT(C692+57,"###"))&gt;0,INDIRECT(DatCol&amp;"$"&amp;TEXT(C692,"###")):INDIRECT(DatCol&amp;"$"&amp;TEXT(C692+57,"###"))))</f>
        <v>267.21724137931034</v>
      </c>
      <c r="F692" s="26" t="str">
        <f t="shared" si="682"/>
        <v>N</v>
      </c>
      <c r="K692" s="9">
        <f t="shared" si="661"/>
        <v>0</v>
      </c>
      <c r="AK692" s="13"/>
      <c r="AM692" s="13"/>
      <c r="BN692" s="8">
        <f t="shared" si="659"/>
        <v>0</v>
      </c>
      <c r="BO692" s="8">
        <f t="shared" si="660"/>
        <v>0</v>
      </c>
      <c r="BP692" s="8">
        <f t="shared" si="662"/>
        <v>0</v>
      </c>
      <c r="BQ692" s="12">
        <f t="shared" si="663"/>
        <v>0</v>
      </c>
    </row>
    <row r="693" spans="1:69">
      <c r="A693" s="28">
        <v>2008</v>
      </c>
      <c r="B693" s="27" t="s">
        <v>56</v>
      </c>
      <c r="C693" s="24">
        <f t="shared" si="639"/>
        <v>640</v>
      </c>
      <c r="D693" s="7" t="e">
        <f t="shared" ca="1" si="640"/>
        <v>#N/A</v>
      </c>
      <c r="E693" s="26">
        <f t="array" aca="1" ref="E693" ca="1">AVERAGE(IF(INDIRECT(DatCol&amp;"$"&amp;TEXT(C693,"###")):INDIRECT(DatCol&amp;"$"&amp;TEXT(C693+57,"###"))&gt;0,INDIRECT(DatCol&amp;"$"&amp;TEXT(C693,"###")):INDIRECT(DatCol&amp;"$"&amp;TEXT(C693+57,"###"))))</f>
        <v>267.21724137931034</v>
      </c>
      <c r="F693" s="26" t="str">
        <f t="shared" si="682"/>
        <v>N</v>
      </c>
      <c r="K693" s="9">
        <f t="shared" si="661"/>
        <v>0</v>
      </c>
      <c r="AK693" s="13"/>
      <c r="AM693" s="13"/>
      <c r="BN693" s="8">
        <f t="shared" si="659"/>
        <v>0</v>
      </c>
      <c r="BO693" s="8">
        <f t="shared" si="660"/>
        <v>0</v>
      </c>
      <c r="BP693" s="8">
        <f t="shared" si="662"/>
        <v>0</v>
      </c>
      <c r="BQ693" s="12">
        <f t="shared" si="663"/>
        <v>0</v>
      </c>
    </row>
    <row r="694" spans="1:69">
      <c r="A694" s="28">
        <v>2009</v>
      </c>
      <c r="B694" s="27" t="s">
        <v>56</v>
      </c>
      <c r="C694" s="24">
        <f t="shared" si="639"/>
        <v>640</v>
      </c>
      <c r="D694" s="7" t="e">
        <f t="shared" ca="1" si="640"/>
        <v>#N/A</v>
      </c>
      <c r="E694" s="26">
        <f t="array" aca="1" ref="E694" ca="1">AVERAGE(IF(INDIRECT(DatCol&amp;"$"&amp;TEXT(C694,"###")):INDIRECT(DatCol&amp;"$"&amp;TEXT(C694+57,"###"))&gt;0,INDIRECT(DatCol&amp;"$"&amp;TEXT(C694,"###")):INDIRECT(DatCol&amp;"$"&amp;TEXT(C694+57,"###"))))</f>
        <v>267.21724137931034</v>
      </c>
      <c r="F694" s="26" t="str">
        <f t="shared" si="682"/>
        <v>N</v>
      </c>
      <c r="K694" s="9">
        <f t="shared" si="661"/>
        <v>0</v>
      </c>
      <c r="AK694" s="13"/>
      <c r="AM694" s="13"/>
      <c r="BN694" s="8">
        <f t="shared" si="659"/>
        <v>0</v>
      </c>
      <c r="BO694" s="8">
        <f t="shared" si="660"/>
        <v>0</v>
      </c>
      <c r="BP694" s="8">
        <f t="shared" si="662"/>
        <v>0</v>
      </c>
      <c r="BQ694" s="12">
        <f t="shared" si="663"/>
        <v>0</v>
      </c>
    </row>
    <row r="695" spans="1:69">
      <c r="A695" s="28">
        <v>2010</v>
      </c>
      <c r="B695" s="27" t="s">
        <v>56</v>
      </c>
      <c r="C695" s="24">
        <f t="shared" si="639"/>
        <v>640</v>
      </c>
      <c r="D695" s="7" t="e">
        <f t="shared" ca="1" si="640"/>
        <v>#N/A</v>
      </c>
      <c r="E695" s="26">
        <f t="array" aca="1" ref="E695" ca="1">AVERAGE(IF(INDIRECT(DatCol&amp;"$"&amp;TEXT(C695,"###")):INDIRECT(DatCol&amp;"$"&amp;TEXT(C695+57,"###"))&gt;0,INDIRECT(DatCol&amp;"$"&amp;TEXT(C695,"###")):INDIRECT(DatCol&amp;"$"&amp;TEXT(C695+57,"###"))))</f>
        <v>267.21724137931034</v>
      </c>
      <c r="F695" s="26" t="str">
        <f t="shared" ref="F695:F697" si="703">VLOOKUP(B695,town_region,2,FALSE)</f>
        <v>N</v>
      </c>
      <c r="AK695" s="13"/>
      <c r="AM695" s="13"/>
      <c r="BN695" s="8"/>
      <c r="BO695" s="8"/>
      <c r="BP695" s="8"/>
      <c r="BQ695" s="12"/>
    </row>
    <row r="696" spans="1:69">
      <c r="A696" s="28">
        <v>2011</v>
      </c>
      <c r="B696" s="27" t="s">
        <v>56</v>
      </c>
      <c r="C696" s="24">
        <f t="shared" si="639"/>
        <v>640</v>
      </c>
      <c r="D696" s="7" t="e">
        <f t="shared" ca="1" si="640"/>
        <v>#N/A</v>
      </c>
      <c r="E696" s="26">
        <f t="array" aca="1" ref="E696" ca="1">AVERAGE(IF(INDIRECT(DatCol&amp;"$"&amp;TEXT(C696,"###")):INDIRECT(DatCol&amp;"$"&amp;TEXT(C696+57,"###"))&gt;0,INDIRECT(DatCol&amp;"$"&amp;TEXT(C696,"###")):INDIRECT(DatCol&amp;"$"&amp;TEXT(C696+57,"###"))))</f>
        <v>267.21724137931034</v>
      </c>
      <c r="F696" s="26" t="str">
        <f t="shared" si="703"/>
        <v>N</v>
      </c>
      <c r="AK696" s="13"/>
      <c r="AM696" s="13"/>
      <c r="BN696" s="8"/>
      <c r="BO696" s="8"/>
      <c r="BP696" s="8"/>
      <c r="BQ696" s="12"/>
    </row>
    <row r="697" spans="1:69">
      <c r="A697" s="28">
        <v>2012</v>
      </c>
      <c r="B697" s="27" t="s">
        <v>56</v>
      </c>
      <c r="C697" s="24">
        <f t="shared" si="639"/>
        <v>640</v>
      </c>
      <c r="D697" s="7" t="e">
        <f t="shared" ca="1" si="640"/>
        <v>#N/A</v>
      </c>
      <c r="E697" s="26">
        <f t="array" aca="1" ref="E697" ca="1">AVERAGE(IF(INDIRECT(DatCol&amp;"$"&amp;TEXT(C697,"###")):INDIRECT(DatCol&amp;"$"&amp;TEXT(C697+57,"###"))&gt;0,INDIRECT(DatCol&amp;"$"&amp;TEXT(C697,"###")):INDIRECT(DatCol&amp;"$"&amp;TEXT(C697+57,"###"))))</f>
        <v>267.21724137931034</v>
      </c>
      <c r="F697" s="26" t="str">
        <f t="shared" si="703"/>
        <v>N</v>
      </c>
      <c r="AK697" s="13"/>
      <c r="AM697" s="13"/>
      <c r="BN697" s="8"/>
      <c r="BO697" s="8"/>
      <c r="BP697" s="8"/>
      <c r="BQ697" s="12"/>
    </row>
    <row r="698" spans="1:69">
      <c r="A698" s="28">
        <v>1955</v>
      </c>
      <c r="B698" s="27" t="s">
        <v>57</v>
      </c>
      <c r="C698" s="24">
        <f>ROW()</f>
        <v>698</v>
      </c>
      <c r="D698" s="7" t="e">
        <f t="shared" ca="1" si="640"/>
        <v>#N/A</v>
      </c>
      <c r="E698" s="26">
        <f t="array" aca="1" ref="E698" ca="1">AVERAGE(IF(INDIRECT(DatCol&amp;"$"&amp;TEXT(C698,"###")):INDIRECT(DatCol&amp;"$"&amp;TEXT(C698+57,"###"))&gt;0,INDIRECT(DatCol&amp;"$"&amp;TEXT(C698,"###")):INDIRECT(DatCol&amp;"$"&amp;TEXT(C698+57,"###"))))</f>
        <v>799.5</v>
      </c>
      <c r="F698" s="26" t="str">
        <f t="shared" si="682"/>
        <v>B</v>
      </c>
      <c r="G698" s="8"/>
      <c r="H698" s="8">
        <v>36</v>
      </c>
      <c r="I698" s="8">
        <v>111</v>
      </c>
      <c r="J698" s="8">
        <v>502</v>
      </c>
      <c r="K698" s="9">
        <f t="shared" si="661"/>
        <v>538</v>
      </c>
      <c r="M698" s="11">
        <f t="shared" si="683"/>
        <v>0</v>
      </c>
      <c r="O698" s="11">
        <f t="shared" si="684"/>
        <v>0</v>
      </c>
      <c r="Q698" s="11">
        <f t="shared" si="685"/>
        <v>0</v>
      </c>
      <c r="Y698" s="11">
        <f t="shared" si="686"/>
        <v>0</v>
      </c>
      <c r="AG698" s="11">
        <f t="shared" si="687"/>
        <v>0</v>
      </c>
      <c r="AI698" s="11">
        <f t="shared" si="688"/>
        <v>0</v>
      </c>
      <c r="AK698" s="13">
        <f t="shared" si="689"/>
        <v>0</v>
      </c>
      <c r="AL698" s="12">
        <v>400</v>
      </c>
      <c r="AM698" s="13">
        <f t="shared" si="690"/>
        <v>3600</v>
      </c>
      <c r="AO698" s="11">
        <f t="shared" si="691"/>
        <v>0</v>
      </c>
      <c r="AQ698" s="11">
        <f t="shared" si="692"/>
        <v>0</v>
      </c>
      <c r="AS698" s="11">
        <f t="shared" si="693"/>
        <v>0</v>
      </c>
      <c r="AU698" s="11">
        <f t="shared" si="694"/>
        <v>0</v>
      </c>
      <c r="AW698" s="11">
        <f t="shared" si="695"/>
        <v>0</v>
      </c>
      <c r="AY698" s="11">
        <f t="shared" si="696"/>
        <v>0</v>
      </c>
      <c r="BA698" s="11">
        <f t="shared" si="697"/>
        <v>0</v>
      </c>
      <c r="BC698" s="11">
        <f t="shared" si="698"/>
        <v>0</v>
      </c>
      <c r="BE698" s="11">
        <f t="shared" si="699"/>
        <v>0</v>
      </c>
      <c r="BG698" s="11">
        <f t="shared" si="700"/>
        <v>0</v>
      </c>
      <c r="BN698" s="8">
        <f t="shared" si="659"/>
        <v>0</v>
      </c>
      <c r="BO698" s="8">
        <f t="shared" si="660"/>
        <v>0</v>
      </c>
      <c r="BP698" s="8">
        <f t="shared" si="662"/>
        <v>400</v>
      </c>
      <c r="BQ698" s="12">
        <f t="shared" si="663"/>
        <v>3600</v>
      </c>
    </row>
    <row r="699" spans="1:69">
      <c r="A699" s="28">
        <v>1956</v>
      </c>
      <c r="B699" s="27" t="s">
        <v>57</v>
      </c>
      <c r="C699" s="24">
        <f t="shared" ref="C699:C755" si="704">C698</f>
        <v>698</v>
      </c>
      <c r="D699" s="7" t="e">
        <f t="shared" ca="1" si="640"/>
        <v>#N/A</v>
      </c>
      <c r="E699" s="26">
        <f t="array" aca="1" ref="E699" ca="1">AVERAGE(IF(INDIRECT(DatCol&amp;"$"&amp;TEXT(C699,"###")):INDIRECT(DatCol&amp;"$"&amp;TEXT(C699+57,"###"))&gt;0,INDIRECT(DatCol&amp;"$"&amp;TEXT(C699,"###")):INDIRECT(DatCol&amp;"$"&amp;TEXT(C699+57,"###"))))</f>
        <v>799.5</v>
      </c>
      <c r="F699" s="26" t="str">
        <f t="shared" si="682"/>
        <v>B</v>
      </c>
      <c r="G699" s="8"/>
      <c r="H699" s="8">
        <v>33</v>
      </c>
      <c r="I699" s="8">
        <v>134</v>
      </c>
      <c r="J699" s="8">
        <v>672</v>
      </c>
      <c r="K699" s="9">
        <f t="shared" si="661"/>
        <v>705</v>
      </c>
      <c r="M699" s="11">
        <f t="shared" si="683"/>
        <v>0</v>
      </c>
      <c r="O699" s="11">
        <f t="shared" si="684"/>
        <v>0</v>
      </c>
      <c r="Q699" s="11">
        <f t="shared" si="685"/>
        <v>0</v>
      </c>
      <c r="Y699" s="11">
        <f t="shared" si="686"/>
        <v>0</v>
      </c>
      <c r="AG699" s="11">
        <f t="shared" si="687"/>
        <v>0</v>
      </c>
      <c r="AI699" s="11">
        <f t="shared" si="688"/>
        <v>0</v>
      </c>
      <c r="AK699" s="13">
        <f t="shared" si="689"/>
        <v>0</v>
      </c>
      <c r="AL699" s="12">
        <v>620</v>
      </c>
      <c r="AM699" s="13">
        <f t="shared" si="690"/>
        <v>5580</v>
      </c>
      <c r="AO699" s="11">
        <f t="shared" si="691"/>
        <v>0</v>
      </c>
      <c r="AQ699" s="11">
        <f t="shared" si="692"/>
        <v>0</v>
      </c>
      <c r="AS699" s="11">
        <f t="shared" si="693"/>
        <v>0</v>
      </c>
      <c r="AU699" s="11">
        <f t="shared" si="694"/>
        <v>0</v>
      </c>
      <c r="AW699" s="11">
        <f t="shared" si="695"/>
        <v>0</v>
      </c>
      <c r="AY699" s="11">
        <f t="shared" si="696"/>
        <v>0</v>
      </c>
      <c r="BA699" s="11">
        <f t="shared" si="697"/>
        <v>0</v>
      </c>
      <c r="BC699" s="11">
        <f t="shared" si="698"/>
        <v>0</v>
      </c>
      <c r="BE699" s="11">
        <f t="shared" si="699"/>
        <v>0</v>
      </c>
      <c r="BG699" s="11">
        <f t="shared" si="700"/>
        <v>0</v>
      </c>
      <c r="BN699" s="8">
        <f t="shared" si="659"/>
        <v>0</v>
      </c>
      <c r="BO699" s="8">
        <f t="shared" si="660"/>
        <v>0</v>
      </c>
      <c r="BP699" s="8">
        <f t="shared" si="662"/>
        <v>620</v>
      </c>
      <c r="BQ699" s="12">
        <f t="shared" si="663"/>
        <v>5580</v>
      </c>
    </row>
    <row r="700" spans="1:69">
      <c r="A700" s="28">
        <v>1957</v>
      </c>
      <c r="B700" s="27" t="s">
        <v>57</v>
      </c>
      <c r="C700" s="24">
        <f t="shared" si="704"/>
        <v>698</v>
      </c>
      <c r="D700" s="7" t="e">
        <f t="shared" ca="1" si="640"/>
        <v>#N/A</v>
      </c>
      <c r="E700" s="26">
        <f t="array" aca="1" ref="E700" ca="1">AVERAGE(IF(INDIRECT(DatCol&amp;"$"&amp;TEXT(C700,"###")):INDIRECT(DatCol&amp;"$"&amp;TEXT(C700+57,"###"))&gt;0,INDIRECT(DatCol&amp;"$"&amp;TEXT(C700,"###")):INDIRECT(DatCol&amp;"$"&amp;TEXT(C700+57,"###"))))</f>
        <v>799.5</v>
      </c>
      <c r="F700" s="26" t="str">
        <f t="shared" si="682"/>
        <v>B</v>
      </c>
      <c r="G700" s="8"/>
      <c r="H700" s="8">
        <v>6</v>
      </c>
      <c r="I700" s="8">
        <v>483</v>
      </c>
      <c r="J700" s="8">
        <v>1123</v>
      </c>
      <c r="K700" s="9">
        <f t="shared" si="661"/>
        <v>1129</v>
      </c>
      <c r="M700" s="11">
        <f t="shared" si="683"/>
        <v>0</v>
      </c>
      <c r="O700" s="11">
        <f t="shared" si="684"/>
        <v>0</v>
      </c>
      <c r="Q700" s="11">
        <f t="shared" si="685"/>
        <v>0</v>
      </c>
      <c r="Y700" s="11">
        <f t="shared" si="686"/>
        <v>0</v>
      </c>
      <c r="AG700" s="11">
        <f t="shared" si="687"/>
        <v>0</v>
      </c>
      <c r="AI700" s="11">
        <f t="shared" si="688"/>
        <v>0</v>
      </c>
      <c r="AK700" s="13">
        <f t="shared" si="689"/>
        <v>0</v>
      </c>
      <c r="AL700" s="12">
        <v>45000</v>
      </c>
      <c r="AM700" s="13">
        <f t="shared" si="690"/>
        <v>405000</v>
      </c>
      <c r="AO700" s="11">
        <f t="shared" si="691"/>
        <v>0</v>
      </c>
      <c r="AQ700" s="11">
        <f t="shared" si="692"/>
        <v>0</v>
      </c>
      <c r="AS700" s="11">
        <f t="shared" si="693"/>
        <v>0</v>
      </c>
      <c r="AU700" s="11">
        <f t="shared" si="694"/>
        <v>0</v>
      </c>
      <c r="AW700" s="11">
        <f t="shared" si="695"/>
        <v>0</v>
      </c>
      <c r="AY700" s="11">
        <f t="shared" si="696"/>
        <v>0</v>
      </c>
      <c r="BA700" s="11">
        <f t="shared" si="697"/>
        <v>0</v>
      </c>
      <c r="BC700" s="11">
        <f t="shared" si="698"/>
        <v>0</v>
      </c>
      <c r="BE700" s="11">
        <f t="shared" si="699"/>
        <v>0</v>
      </c>
      <c r="BG700" s="11">
        <f t="shared" si="700"/>
        <v>0</v>
      </c>
      <c r="BN700" s="8">
        <f t="shared" si="659"/>
        <v>0</v>
      </c>
      <c r="BO700" s="8">
        <f t="shared" si="660"/>
        <v>0</v>
      </c>
      <c r="BP700" s="8">
        <f t="shared" si="662"/>
        <v>45000</v>
      </c>
      <c r="BQ700" s="12">
        <f t="shared" si="663"/>
        <v>405000</v>
      </c>
    </row>
    <row r="701" spans="1:69">
      <c r="A701" s="28">
        <v>1958</v>
      </c>
      <c r="B701" s="27" t="s">
        <v>57</v>
      </c>
      <c r="C701" s="24">
        <f t="shared" si="704"/>
        <v>698</v>
      </c>
      <c r="D701" s="7" t="e">
        <f t="shared" ca="1" si="640"/>
        <v>#N/A</v>
      </c>
      <c r="E701" s="26">
        <f t="array" aca="1" ref="E701" ca="1">AVERAGE(IF(INDIRECT(DatCol&amp;"$"&amp;TEXT(C701,"###")):INDIRECT(DatCol&amp;"$"&amp;TEXT(C701+57,"###"))&gt;0,INDIRECT(DatCol&amp;"$"&amp;TEXT(C701,"###")):INDIRECT(DatCol&amp;"$"&amp;TEXT(C701+57,"###"))))</f>
        <v>799.5</v>
      </c>
      <c r="F701" s="26" t="str">
        <f t="shared" si="682"/>
        <v>B</v>
      </c>
      <c r="G701" s="8"/>
      <c r="H701" s="8">
        <v>13</v>
      </c>
      <c r="I701" s="8">
        <v>498</v>
      </c>
      <c r="J701" s="8">
        <v>1062</v>
      </c>
      <c r="K701" s="9">
        <f t="shared" si="661"/>
        <v>1075</v>
      </c>
      <c r="M701" s="11">
        <f t="shared" si="683"/>
        <v>0</v>
      </c>
      <c r="O701" s="11">
        <f t="shared" si="684"/>
        <v>0</v>
      </c>
      <c r="Q701" s="11">
        <f t="shared" si="685"/>
        <v>0</v>
      </c>
      <c r="Y701" s="11">
        <f t="shared" si="686"/>
        <v>0</v>
      </c>
      <c r="AG701" s="11">
        <f t="shared" si="687"/>
        <v>0</v>
      </c>
      <c r="AI701" s="11">
        <f t="shared" si="688"/>
        <v>0</v>
      </c>
      <c r="AJ701" s="12">
        <v>1000</v>
      </c>
      <c r="AK701" s="13">
        <f t="shared" si="689"/>
        <v>9000</v>
      </c>
      <c r="AM701" s="13">
        <f t="shared" si="690"/>
        <v>0</v>
      </c>
      <c r="AO701" s="11">
        <f t="shared" si="691"/>
        <v>0</v>
      </c>
      <c r="AQ701" s="11">
        <f t="shared" si="692"/>
        <v>0</v>
      </c>
      <c r="AS701" s="11">
        <f t="shared" si="693"/>
        <v>0</v>
      </c>
      <c r="AU701" s="11">
        <f t="shared" si="694"/>
        <v>0</v>
      </c>
      <c r="AW701" s="11">
        <f t="shared" si="695"/>
        <v>0</v>
      </c>
      <c r="AY701" s="11">
        <f t="shared" si="696"/>
        <v>0</v>
      </c>
      <c r="BA701" s="11">
        <f t="shared" si="697"/>
        <v>0</v>
      </c>
      <c r="BC701" s="11">
        <f t="shared" si="698"/>
        <v>0</v>
      </c>
      <c r="BE701" s="11">
        <f t="shared" si="699"/>
        <v>0</v>
      </c>
      <c r="BG701" s="11">
        <f t="shared" si="700"/>
        <v>0</v>
      </c>
      <c r="BN701" s="8">
        <f t="shared" si="659"/>
        <v>1000</v>
      </c>
      <c r="BO701" s="8">
        <f t="shared" si="660"/>
        <v>9000</v>
      </c>
      <c r="BP701" s="8">
        <f t="shared" si="662"/>
        <v>0</v>
      </c>
      <c r="BQ701" s="12">
        <f t="shared" si="663"/>
        <v>0</v>
      </c>
    </row>
    <row r="702" spans="1:69">
      <c r="A702" s="28">
        <v>1959</v>
      </c>
      <c r="B702" s="27" t="s">
        <v>57</v>
      </c>
      <c r="C702" s="24">
        <f t="shared" si="704"/>
        <v>698</v>
      </c>
      <c r="D702" s="7" t="e">
        <f t="shared" ca="1" si="640"/>
        <v>#N/A</v>
      </c>
      <c r="E702" s="26">
        <f t="array" aca="1" ref="E702" ca="1">AVERAGE(IF(INDIRECT(DatCol&amp;"$"&amp;TEXT(C702,"###")):INDIRECT(DatCol&amp;"$"&amp;TEXT(C702+57,"###"))&gt;0,INDIRECT(DatCol&amp;"$"&amp;TEXT(C702,"###")):INDIRECT(DatCol&amp;"$"&amp;TEXT(C702+57,"###"))))</f>
        <v>799.5</v>
      </c>
      <c r="F702" s="26" t="str">
        <f t="shared" si="682"/>
        <v>B</v>
      </c>
      <c r="G702" s="8"/>
      <c r="H702" s="8">
        <v>23</v>
      </c>
      <c r="I702" s="8">
        <v>179</v>
      </c>
      <c r="J702" s="8">
        <v>1165</v>
      </c>
      <c r="K702" s="9">
        <f t="shared" si="661"/>
        <v>1188</v>
      </c>
      <c r="M702" s="11">
        <f t="shared" si="683"/>
        <v>0</v>
      </c>
      <c r="O702" s="11">
        <f t="shared" si="684"/>
        <v>0</v>
      </c>
      <c r="Q702" s="11">
        <f t="shared" si="685"/>
        <v>0</v>
      </c>
      <c r="Y702" s="11">
        <f t="shared" si="686"/>
        <v>0</v>
      </c>
      <c r="AG702" s="11">
        <f t="shared" si="687"/>
        <v>0</v>
      </c>
      <c r="AI702" s="11">
        <f t="shared" si="688"/>
        <v>0</v>
      </c>
      <c r="AJ702" s="12">
        <v>1200</v>
      </c>
      <c r="AK702" s="13">
        <f t="shared" si="689"/>
        <v>10800</v>
      </c>
      <c r="AM702" s="13">
        <f t="shared" si="690"/>
        <v>0</v>
      </c>
      <c r="AO702" s="11">
        <f t="shared" si="691"/>
        <v>0</v>
      </c>
      <c r="AQ702" s="11">
        <f t="shared" si="692"/>
        <v>0</v>
      </c>
      <c r="AS702" s="11">
        <f t="shared" si="693"/>
        <v>0</v>
      </c>
      <c r="AU702" s="11">
        <f t="shared" si="694"/>
        <v>0</v>
      </c>
      <c r="AW702" s="11">
        <f t="shared" si="695"/>
        <v>0</v>
      </c>
      <c r="AY702" s="11">
        <f t="shared" si="696"/>
        <v>0</v>
      </c>
      <c r="BA702" s="11">
        <f t="shared" si="697"/>
        <v>0</v>
      </c>
      <c r="BC702" s="11">
        <f t="shared" si="698"/>
        <v>0</v>
      </c>
      <c r="BE702" s="11">
        <f t="shared" si="699"/>
        <v>0</v>
      </c>
      <c r="BG702" s="11">
        <f t="shared" si="700"/>
        <v>0</v>
      </c>
      <c r="BN702" s="8">
        <f t="shared" si="659"/>
        <v>1200</v>
      </c>
      <c r="BO702" s="8">
        <f t="shared" si="660"/>
        <v>10800</v>
      </c>
      <c r="BP702" s="8">
        <f t="shared" si="662"/>
        <v>0</v>
      </c>
      <c r="BQ702" s="12">
        <f t="shared" si="663"/>
        <v>0</v>
      </c>
    </row>
    <row r="703" spans="1:69">
      <c r="A703" s="28">
        <v>1960</v>
      </c>
      <c r="B703" s="27" t="s">
        <v>57</v>
      </c>
      <c r="C703" s="24">
        <f t="shared" si="704"/>
        <v>698</v>
      </c>
      <c r="D703" s="7">
        <f t="shared" ca="1" si="640"/>
        <v>1.8561601000625392</v>
      </c>
      <c r="E703" s="26">
        <f t="array" aca="1" ref="E703" ca="1">AVERAGE(IF(INDIRECT(DatCol&amp;"$"&amp;TEXT(C703,"###")):INDIRECT(DatCol&amp;"$"&amp;TEXT(C703+57,"###"))&gt;0,INDIRECT(DatCol&amp;"$"&amp;TEXT(C703,"###")):INDIRECT(DatCol&amp;"$"&amp;TEXT(C703+57,"###"))))</f>
        <v>799.5</v>
      </c>
      <c r="F703" s="26" t="str">
        <f t="shared" si="682"/>
        <v>B</v>
      </c>
      <c r="G703" s="8"/>
      <c r="H703" s="8">
        <v>41</v>
      </c>
      <c r="I703" s="8">
        <v>103</v>
      </c>
      <c r="J703" s="8">
        <v>1443</v>
      </c>
      <c r="K703" s="9">
        <f t="shared" si="661"/>
        <v>1484</v>
      </c>
      <c r="M703" s="11">
        <f t="shared" si="683"/>
        <v>0</v>
      </c>
      <c r="N703" s="12">
        <v>1484</v>
      </c>
      <c r="O703" s="11">
        <f t="shared" si="684"/>
        <v>74200</v>
      </c>
      <c r="P703" s="12">
        <v>5000</v>
      </c>
      <c r="Q703" s="11">
        <f t="shared" si="685"/>
        <v>300000</v>
      </c>
      <c r="X703" s="12">
        <v>2260</v>
      </c>
      <c r="Y703" s="11">
        <f t="shared" si="686"/>
        <v>135600</v>
      </c>
      <c r="AG703" s="11">
        <f t="shared" si="687"/>
        <v>0</v>
      </c>
      <c r="AH703" s="12">
        <v>10</v>
      </c>
      <c r="AI703" s="11">
        <f t="shared" si="688"/>
        <v>650</v>
      </c>
      <c r="AJ703" s="12">
        <v>1500</v>
      </c>
      <c r="AK703" s="13">
        <f t="shared" si="689"/>
        <v>13500</v>
      </c>
      <c r="AM703" s="13">
        <f t="shared" si="690"/>
        <v>0</v>
      </c>
      <c r="AO703" s="11">
        <f t="shared" si="691"/>
        <v>0</v>
      </c>
      <c r="AQ703" s="11">
        <f t="shared" si="692"/>
        <v>0</v>
      </c>
      <c r="AS703" s="11">
        <f t="shared" si="693"/>
        <v>0</v>
      </c>
      <c r="AU703" s="11">
        <f t="shared" si="694"/>
        <v>0</v>
      </c>
      <c r="AW703" s="11">
        <f t="shared" si="695"/>
        <v>0</v>
      </c>
      <c r="AY703" s="11">
        <f t="shared" si="696"/>
        <v>0</v>
      </c>
      <c r="BA703" s="11">
        <f t="shared" si="697"/>
        <v>0</v>
      </c>
      <c r="BC703" s="11">
        <f t="shared" si="698"/>
        <v>0</v>
      </c>
      <c r="BE703" s="11">
        <f t="shared" si="699"/>
        <v>0</v>
      </c>
      <c r="BG703" s="11">
        <f t="shared" si="700"/>
        <v>0</v>
      </c>
      <c r="BN703" s="8">
        <f t="shared" si="659"/>
        <v>8760</v>
      </c>
      <c r="BO703" s="8">
        <f t="shared" si="660"/>
        <v>449100</v>
      </c>
      <c r="BP703" s="8">
        <f t="shared" si="662"/>
        <v>3754</v>
      </c>
      <c r="BQ703" s="12">
        <f t="shared" si="663"/>
        <v>210450</v>
      </c>
    </row>
    <row r="704" spans="1:69">
      <c r="A704" s="28">
        <v>1961</v>
      </c>
      <c r="B704" s="27" t="s">
        <v>57</v>
      </c>
      <c r="C704" s="24">
        <f t="shared" si="704"/>
        <v>698</v>
      </c>
      <c r="D704" s="7" t="e">
        <f t="shared" ca="1" si="640"/>
        <v>#N/A</v>
      </c>
      <c r="E704" s="26">
        <f t="array" aca="1" ref="E704" ca="1">AVERAGE(IF(INDIRECT(DatCol&amp;"$"&amp;TEXT(C704,"###")):INDIRECT(DatCol&amp;"$"&amp;TEXT(C704+57,"###"))&gt;0,INDIRECT(DatCol&amp;"$"&amp;TEXT(C704,"###")):INDIRECT(DatCol&amp;"$"&amp;TEXT(C704+57,"###"))))</f>
        <v>799.5</v>
      </c>
      <c r="F704" s="26" t="str">
        <f t="shared" si="682"/>
        <v>B</v>
      </c>
      <c r="G704" s="8"/>
      <c r="I704" s="8">
        <v>1609</v>
      </c>
      <c r="K704" s="9">
        <f t="shared" si="661"/>
        <v>0</v>
      </c>
      <c r="M704" s="11">
        <f t="shared" si="683"/>
        <v>0</v>
      </c>
      <c r="O704" s="11">
        <f t="shared" si="684"/>
        <v>0</v>
      </c>
      <c r="Q704" s="11">
        <f t="shared" si="685"/>
        <v>0</v>
      </c>
      <c r="Y704" s="11">
        <f t="shared" si="686"/>
        <v>0</v>
      </c>
      <c r="AG704" s="11">
        <f t="shared" si="687"/>
        <v>0</v>
      </c>
      <c r="AI704" s="11">
        <f t="shared" si="688"/>
        <v>0</v>
      </c>
      <c r="AJ704" s="12">
        <v>4800</v>
      </c>
      <c r="AK704" s="13">
        <f t="shared" si="689"/>
        <v>43200</v>
      </c>
      <c r="AM704" s="13">
        <f t="shared" si="690"/>
        <v>0</v>
      </c>
      <c r="AO704" s="11">
        <f t="shared" si="691"/>
        <v>0</v>
      </c>
      <c r="AQ704" s="11">
        <f t="shared" si="692"/>
        <v>0</v>
      </c>
      <c r="AS704" s="11">
        <f t="shared" si="693"/>
        <v>0</v>
      </c>
      <c r="AU704" s="11">
        <f t="shared" si="694"/>
        <v>0</v>
      </c>
      <c r="AW704" s="11">
        <f t="shared" si="695"/>
        <v>0</v>
      </c>
      <c r="AY704" s="11">
        <f t="shared" si="696"/>
        <v>0</v>
      </c>
      <c r="BA704" s="11">
        <f t="shared" si="697"/>
        <v>0</v>
      </c>
      <c r="BC704" s="11">
        <f t="shared" si="698"/>
        <v>0</v>
      </c>
      <c r="BE704" s="11">
        <f t="shared" si="699"/>
        <v>0</v>
      </c>
      <c r="BG704" s="11">
        <f t="shared" si="700"/>
        <v>0</v>
      </c>
      <c r="BN704" s="8">
        <f t="shared" si="659"/>
        <v>4800</v>
      </c>
      <c r="BO704" s="8">
        <f t="shared" si="660"/>
        <v>43200</v>
      </c>
      <c r="BP704" s="8">
        <f t="shared" si="662"/>
        <v>0</v>
      </c>
      <c r="BQ704" s="12">
        <f t="shared" si="663"/>
        <v>0</v>
      </c>
    </row>
    <row r="705" spans="1:69">
      <c r="A705" s="28">
        <v>1962</v>
      </c>
      <c r="B705" s="27" t="s">
        <v>57</v>
      </c>
      <c r="C705" s="24">
        <f t="shared" si="704"/>
        <v>698</v>
      </c>
      <c r="D705" s="7" t="e">
        <f t="shared" ca="1" si="640"/>
        <v>#N/A</v>
      </c>
      <c r="E705" s="26">
        <f t="array" aca="1" ref="E705" ca="1">AVERAGE(IF(INDIRECT(DatCol&amp;"$"&amp;TEXT(C705,"###")):INDIRECT(DatCol&amp;"$"&amp;TEXT(C705+57,"###"))&gt;0,INDIRECT(DatCol&amp;"$"&amp;TEXT(C705,"###")):INDIRECT(DatCol&amp;"$"&amp;TEXT(C705+57,"###"))))</f>
        <v>799.5</v>
      </c>
      <c r="F705" s="26" t="str">
        <f t="shared" si="682"/>
        <v>B</v>
      </c>
      <c r="G705" s="8"/>
      <c r="I705" s="8">
        <v>1709</v>
      </c>
      <c r="K705" s="9">
        <f t="shared" si="661"/>
        <v>0</v>
      </c>
      <c r="M705" s="11">
        <f t="shared" si="683"/>
        <v>0</v>
      </c>
      <c r="O705" s="11">
        <f t="shared" si="684"/>
        <v>0</v>
      </c>
      <c r="Q705" s="11">
        <f t="shared" si="685"/>
        <v>0</v>
      </c>
      <c r="Y705" s="11">
        <f t="shared" si="686"/>
        <v>0</v>
      </c>
      <c r="AG705" s="11">
        <f t="shared" si="687"/>
        <v>0</v>
      </c>
      <c r="AI705" s="11">
        <f t="shared" si="688"/>
        <v>0</v>
      </c>
      <c r="AJ705" s="12">
        <v>2200</v>
      </c>
      <c r="AK705" s="13">
        <f t="shared" si="689"/>
        <v>19800</v>
      </c>
      <c r="AM705" s="13">
        <f t="shared" si="690"/>
        <v>0</v>
      </c>
      <c r="AO705" s="11">
        <f t="shared" si="691"/>
        <v>0</v>
      </c>
      <c r="AQ705" s="11">
        <f t="shared" si="692"/>
        <v>0</v>
      </c>
      <c r="AS705" s="11">
        <f t="shared" si="693"/>
        <v>0</v>
      </c>
      <c r="AU705" s="11">
        <f t="shared" si="694"/>
        <v>0</v>
      </c>
      <c r="AW705" s="11">
        <f t="shared" si="695"/>
        <v>0</v>
      </c>
      <c r="AY705" s="11">
        <f t="shared" si="696"/>
        <v>0</v>
      </c>
      <c r="BA705" s="11">
        <f t="shared" si="697"/>
        <v>0</v>
      </c>
      <c r="BC705" s="11">
        <f t="shared" si="698"/>
        <v>0</v>
      </c>
      <c r="BE705" s="11">
        <f t="shared" si="699"/>
        <v>0</v>
      </c>
      <c r="BG705" s="11">
        <f t="shared" si="700"/>
        <v>0</v>
      </c>
      <c r="BN705" s="8">
        <f t="shared" si="659"/>
        <v>2200</v>
      </c>
      <c r="BO705" s="8">
        <f t="shared" si="660"/>
        <v>19800</v>
      </c>
      <c r="BP705" s="8">
        <f t="shared" si="662"/>
        <v>0</v>
      </c>
      <c r="BQ705" s="12">
        <f t="shared" si="663"/>
        <v>0</v>
      </c>
    </row>
    <row r="706" spans="1:69">
      <c r="A706" s="28">
        <v>1963</v>
      </c>
      <c r="B706" s="27" t="s">
        <v>57</v>
      </c>
      <c r="C706" s="24">
        <f t="shared" si="704"/>
        <v>698</v>
      </c>
      <c r="D706" s="7">
        <f t="shared" ref="D706:D769" ca="1" si="705">IF(AND((INDIRECT(DatCol&amp;TEXT(ROW(),"###"))&gt;0),((F706=RegionSelect)+(RegionSelect="A"))),INDIRECT(DatCol&amp;TEXT(ROW(),"###"))/E706,NA())</f>
        <v>2.2914321450906816</v>
      </c>
      <c r="E706" s="26">
        <f t="array" aca="1" ref="E706" ca="1">AVERAGE(IF(INDIRECT(DatCol&amp;"$"&amp;TEXT(C706,"###")):INDIRECT(DatCol&amp;"$"&amp;TEXT(C706+57,"###"))&gt;0,INDIRECT(DatCol&amp;"$"&amp;TEXT(C706,"###")):INDIRECT(DatCol&amp;"$"&amp;TEXT(C706+57,"###"))))</f>
        <v>799.5</v>
      </c>
      <c r="F706" s="26" t="str">
        <f t="shared" si="682"/>
        <v>B</v>
      </c>
      <c r="G706" s="8"/>
      <c r="H706" s="8">
        <v>72</v>
      </c>
      <c r="I706" s="8">
        <v>280</v>
      </c>
      <c r="J706" s="8">
        <v>1813</v>
      </c>
      <c r="K706" s="9">
        <f t="shared" si="661"/>
        <v>1885</v>
      </c>
      <c r="M706" s="11">
        <f t="shared" si="683"/>
        <v>0</v>
      </c>
      <c r="N706" s="12">
        <v>1832</v>
      </c>
      <c r="O706" s="11">
        <f t="shared" si="684"/>
        <v>91600</v>
      </c>
      <c r="P706" s="10">
        <v>12000</v>
      </c>
      <c r="Q706" s="11">
        <f t="shared" si="685"/>
        <v>720000</v>
      </c>
      <c r="Y706" s="11">
        <f t="shared" si="686"/>
        <v>0</v>
      </c>
      <c r="AG706" s="11">
        <f t="shared" si="687"/>
        <v>0</v>
      </c>
      <c r="AI706" s="11">
        <f t="shared" si="688"/>
        <v>0</v>
      </c>
      <c r="AJ706" s="12">
        <v>1500</v>
      </c>
      <c r="AK706" s="13">
        <f t="shared" si="689"/>
        <v>13500</v>
      </c>
      <c r="AM706" s="13">
        <f t="shared" si="690"/>
        <v>0</v>
      </c>
      <c r="AO706" s="11">
        <f t="shared" si="691"/>
        <v>0</v>
      </c>
      <c r="AQ706" s="11">
        <f t="shared" si="692"/>
        <v>0</v>
      </c>
      <c r="AS706" s="11">
        <f t="shared" si="693"/>
        <v>0</v>
      </c>
      <c r="AU706" s="11">
        <f t="shared" si="694"/>
        <v>0</v>
      </c>
      <c r="AW706" s="11">
        <f t="shared" si="695"/>
        <v>0</v>
      </c>
      <c r="AY706" s="11">
        <f t="shared" si="696"/>
        <v>0</v>
      </c>
      <c r="BA706" s="11">
        <f t="shared" si="697"/>
        <v>0</v>
      </c>
      <c r="BC706" s="11">
        <f t="shared" si="698"/>
        <v>0</v>
      </c>
      <c r="BE706" s="11">
        <f t="shared" si="699"/>
        <v>0</v>
      </c>
      <c r="BG706" s="11">
        <f t="shared" si="700"/>
        <v>0</v>
      </c>
      <c r="BN706" s="8">
        <f t="shared" si="659"/>
        <v>13500</v>
      </c>
      <c r="BO706" s="8">
        <f t="shared" si="660"/>
        <v>733500</v>
      </c>
      <c r="BP706" s="8">
        <f t="shared" si="662"/>
        <v>1832</v>
      </c>
      <c r="BQ706" s="12">
        <f t="shared" si="663"/>
        <v>91600</v>
      </c>
    </row>
    <row r="707" spans="1:69">
      <c r="A707" s="28">
        <v>1964</v>
      </c>
      <c r="B707" s="27" t="s">
        <v>57</v>
      </c>
      <c r="C707" s="24">
        <f t="shared" si="704"/>
        <v>698</v>
      </c>
      <c r="D707" s="7" t="e">
        <f t="shared" ca="1" si="705"/>
        <v>#N/A</v>
      </c>
      <c r="E707" s="26">
        <f t="array" aca="1" ref="E707" ca="1">AVERAGE(IF(INDIRECT(DatCol&amp;"$"&amp;TEXT(C707,"###")):INDIRECT(DatCol&amp;"$"&amp;TEXT(C707+57,"###"))&gt;0,INDIRECT(DatCol&amp;"$"&amp;TEXT(C707,"###")):INDIRECT(DatCol&amp;"$"&amp;TEXT(C707+57,"###"))))</f>
        <v>799.5</v>
      </c>
      <c r="F707" s="26" t="str">
        <f t="shared" si="682"/>
        <v>B</v>
      </c>
      <c r="G707" s="8"/>
      <c r="H707" s="8">
        <v>77</v>
      </c>
      <c r="I707" s="8">
        <v>234</v>
      </c>
      <c r="J707" s="8">
        <v>1790</v>
      </c>
      <c r="K707" s="9">
        <f t="shared" si="661"/>
        <v>1867</v>
      </c>
      <c r="M707" s="11">
        <f t="shared" si="683"/>
        <v>0</v>
      </c>
      <c r="O707" s="11">
        <f t="shared" si="684"/>
        <v>0</v>
      </c>
      <c r="Q707" s="11">
        <f t="shared" si="685"/>
        <v>0</v>
      </c>
      <c r="Y707" s="11">
        <f t="shared" si="686"/>
        <v>0</v>
      </c>
      <c r="AG707" s="11">
        <f t="shared" si="687"/>
        <v>0</v>
      </c>
      <c r="AI707" s="11">
        <f t="shared" si="688"/>
        <v>0</v>
      </c>
      <c r="AJ707" s="12">
        <v>1000</v>
      </c>
      <c r="AK707" s="13">
        <f t="shared" si="689"/>
        <v>9000</v>
      </c>
      <c r="AM707" s="13">
        <f t="shared" si="690"/>
        <v>0</v>
      </c>
      <c r="AO707" s="11">
        <f t="shared" si="691"/>
        <v>0</v>
      </c>
      <c r="AQ707" s="11">
        <f t="shared" si="692"/>
        <v>0</v>
      </c>
      <c r="AS707" s="11">
        <f t="shared" si="693"/>
        <v>0</v>
      </c>
      <c r="AU707" s="11">
        <f t="shared" si="694"/>
        <v>0</v>
      </c>
      <c r="AW707" s="11">
        <f t="shared" si="695"/>
        <v>0</v>
      </c>
      <c r="AY707" s="11">
        <f t="shared" si="696"/>
        <v>0</v>
      </c>
      <c r="BA707" s="11">
        <f t="shared" si="697"/>
        <v>0</v>
      </c>
      <c r="BC707" s="11">
        <f t="shared" si="698"/>
        <v>0</v>
      </c>
      <c r="BE707" s="11">
        <f t="shared" si="699"/>
        <v>0</v>
      </c>
      <c r="BG707" s="11">
        <f t="shared" si="700"/>
        <v>0</v>
      </c>
      <c r="BN707" s="8">
        <f t="shared" si="659"/>
        <v>1000</v>
      </c>
      <c r="BO707" s="8">
        <f t="shared" si="660"/>
        <v>9000</v>
      </c>
      <c r="BP707" s="8">
        <f t="shared" si="662"/>
        <v>0</v>
      </c>
      <c r="BQ707" s="12">
        <f t="shared" si="663"/>
        <v>0</v>
      </c>
    </row>
    <row r="708" spans="1:69">
      <c r="A708" s="28">
        <v>1965</v>
      </c>
      <c r="B708" s="27" t="s">
        <v>57</v>
      </c>
      <c r="C708" s="24">
        <f t="shared" si="704"/>
        <v>698</v>
      </c>
      <c r="D708" s="7" t="e">
        <f t="shared" ca="1" si="705"/>
        <v>#N/A</v>
      </c>
      <c r="E708" s="26">
        <f t="array" aca="1" ref="E708" ca="1">AVERAGE(IF(INDIRECT(DatCol&amp;"$"&amp;TEXT(C708,"###")):INDIRECT(DatCol&amp;"$"&amp;TEXT(C708+57,"###"))&gt;0,INDIRECT(DatCol&amp;"$"&amp;TEXT(C708,"###")):INDIRECT(DatCol&amp;"$"&amp;TEXT(C708+57,"###"))))</f>
        <v>799.5</v>
      </c>
      <c r="F708" s="26" t="str">
        <f t="shared" si="682"/>
        <v>B</v>
      </c>
      <c r="G708" s="8"/>
      <c r="H708" s="8">
        <v>125</v>
      </c>
      <c r="I708" s="8">
        <v>213</v>
      </c>
      <c r="J708" s="8">
        <v>1795</v>
      </c>
      <c r="K708" s="9">
        <f t="shared" si="661"/>
        <v>1920</v>
      </c>
      <c r="M708" s="11">
        <f t="shared" si="683"/>
        <v>0</v>
      </c>
      <c r="O708" s="11">
        <f t="shared" si="684"/>
        <v>0</v>
      </c>
      <c r="Q708" s="11">
        <f t="shared" si="685"/>
        <v>0</v>
      </c>
      <c r="Y708" s="11">
        <f t="shared" si="686"/>
        <v>0</v>
      </c>
      <c r="AG708" s="11">
        <f t="shared" si="687"/>
        <v>0</v>
      </c>
      <c r="AI708" s="11">
        <f t="shared" si="688"/>
        <v>0</v>
      </c>
      <c r="AJ708" s="12">
        <v>1200</v>
      </c>
      <c r="AK708" s="13">
        <f t="shared" si="689"/>
        <v>10800</v>
      </c>
      <c r="AM708" s="13">
        <f t="shared" si="690"/>
        <v>0</v>
      </c>
      <c r="AO708" s="11">
        <f t="shared" si="691"/>
        <v>0</v>
      </c>
      <c r="AQ708" s="11">
        <f t="shared" si="692"/>
        <v>0</v>
      </c>
      <c r="AS708" s="11">
        <f t="shared" si="693"/>
        <v>0</v>
      </c>
      <c r="AU708" s="11">
        <f t="shared" si="694"/>
        <v>0</v>
      </c>
      <c r="AW708" s="11">
        <f t="shared" si="695"/>
        <v>0</v>
      </c>
      <c r="AY708" s="11">
        <f t="shared" si="696"/>
        <v>0</v>
      </c>
      <c r="BA708" s="11">
        <f t="shared" si="697"/>
        <v>0</v>
      </c>
      <c r="BC708" s="11">
        <f t="shared" si="698"/>
        <v>0</v>
      </c>
      <c r="BE708" s="11">
        <f t="shared" si="699"/>
        <v>0</v>
      </c>
      <c r="BG708" s="11">
        <f t="shared" si="700"/>
        <v>0</v>
      </c>
      <c r="BN708" s="8">
        <f t="shared" si="659"/>
        <v>1200</v>
      </c>
      <c r="BO708" s="8">
        <f t="shared" si="660"/>
        <v>10800</v>
      </c>
      <c r="BP708" s="8">
        <f t="shared" si="662"/>
        <v>0</v>
      </c>
      <c r="BQ708" s="12">
        <f t="shared" si="663"/>
        <v>0</v>
      </c>
    </row>
    <row r="709" spans="1:69">
      <c r="A709" s="28">
        <v>1966</v>
      </c>
      <c r="B709" s="27" t="s">
        <v>57</v>
      </c>
      <c r="C709" s="24">
        <f t="shared" si="704"/>
        <v>698</v>
      </c>
      <c r="D709" s="7">
        <f t="shared" ca="1" si="705"/>
        <v>2.2363977485928705</v>
      </c>
      <c r="E709" s="26">
        <f t="array" aca="1" ref="E709" ca="1">AVERAGE(IF(INDIRECT(DatCol&amp;"$"&amp;TEXT(C709,"###")):INDIRECT(DatCol&amp;"$"&amp;TEXT(C709+57,"###"))&gt;0,INDIRECT(DatCol&amp;"$"&amp;TEXT(C709,"###")):INDIRECT(DatCol&amp;"$"&amp;TEXT(C709+57,"###"))))</f>
        <v>799.5</v>
      </c>
      <c r="F709" s="26" t="str">
        <f t="shared" si="682"/>
        <v>B</v>
      </c>
      <c r="G709" s="8"/>
      <c r="H709" s="8">
        <v>139</v>
      </c>
      <c r="I709" s="8">
        <v>199</v>
      </c>
      <c r="J709" s="8">
        <v>1979</v>
      </c>
      <c r="K709" s="9">
        <f t="shared" si="661"/>
        <v>2118</v>
      </c>
      <c r="M709" s="11">
        <f t="shared" si="683"/>
        <v>0</v>
      </c>
      <c r="N709" s="12">
        <v>1788</v>
      </c>
      <c r="O709" s="11">
        <f t="shared" si="684"/>
        <v>89400</v>
      </c>
      <c r="P709" s="10">
        <v>12000</v>
      </c>
      <c r="Q709" s="11">
        <f t="shared" si="685"/>
        <v>720000</v>
      </c>
      <c r="X709" s="12">
        <v>0</v>
      </c>
      <c r="Y709" s="11">
        <f t="shared" si="686"/>
        <v>0</v>
      </c>
      <c r="AG709" s="11">
        <f t="shared" si="687"/>
        <v>0</v>
      </c>
      <c r="AI709" s="11">
        <f t="shared" si="688"/>
        <v>0</v>
      </c>
      <c r="AJ709" s="12">
        <v>1600</v>
      </c>
      <c r="AK709" s="13">
        <f t="shared" si="689"/>
        <v>14400</v>
      </c>
      <c r="AM709" s="13">
        <f t="shared" si="690"/>
        <v>0</v>
      </c>
      <c r="AO709" s="11">
        <f t="shared" si="691"/>
        <v>0</v>
      </c>
      <c r="AQ709" s="11">
        <f t="shared" si="692"/>
        <v>0</v>
      </c>
      <c r="AS709" s="11">
        <f t="shared" si="693"/>
        <v>0</v>
      </c>
      <c r="AU709" s="11">
        <f t="shared" si="694"/>
        <v>0</v>
      </c>
      <c r="AW709" s="11">
        <f t="shared" si="695"/>
        <v>0</v>
      </c>
      <c r="AY709" s="11">
        <f t="shared" si="696"/>
        <v>0</v>
      </c>
      <c r="BA709" s="11">
        <f t="shared" si="697"/>
        <v>0</v>
      </c>
      <c r="BC709" s="11">
        <f t="shared" si="698"/>
        <v>0</v>
      </c>
      <c r="BE709" s="11">
        <f t="shared" si="699"/>
        <v>0</v>
      </c>
      <c r="BG709" s="11">
        <f t="shared" si="700"/>
        <v>0</v>
      </c>
      <c r="BN709" s="8">
        <f t="shared" si="659"/>
        <v>13600</v>
      </c>
      <c r="BO709" s="8">
        <f t="shared" si="660"/>
        <v>734400</v>
      </c>
      <c r="BP709" s="8">
        <f t="shared" si="662"/>
        <v>1788</v>
      </c>
      <c r="BQ709" s="12">
        <f t="shared" si="663"/>
        <v>89400</v>
      </c>
    </row>
    <row r="710" spans="1:69">
      <c r="A710" s="28">
        <v>1967</v>
      </c>
      <c r="B710" s="27" t="s">
        <v>57</v>
      </c>
      <c r="C710" s="24">
        <f t="shared" si="704"/>
        <v>698</v>
      </c>
      <c r="D710" s="7">
        <f t="shared" ca="1" si="705"/>
        <v>1.0431519699812384</v>
      </c>
      <c r="E710" s="26">
        <f t="array" aca="1" ref="E710" ca="1">AVERAGE(IF(INDIRECT(DatCol&amp;"$"&amp;TEXT(C710,"###")):INDIRECT(DatCol&amp;"$"&amp;TEXT(C710+57,"###"))&gt;0,INDIRECT(DatCol&amp;"$"&amp;TEXT(C710,"###")):INDIRECT(DatCol&amp;"$"&amp;TEXT(C710+57,"###"))))</f>
        <v>799.5</v>
      </c>
      <c r="F710" s="26" t="str">
        <f t="shared" si="682"/>
        <v>B</v>
      </c>
      <c r="G710" s="8"/>
      <c r="H710" s="8">
        <v>61</v>
      </c>
      <c r="I710" s="8">
        <v>168</v>
      </c>
      <c r="J710" s="8">
        <v>1735</v>
      </c>
      <c r="K710" s="9">
        <f t="shared" si="661"/>
        <v>1796</v>
      </c>
      <c r="M710" s="11">
        <f t="shared" si="683"/>
        <v>0</v>
      </c>
      <c r="N710" s="12">
        <v>834</v>
      </c>
      <c r="O710" s="11">
        <f t="shared" si="684"/>
        <v>41700</v>
      </c>
      <c r="P710" s="12">
        <v>6936</v>
      </c>
      <c r="Q710" s="11">
        <f t="shared" si="685"/>
        <v>416160</v>
      </c>
      <c r="X710" s="12">
        <v>5205</v>
      </c>
      <c r="Y710" s="11">
        <f t="shared" si="686"/>
        <v>312300</v>
      </c>
      <c r="AG710" s="11">
        <f t="shared" si="687"/>
        <v>0</v>
      </c>
      <c r="AI710" s="11">
        <f t="shared" si="688"/>
        <v>0</v>
      </c>
      <c r="AJ710" s="12">
        <v>1500</v>
      </c>
      <c r="AK710" s="13">
        <f t="shared" si="689"/>
        <v>13500</v>
      </c>
      <c r="AM710" s="13">
        <f t="shared" si="690"/>
        <v>0</v>
      </c>
      <c r="AO710" s="11">
        <f t="shared" si="691"/>
        <v>0</v>
      </c>
      <c r="AQ710" s="11">
        <f t="shared" si="692"/>
        <v>0</v>
      </c>
      <c r="AS710" s="11">
        <f t="shared" si="693"/>
        <v>0</v>
      </c>
      <c r="AU710" s="11">
        <f t="shared" si="694"/>
        <v>0</v>
      </c>
      <c r="AW710" s="11">
        <f t="shared" si="695"/>
        <v>0</v>
      </c>
      <c r="AY710" s="11">
        <f t="shared" si="696"/>
        <v>0</v>
      </c>
      <c r="BA710" s="11">
        <f t="shared" si="697"/>
        <v>0</v>
      </c>
      <c r="BC710" s="11">
        <f t="shared" si="698"/>
        <v>0</v>
      </c>
      <c r="BE710" s="11">
        <f t="shared" si="699"/>
        <v>0</v>
      </c>
      <c r="BG710" s="11">
        <f t="shared" si="700"/>
        <v>0</v>
      </c>
      <c r="BN710" s="8">
        <f t="shared" si="659"/>
        <v>13641</v>
      </c>
      <c r="BO710" s="8">
        <f t="shared" si="660"/>
        <v>741960</v>
      </c>
      <c r="BP710" s="8">
        <f t="shared" si="662"/>
        <v>6039</v>
      </c>
      <c r="BQ710" s="12">
        <f t="shared" si="663"/>
        <v>354000</v>
      </c>
    </row>
    <row r="711" spans="1:69">
      <c r="A711" s="28">
        <v>1968</v>
      </c>
      <c r="B711" s="27" t="s">
        <v>57</v>
      </c>
      <c r="C711" s="24">
        <f t="shared" si="704"/>
        <v>698</v>
      </c>
      <c r="D711" s="7" t="e">
        <f t="shared" ca="1" si="705"/>
        <v>#N/A</v>
      </c>
      <c r="E711" s="26">
        <f t="array" aca="1" ref="E711" ca="1">AVERAGE(IF(INDIRECT(DatCol&amp;"$"&amp;TEXT(C711,"###")):INDIRECT(DatCol&amp;"$"&amp;TEXT(C711+57,"###"))&gt;0,INDIRECT(DatCol&amp;"$"&amp;TEXT(C711,"###")):INDIRECT(DatCol&amp;"$"&amp;TEXT(C711+57,"###"))))</f>
        <v>799.5</v>
      </c>
      <c r="F711" s="26" t="str">
        <f t="shared" si="682"/>
        <v>B</v>
      </c>
      <c r="G711" s="8"/>
      <c r="H711" s="8">
        <v>60</v>
      </c>
      <c r="I711" s="8">
        <v>173</v>
      </c>
      <c r="J711" s="8">
        <v>1903</v>
      </c>
      <c r="K711" s="9">
        <f t="shared" si="661"/>
        <v>1963</v>
      </c>
      <c r="M711" s="11">
        <f t="shared" ref="M711:M726" si="706">(L711*50)</f>
        <v>0</v>
      </c>
      <c r="O711" s="11">
        <f t="shared" ref="O711:O726" si="707">(N711*50)</f>
        <v>0</v>
      </c>
      <c r="P711" s="12" t="s">
        <v>21</v>
      </c>
      <c r="Q711" s="11">
        <f t="shared" ref="Q711:Q726" si="708">((P711*330)/5.5)</f>
        <v>0</v>
      </c>
      <c r="Y711" s="11">
        <f t="shared" ref="Y711:Y726" si="709">((X711*330)/5.5)</f>
        <v>0</v>
      </c>
      <c r="AG711" s="11">
        <f t="shared" ref="AG711:AG726" si="710">(AF711*65)</f>
        <v>0</v>
      </c>
      <c r="AI711" s="11">
        <f t="shared" ref="AI711:AI726" si="711">(AH711*65)</f>
        <v>0</v>
      </c>
      <c r="AK711" s="13">
        <f t="shared" ref="AK711:AK726" si="712">(AJ711*9)</f>
        <v>0</v>
      </c>
      <c r="AM711" s="13">
        <f t="shared" ref="AM711:AM726" si="713">(AL711*9)</f>
        <v>0</v>
      </c>
      <c r="AO711" s="11">
        <f t="shared" ref="AO711:AO726" si="714">(AN711*80)</f>
        <v>0</v>
      </c>
      <c r="AQ711" s="11">
        <f t="shared" ref="AQ711:AQ726" si="715">(AP711*80)</f>
        <v>0</v>
      </c>
      <c r="AS711" s="11">
        <f t="shared" ref="AS711:AS726" si="716">(AR711*50)</f>
        <v>0</v>
      </c>
      <c r="AU711" s="11">
        <f t="shared" ref="AU711:AU726" si="717">(AT711*50)</f>
        <v>0</v>
      </c>
      <c r="AW711" s="11">
        <f t="shared" ref="AW711:AW726" si="718">(AV711*60)</f>
        <v>0</v>
      </c>
      <c r="AY711" s="11">
        <f t="shared" ref="AY711:AY726" si="719">(AX711*60)</f>
        <v>0</v>
      </c>
      <c r="BA711" s="11">
        <f t="shared" ref="BA711:BA726" si="720">(AZ711*40)</f>
        <v>0</v>
      </c>
      <c r="BC711" s="11">
        <f t="shared" ref="BC711:BC726" si="721">(BB711*40)</f>
        <v>0</v>
      </c>
      <c r="BE711" s="11">
        <f t="shared" ref="BE711:BE726" si="722">(BD711*95)</f>
        <v>0</v>
      </c>
      <c r="BG711" s="11">
        <f t="shared" ref="BG711:BG726" si="723">(BF711*95)</f>
        <v>0</v>
      </c>
      <c r="BN711" s="8">
        <f t="shared" si="659"/>
        <v>0</v>
      </c>
      <c r="BO711" s="8">
        <f t="shared" si="660"/>
        <v>0</v>
      </c>
      <c r="BP711" s="8">
        <f t="shared" si="662"/>
        <v>0</v>
      </c>
      <c r="BQ711" s="12">
        <f t="shared" si="663"/>
        <v>0</v>
      </c>
    </row>
    <row r="712" spans="1:69">
      <c r="A712" s="28">
        <v>1969</v>
      </c>
      <c r="B712" s="27" t="s">
        <v>57</v>
      </c>
      <c r="C712" s="24">
        <f t="shared" si="704"/>
        <v>698</v>
      </c>
      <c r="D712" s="7">
        <f t="shared" ca="1" si="705"/>
        <v>5.0031269543464667</v>
      </c>
      <c r="E712" s="26">
        <f t="array" aca="1" ref="E712" ca="1">AVERAGE(IF(INDIRECT(DatCol&amp;"$"&amp;TEXT(C712,"###")):INDIRECT(DatCol&amp;"$"&amp;TEXT(C712+57,"###"))&gt;0,INDIRECT(DatCol&amp;"$"&amp;TEXT(C712,"###")):INDIRECT(DatCol&amp;"$"&amp;TEXT(C712+57,"###"))))</f>
        <v>799.5</v>
      </c>
      <c r="F712" s="26" t="str">
        <f t="shared" si="682"/>
        <v>B</v>
      </c>
      <c r="G712" s="8"/>
      <c r="H712" s="8">
        <v>44</v>
      </c>
      <c r="I712" s="8">
        <v>229</v>
      </c>
      <c r="J712" s="8">
        <v>1759</v>
      </c>
      <c r="K712" s="9">
        <f t="shared" si="661"/>
        <v>1803</v>
      </c>
      <c r="M712" s="11">
        <f t="shared" si="706"/>
        <v>0</v>
      </c>
      <c r="N712" s="12">
        <v>4000</v>
      </c>
      <c r="O712" s="11">
        <f t="shared" si="707"/>
        <v>200000</v>
      </c>
      <c r="P712" s="12">
        <v>17200</v>
      </c>
      <c r="Q712" s="11">
        <f t="shared" si="708"/>
        <v>1032000</v>
      </c>
      <c r="X712" s="12">
        <v>8700</v>
      </c>
      <c r="Y712" s="11">
        <f t="shared" si="709"/>
        <v>522000</v>
      </c>
      <c r="AG712" s="11">
        <f t="shared" si="710"/>
        <v>0</v>
      </c>
      <c r="AH712" s="12">
        <v>25</v>
      </c>
      <c r="AI712" s="11">
        <f t="shared" si="711"/>
        <v>1625</v>
      </c>
      <c r="AJ712" s="12">
        <v>3000</v>
      </c>
      <c r="AK712" s="13">
        <f t="shared" si="712"/>
        <v>27000</v>
      </c>
      <c r="AL712" s="10">
        <v>650</v>
      </c>
      <c r="AM712" s="13">
        <f t="shared" si="713"/>
        <v>5850</v>
      </c>
      <c r="AO712" s="11">
        <f t="shared" si="714"/>
        <v>0</v>
      </c>
      <c r="AQ712" s="11">
        <f t="shared" si="715"/>
        <v>0</v>
      </c>
      <c r="AS712" s="11">
        <f t="shared" si="716"/>
        <v>0</v>
      </c>
      <c r="AT712" s="12">
        <v>15</v>
      </c>
      <c r="AU712" s="11">
        <f t="shared" si="717"/>
        <v>750</v>
      </c>
      <c r="AW712" s="11">
        <f t="shared" si="718"/>
        <v>0</v>
      </c>
      <c r="AY712" s="11">
        <f t="shared" si="719"/>
        <v>0</v>
      </c>
      <c r="BA712" s="11">
        <f t="shared" si="720"/>
        <v>0</v>
      </c>
      <c r="BC712" s="11">
        <f t="shared" si="721"/>
        <v>0</v>
      </c>
      <c r="BE712" s="11">
        <f t="shared" si="722"/>
        <v>0</v>
      </c>
      <c r="BG712" s="11">
        <f t="shared" si="723"/>
        <v>0</v>
      </c>
      <c r="BN712" s="8">
        <f t="shared" si="659"/>
        <v>28900</v>
      </c>
      <c r="BO712" s="8">
        <f t="shared" si="660"/>
        <v>1581000</v>
      </c>
      <c r="BP712" s="8">
        <f t="shared" si="662"/>
        <v>13390</v>
      </c>
      <c r="BQ712" s="12">
        <f t="shared" si="663"/>
        <v>730225</v>
      </c>
    </row>
    <row r="713" spans="1:69">
      <c r="A713" s="28">
        <v>1970</v>
      </c>
      <c r="B713" s="27" t="s">
        <v>57</v>
      </c>
      <c r="C713" s="24">
        <f t="shared" si="704"/>
        <v>698</v>
      </c>
      <c r="D713" s="7">
        <f t="shared" ca="1" si="705"/>
        <v>1.5009380863039399</v>
      </c>
      <c r="E713" s="26">
        <f t="array" aca="1" ref="E713" ca="1">AVERAGE(IF(INDIRECT(DatCol&amp;"$"&amp;TEXT(C713,"###")):INDIRECT(DatCol&amp;"$"&amp;TEXT(C713+57,"###"))&gt;0,INDIRECT(DatCol&amp;"$"&amp;TEXT(C713,"###")):INDIRECT(DatCol&amp;"$"&amp;TEXT(C713+57,"###"))))</f>
        <v>799.5</v>
      </c>
      <c r="F713" s="26" t="str">
        <f t="shared" si="682"/>
        <v>B</v>
      </c>
      <c r="G713" s="8"/>
      <c r="H713" s="8">
        <v>20</v>
      </c>
      <c r="I713" s="8">
        <v>220</v>
      </c>
      <c r="J713" s="8">
        <v>2005</v>
      </c>
      <c r="K713" s="9">
        <f t="shared" si="661"/>
        <v>2025</v>
      </c>
      <c r="M713" s="11">
        <f t="shared" si="706"/>
        <v>0</v>
      </c>
      <c r="N713" s="12">
        <v>1200</v>
      </c>
      <c r="O713" s="11">
        <f t="shared" si="707"/>
        <v>60000</v>
      </c>
      <c r="P713" s="12">
        <v>10200</v>
      </c>
      <c r="Q713" s="11">
        <f t="shared" si="708"/>
        <v>612000</v>
      </c>
      <c r="X713" s="12">
        <v>3000</v>
      </c>
      <c r="Y713" s="11">
        <f t="shared" si="709"/>
        <v>180000</v>
      </c>
      <c r="AG713" s="11">
        <f t="shared" si="710"/>
        <v>0</v>
      </c>
      <c r="AH713" s="12">
        <v>15</v>
      </c>
      <c r="AI713" s="11">
        <f t="shared" si="711"/>
        <v>975</v>
      </c>
      <c r="AJ713" s="12">
        <v>1750</v>
      </c>
      <c r="AK713" s="13">
        <f t="shared" si="712"/>
        <v>15750</v>
      </c>
      <c r="AL713" s="10">
        <v>1200</v>
      </c>
      <c r="AM713" s="13">
        <f t="shared" si="713"/>
        <v>10800</v>
      </c>
      <c r="AO713" s="11">
        <f t="shared" si="714"/>
        <v>0</v>
      </c>
      <c r="AQ713" s="11">
        <f t="shared" si="715"/>
        <v>0</v>
      </c>
      <c r="AS713" s="11">
        <f t="shared" si="716"/>
        <v>0</v>
      </c>
      <c r="AT713" s="12">
        <v>15</v>
      </c>
      <c r="AU713" s="11">
        <f t="shared" si="717"/>
        <v>750</v>
      </c>
      <c r="AW713" s="11">
        <f t="shared" si="718"/>
        <v>0</v>
      </c>
      <c r="AY713" s="11">
        <f t="shared" si="719"/>
        <v>0</v>
      </c>
      <c r="BA713" s="11">
        <f t="shared" si="720"/>
        <v>0</v>
      </c>
      <c r="BC713" s="11">
        <f t="shared" si="721"/>
        <v>0</v>
      </c>
      <c r="BE713" s="11">
        <f t="shared" si="722"/>
        <v>0</v>
      </c>
      <c r="BG713" s="11">
        <f t="shared" si="723"/>
        <v>0</v>
      </c>
      <c r="BN713" s="8">
        <f t="shared" si="659"/>
        <v>14950</v>
      </c>
      <c r="BO713" s="8">
        <f t="shared" si="660"/>
        <v>807750</v>
      </c>
      <c r="BP713" s="8">
        <f t="shared" si="662"/>
        <v>5430</v>
      </c>
      <c r="BQ713" s="12">
        <f t="shared" si="663"/>
        <v>252525</v>
      </c>
    </row>
    <row r="714" spans="1:69">
      <c r="A714" s="28">
        <v>1971</v>
      </c>
      <c r="B714" s="27" t="s">
        <v>57</v>
      </c>
      <c r="C714" s="24">
        <f t="shared" si="704"/>
        <v>698</v>
      </c>
      <c r="D714" s="7" t="e">
        <f t="shared" ca="1" si="705"/>
        <v>#N/A</v>
      </c>
      <c r="E714" s="26">
        <f t="array" aca="1" ref="E714" ca="1">AVERAGE(IF(INDIRECT(DatCol&amp;"$"&amp;TEXT(C714,"###")):INDIRECT(DatCol&amp;"$"&amp;TEXT(C714+57,"###"))&gt;0,INDIRECT(DatCol&amp;"$"&amp;TEXT(C714,"###")):INDIRECT(DatCol&amp;"$"&amp;TEXT(C714+57,"###"))))</f>
        <v>799.5</v>
      </c>
      <c r="F714" s="26" t="str">
        <f t="shared" si="682"/>
        <v>B</v>
      </c>
      <c r="G714" s="8"/>
      <c r="H714" s="8">
        <v>9</v>
      </c>
      <c r="I714" s="8">
        <v>187</v>
      </c>
      <c r="J714" s="8">
        <v>1757</v>
      </c>
      <c r="K714" s="9">
        <f t="shared" si="661"/>
        <v>1766</v>
      </c>
      <c r="M714" s="11">
        <f t="shared" si="706"/>
        <v>0</v>
      </c>
      <c r="O714" s="11">
        <f t="shared" si="707"/>
        <v>0</v>
      </c>
      <c r="Q714" s="11">
        <f t="shared" si="708"/>
        <v>0</v>
      </c>
      <c r="Y714" s="11">
        <f t="shared" si="709"/>
        <v>0</v>
      </c>
      <c r="AG714" s="11">
        <f t="shared" si="710"/>
        <v>0</v>
      </c>
      <c r="AI714" s="11">
        <f t="shared" si="711"/>
        <v>0</v>
      </c>
      <c r="AK714" s="13">
        <f t="shared" si="712"/>
        <v>0</v>
      </c>
      <c r="AM714" s="13">
        <f t="shared" si="713"/>
        <v>0</v>
      </c>
      <c r="AO714" s="11">
        <f t="shared" si="714"/>
        <v>0</v>
      </c>
      <c r="AQ714" s="11">
        <f t="shared" si="715"/>
        <v>0</v>
      </c>
      <c r="AS714" s="11">
        <f t="shared" si="716"/>
        <v>0</v>
      </c>
      <c r="AU714" s="11">
        <f t="shared" si="717"/>
        <v>0</v>
      </c>
      <c r="AW714" s="11">
        <f t="shared" si="718"/>
        <v>0</v>
      </c>
      <c r="AY714" s="11">
        <f t="shared" si="719"/>
        <v>0</v>
      </c>
      <c r="BA714" s="11">
        <f t="shared" si="720"/>
        <v>0</v>
      </c>
      <c r="BC714" s="11">
        <f t="shared" si="721"/>
        <v>0</v>
      </c>
      <c r="BE714" s="11">
        <f t="shared" si="722"/>
        <v>0</v>
      </c>
      <c r="BG714" s="11">
        <f t="shared" si="723"/>
        <v>0</v>
      </c>
      <c r="BN714" s="8">
        <f t="shared" si="659"/>
        <v>0</v>
      </c>
      <c r="BO714" s="8">
        <f t="shared" si="660"/>
        <v>0</v>
      </c>
      <c r="BP714" s="8">
        <f t="shared" si="662"/>
        <v>0</v>
      </c>
      <c r="BQ714" s="12">
        <f t="shared" si="663"/>
        <v>0</v>
      </c>
    </row>
    <row r="715" spans="1:69">
      <c r="A715" s="28">
        <v>1972</v>
      </c>
      <c r="B715" s="27" t="s">
        <v>57</v>
      </c>
      <c r="C715" s="24">
        <f t="shared" si="704"/>
        <v>698</v>
      </c>
      <c r="D715" s="7" t="e">
        <f t="shared" ca="1" si="705"/>
        <v>#N/A</v>
      </c>
      <c r="E715" s="26">
        <f t="array" aca="1" ref="E715" ca="1">AVERAGE(IF(INDIRECT(DatCol&amp;"$"&amp;TEXT(C715,"###")):INDIRECT(DatCol&amp;"$"&amp;TEXT(C715+57,"###"))&gt;0,INDIRECT(DatCol&amp;"$"&amp;TEXT(C715,"###")):INDIRECT(DatCol&amp;"$"&amp;TEXT(C715+57,"###"))))</f>
        <v>799.5</v>
      </c>
      <c r="F715" s="26" t="str">
        <f t="shared" si="682"/>
        <v>B</v>
      </c>
      <c r="G715" s="8"/>
      <c r="H715" s="8">
        <v>27</v>
      </c>
      <c r="I715" s="8">
        <v>165</v>
      </c>
      <c r="J715" s="8">
        <v>1596</v>
      </c>
      <c r="K715" s="9">
        <f t="shared" si="661"/>
        <v>1623</v>
      </c>
      <c r="M715" s="11">
        <f t="shared" si="706"/>
        <v>0</v>
      </c>
      <c r="O715" s="11">
        <f t="shared" si="707"/>
        <v>0</v>
      </c>
      <c r="Q715" s="11">
        <f t="shared" si="708"/>
        <v>0</v>
      </c>
      <c r="Y715" s="11">
        <f t="shared" si="709"/>
        <v>0</v>
      </c>
      <c r="AG715" s="11">
        <f t="shared" si="710"/>
        <v>0</v>
      </c>
      <c r="AI715" s="11">
        <f t="shared" si="711"/>
        <v>0</v>
      </c>
      <c r="AK715" s="13">
        <f t="shared" si="712"/>
        <v>0</v>
      </c>
      <c r="AM715" s="13">
        <f t="shared" si="713"/>
        <v>0</v>
      </c>
      <c r="AO715" s="11">
        <f t="shared" si="714"/>
        <v>0</v>
      </c>
      <c r="AQ715" s="11">
        <f t="shared" si="715"/>
        <v>0</v>
      </c>
      <c r="AS715" s="11">
        <f t="shared" si="716"/>
        <v>0</v>
      </c>
      <c r="AU715" s="11">
        <f t="shared" si="717"/>
        <v>0</v>
      </c>
      <c r="AW715" s="11">
        <f t="shared" si="718"/>
        <v>0</v>
      </c>
      <c r="AY715" s="11">
        <f t="shared" si="719"/>
        <v>0</v>
      </c>
      <c r="BA715" s="11">
        <f t="shared" si="720"/>
        <v>0</v>
      </c>
      <c r="BC715" s="11">
        <f t="shared" si="721"/>
        <v>0</v>
      </c>
      <c r="BE715" s="11">
        <f t="shared" si="722"/>
        <v>0</v>
      </c>
      <c r="BG715" s="11">
        <f t="shared" si="723"/>
        <v>0</v>
      </c>
      <c r="BN715" s="8">
        <f t="shared" si="659"/>
        <v>0</v>
      </c>
      <c r="BO715" s="8">
        <f t="shared" si="660"/>
        <v>0</v>
      </c>
      <c r="BP715" s="8">
        <f t="shared" si="662"/>
        <v>0</v>
      </c>
      <c r="BQ715" s="12">
        <f t="shared" si="663"/>
        <v>0</v>
      </c>
    </row>
    <row r="716" spans="1:69">
      <c r="A716" s="28">
        <v>1973</v>
      </c>
      <c r="B716" s="27" t="s">
        <v>57</v>
      </c>
      <c r="C716" s="24">
        <f t="shared" si="704"/>
        <v>698</v>
      </c>
      <c r="D716" s="7" t="e">
        <f t="shared" ca="1" si="705"/>
        <v>#N/A</v>
      </c>
      <c r="E716" s="26">
        <f t="array" aca="1" ref="E716" ca="1">AVERAGE(IF(INDIRECT(DatCol&amp;"$"&amp;TEXT(C716,"###")):INDIRECT(DatCol&amp;"$"&amp;TEXT(C716+57,"###"))&gt;0,INDIRECT(DatCol&amp;"$"&amp;TEXT(C716,"###")):INDIRECT(DatCol&amp;"$"&amp;TEXT(C716+57,"###"))))</f>
        <v>799.5</v>
      </c>
      <c r="F716" s="26" t="str">
        <f t="shared" si="682"/>
        <v>B</v>
      </c>
      <c r="G716" s="8"/>
      <c r="H716" s="8">
        <v>41</v>
      </c>
      <c r="I716" s="8">
        <v>93</v>
      </c>
      <c r="J716" s="8">
        <v>1544</v>
      </c>
      <c r="K716" s="9">
        <f t="shared" si="661"/>
        <v>1585</v>
      </c>
      <c r="M716" s="11">
        <f t="shared" si="706"/>
        <v>0</v>
      </c>
      <c r="O716" s="11">
        <f t="shared" si="707"/>
        <v>0</v>
      </c>
      <c r="Q716" s="11">
        <f t="shared" si="708"/>
        <v>0</v>
      </c>
      <c r="Y716" s="11">
        <f t="shared" si="709"/>
        <v>0</v>
      </c>
      <c r="AG716" s="11">
        <f t="shared" si="710"/>
        <v>0</v>
      </c>
      <c r="AI716" s="11">
        <f t="shared" si="711"/>
        <v>0</v>
      </c>
      <c r="AK716" s="13">
        <f t="shared" si="712"/>
        <v>0</v>
      </c>
      <c r="AM716" s="13">
        <f t="shared" si="713"/>
        <v>0</v>
      </c>
      <c r="AO716" s="11">
        <f t="shared" si="714"/>
        <v>0</v>
      </c>
      <c r="AQ716" s="11">
        <f t="shared" si="715"/>
        <v>0</v>
      </c>
      <c r="AS716" s="11">
        <f t="shared" si="716"/>
        <v>0</v>
      </c>
      <c r="AU716" s="11">
        <f t="shared" si="717"/>
        <v>0</v>
      </c>
      <c r="AW716" s="11">
        <f t="shared" si="718"/>
        <v>0</v>
      </c>
      <c r="AY716" s="11">
        <f t="shared" si="719"/>
        <v>0</v>
      </c>
      <c r="BA716" s="11">
        <f t="shared" si="720"/>
        <v>0</v>
      </c>
      <c r="BC716" s="11">
        <f t="shared" si="721"/>
        <v>0</v>
      </c>
      <c r="BE716" s="11">
        <f t="shared" si="722"/>
        <v>0</v>
      </c>
      <c r="BG716" s="11">
        <f t="shared" si="723"/>
        <v>0</v>
      </c>
      <c r="BN716" s="8">
        <f t="shared" si="659"/>
        <v>0</v>
      </c>
      <c r="BO716" s="8">
        <f t="shared" si="660"/>
        <v>0</v>
      </c>
      <c r="BP716" s="8">
        <f t="shared" si="662"/>
        <v>0</v>
      </c>
      <c r="BQ716" s="12">
        <f t="shared" si="663"/>
        <v>0</v>
      </c>
    </row>
    <row r="717" spans="1:69">
      <c r="A717" s="28">
        <v>1974</v>
      </c>
      <c r="B717" s="27" t="s">
        <v>57</v>
      </c>
      <c r="C717" s="24">
        <f t="shared" si="704"/>
        <v>698</v>
      </c>
      <c r="D717" s="7" t="e">
        <f t="shared" ca="1" si="705"/>
        <v>#N/A</v>
      </c>
      <c r="E717" s="26">
        <f t="array" aca="1" ref="E717" ca="1">AVERAGE(IF(INDIRECT(DatCol&amp;"$"&amp;TEXT(C717,"###")):INDIRECT(DatCol&amp;"$"&amp;TEXT(C717+57,"###"))&gt;0,INDIRECT(DatCol&amp;"$"&amp;TEXT(C717,"###")):INDIRECT(DatCol&amp;"$"&amp;TEXT(C717+57,"###"))))</f>
        <v>799.5</v>
      </c>
      <c r="F717" s="26" t="str">
        <f t="shared" si="682"/>
        <v>B</v>
      </c>
      <c r="G717" s="8"/>
      <c r="H717" s="8">
        <v>43</v>
      </c>
      <c r="I717" s="8">
        <v>98</v>
      </c>
      <c r="J717" s="8">
        <v>1672</v>
      </c>
      <c r="K717" s="9">
        <f t="shared" si="661"/>
        <v>1715</v>
      </c>
      <c r="M717" s="11">
        <f t="shared" si="706"/>
        <v>0</v>
      </c>
      <c r="O717" s="11">
        <f t="shared" si="707"/>
        <v>0</v>
      </c>
      <c r="Q717" s="11">
        <f t="shared" si="708"/>
        <v>0</v>
      </c>
      <c r="Y717" s="11">
        <f t="shared" si="709"/>
        <v>0</v>
      </c>
      <c r="AG717" s="11">
        <f t="shared" si="710"/>
        <v>0</v>
      </c>
      <c r="AI717" s="11">
        <f t="shared" si="711"/>
        <v>0</v>
      </c>
      <c r="AK717" s="13">
        <f t="shared" si="712"/>
        <v>0</v>
      </c>
      <c r="AM717" s="13">
        <f t="shared" si="713"/>
        <v>0</v>
      </c>
      <c r="AO717" s="11">
        <f t="shared" si="714"/>
        <v>0</v>
      </c>
      <c r="AQ717" s="11">
        <f t="shared" si="715"/>
        <v>0</v>
      </c>
      <c r="AS717" s="11">
        <f t="shared" si="716"/>
        <v>0</v>
      </c>
      <c r="AU717" s="11">
        <f t="shared" si="717"/>
        <v>0</v>
      </c>
      <c r="AW717" s="11">
        <f t="shared" si="718"/>
        <v>0</v>
      </c>
      <c r="AY717" s="11">
        <f t="shared" si="719"/>
        <v>0</v>
      </c>
      <c r="BA717" s="11">
        <f t="shared" si="720"/>
        <v>0</v>
      </c>
      <c r="BC717" s="11">
        <f t="shared" si="721"/>
        <v>0</v>
      </c>
      <c r="BE717" s="11">
        <f t="shared" si="722"/>
        <v>0</v>
      </c>
      <c r="BG717" s="11">
        <f t="shared" si="723"/>
        <v>0</v>
      </c>
      <c r="BN717" s="8">
        <f t="shared" ref="BN717:BN781" si="724">(L717+P717+R717+T717+V717+X717+Z717+AB717+AD717+AF717+AJ717+AN717+AR717+AV717+AZ717+BD717)</f>
        <v>0</v>
      </c>
      <c r="BO717" s="8">
        <f t="shared" si="660"/>
        <v>0</v>
      </c>
      <c r="BP717" s="8">
        <f t="shared" si="662"/>
        <v>0</v>
      </c>
      <c r="BQ717" s="12">
        <f t="shared" si="663"/>
        <v>0</v>
      </c>
    </row>
    <row r="718" spans="1:69">
      <c r="A718" s="28">
        <v>1975</v>
      </c>
      <c r="B718" s="27" t="s">
        <v>57</v>
      </c>
      <c r="C718" s="24">
        <f t="shared" si="704"/>
        <v>698</v>
      </c>
      <c r="D718" s="7">
        <f t="shared" ca="1" si="705"/>
        <v>0.31144465290806755</v>
      </c>
      <c r="E718" s="26">
        <f t="array" aca="1" ref="E718" ca="1">AVERAGE(IF(INDIRECT(DatCol&amp;"$"&amp;TEXT(C718,"###")):INDIRECT(DatCol&amp;"$"&amp;TEXT(C718+57,"###"))&gt;0,INDIRECT(DatCol&amp;"$"&amp;TEXT(C718,"###")):INDIRECT(DatCol&amp;"$"&amp;TEXT(C718+57,"###"))))</f>
        <v>799.5</v>
      </c>
      <c r="F718" s="26" t="str">
        <f t="shared" si="682"/>
        <v>B</v>
      </c>
      <c r="G718" s="8"/>
      <c r="H718" s="8">
        <v>49</v>
      </c>
      <c r="I718" s="8">
        <v>104</v>
      </c>
      <c r="J718" s="8">
        <v>1577</v>
      </c>
      <c r="K718" s="9">
        <f t="shared" si="661"/>
        <v>1626</v>
      </c>
      <c r="M718" s="11">
        <f t="shared" si="706"/>
        <v>0</v>
      </c>
      <c r="N718" s="12">
        <v>249</v>
      </c>
      <c r="O718" s="11">
        <f t="shared" si="707"/>
        <v>12450</v>
      </c>
      <c r="P718" s="12">
        <v>16640</v>
      </c>
      <c r="Q718" s="11">
        <f t="shared" si="708"/>
        <v>998400</v>
      </c>
      <c r="X718" s="12">
        <v>6500</v>
      </c>
      <c r="Y718" s="11">
        <f t="shared" si="709"/>
        <v>390000</v>
      </c>
      <c r="AG718" s="11">
        <f t="shared" si="710"/>
        <v>0</v>
      </c>
      <c r="AH718" s="12">
        <v>6</v>
      </c>
      <c r="AI718" s="11">
        <f t="shared" si="711"/>
        <v>390</v>
      </c>
      <c r="AK718" s="13">
        <f t="shared" si="712"/>
        <v>0</v>
      </c>
      <c r="AM718" s="13">
        <f t="shared" si="713"/>
        <v>0</v>
      </c>
      <c r="AO718" s="11">
        <f t="shared" si="714"/>
        <v>0</v>
      </c>
      <c r="AQ718" s="11">
        <f t="shared" si="715"/>
        <v>0</v>
      </c>
      <c r="AS718" s="11">
        <f t="shared" si="716"/>
        <v>0</v>
      </c>
      <c r="AU718" s="11">
        <f t="shared" si="717"/>
        <v>0</v>
      </c>
      <c r="AW718" s="11">
        <f t="shared" si="718"/>
        <v>0</v>
      </c>
      <c r="AY718" s="11">
        <f t="shared" si="719"/>
        <v>0</v>
      </c>
      <c r="BA718" s="11">
        <f t="shared" si="720"/>
        <v>0</v>
      </c>
      <c r="BC718" s="11">
        <f t="shared" si="721"/>
        <v>0</v>
      </c>
      <c r="BE718" s="11">
        <f t="shared" si="722"/>
        <v>0</v>
      </c>
      <c r="BG718" s="11">
        <f t="shared" si="723"/>
        <v>0</v>
      </c>
      <c r="BN718" s="8">
        <f t="shared" si="724"/>
        <v>23140</v>
      </c>
      <c r="BO718" s="8">
        <f t="shared" ref="BO718:BO782" si="725">(M718+Q718+S718+U718+W718+Y718+AA718+AC718+AG718+AK718+AO718+AS718+AW718+BA718+BE718)</f>
        <v>1388400</v>
      </c>
      <c r="BP718" s="8">
        <f t="shared" si="662"/>
        <v>6755</v>
      </c>
      <c r="BQ718" s="12">
        <f t="shared" si="663"/>
        <v>402840</v>
      </c>
    </row>
    <row r="719" spans="1:69">
      <c r="A719" s="28">
        <v>1976</v>
      </c>
      <c r="B719" s="27" t="s">
        <v>57</v>
      </c>
      <c r="C719" s="24">
        <f t="shared" si="704"/>
        <v>698</v>
      </c>
      <c r="D719" s="7" t="e">
        <f t="shared" ca="1" si="705"/>
        <v>#N/A</v>
      </c>
      <c r="E719" s="26">
        <f t="array" aca="1" ref="E719" ca="1">AVERAGE(IF(INDIRECT(DatCol&amp;"$"&amp;TEXT(C719,"###")):INDIRECT(DatCol&amp;"$"&amp;TEXT(C719+57,"###"))&gt;0,INDIRECT(DatCol&amp;"$"&amp;TEXT(C719,"###")):INDIRECT(DatCol&amp;"$"&amp;TEXT(C719+57,"###"))))</f>
        <v>799.5</v>
      </c>
      <c r="F719" s="26" t="str">
        <f t="shared" si="682"/>
        <v>B</v>
      </c>
      <c r="G719" s="8"/>
      <c r="H719" s="8">
        <v>39</v>
      </c>
      <c r="I719" s="8">
        <v>92</v>
      </c>
      <c r="J719" s="8">
        <v>1147</v>
      </c>
      <c r="K719" s="9">
        <f t="shared" ref="K719:K783" si="726">G719+H719+J719</f>
        <v>1186</v>
      </c>
      <c r="M719" s="11">
        <f t="shared" si="706"/>
        <v>0</v>
      </c>
      <c r="N719" s="10">
        <v>0</v>
      </c>
      <c r="O719" s="11">
        <f t="shared" si="707"/>
        <v>0</v>
      </c>
      <c r="P719" s="12">
        <v>740</v>
      </c>
      <c r="Q719" s="11">
        <f t="shared" si="708"/>
        <v>44400</v>
      </c>
      <c r="X719" s="12">
        <v>1500</v>
      </c>
      <c r="Y719" s="11">
        <f t="shared" si="709"/>
        <v>90000</v>
      </c>
      <c r="AG719" s="11">
        <f t="shared" si="710"/>
        <v>0</v>
      </c>
      <c r="AH719" s="12" t="s">
        <v>21</v>
      </c>
      <c r="AI719" s="11">
        <f t="shared" si="711"/>
        <v>0</v>
      </c>
      <c r="AK719" s="13">
        <f t="shared" si="712"/>
        <v>0</v>
      </c>
      <c r="AM719" s="13">
        <f t="shared" si="713"/>
        <v>0</v>
      </c>
      <c r="AO719" s="11">
        <f t="shared" si="714"/>
        <v>0</v>
      </c>
      <c r="AQ719" s="11">
        <f t="shared" si="715"/>
        <v>0</v>
      </c>
      <c r="AS719" s="11">
        <f t="shared" si="716"/>
        <v>0</v>
      </c>
      <c r="AU719" s="11">
        <f t="shared" si="717"/>
        <v>0</v>
      </c>
      <c r="AW719" s="11">
        <f t="shared" si="718"/>
        <v>0</v>
      </c>
      <c r="AY719" s="11">
        <f t="shared" si="719"/>
        <v>0</v>
      </c>
      <c r="BA719" s="11">
        <f t="shared" si="720"/>
        <v>0</v>
      </c>
      <c r="BC719" s="11">
        <f t="shared" si="721"/>
        <v>0</v>
      </c>
      <c r="BE719" s="11">
        <f t="shared" si="722"/>
        <v>0</v>
      </c>
      <c r="BG719" s="11">
        <f t="shared" si="723"/>
        <v>0</v>
      </c>
      <c r="BN719" s="8">
        <f t="shared" si="724"/>
        <v>2240</v>
      </c>
      <c r="BO719" s="8">
        <f t="shared" si="725"/>
        <v>134400</v>
      </c>
      <c r="BP719" s="8">
        <f t="shared" si="662"/>
        <v>1500</v>
      </c>
      <c r="BQ719" s="12">
        <f t="shared" si="663"/>
        <v>90000</v>
      </c>
    </row>
    <row r="720" spans="1:69">
      <c r="A720" s="28">
        <v>1977</v>
      </c>
      <c r="B720" s="27" t="s">
        <v>57</v>
      </c>
      <c r="C720" s="24">
        <f t="shared" si="704"/>
        <v>698</v>
      </c>
      <c r="D720" s="7">
        <f t="shared" ca="1" si="705"/>
        <v>8.0050031269543465E-2</v>
      </c>
      <c r="E720" s="26">
        <f t="array" aca="1" ref="E720" ca="1">AVERAGE(IF(INDIRECT(DatCol&amp;"$"&amp;TEXT(C720,"###")):INDIRECT(DatCol&amp;"$"&amp;TEXT(C720+57,"###"))&gt;0,INDIRECT(DatCol&amp;"$"&amp;TEXT(C720,"###")):INDIRECT(DatCol&amp;"$"&amp;TEXT(C720+57,"###"))))</f>
        <v>799.5</v>
      </c>
      <c r="F720" s="26" t="str">
        <f t="shared" si="682"/>
        <v>B</v>
      </c>
      <c r="G720" s="8"/>
      <c r="H720" s="8">
        <v>28</v>
      </c>
      <c r="I720" s="8">
        <v>67</v>
      </c>
      <c r="J720" s="8">
        <v>1017</v>
      </c>
      <c r="K720" s="9">
        <f t="shared" si="726"/>
        <v>1045</v>
      </c>
      <c r="M720" s="11">
        <f t="shared" si="706"/>
        <v>0</v>
      </c>
      <c r="N720" s="12">
        <v>64</v>
      </c>
      <c r="O720" s="11">
        <f t="shared" si="707"/>
        <v>3200</v>
      </c>
      <c r="P720" s="12">
        <v>1541</v>
      </c>
      <c r="Q720" s="11">
        <f t="shared" si="708"/>
        <v>92460</v>
      </c>
      <c r="X720" s="12">
        <v>1040</v>
      </c>
      <c r="Y720" s="11">
        <f t="shared" si="709"/>
        <v>62400</v>
      </c>
      <c r="AG720" s="11">
        <f t="shared" si="710"/>
        <v>0</v>
      </c>
      <c r="AI720" s="11">
        <f t="shared" si="711"/>
        <v>0</v>
      </c>
      <c r="AK720" s="13">
        <f t="shared" si="712"/>
        <v>0</v>
      </c>
      <c r="AM720" s="13">
        <f t="shared" si="713"/>
        <v>0</v>
      </c>
      <c r="AO720" s="11">
        <f t="shared" si="714"/>
        <v>0</v>
      </c>
      <c r="AQ720" s="11">
        <f t="shared" si="715"/>
        <v>0</v>
      </c>
      <c r="AS720" s="11">
        <f t="shared" si="716"/>
        <v>0</v>
      </c>
      <c r="AU720" s="11">
        <f t="shared" si="717"/>
        <v>0</v>
      </c>
      <c r="AV720" s="12">
        <v>169</v>
      </c>
      <c r="AW720" s="11">
        <f t="shared" si="718"/>
        <v>10140</v>
      </c>
      <c r="AY720" s="11">
        <f t="shared" si="719"/>
        <v>0</v>
      </c>
      <c r="BA720" s="11">
        <f t="shared" si="720"/>
        <v>0</v>
      </c>
      <c r="BC720" s="11">
        <f t="shared" si="721"/>
        <v>0</v>
      </c>
      <c r="BE720" s="11">
        <f t="shared" si="722"/>
        <v>0</v>
      </c>
      <c r="BG720" s="11">
        <f t="shared" si="723"/>
        <v>0</v>
      </c>
      <c r="BN720" s="8">
        <f t="shared" si="724"/>
        <v>2750</v>
      </c>
      <c r="BO720" s="8">
        <f t="shared" si="725"/>
        <v>165000</v>
      </c>
      <c r="BP720" s="8">
        <f t="shared" si="662"/>
        <v>1104</v>
      </c>
      <c r="BQ720" s="12">
        <f t="shared" si="663"/>
        <v>65600</v>
      </c>
    </row>
    <row r="721" spans="1:69">
      <c r="A721" s="28">
        <v>1978</v>
      </c>
      <c r="B721" s="27" t="s">
        <v>57</v>
      </c>
      <c r="C721" s="24">
        <f t="shared" si="704"/>
        <v>698</v>
      </c>
      <c r="D721" s="7">
        <f t="shared" ca="1" si="705"/>
        <v>8.0050031269543465E-2</v>
      </c>
      <c r="E721" s="26">
        <f t="array" aca="1" ref="E721" ca="1">AVERAGE(IF(INDIRECT(DatCol&amp;"$"&amp;TEXT(C721,"###")):INDIRECT(DatCol&amp;"$"&amp;TEXT(C721+57,"###"))&gt;0,INDIRECT(DatCol&amp;"$"&amp;TEXT(C721,"###")):INDIRECT(DatCol&amp;"$"&amp;TEXT(C721+57,"###"))))</f>
        <v>799.5</v>
      </c>
      <c r="F721" s="26" t="str">
        <f t="shared" si="682"/>
        <v>B</v>
      </c>
      <c r="G721" s="8"/>
      <c r="H721" s="8">
        <v>32</v>
      </c>
      <c r="I721" s="8">
        <v>155</v>
      </c>
      <c r="J721" s="8">
        <v>1222</v>
      </c>
      <c r="K721" s="9">
        <f t="shared" si="726"/>
        <v>1254</v>
      </c>
      <c r="M721" s="11">
        <f t="shared" si="706"/>
        <v>0</v>
      </c>
      <c r="N721" s="12">
        <v>64</v>
      </c>
      <c r="O721" s="11">
        <f>175+230+1350</f>
        <v>1755</v>
      </c>
      <c r="P721" s="12">
        <v>1755</v>
      </c>
      <c r="Q721" s="11">
        <f t="shared" si="708"/>
        <v>105300</v>
      </c>
      <c r="X721" s="12">
        <v>655</v>
      </c>
      <c r="Y721" s="11">
        <f t="shared" si="709"/>
        <v>39300</v>
      </c>
      <c r="AG721" s="11">
        <f t="shared" si="710"/>
        <v>0</v>
      </c>
      <c r="AI721" s="11">
        <f t="shared" si="711"/>
        <v>0</v>
      </c>
      <c r="AJ721" s="12">
        <v>2430</v>
      </c>
      <c r="AK721" s="13">
        <f t="shared" si="712"/>
        <v>21870</v>
      </c>
      <c r="AL721" s="12">
        <v>147</v>
      </c>
      <c r="AM721" s="13">
        <f t="shared" si="713"/>
        <v>1323</v>
      </c>
      <c r="AO721" s="11">
        <f t="shared" si="714"/>
        <v>0</v>
      </c>
      <c r="AQ721" s="11">
        <f t="shared" si="715"/>
        <v>0</v>
      </c>
      <c r="AS721" s="11">
        <f t="shared" si="716"/>
        <v>0</v>
      </c>
      <c r="AU721" s="11">
        <f t="shared" si="717"/>
        <v>0</v>
      </c>
      <c r="AV721" s="12" t="s">
        <v>4</v>
      </c>
      <c r="AW721" s="11">
        <f t="shared" si="718"/>
        <v>0</v>
      </c>
      <c r="AY721" s="11">
        <f t="shared" si="719"/>
        <v>0</v>
      </c>
      <c r="BA721" s="11">
        <f t="shared" si="720"/>
        <v>0</v>
      </c>
      <c r="BC721" s="11">
        <f t="shared" si="721"/>
        <v>0</v>
      </c>
      <c r="BE721" s="11">
        <f t="shared" si="722"/>
        <v>0</v>
      </c>
      <c r="BG721" s="11">
        <f t="shared" si="723"/>
        <v>0</v>
      </c>
      <c r="BN721" s="8">
        <f t="shared" si="724"/>
        <v>4840</v>
      </c>
      <c r="BO721" s="8">
        <f t="shared" si="725"/>
        <v>166470</v>
      </c>
      <c r="BP721" s="8">
        <f t="shared" si="662"/>
        <v>866</v>
      </c>
      <c r="BQ721" s="12">
        <f t="shared" si="663"/>
        <v>42378</v>
      </c>
    </row>
    <row r="722" spans="1:69">
      <c r="A722" s="28">
        <v>1979</v>
      </c>
      <c r="B722" s="27" t="s">
        <v>57</v>
      </c>
      <c r="C722" s="24">
        <f t="shared" si="704"/>
        <v>698</v>
      </c>
      <c r="D722" s="7" t="e">
        <f t="shared" ca="1" si="705"/>
        <v>#N/A</v>
      </c>
      <c r="E722" s="26">
        <f t="array" aca="1" ref="E722" ca="1">AVERAGE(IF(INDIRECT(DatCol&amp;"$"&amp;TEXT(C722,"###")):INDIRECT(DatCol&amp;"$"&amp;TEXT(C722+57,"###"))&gt;0,INDIRECT(DatCol&amp;"$"&amp;TEXT(C722,"###")):INDIRECT(DatCol&amp;"$"&amp;TEXT(C722+57,"###"))))</f>
        <v>799.5</v>
      </c>
      <c r="F722" s="26" t="str">
        <f t="shared" si="682"/>
        <v>B</v>
      </c>
      <c r="G722" s="8"/>
      <c r="K722" s="9">
        <f t="shared" si="726"/>
        <v>0</v>
      </c>
      <c r="M722" s="11">
        <f t="shared" si="706"/>
        <v>0</v>
      </c>
      <c r="O722" s="11">
        <f t="shared" si="707"/>
        <v>0</v>
      </c>
      <c r="Q722" s="11">
        <f t="shared" si="708"/>
        <v>0</v>
      </c>
      <c r="Y722" s="11">
        <f t="shared" si="709"/>
        <v>0</v>
      </c>
      <c r="AG722" s="11">
        <f t="shared" si="710"/>
        <v>0</v>
      </c>
      <c r="AI722" s="11">
        <f t="shared" si="711"/>
        <v>0</v>
      </c>
      <c r="AK722" s="13">
        <f t="shared" si="712"/>
        <v>0</v>
      </c>
      <c r="AL722" s="12" t="s">
        <v>21</v>
      </c>
      <c r="AM722" s="13">
        <f t="shared" si="713"/>
        <v>0</v>
      </c>
      <c r="AO722" s="11">
        <f t="shared" si="714"/>
        <v>0</v>
      </c>
      <c r="AQ722" s="11">
        <f t="shared" si="715"/>
        <v>0</v>
      </c>
      <c r="AS722" s="11">
        <f t="shared" si="716"/>
        <v>0</v>
      </c>
      <c r="AU722" s="11">
        <f t="shared" si="717"/>
        <v>0</v>
      </c>
      <c r="AW722" s="11">
        <f t="shared" si="718"/>
        <v>0</v>
      </c>
      <c r="AY722" s="11">
        <f t="shared" si="719"/>
        <v>0</v>
      </c>
      <c r="BA722" s="11">
        <f t="shared" si="720"/>
        <v>0</v>
      </c>
      <c r="BC722" s="11">
        <f t="shared" si="721"/>
        <v>0</v>
      </c>
      <c r="BE722" s="11">
        <f t="shared" si="722"/>
        <v>0</v>
      </c>
      <c r="BG722" s="11">
        <f t="shared" si="723"/>
        <v>0</v>
      </c>
      <c r="BN722" s="8">
        <f t="shared" si="724"/>
        <v>0</v>
      </c>
      <c r="BO722" s="8">
        <f t="shared" si="725"/>
        <v>0</v>
      </c>
      <c r="BP722" s="8">
        <f t="shared" si="662"/>
        <v>0</v>
      </c>
      <c r="BQ722" s="12">
        <f t="shared" si="663"/>
        <v>0</v>
      </c>
    </row>
    <row r="723" spans="1:69">
      <c r="A723" s="28">
        <v>1980</v>
      </c>
      <c r="B723" s="27" t="s">
        <v>57</v>
      </c>
      <c r="C723" s="24">
        <f t="shared" si="704"/>
        <v>698</v>
      </c>
      <c r="D723" s="7">
        <f t="shared" ca="1" si="705"/>
        <v>4.5028142589118199E-2</v>
      </c>
      <c r="E723" s="26">
        <f t="array" aca="1" ref="E723" ca="1">AVERAGE(IF(INDIRECT(DatCol&amp;"$"&amp;TEXT(C723,"###")):INDIRECT(DatCol&amp;"$"&amp;TEXT(C723+57,"###"))&gt;0,INDIRECT(DatCol&amp;"$"&amp;TEXT(C723,"###")):INDIRECT(DatCol&amp;"$"&amp;TEXT(C723+57,"###"))))</f>
        <v>799.5</v>
      </c>
      <c r="F723" s="26" t="str">
        <f t="shared" si="682"/>
        <v>B</v>
      </c>
      <c r="G723" s="8"/>
      <c r="H723" s="8">
        <v>55</v>
      </c>
      <c r="I723" s="8">
        <v>220</v>
      </c>
      <c r="J723" s="8">
        <v>1331</v>
      </c>
      <c r="K723" s="9">
        <f t="shared" si="726"/>
        <v>1386</v>
      </c>
      <c r="M723" s="11">
        <f t="shared" si="706"/>
        <v>0</v>
      </c>
      <c r="N723" s="12">
        <v>36</v>
      </c>
      <c r="O723" s="11">
        <f t="shared" si="707"/>
        <v>1800</v>
      </c>
      <c r="P723" s="12">
        <v>4315</v>
      </c>
      <c r="Q723" s="11">
        <f t="shared" si="708"/>
        <v>258900</v>
      </c>
      <c r="X723" s="12">
        <v>695</v>
      </c>
      <c r="Y723" s="11">
        <f t="shared" si="709"/>
        <v>41700</v>
      </c>
      <c r="AG723" s="11">
        <f t="shared" si="710"/>
        <v>0</v>
      </c>
      <c r="AH723" s="12">
        <v>17</v>
      </c>
      <c r="AI723" s="11">
        <f t="shared" si="711"/>
        <v>1105</v>
      </c>
      <c r="AK723" s="13">
        <f t="shared" si="712"/>
        <v>0</v>
      </c>
      <c r="AL723" s="12">
        <v>65</v>
      </c>
      <c r="AM723" s="13">
        <f t="shared" si="713"/>
        <v>585</v>
      </c>
      <c r="AO723" s="11">
        <f t="shared" si="714"/>
        <v>0</v>
      </c>
      <c r="AQ723" s="11">
        <f t="shared" si="715"/>
        <v>0</v>
      </c>
      <c r="AS723" s="11">
        <f t="shared" si="716"/>
        <v>0</v>
      </c>
      <c r="AU723" s="11">
        <f t="shared" si="717"/>
        <v>0</v>
      </c>
      <c r="AW723" s="11">
        <f t="shared" si="718"/>
        <v>0</v>
      </c>
      <c r="AY723" s="11">
        <f t="shared" si="719"/>
        <v>0</v>
      </c>
      <c r="BA723" s="11">
        <f t="shared" si="720"/>
        <v>0</v>
      </c>
      <c r="BC723" s="11">
        <f t="shared" si="721"/>
        <v>0</v>
      </c>
      <c r="BE723" s="11">
        <f t="shared" si="722"/>
        <v>0</v>
      </c>
      <c r="BG723" s="11">
        <f t="shared" si="723"/>
        <v>0</v>
      </c>
      <c r="BN723" s="8">
        <f t="shared" si="724"/>
        <v>5010</v>
      </c>
      <c r="BO723" s="8">
        <f t="shared" si="725"/>
        <v>300600</v>
      </c>
      <c r="BP723" s="8">
        <f t="shared" si="662"/>
        <v>813</v>
      </c>
      <c r="BQ723" s="12">
        <f t="shared" si="663"/>
        <v>45190</v>
      </c>
    </row>
    <row r="724" spans="1:69">
      <c r="A724" s="28">
        <v>1981</v>
      </c>
      <c r="B724" s="27" t="s">
        <v>57</v>
      </c>
      <c r="C724" s="24">
        <f t="shared" si="704"/>
        <v>698</v>
      </c>
      <c r="D724" s="7">
        <f t="shared" ca="1" si="705"/>
        <v>8.5053158223889938E-2</v>
      </c>
      <c r="E724" s="26">
        <f t="array" aca="1" ref="E724" ca="1">AVERAGE(IF(INDIRECT(DatCol&amp;"$"&amp;TEXT(C724,"###")):INDIRECT(DatCol&amp;"$"&amp;TEXT(C724+57,"###"))&gt;0,INDIRECT(DatCol&amp;"$"&amp;TEXT(C724,"###")):INDIRECT(DatCol&amp;"$"&amp;TEXT(C724+57,"###"))))</f>
        <v>799.5</v>
      </c>
      <c r="F724" s="26" t="str">
        <f t="shared" si="682"/>
        <v>B</v>
      </c>
      <c r="G724" s="8"/>
      <c r="H724" s="8">
        <v>99</v>
      </c>
      <c r="I724" s="8">
        <v>122</v>
      </c>
      <c r="J724" s="8">
        <v>1473</v>
      </c>
      <c r="K724" s="9">
        <f t="shared" si="726"/>
        <v>1572</v>
      </c>
      <c r="M724" s="11">
        <f t="shared" si="706"/>
        <v>0</v>
      </c>
      <c r="N724" s="12">
        <v>68</v>
      </c>
      <c r="O724" s="11">
        <f t="shared" si="707"/>
        <v>3400</v>
      </c>
      <c r="P724" s="12">
        <v>9100</v>
      </c>
      <c r="Q724" s="11">
        <f t="shared" si="708"/>
        <v>546000</v>
      </c>
      <c r="X724" s="12">
        <v>1090</v>
      </c>
      <c r="Y724" s="11">
        <f t="shared" si="709"/>
        <v>65400</v>
      </c>
      <c r="AG724" s="11">
        <f t="shared" si="710"/>
        <v>0</v>
      </c>
      <c r="AH724" s="12">
        <v>210</v>
      </c>
      <c r="AI724" s="11">
        <f t="shared" si="711"/>
        <v>13650</v>
      </c>
      <c r="AK724" s="13">
        <f t="shared" si="712"/>
        <v>0</v>
      </c>
      <c r="AL724" s="12" t="s">
        <v>21</v>
      </c>
      <c r="AM724" s="13">
        <f t="shared" si="713"/>
        <v>0</v>
      </c>
      <c r="AO724" s="11">
        <f t="shared" si="714"/>
        <v>0</v>
      </c>
      <c r="AQ724" s="11">
        <f t="shared" si="715"/>
        <v>0</v>
      </c>
      <c r="AS724" s="11">
        <f t="shared" si="716"/>
        <v>0</v>
      </c>
      <c r="AU724" s="11">
        <f t="shared" si="717"/>
        <v>0</v>
      </c>
      <c r="AW724" s="11">
        <f t="shared" si="718"/>
        <v>0</v>
      </c>
      <c r="AY724" s="11">
        <f t="shared" si="719"/>
        <v>0</v>
      </c>
      <c r="BA724" s="11">
        <f t="shared" si="720"/>
        <v>0</v>
      </c>
      <c r="BC724" s="11">
        <f t="shared" si="721"/>
        <v>0</v>
      </c>
      <c r="BE724" s="11">
        <f t="shared" si="722"/>
        <v>0</v>
      </c>
      <c r="BG724" s="11">
        <f t="shared" si="723"/>
        <v>0</v>
      </c>
      <c r="BN724" s="8">
        <f t="shared" si="724"/>
        <v>10190</v>
      </c>
      <c r="BO724" s="8">
        <f t="shared" si="725"/>
        <v>611400</v>
      </c>
      <c r="BP724" s="8">
        <f t="shared" si="662"/>
        <v>1368</v>
      </c>
      <c r="BQ724" s="12">
        <f t="shared" si="663"/>
        <v>82450</v>
      </c>
    </row>
    <row r="725" spans="1:69">
      <c r="A725" s="28">
        <v>1982</v>
      </c>
      <c r="B725" s="27" t="s">
        <v>57</v>
      </c>
      <c r="C725" s="24">
        <f t="shared" si="704"/>
        <v>698</v>
      </c>
      <c r="D725" s="7">
        <f t="shared" ca="1" si="705"/>
        <v>0.21888680425265791</v>
      </c>
      <c r="E725" s="26">
        <f t="array" aca="1" ref="E725" ca="1">AVERAGE(IF(INDIRECT(DatCol&amp;"$"&amp;TEXT(C725,"###")):INDIRECT(DatCol&amp;"$"&amp;TEXT(C725+57,"###"))&gt;0,INDIRECT(DatCol&amp;"$"&amp;TEXT(C725,"###")):INDIRECT(DatCol&amp;"$"&amp;TEXT(C725+57,"###"))))</f>
        <v>799.5</v>
      </c>
      <c r="F725" s="26" t="str">
        <f t="shared" si="682"/>
        <v>B</v>
      </c>
      <c r="G725" s="8">
        <v>123</v>
      </c>
      <c r="H725" s="8">
        <v>10</v>
      </c>
      <c r="I725" s="8">
        <v>80</v>
      </c>
      <c r="J725" s="8">
        <v>892</v>
      </c>
      <c r="K725" s="9">
        <f t="shared" si="726"/>
        <v>1025</v>
      </c>
      <c r="M725" s="11">
        <f t="shared" si="706"/>
        <v>0</v>
      </c>
      <c r="N725" s="12">
        <v>175</v>
      </c>
      <c r="O725" s="11">
        <f t="shared" si="707"/>
        <v>8750</v>
      </c>
      <c r="P725" s="12">
        <f>6010+13314+7585</f>
        <v>26909</v>
      </c>
      <c r="Q725" s="11">
        <f t="shared" si="708"/>
        <v>1614540</v>
      </c>
      <c r="X725" s="12">
        <f>660+920+1325</f>
        <v>2905</v>
      </c>
      <c r="Y725" s="11">
        <f t="shared" si="709"/>
        <v>174300</v>
      </c>
      <c r="AG725" s="11">
        <f t="shared" si="710"/>
        <v>0</v>
      </c>
      <c r="AH725" s="12">
        <v>550</v>
      </c>
      <c r="AI725" s="11">
        <f t="shared" si="711"/>
        <v>35750</v>
      </c>
      <c r="AK725" s="13">
        <f t="shared" si="712"/>
        <v>0</v>
      </c>
      <c r="AL725" s="12">
        <v>75</v>
      </c>
      <c r="AM725" s="13">
        <f t="shared" si="713"/>
        <v>675</v>
      </c>
      <c r="AO725" s="11">
        <f t="shared" si="714"/>
        <v>0</v>
      </c>
      <c r="AQ725" s="11">
        <f t="shared" si="715"/>
        <v>0</v>
      </c>
      <c r="AS725" s="11">
        <f t="shared" si="716"/>
        <v>0</v>
      </c>
      <c r="AU725" s="11">
        <f t="shared" si="717"/>
        <v>0</v>
      </c>
      <c r="AW725" s="11">
        <f t="shared" si="718"/>
        <v>0</v>
      </c>
      <c r="AY725" s="11">
        <f t="shared" si="719"/>
        <v>0</v>
      </c>
      <c r="BA725" s="11">
        <f t="shared" si="720"/>
        <v>0</v>
      </c>
      <c r="BC725" s="11">
        <f t="shared" si="721"/>
        <v>0</v>
      </c>
      <c r="BE725" s="11">
        <f t="shared" si="722"/>
        <v>0</v>
      </c>
      <c r="BG725" s="11">
        <f t="shared" si="723"/>
        <v>0</v>
      </c>
      <c r="BN725" s="8">
        <f t="shared" si="724"/>
        <v>29814</v>
      </c>
      <c r="BO725" s="8">
        <f t="shared" si="725"/>
        <v>1788840</v>
      </c>
      <c r="BP725" s="8">
        <f t="shared" si="662"/>
        <v>3705</v>
      </c>
      <c r="BQ725" s="12">
        <f t="shared" si="663"/>
        <v>219475</v>
      </c>
    </row>
    <row r="726" spans="1:69">
      <c r="A726" s="28">
        <v>1983</v>
      </c>
      <c r="B726" s="27" t="s">
        <v>57</v>
      </c>
      <c r="C726" s="24">
        <f t="shared" si="704"/>
        <v>698</v>
      </c>
      <c r="D726" s="7">
        <f t="shared" ca="1" si="705"/>
        <v>0.26516572858036275</v>
      </c>
      <c r="E726" s="26">
        <f t="array" aca="1" ref="E726" ca="1">AVERAGE(IF(INDIRECT(DatCol&amp;"$"&amp;TEXT(C726,"###")):INDIRECT(DatCol&amp;"$"&amp;TEXT(C726+57,"###"))&gt;0,INDIRECT(DatCol&amp;"$"&amp;TEXT(C726,"###")):INDIRECT(DatCol&amp;"$"&amp;TEXT(C726+57,"###"))))</f>
        <v>799.5</v>
      </c>
      <c r="F726" s="26" t="str">
        <f t="shared" si="682"/>
        <v>B</v>
      </c>
      <c r="G726" s="8">
        <v>137</v>
      </c>
      <c r="H726" s="8">
        <v>11</v>
      </c>
      <c r="I726" s="8">
        <v>126</v>
      </c>
      <c r="J726" s="8">
        <v>859</v>
      </c>
      <c r="K726" s="9">
        <f t="shared" si="726"/>
        <v>1007</v>
      </c>
      <c r="M726" s="11">
        <f t="shared" si="706"/>
        <v>0</v>
      </c>
      <c r="N726" s="12">
        <v>212</v>
      </c>
      <c r="O726" s="11">
        <f t="shared" si="707"/>
        <v>10600</v>
      </c>
      <c r="P726" s="12">
        <f>2130+4565</f>
        <v>6695</v>
      </c>
      <c r="Q726" s="11">
        <f t="shared" si="708"/>
        <v>401700</v>
      </c>
      <c r="X726" s="12">
        <v>2483</v>
      </c>
      <c r="Y726" s="11">
        <f t="shared" si="709"/>
        <v>148980</v>
      </c>
      <c r="AG726" s="11">
        <f t="shared" si="710"/>
        <v>0</v>
      </c>
      <c r="AH726" s="12">
        <v>255</v>
      </c>
      <c r="AI726" s="11">
        <f t="shared" si="711"/>
        <v>16575</v>
      </c>
      <c r="AK726" s="13">
        <f t="shared" si="712"/>
        <v>0</v>
      </c>
      <c r="AL726" s="12" t="s">
        <v>21</v>
      </c>
      <c r="AM726" s="13">
        <f t="shared" si="713"/>
        <v>0</v>
      </c>
      <c r="AO726" s="11">
        <f t="shared" si="714"/>
        <v>0</v>
      </c>
      <c r="AQ726" s="11">
        <f t="shared" si="715"/>
        <v>0</v>
      </c>
      <c r="AS726" s="11">
        <f t="shared" si="716"/>
        <v>0</v>
      </c>
      <c r="AU726" s="11">
        <f t="shared" si="717"/>
        <v>0</v>
      </c>
      <c r="AW726" s="11">
        <f t="shared" si="718"/>
        <v>0</v>
      </c>
      <c r="AY726" s="11">
        <f t="shared" si="719"/>
        <v>0</v>
      </c>
      <c r="BA726" s="11">
        <f t="shared" si="720"/>
        <v>0</v>
      </c>
      <c r="BC726" s="11">
        <f t="shared" si="721"/>
        <v>0</v>
      </c>
      <c r="BE726" s="11">
        <f t="shared" si="722"/>
        <v>0</v>
      </c>
      <c r="BG726" s="11">
        <f t="shared" si="723"/>
        <v>0</v>
      </c>
      <c r="BN726" s="8">
        <f t="shared" si="724"/>
        <v>9178</v>
      </c>
      <c r="BO726" s="8">
        <f t="shared" si="725"/>
        <v>550680</v>
      </c>
      <c r="BP726" s="8">
        <f t="shared" si="662"/>
        <v>2950</v>
      </c>
      <c r="BQ726" s="12">
        <f t="shared" si="663"/>
        <v>176155</v>
      </c>
    </row>
    <row r="727" spans="1:69">
      <c r="A727" s="28">
        <v>1984</v>
      </c>
      <c r="B727" s="27" t="s">
        <v>57</v>
      </c>
      <c r="C727" s="24">
        <f t="shared" si="704"/>
        <v>698</v>
      </c>
      <c r="D727" s="7">
        <f t="shared" ca="1" si="705"/>
        <v>0.27267041901188244</v>
      </c>
      <c r="E727" s="26">
        <f t="array" aca="1" ref="E727" ca="1">AVERAGE(IF(INDIRECT(DatCol&amp;"$"&amp;TEXT(C727,"###")):INDIRECT(DatCol&amp;"$"&amp;TEXT(C727+57,"###"))&gt;0,INDIRECT(DatCol&amp;"$"&amp;TEXT(C727,"###")):INDIRECT(DatCol&amp;"$"&amp;TEXT(C727+57,"###"))))</f>
        <v>799.5</v>
      </c>
      <c r="F727" s="26" t="str">
        <f t="shared" si="682"/>
        <v>B</v>
      </c>
      <c r="G727" s="8">
        <v>115</v>
      </c>
      <c r="H727" s="8">
        <v>14</v>
      </c>
      <c r="I727" s="8">
        <v>111</v>
      </c>
      <c r="J727" s="8">
        <v>743</v>
      </c>
      <c r="K727" s="9">
        <f t="shared" si="726"/>
        <v>872</v>
      </c>
      <c r="M727" s="11">
        <f t="shared" ref="M727:M757" si="727">(L727*50)</f>
        <v>0</v>
      </c>
      <c r="N727" s="12">
        <v>218</v>
      </c>
      <c r="O727" s="11">
        <f t="shared" ref="O727:O757" si="728">(N727*50)</f>
        <v>10900</v>
      </c>
      <c r="P727" s="12">
        <f>2555+3665+2895</f>
        <v>9115</v>
      </c>
      <c r="Q727" s="11">
        <f t="shared" ref="Q727:Q757" si="729">((P727*330)/5.5)</f>
        <v>546900</v>
      </c>
      <c r="X727" s="12">
        <f>520+900+435</f>
        <v>1855</v>
      </c>
      <c r="Y727" s="11">
        <f t="shared" ref="Y727:Y757" si="730">((X727*330)/5.5)</f>
        <v>111300</v>
      </c>
      <c r="AG727" s="11">
        <f t="shared" ref="AG727:AG757" si="731">(AF727*65)</f>
        <v>0</v>
      </c>
      <c r="AH727" s="12">
        <v>340</v>
      </c>
      <c r="AI727" s="11">
        <f t="shared" ref="AI727:AI757" si="732">(AH727*65)</f>
        <v>22100</v>
      </c>
      <c r="AJ727" s="10">
        <v>750</v>
      </c>
      <c r="AK727" s="13">
        <f t="shared" ref="AK727:AK757" si="733">(AJ727*9)</f>
        <v>6750</v>
      </c>
      <c r="AL727" s="10">
        <v>110</v>
      </c>
      <c r="AM727" s="13">
        <f t="shared" ref="AM727:AM757" si="734">(AL727*9)</f>
        <v>990</v>
      </c>
      <c r="AO727" s="11">
        <f t="shared" ref="AO727:AO757" si="735">(AN727*80)</f>
        <v>0</v>
      </c>
      <c r="AQ727" s="11">
        <f t="shared" ref="AQ727:AQ757" si="736">(AP727*80)</f>
        <v>0</v>
      </c>
      <c r="AS727" s="11">
        <f t="shared" ref="AS727:AS757" si="737">(AR727*50)</f>
        <v>0</v>
      </c>
      <c r="AU727" s="11">
        <f t="shared" ref="AU727:AU757" si="738">(AT727*50)</f>
        <v>0</v>
      </c>
      <c r="AW727" s="11">
        <f t="shared" ref="AW727:AW757" si="739">(AV727*60)</f>
        <v>0</v>
      </c>
      <c r="AY727" s="11">
        <f t="shared" ref="AY727:AY757" si="740">(AX727*60)</f>
        <v>0</v>
      </c>
      <c r="BA727" s="11">
        <f t="shared" ref="BA727:BA757" si="741">(AZ727*40)</f>
        <v>0</v>
      </c>
      <c r="BC727" s="11">
        <f t="shared" ref="BC727:BC757" si="742">(BB727*40)</f>
        <v>0</v>
      </c>
      <c r="BE727" s="11">
        <f t="shared" ref="BE727:BE757" si="743">(BD727*95)</f>
        <v>0</v>
      </c>
      <c r="BG727" s="11">
        <f t="shared" ref="BG727:BG757" si="744">(BF727*95)</f>
        <v>0</v>
      </c>
      <c r="BN727" s="8">
        <f t="shared" si="724"/>
        <v>11720</v>
      </c>
      <c r="BO727" s="8">
        <f t="shared" si="725"/>
        <v>664950</v>
      </c>
      <c r="BP727" s="8">
        <f t="shared" si="662"/>
        <v>2523</v>
      </c>
      <c r="BQ727" s="12">
        <f t="shared" si="663"/>
        <v>145290</v>
      </c>
    </row>
    <row r="728" spans="1:69">
      <c r="A728" s="28">
        <v>1985</v>
      </c>
      <c r="B728" s="27" t="s">
        <v>57</v>
      </c>
      <c r="C728" s="24">
        <f t="shared" si="704"/>
        <v>698</v>
      </c>
      <c r="D728" s="7">
        <f t="shared" ca="1" si="705"/>
        <v>1.4071294559099436</v>
      </c>
      <c r="E728" s="26">
        <f t="array" aca="1" ref="E728" ca="1">AVERAGE(IF(INDIRECT(DatCol&amp;"$"&amp;TEXT(C728,"###")):INDIRECT(DatCol&amp;"$"&amp;TEXT(C728+57,"###"))&gt;0,INDIRECT(DatCol&amp;"$"&amp;TEXT(C728,"###")):INDIRECT(DatCol&amp;"$"&amp;TEXT(C728+57,"###"))))</f>
        <v>799.5</v>
      </c>
      <c r="F728" s="26" t="str">
        <f t="shared" si="682"/>
        <v>B</v>
      </c>
      <c r="G728" s="8">
        <v>128</v>
      </c>
      <c r="H728" s="8">
        <v>14</v>
      </c>
      <c r="I728" s="8">
        <v>64</v>
      </c>
      <c r="J728" s="8">
        <v>848</v>
      </c>
      <c r="K728" s="9">
        <f t="shared" si="726"/>
        <v>990</v>
      </c>
      <c r="M728" s="11">
        <f t="shared" si="727"/>
        <v>0</v>
      </c>
      <c r="N728" s="12">
        <v>1125</v>
      </c>
      <c r="O728" s="11">
        <f t="shared" si="728"/>
        <v>56250</v>
      </c>
      <c r="P728" s="12">
        <f>5640+5950+3950</f>
        <v>15540</v>
      </c>
      <c r="Q728" s="11">
        <f t="shared" si="729"/>
        <v>932400</v>
      </c>
      <c r="X728" s="12">
        <f>1225+1675+800</f>
        <v>3700</v>
      </c>
      <c r="Y728" s="11">
        <f t="shared" si="730"/>
        <v>222000</v>
      </c>
      <c r="AG728" s="11">
        <f t="shared" si="731"/>
        <v>0</v>
      </c>
      <c r="AH728" s="12">
        <v>650</v>
      </c>
      <c r="AI728" s="11">
        <f t="shared" si="732"/>
        <v>42250</v>
      </c>
      <c r="AK728" s="13">
        <f t="shared" si="733"/>
        <v>0</v>
      </c>
      <c r="AL728" s="12">
        <v>50</v>
      </c>
      <c r="AM728" s="13">
        <f t="shared" si="734"/>
        <v>450</v>
      </c>
      <c r="AO728" s="11">
        <f t="shared" si="735"/>
        <v>0</v>
      </c>
      <c r="AQ728" s="11">
        <f t="shared" si="736"/>
        <v>0</v>
      </c>
      <c r="AS728" s="11">
        <f t="shared" si="737"/>
        <v>0</v>
      </c>
      <c r="AU728" s="11">
        <f t="shared" si="738"/>
        <v>0</v>
      </c>
      <c r="AW728" s="11">
        <f t="shared" si="739"/>
        <v>0</v>
      </c>
      <c r="AY728" s="11">
        <f t="shared" si="740"/>
        <v>0</v>
      </c>
      <c r="BA728" s="11">
        <f t="shared" si="741"/>
        <v>0</v>
      </c>
      <c r="BC728" s="11">
        <f t="shared" si="742"/>
        <v>0</v>
      </c>
      <c r="BE728" s="11">
        <f t="shared" si="743"/>
        <v>0</v>
      </c>
      <c r="BG728" s="11">
        <f t="shared" si="744"/>
        <v>0</v>
      </c>
      <c r="BN728" s="8">
        <f t="shared" si="724"/>
        <v>19240</v>
      </c>
      <c r="BO728" s="8">
        <f t="shared" si="725"/>
        <v>1154400</v>
      </c>
      <c r="BP728" s="8">
        <f t="shared" ref="BP728:BP792" si="745">(N728+X728+Z728+AB728+AD728+AH728+AL728+AP728+AT728+AX728+BB728+BF728)</f>
        <v>5525</v>
      </c>
      <c r="BQ728" s="12">
        <f t="shared" ref="BQ728:BQ792" si="746">(O728+Y728+AA728+AC728+AE728+AI728+AM728+AQ728+AU728+AY728+BC728+BG728)</f>
        <v>320950</v>
      </c>
    </row>
    <row r="729" spans="1:69">
      <c r="A729" s="28">
        <v>1986</v>
      </c>
      <c r="B729" s="27" t="s">
        <v>57</v>
      </c>
      <c r="C729" s="24">
        <f t="shared" si="704"/>
        <v>698</v>
      </c>
      <c r="D729" s="7">
        <f t="shared" ca="1" si="705"/>
        <v>1.2195121951219512</v>
      </c>
      <c r="E729" s="26">
        <f t="array" aca="1" ref="E729" ca="1">AVERAGE(IF(INDIRECT(DatCol&amp;"$"&amp;TEXT(C729,"###")):INDIRECT(DatCol&amp;"$"&amp;TEXT(C729+57,"###"))&gt;0,INDIRECT(DatCol&amp;"$"&amp;TEXT(C729,"###")):INDIRECT(DatCol&amp;"$"&amp;TEXT(C729+57,"###"))))</f>
        <v>799.5</v>
      </c>
      <c r="F729" s="26" t="str">
        <f t="shared" si="682"/>
        <v>B</v>
      </c>
      <c r="G729" s="8">
        <v>111</v>
      </c>
      <c r="H729" s="8">
        <v>21</v>
      </c>
      <c r="I729" s="8">
        <v>58</v>
      </c>
      <c r="J729" s="8">
        <v>754</v>
      </c>
      <c r="K729" s="9">
        <f t="shared" si="726"/>
        <v>886</v>
      </c>
      <c r="M729" s="11">
        <f t="shared" si="727"/>
        <v>0</v>
      </c>
      <c r="N729" s="12">
        <v>975</v>
      </c>
      <c r="O729" s="11">
        <f t="shared" si="728"/>
        <v>48750</v>
      </c>
      <c r="P729" s="12">
        <v>13210</v>
      </c>
      <c r="Q729" s="11">
        <f t="shared" si="729"/>
        <v>792600</v>
      </c>
      <c r="X729" s="12">
        <v>3425</v>
      </c>
      <c r="Y729" s="11">
        <f t="shared" si="730"/>
        <v>205500</v>
      </c>
      <c r="AG729" s="11">
        <f t="shared" si="731"/>
        <v>0</v>
      </c>
      <c r="AH729" s="12">
        <v>375</v>
      </c>
      <c r="AI729" s="11">
        <f t="shared" si="732"/>
        <v>24375</v>
      </c>
      <c r="AK729" s="13">
        <f t="shared" si="733"/>
        <v>0</v>
      </c>
      <c r="AM729" s="13">
        <f t="shared" si="734"/>
        <v>0</v>
      </c>
      <c r="AO729" s="11">
        <f t="shared" si="735"/>
        <v>0</v>
      </c>
      <c r="AQ729" s="11">
        <f t="shared" si="736"/>
        <v>0</v>
      </c>
      <c r="AS729" s="11">
        <f t="shared" si="737"/>
        <v>0</v>
      </c>
      <c r="AU729" s="11">
        <f t="shared" si="738"/>
        <v>0</v>
      </c>
      <c r="AW729" s="11">
        <f t="shared" si="739"/>
        <v>0</v>
      </c>
      <c r="AY729" s="11">
        <f t="shared" si="740"/>
        <v>0</v>
      </c>
      <c r="BA729" s="11">
        <f t="shared" si="741"/>
        <v>0</v>
      </c>
      <c r="BC729" s="11">
        <f t="shared" si="742"/>
        <v>0</v>
      </c>
      <c r="BE729" s="11">
        <f t="shared" si="743"/>
        <v>0</v>
      </c>
      <c r="BG729" s="11">
        <f t="shared" si="744"/>
        <v>0</v>
      </c>
      <c r="BN729" s="8">
        <f t="shared" si="724"/>
        <v>16635</v>
      </c>
      <c r="BO729" s="8">
        <f t="shared" si="725"/>
        <v>998100</v>
      </c>
      <c r="BP729" s="8">
        <f t="shared" si="745"/>
        <v>4775</v>
      </c>
      <c r="BQ729" s="12">
        <f t="shared" si="746"/>
        <v>278625</v>
      </c>
    </row>
    <row r="730" spans="1:69">
      <c r="A730" s="28">
        <v>1987</v>
      </c>
      <c r="B730" s="27" t="s">
        <v>57</v>
      </c>
      <c r="C730" s="24">
        <f t="shared" si="704"/>
        <v>698</v>
      </c>
      <c r="D730" s="7">
        <f t="shared" ca="1" si="705"/>
        <v>1.5634771732332708</v>
      </c>
      <c r="E730" s="26">
        <f t="array" aca="1" ref="E730" ca="1">AVERAGE(IF(INDIRECT(DatCol&amp;"$"&amp;TEXT(C730,"###")):INDIRECT(DatCol&amp;"$"&amp;TEXT(C730+57,"###"))&gt;0,INDIRECT(DatCol&amp;"$"&amp;TEXT(C730,"###")):INDIRECT(DatCol&amp;"$"&amp;TEXT(C730+57,"###"))))</f>
        <v>799.5</v>
      </c>
      <c r="F730" s="26" t="str">
        <f t="shared" si="682"/>
        <v>B</v>
      </c>
      <c r="G730" s="8">
        <v>128</v>
      </c>
      <c r="H730" s="8">
        <v>26</v>
      </c>
      <c r="I730" s="8">
        <v>46</v>
      </c>
      <c r="J730" s="8">
        <v>784</v>
      </c>
      <c r="K730" s="9">
        <f t="shared" si="726"/>
        <v>938</v>
      </c>
      <c r="M730" s="11">
        <f t="shared" si="727"/>
        <v>0</v>
      </c>
      <c r="N730" s="12">
        <v>1250</v>
      </c>
      <c r="O730" s="11">
        <f t="shared" si="728"/>
        <v>62500</v>
      </c>
      <c r="P730" s="12">
        <f>3700+5600+5175</f>
        <v>14475</v>
      </c>
      <c r="Q730" s="11">
        <f t="shared" si="729"/>
        <v>868500</v>
      </c>
      <c r="X730" s="12">
        <f>1875+1300+1150</f>
        <v>4325</v>
      </c>
      <c r="Y730" s="11">
        <f t="shared" si="730"/>
        <v>259500</v>
      </c>
      <c r="AG730" s="11">
        <f t="shared" si="731"/>
        <v>0</v>
      </c>
      <c r="AH730" s="12">
        <v>600</v>
      </c>
      <c r="AI730" s="11">
        <f t="shared" si="732"/>
        <v>39000</v>
      </c>
      <c r="AK730" s="13">
        <f t="shared" si="733"/>
        <v>0</v>
      </c>
      <c r="AM730" s="13">
        <f t="shared" si="734"/>
        <v>0</v>
      </c>
      <c r="AO730" s="11">
        <f t="shared" si="735"/>
        <v>0</v>
      </c>
      <c r="AQ730" s="11">
        <f t="shared" si="736"/>
        <v>0</v>
      </c>
      <c r="AS730" s="11">
        <f t="shared" si="737"/>
        <v>0</v>
      </c>
      <c r="AU730" s="11">
        <f t="shared" si="738"/>
        <v>0</v>
      </c>
      <c r="AW730" s="11">
        <f t="shared" si="739"/>
        <v>0</v>
      </c>
      <c r="AY730" s="11">
        <f t="shared" si="740"/>
        <v>0</v>
      </c>
      <c r="BA730" s="11">
        <f t="shared" si="741"/>
        <v>0</v>
      </c>
      <c r="BC730" s="11">
        <f t="shared" si="742"/>
        <v>0</v>
      </c>
      <c r="BE730" s="11">
        <f t="shared" si="743"/>
        <v>0</v>
      </c>
      <c r="BG730" s="11">
        <f t="shared" si="744"/>
        <v>0</v>
      </c>
      <c r="BN730" s="8">
        <f t="shared" si="724"/>
        <v>18800</v>
      </c>
      <c r="BO730" s="8">
        <f t="shared" si="725"/>
        <v>1128000</v>
      </c>
      <c r="BP730" s="8">
        <f t="shared" si="745"/>
        <v>6175</v>
      </c>
      <c r="BQ730" s="12">
        <f t="shared" si="746"/>
        <v>361000</v>
      </c>
    </row>
    <row r="731" spans="1:69">
      <c r="A731" s="28">
        <v>1988</v>
      </c>
      <c r="B731" s="27" t="s">
        <v>57</v>
      </c>
      <c r="C731" s="24">
        <f t="shared" si="704"/>
        <v>698</v>
      </c>
      <c r="D731" s="7" t="e">
        <f t="shared" ca="1" si="705"/>
        <v>#N/A</v>
      </c>
      <c r="E731" s="26">
        <f t="array" aca="1" ref="E731" ca="1">AVERAGE(IF(INDIRECT(DatCol&amp;"$"&amp;TEXT(C731,"###")):INDIRECT(DatCol&amp;"$"&amp;TEXT(C731+57,"###"))&gt;0,INDIRECT(DatCol&amp;"$"&amp;TEXT(C731,"###")):INDIRECT(DatCol&amp;"$"&amp;TEXT(C731+57,"###"))))</f>
        <v>799.5</v>
      </c>
      <c r="F731" s="26" t="str">
        <f t="shared" si="682"/>
        <v>B</v>
      </c>
      <c r="G731" s="8"/>
      <c r="H731" s="8" t="s">
        <v>28</v>
      </c>
      <c r="K731" s="9">
        <f t="shared" si="726"/>
        <v>0</v>
      </c>
      <c r="M731" s="11">
        <f t="shared" si="727"/>
        <v>0</v>
      </c>
      <c r="O731" s="11">
        <f t="shared" si="728"/>
        <v>0</v>
      </c>
      <c r="Q731" s="11">
        <f t="shared" si="729"/>
        <v>0</v>
      </c>
      <c r="Y731" s="11">
        <f t="shared" si="730"/>
        <v>0</v>
      </c>
      <c r="AG731" s="11">
        <f t="shared" si="731"/>
        <v>0</v>
      </c>
      <c r="AH731" s="12" t="s">
        <v>21</v>
      </c>
      <c r="AI731" s="11">
        <f t="shared" si="732"/>
        <v>0</v>
      </c>
      <c r="AK731" s="13">
        <f t="shared" si="733"/>
        <v>0</v>
      </c>
      <c r="AM731" s="13">
        <f t="shared" si="734"/>
        <v>0</v>
      </c>
      <c r="AO731" s="11">
        <f t="shared" si="735"/>
        <v>0</v>
      </c>
      <c r="AQ731" s="11">
        <f t="shared" si="736"/>
        <v>0</v>
      </c>
      <c r="AS731" s="11">
        <f t="shared" si="737"/>
        <v>0</v>
      </c>
      <c r="AU731" s="11">
        <f t="shared" si="738"/>
        <v>0</v>
      </c>
      <c r="AW731" s="11">
        <f t="shared" si="739"/>
        <v>0</v>
      </c>
      <c r="AY731" s="11">
        <f t="shared" si="740"/>
        <v>0</v>
      </c>
      <c r="BA731" s="11">
        <f t="shared" si="741"/>
        <v>0</v>
      </c>
      <c r="BC731" s="11">
        <f t="shared" si="742"/>
        <v>0</v>
      </c>
      <c r="BE731" s="11">
        <f t="shared" si="743"/>
        <v>0</v>
      </c>
      <c r="BG731" s="11">
        <f t="shared" si="744"/>
        <v>0</v>
      </c>
      <c r="BN731" s="8">
        <f t="shared" si="724"/>
        <v>0</v>
      </c>
      <c r="BO731" s="8">
        <f t="shared" si="725"/>
        <v>0</v>
      </c>
      <c r="BP731" s="8">
        <f t="shared" si="745"/>
        <v>0</v>
      </c>
      <c r="BQ731" s="12">
        <f t="shared" si="746"/>
        <v>0</v>
      </c>
    </row>
    <row r="732" spans="1:69">
      <c r="A732" s="28">
        <v>1989</v>
      </c>
      <c r="B732" s="27" t="s">
        <v>57</v>
      </c>
      <c r="C732" s="24">
        <f t="shared" si="704"/>
        <v>698</v>
      </c>
      <c r="D732" s="7">
        <f t="shared" ca="1" si="705"/>
        <v>1.3758599124452784</v>
      </c>
      <c r="E732" s="26">
        <f t="array" aca="1" ref="E732" ca="1">AVERAGE(IF(INDIRECT(DatCol&amp;"$"&amp;TEXT(C732,"###")):INDIRECT(DatCol&amp;"$"&amp;TEXT(C732+57,"###"))&gt;0,INDIRECT(DatCol&amp;"$"&amp;TEXT(C732,"###")):INDIRECT(DatCol&amp;"$"&amp;TEXT(C732+57,"###"))))</f>
        <v>799.5</v>
      </c>
      <c r="F732" s="26" t="str">
        <f t="shared" si="682"/>
        <v>B</v>
      </c>
      <c r="G732" s="8">
        <v>151</v>
      </c>
      <c r="H732" s="8">
        <v>12</v>
      </c>
      <c r="I732" s="8">
        <v>65</v>
      </c>
      <c r="J732" s="8">
        <v>688</v>
      </c>
      <c r="K732" s="9">
        <f t="shared" si="726"/>
        <v>851</v>
      </c>
      <c r="L732" s="12">
        <v>0</v>
      </c>
      <c r="M732" s="11">
        <f t="shared" si="727"/>
        <v>0</v>
      </c>
      <c r="N732" s="12">
        <v>1100</v>
      </c>
      <c r="O732" s="11">
        <f t="shared" si="728"/>
        <v>55000</v>
      </c>
      <c r="P732" s="12">
        <f>3975+6025+6050</f>
        <v>16050</v>
      </c>
      <c r="Q732" s="11">
        <f t="shared" si="729"/>
        <v>963000</v>
      </c>
      <c r="X732" s="12">
        <f>1750+1175+950</f>
        <v>3875</v>
      </c>
      <c r="Y732" s="11">
        <f t="shared" si="730"/>
        <v>232500</v>
      </c>
      <c r="AF732" s="12">
        <v>0</v>
      </c>
      <c r="AG732" s="11">
        <f t="shared" si="731"/>
        <v>0</v>
      </c>
      <c r="AH732" s="12">
        <v>300</v>
      </c>
      <c r="AI732" s="11">
        <f t="shared" si="732"/>
        <v>19500</v>
      </c>
      <c r="AJ732" s="12">
        <v>187</v>
      </c>
      <c r="AK732" s="13">
        <f t="shared" si="733"/>
        <v>1683</v>
      </c>
      <c r="AL732" s="12">
        <v>0</v>
      </c>
      <c r="AM732" s="13">
        <f t="shared" si="734"/>
        <v>0</v>
      </c>
      <c r="AO732" s="11">
        <f t="shared" si="735"/>
        <v>0</v>
      </c>
      <c r="AQ732" s="11">
        <f t="shared" si="736"/>
        <v>0</v>
      </c>
      <c r="AS732" s="11">
        <f t="shared" si="737"/>
        <v>0</v>
      </c>
      <c r="AU732" s="11">
        <f t="shared" si="738"/>
        <v>0</v>
      </c>
      <c r="AW732" s="11">
        <f t="shared" si="739"/>
        <v>0</v>
      </c>
      <c r="AY732" s="11">
        <f t="shared" si="740"/>
        <v>0</v>
      </c>
      <c r="BA732" s="11">
        <f t="shared" si="741"/>
        <v>0</v>
      </c>
      <c r="BC732" s="11">
        <f t="shared" si="742"/>
        <v>0</v>
      </c>
      <c r="BE732" s="11">
        <f t="shared" si="743"/>
        <v>0</v>
      </c>
      <c r="BG732" s="11">
        <f t="shared" si="744"/>
        <v>0</v>
      </c>
      <c r="BN732" s="8">
        <f t="shared" si="724"/>
        <v>20112</v>
      </c>
      <c r="BO732" s="8">
        <f t="shared" si="725"/>
        <v>1197183</v>
      </c>
      <c r="BP732" s="8">
        <f t="shared" si="745"/>
        <v>5275</v>
      </c>
      <c r="BQ732" s="12">
        <f t="shared" si="746"/>
        <v>307000</v>
      </c>
    </row>
    <row r="733" spans="1:69">
      <c r="A733" s="28">
        <v>1990</v>
      </c>
      <c r="B733" s="27" t="s">
        <v>57</v>
      </c>
      <c r="C733" s="24">
        <f t="shared" si="704"/>
        <v>698</v>
      </c>
      <c r="D733" s="7">
        <f t="shared" ca="1" si="705"/>
        <v>0.31269543464665417</v>
      </c>
      <c r="E733" s="26">
        <f t="array" aca="1" ref="E733" ca="1">AVERAGE(IF(INDIRECT(DatCol&amp;"$"&amp;TEXT(C733,"###")):INDIRECT(DatCol&amp;"$"&amp;TEXT(C733+57,"###"))&gt;0,INDIRECT(DatCol&amp;"$"&amp;TEXT(C733,"###")):INDIRECT(DatCol&amp;"$"&amp;TEXT(C733+57,"###"))))</f>
        <v>799.5</v>
      </c>
      <c r="F733" s="26" t="str">
        <f t="shared" si="682"/>
        <v>B</v>
      </c>
      <c r="G733" s="8">
        <v>123</v>
      </c>
      <c r="H733" s="8">
        <v>10</v>
      </c>
      <c r="I733" s="8">
        <v>44</v>
      </c>
      <c r="J733" s="8">
        <v>750</v>
      </c>
      <c r="K733" s="9">
        <f t="shared" si="726"/>
        <v>883</v>
      </c>
      <c r="L733" s="12">
        <v>0</v>
      </c>
      <c r="M733" s="11">
        <f t="shared" si="727"/>
        <v>0</v>
      </c>
      <c r="N733" s="12">
        <v>250</v>
      </c>
      <c r="O733" s="11">
        <f t="shared" si="728"/>
        <v>12500</v>
      </c>
      <c r="P733" s="12">
        <v>16400</v>
      </c>
      <c r="Q733" s="11">
        <f t="shared" si="729"/>
        <v>984000</v>
      </c>
      <c r="X733" s="12">
        <f>1800+1200+1000+1190</f>
        <v>5190</v>
      </c>
      <c r="Y733" s="11">
        <f t="shared" si="730"/>
        <v>311400</v>
      </c>
      <c r="AF733" s="12">
        <v>0</v>
      </c>
      <c r="AG733" s="11">
        <f t="shared" si="731"/>
        <v>0</v>
      </c>
      <c r="AH733" s="12">
        <v>0</v>
      </c>
      <c r="AI733" s="11">
        <f t="shared" si="732"/>
        <v>0</v>
      </c>
      <c r="AJ733" s="12">
        <v>0</v>
      </c>
      <c r="AK733" s="13">
        <f t="shared" si="733"/>
        <v>0</v>
      </c>
      <c r="AL733" s="12">
        <v>0</v>
      </c>
      <c r="AM733" s="13">
        <f t="shared" si="734"/>
        <v>0</v>
      </c>
      <c r="AO733" s="11">
        <f t="shared" si="735"/>
        <v>0</v>
      </c>
      <c r="AQ733" s="11">
        <f t="shared" si="736"/>
        <v>0</v>
      </c>
      <c r="AS733" s="11">
        <f t="shared" si="737"/>
        <v>0</v>
      </c>
      <c r="AU733" s="11">
        <f t="shared" si="738"/>
        <v>0</v>
      </c>
      <c r="AW733" s="11">
        <f t="shared" si="739"/>
        <v>0</v>
      </c>
      <c r="AY733" s="11">
        <f t="shared" si="740"/>
        <v>0</v>
      </c>
      <c r="BA733" s="11">
        <f t="shared" si="741"/>
        <v>0</v>
      </c>
      <c r="BC733" s="11">
        <f t="shared" si="742"/>
        <v>0</v>
      </c>
      <c r="BE733" s="11">
        <f t="shared" si="743"/>
        <v>0</v>
      </c>
      <c r="BG733" s="11">
        <f t="shared" si="744"/>
        <v>0</v>
      </c>
      <c r="BN733" s="8">
        <f t="shared" si="724"/>
        <v>21590</v>
      </c>
      <c r="BO733" s="8">
        <f t="shared" si="725"/>
        <v>1295400</v>
      </c>
      <c r="BP733" s="8">
        <f t="shared" si="745"/>
        <v>5440</v>
      </c>
      <c r="BQ733" s="12">
        <f t="shared" si="746"/>
        <v>323900</v>
      </c>
    </row>
    <row r="734" spans="1:69">
      <c r="A734" s="28">
        <v>1991</v>
      </c>
      <c r="B734" s="27" t="s">
        <v>57</v>
      </c>
      <c r="C734" s="24">
        <f t="shared" si="704"/>
        <v>698</v>
      </c>
      <c r="D734" s="7">
        <f t="shared" ca="1" si="705"/>
        <v>0.43777360850531583</v>
      </c>
      <c r="E734" s="26">
        <f t="array" aca="1" ref="E734" ca="1">AVERAGE(IF(INDIRECT(DatCol&amp;"$"&amp;TEXT(C734,"###")):INDIRECT(DatCol&amp;"$"&amp;TEXT(C734+57,"###"))&gt;0,INDIRECT(DatCol&amp;"$"&amp;TEXT(C734,"###")):INDIRECT(DatCol&amp;"$"&amp;TEXT(C734+57,"###"))))</f>
        <v>799.5</v>
      </c>
      <c r="F734" s="26" t="str">
        <f t="shared" si="682"/>
        <v>B</v>
      </c>
      <c r="G734" s="8">
        <v>150</v>
      </c>
      <c r="H734" s="8">
        <v>3</v>
      </c>
      <c r="I734" s="8">
        <v>70</v>
      </c>
      <c r="J734" s="8">
        <v>920</v>
      </c>
      <c r="K734" s="9">
        <f t="shared" si="726"/>
        <v>1073</v>
      </c>
      <c r="L734" s="12">
        <v>0</v>
      </c>
      <c r="M734" s="11">
        <f t="shared" si="727"/>
        <v>0</v>
      </c>
      <c r="N734" s="12">
        <v>350</v>
      </c>
      <c r="O734" s="11">
        <f t="shared" si="728"/>
        <v>17500</v>
      </c>
      <c r="P734" s="12">
        <f>3800+4000+3300</f>
        <v>11100</v>
      </c>
      <c r="Q734" s="11">
        <f t="shared" si="729"/>
        <v>666000</v>
      </c>
      <c r="X734" s="12">
        <f>2000+1500+1100+2000</f>
        <v>6600</v>
      </c>
      <c r="Y734" s="11">
        <f t="shared" si="730"/>
        <v>396000</v>
      </c>
      <c r="AF734" s="12">
        <v>0</v>
      </c>
      <c r="AG734" s="11">
        <f t="shared" si="731"/>
        <v>0</v>
      </c>
      <c r="AH734" s="12">
        <v>0</v>
      </c>
      <c r="AI734" s="11">
        <f t="shared" si="732"/>
        <v>0</v>
      </c>
      <c r="AJ734" s="12">
        <v>0</v>
      </c>
      <c r="AK734" s="13">
        <f t="shared" si="733"/>
        <v>0</v>
      </c>
      <c r="AL734" s="12">
        <v>0</v>
      </c>
      <c r="AM734" s="13">
        <f t="shared" si="734"/>
        <v>0</v>
      </c>
      <c r="AN734" s="12">
        <v>0</v>
      </c>
      <c r="AO734" s="11">
        <f t="shared" si="735"/>
        <v>0</v>
      </c>
      <c r="AP734" s="12">
        <v>0</v>
      </c>
      <c r="AQ734" s="11">
        <f t="shared" si="736"/>
        <v>0</v>
      </c>
      <c r="AR734" s="12">
        <v>0</v>
      </c>
      <c r="AS734" s="11">
        <f t="shared" si="737"/>
        <v>0</v>
      </c>
      <c r="AT734" s="12">
        <v>0</v>
      </c>
      <c r="AU734" s="11">
        <f t="shared" si="738"/>
        <v>0</v>
      </c>
      <c r="AV734" s="12">
        <v>0</v>
      </c>
      <c r="AW734" s="11">
        <f t="shared" si="739"/>
        <v>0</v>
      </c>
      <c r="AX734" s="12">
        <v>0</v>
      </c>
      <c r="AY734" s="11">
        <f t="shared" si="740"/>
        <v>0</v>
      </c>
      <c r="AZ734" s="12">
        <v>0</v>
      </c>
      <c r="BA734" s="11">
        <f t="shared" si="741"/>
        <v>0</v>
      </c>
      <c r="BB734" s="12">
        <v>0</v>
      </c>
      <c r="BC734" s="11">
        <f t="shared" si="742"/>
        <v>0</v>
      </c>
      <c r="BD734" s="12">
        <v>0</v>
      </c>
      <c r="BE734" s="11">
        <f t="shared" si="743"/>
        <v>0</v>
      </c>
      <c r="BF734" s="12">
        <v>0</v>
      </c>
      <c r="BG734" s="11">
        <f t="shared" si="744"/>
        <v>0</v>
      </c>
      <c r="BN734" s="8">
        <f t="shared" si="724"/>
        <v>17700</v>
      </c>
      <c r="BO734" s="8">
        <f t="shared" si="725"/>
        <v>1062000</v>
      </c>
      <c r="BP734" s="8">
        <f t="shared" si="745"/>
        <v>6950</v>
      </c>
      <c r="BQ734" s="12">
        <f t="shared" si="746"/>
        <v>413500</v>
      </c>
    </row>
    <row r="735" spans="1:69">
      <c r="A735" s="28">
        <v>1992</v>
      </c>
      <c r="B735" s="27" t="s">
        <v>57</v>
      </c>
      <c r="C735" s="24">
        <f t="shared" si="704"/>
        <v>698</v>
      </c>
      <c r="D735" s="7">
        <f t="shared" ca="1" si="705"/>
        <v>1.125703564727955</v>
      </c>
      <c r="E735" s="26">
        <f t="array" aca="1" ref="E735" ca="1">AVERAGE(IF(INDIRECT(DatCol&amp;"$"&amp;TEXT(C735,"###")):INDIRECT(DatCol&amp;"$"&amp;TEXT(C735+57,"###"))&gt;0,INDIRECT(DatCol&amp;"$"&amp;TEXT(C735,"###")):INDIRECT(DatCol&amp;"$"&amp;TEXT(C735+57,"###"))))</f>
        <v>799.5</v>
      </c>
      <c r="F735" s="26" t="str">
        <f t="shared" si="682"/>
        <v>B</v>
      </c>
      <c r="G735" s="8">
        <v>200</v>
      </c>
      <c r="H735" s="8">
        <v>5</v>
      </c>
      <c r="I735" s="8">
        <v>45</v>
      </c>
      <c r="J735" s="8">
        <v>900</v>
      </c>
      <c r="K735" s="9">
        <f t="shared" si="726"/>
        <v>1105</v>
      </c>
      <c r="L735" s="12">
        <v>0</v>
      </c>
      <c r="M735" s="11">
        <f t="shared" si="727"/>
        <v>0</v>
      </c>
      <c r="N735" s="12">
        <v>900</v>
      </c>
      <c r="O735" s="11">
        <f t="shared" si="728"/>
        <v>45000</v>
      </c>
      <c r="P735" s="12">
        <f>3800+2600</f>
        <v>6400</v>
      </c>
      <c r="Q735" s="11">
        <f t="shared" si="729"/>
        <v>384000</v>
      </c>
      <c r="X735" s="12">
        <v>7000</v>
      </c>
      <c r="Y735" s="11">
        <f t="shared" si="730"/>
        <v>420000</v>
      </c>
      <c r="AF735" s="12">
        <v>0</v>
      </c>
      <c r="AG735" s="11">
        <f t="shared" si="731"/>
        <v>0</v>
      </c>
      <c r="AH735" s="12">
        <v>3</v>
      </c>
      <c r="AI735" s="11">
        <f t="shared" si="732"/>
        <v>195</v>
      </c>
      <c r="AJ735" s="12">
        <v>0</v>
      </c>
      <c r="AK735" s="13">
        <f t="shared" si="733"/>
        <v>0</v>
      </c>
      <c r="AL735" s="12">
        <v>10</v>
      </c>
      <c r="AM735" s="13">
        <f t="shared" si="734"/>
        <v>90</v>
      </c>
      <c r="AN735" s="12">
        <v>0</v>
      </c>
      <c r="AO735" s="11">
        <f t="shared" si="735"/>
        <v>0</v>
      </c>
      <c r="AP735" s="12">
        <v>0</v>
      </c>
      <c r="AQ735" s="11">
        <f t="shared" si="736"/>
        <v>0</v>
      </c>
      <c r="AR735" s="12">
        <v>0</v>
      </c>
      <c r="AS735" s="11">
        <f t="shared" si="737"/>
        <v>0</v>
      </c>
      <c r="AT735" s="12">
        <v>0</v>
      </c>
      <c r="AU735" s="11">
        <f t="shared" si="738"/>
        <v>0</v>
      </c>
      <c r="AV735" s="12">
        <v>0</v>
      </c>
      <c r="AW735" s="11">
        <f t="shared" si="739"/>
        <v>0</v>
      </c>
      <c r="AX735" s="12">
        <v>0</v>
      </c>
      <c r="AY735" s="11">
        <f t="shared" si="740"/>
        <v>0</v>
      </c>
      <c r="AZ735" s="12">
        <v>0</v>
      </c>
      <c r="BA735" s="11">
        <f t="shared" si="741"/>
        <v>0</v>
      </c>
      <c r="BC735" s="11">
        <f t="shared" si="742"/>
        <v>0</v>
      </c>
      <c r="BD735" s="12">
        <v>0</v>
      </c>
      <c r="BE735" s="11">
        <f t="shared" si="743"/>
        <v>0</v>
      </c>
      <c r="BF735" s="12">
        <v>0</v>
      </c>
      <c r="BG735" s="11">
        <f t="shared" si="744"/>
        <v>0</v>
      </c>
      <c r="BN735" s="8">
        <f t="shared" si="724"/>
        <v>13400</v>
      </c>
      <c r="BO735" s="8">
        <f t="shared" si="725"/>
        <v>804000</v>
      </c>
      <c r="BP735" s="8">
        <f t="shared" si="745"/>
        <v>7913</v>
      </c>
      <c r="BQ735" s="12">
        <f t="shared" si="746"/>
        <v>465285</v>
      </c>
    </row>
    <row r="736" spans="1:69">
      <c r="A736" s="28">
        <v>1993</v>
      </c>
      <c r="B736" s="27" t="s">
        <v>57</v>
      </c>
      <c r="C736" s="24">
        <f t="shared" si="704"/>
        <v>698</v>
      </c>
      <c r="D736" s="7">
        <f t="shared" ca="1" si="705"/>
        <v>1.3758599124452784</v>
      </c>
      <c r="E736" s="26">
        <f t="array" aca="1" ref="E736" ca="1">AVERAGE(IF(INDIRECT(DatCol&amp;"$"&amp;TEXT(C736,"###")):INDIRECT(DatCol&amp;"$"&amp;TEXT(C736+57,"###"))&gt;0,INDIRECT(DatCol&amp;"$"&amp;TEXT(C736,"###")):INDIRECT(DatCol&amp;"$"&amp;TEXT(C736+57,"###"))))</f>
        <v>799.5</v>
      </c>
      <c r="F736" s="26" t="str">
        <f t="shared" si="682"/>
        <v>B</v>
      </c>
      <c r="G736" s="8">
        <v>300</v>
      </c>
      <c r="H736" s="8">
        <v>22</v>
      </c>
      <c r="I736" s="8">
        <v>62</v>
      </c>
      <c r="J736" s="8">
        <v>834</v>
      </c>
      <c r="K736" s="9">
        <f t="shared" si="726"/>
        <v>1156</v>
      </c>
      <c r="L736" s="12">
        <v>0</v>
      </c>
      <c r="M736" s="11">
        <f t="shared" si="727"/>
        <v>0</v>
      </c>
      <c r="N736" s="12">
        <v>1100</v>
      </c>
      <c r="O736" s="11">
        <f t="shared" si="728"/>
        <v>55000</v>
      </c>
      <c r="P736" s="12">
        <f>1000+3000+3000</f>
        <v>7000</v>
      </c>
      <c r="Q736" s="11">
        <f t="shared" si="729"/>
        <v>420000</v>
      </c>
      <c r="X736" s="12">
        <f>4500+3200</f>
        <v>7700</v>
      </c>
      <c r="Y736" s="11">
        <f t="shared" si="730"/>
        <v>462000</v>
      </c>
      <c r="AF736" s="12">
        <v>0</v>
      </c>
      <c r="AG736" s="11">
        <f t="shared" si="731"/>
        <v>0</v>
      </c>
      <c r="AH736" s="12">
        <v>3</v>
      </c>
      <c r="AI736" s="11">
        <f t="shared" si="732"/>
        <v>195</v>
      </c>
      <c r="AJ736" s="12">
        <v>0</v>
      </c>
      <c r="AK736" s="13">
        <f t="shared" si="733"/>
        <v>0</v>
      </c>
      <c r="AL736" s="12">
        <v>5</v>
      </c>
      <c r="AM736" s="13">
        <f t="shared" si="734"/>
        <v>45</v>
      </c>
      <c r="AO736" s="11">
        <f t="shared" si="735"/>
        <v>0</v>
      </c>
      <c r="AQ736" s="11">
        <f t="shared" si="736"/>
        <v>0</v>
      </c>
      <c r="AS736" s="11">
        <f t="shared" si="737"/>
        <v>0</v>
      </c>
      <c r="AU736" s="11">
        <f t="shared" si="738"/>
        <v>0</v>
      </c>
      <c r="AW736" s="11">
        <f t="shared" si="739"/>
        <v>0</v>
      </c>
      <c r="AY736" s="11">
        <f t="shared" si="740"/>
        <v>0</v>
      </c>
      <c r="BA736" s="11">
        <f t="shared" si="741"/>
        <v>0</v>
      </c>
      <c r="BC736" s="11">
        <f t="shared" si="742"/>
        <v>0</v>
      </c>
      <c r="BE736" s="11">
        <f t="shared" si="743"/>
        <v>0</v>
      </c>
      <c r="BG736" s="11">
        <f t="shared" si="744"/>
        <v>0</v>
      </c>
      <c r="BN736" s="8">
        <f t="shared" si="724"/>
        <v>14700</v>
      </c>
      <c r="BO736" s="8">
        <f t="shared" si="725"/>
        <v>882000</v>
      </c>
      <c r="BP736" s="8">
        <f t="shared" si="745"/>
        <v>8808</v>
      </c>
      <c r="BQ736" s="12">
        <f t="shared" si="746"/>
        <v>517240</v>
      </c>
    </row>
    <row r="737" spans="1:69">
      <c r="A737" s="28">
        <v>1994</v>
      </c>
      <c r="B737" s="27" t="s">
        <v>57</v>
      </c>
      <c r="C737" s="24">
        <f t="shared" si="704"/>
        <v>698</v>
      </c>
      <c r="D737" s="7">
        <f t="shared" ca="1" si="705"/>
        <v>1.6260162601626016</v>
      </c>
      <c r="E737" s="26">
        <f t="array" aca="1" ref="E737" ca="1">AVERAGE(IF(INDIRECT(DatCol&amp;"$"&amp;TEXT(C737,"###")):INDIRECT(DatCol&amp;"$"&amp;TEXT(C737+57,"###"))&gt;0,INDIRECT(DatCol&amp;"$"&amp;TEXT(C737,"###")):INDIRECT(DatCol&amp;"$"&amp;TEXT(C737+57,"###"))))</f>
        <v>799.5</v>
      </c>
      <c r="F737" s="26" t="str">
        <f t="shared" si="682"/>
        <v>B</v>
      </c>
      <c r="G737" s="8">
        <v>300</v>
      </c>
      <c r="H737" s="8">
        <v>23</v>
      </c>
      <c r="I737" s="8">
        <v>52</v>
      </c>
      <c r="J737" s="8">
        <v>810</v>
      </c>
      <c r="K737" s="9">
        <f t="shared" si="726"/>
        <v>1133</v>
      </c>
      <c r="L737" s="12">
        <v>0</v>
      </c>
      <c r="M737" s="11">
        <f t="shared" si="727"/>
        <v>0</v>
      </c>
      <c r="N737" s="12">
        <v>1300</v>
      </c>
      <c r="O737" s="11">
        <f t="shared" si="728"/>
        <v>65000</v>
      </c>
      <c r="P737" s="12">
        <v>7000</v>
      </c>
      <c r="Q737" s="11">
        <f t="shared" si="729"/>
        <v>420000</v>
      </c>
      <c r="X737" s="12">
        <f>4700+3300</f>
        <v>8000</v>
      </c>
      <c r="Y737" s="11">
        <f t="shared" si="730"/>
        <v>480000</v>
      </c>
      <c r="AF737" s="12">
        <v>0</v>
      </c>
      <c r="AG737" s="11">
        <f t="shared" si="731"/>
        <v>0</v>
      </c>
      <c r="AH737" s="12">
        <v>3</v>
      </c>
      <c r="AI737" s="11">
        <f t="shared" si="732"/>
        <v>195</v>
      </c>
      <c r="AJ737" s="12">
        <v>0</v>
      </c>
      <c r="AK737" s="13">
        <f t="shared" si="733"/>
        <v>0</v>
      </c>
      <c r="AL737" s="12">
        <v>10</v>
      </c>
      <c r="AM737" s="13">
        <f t="shared" si="734"/>
        <v>90</v>
      </c>
      <c r="AN737" s="12">
        <v>0</v>
      </c>
      <c r="AO737" s="11">
        <f t="shared" si="735"/>
        <v>0</v>
      </c>
      <c r="AP737" s="12">
        <v>0</v>
      </c>
      <c r="AQ737" s="11">
        <f t="shared" si="736"/>
        <v>0</v>
      </c>
      <c r="AR737" s="12">
        <v>0</v>
      </c>
      <c r="AS737" s="11">
        <f t="shared" si="737"/>
        <v>0</v>
      </c>
      <c r="AT737" s="12">
        <v>0</v>
      </c>
      <c r="AU737" s="11">
        <f t="shared" si="738"/>
        <v>0</v>
      </c>
      <c r="AV737" s="12">
        <v>0</v>
      </c>
      <c r="AW737" s="11">
        <f t="shared" si="739"/>
        <v>0</v>
      </c>
      <c r="AX737" s="12">
        <v>0</v>
      </c>
      <c r="AY737" s="11">
        <f t="shared" si="740"/>
        <v>0</v>
      </c>
      <c r="AZ737" s="12">
        <v>0</v>
      </c>
      <c r="BA737" s="11">
        <f t="shared" si="741"/>
        <v>0</v>
      </c>
      <c r="BB737" s="12">
        <v>0</v>
      </c>
      <c r="BC737" s="11">
        <f t="shared" si="742"/>
        <v>0</v>
      </c>
      <c r="BD737" s="12">
        <v>0</v>
      </c>
      <c r="BE737" s="11">
        <f t="shared" si="743"/>
        <v>0</v>
      </c>
      <c r="BF737" s="12">
        <v>0</v>
      </c>
      <c r="BG737" s="11">
        <f t="shared" si="744"/>
        <v>0</v>
      </c>
      <c r="BH737" s="13">
        <v>0</v>
      </c>
      <c r="BI737" s="13">
        <v>0</v>
      </c>
      <c r="BN737" s="8">
        <f t="shared" si="724"/>
        <v>15000</v>
      </c>
      <c r="BO737" s="8">
        <f t="shared" si="725"/>
        <v>900000</v>
      </c>
      <c r="BP737" s="8">
        <f t="shared" si="745"/>
        <v>9313</v>
      </c>
      <c r="BQ737" s="12">
        <f t="shared" si="746"/>
        <v>545285</v>
      </c>
    </row>
    <row r="738" spans="1:69">
      <c r="A738" s="28">
        <v>1995</v>
      </c>
      <c r="B738" s="27" t="s">
        <v>57</v>
      </c>
      <c r="C738" s="24">
        <f t="shared" si="704"/>
        <v>698</v>
      </c>
      <c r="D738" s="7">
        <f t="shared" ca="1" si="705"/>
        <v>1.7510944340212633</v>
      </c>
      <c r="E738" s="26">
        <f t="array" aca="1" ref="E738" ca="1">AVERAGE(IF(INDIRECT(DatCol&amp;"$"&amp;TEXT(C738,"###")):INDIRECT(DatCol&amp;"$"&amp;TEXT(C738+57,"###"))&gt;0,INDIRECT(DatCol&amp;"$"&amp;TEXT(C738,"###")):INDIRECT(DatCol&amp;"$"&amp;TEXT(C738+57,"###"))))</f>
        <v>799.5</v>
      </c>
      <c r="F738" s="26" t="str">
        <f t="shared" si="682"/>
        <v>B</v>
      </c>
      <c r="G738" s="9">
        <v>280</v>
      </c>
      <c r="H738" s="9">
        <v>17</v>
      </c>
      <c r="I738" s="9">
        <v>40</v>
      </c>
      <c r="J738" s="9">
        <v>540</v>
      </c>
      <c r="K738" s="9">
        <f t="shared" si="726"/>
        <v>837</v>
      </c>
      <c r="L738" s="10">
        <v>0</v>
      </c>
      <c r="M738" s="11">
        <f t="shared" si="727"/>
        <v>0</v>
      </c>
      <c r="N738" s="10">
        <v>1400</v>
      </c>
      <c r="O738" s="11">
        <f t="shared" si="728"/>
        <v>70000</v>
      </c>
      <c r="P738" s="10">
        <f>3000+1500+3230+20</f>
        <v>7750</v>
      </c>
      <c r="Q738" s="11">
        <f t="shared" si="729"/>
        <v>465000</v>
      </c>
      <c r="X738" s="10">
        <f>3355+2000</f>
        <v>5355</v>
      </c>
      <c r="Y738" s="11">
        <f t="shared" si="730"/>
        <v>321300</v>
      </c>
      <c r="AF738" s="10">
        <v>0</v>
      </c>
      <c r="AG738" s="11">
        <f t="shared" si="731"/>
        <v>0</v>
      </c>
      <c r="AH738" s="10">
        <v>0</v>
      </c>
      <c r="AI738" s="11">
        <f t="shared" si="732"/>
        <v>0</v>
      </c>
      <c r="AJ738" s="10">
        <v>0</v>
      </c>
      <c r="AK738" s="13">
        <f t="shared" si="733"/>
        <v>0</v>
      </c>
      <c r="AL738" s="10">
        <v>15</v>
      </c>
      <c r="AM738" s="13">
        <f t="shared" si="734"/>
        <v>135</v>
      </c>
      <c r="AO738" s="11">
        <f t="shared" si="735"/>
        <v>0</v>
      </c>
      <c r="AQ738" s="11">
        <f t="shared" si="736"/>
        <v>0</v>
      </c>
      <c r="AS738" s="11">
        <f t="shared" si="737"/>
        <v>0</v>
      </c>
      <c r="AU738" s="11">
        <f t="shared" si="738"/>
        <v>0</v>
      </c>
      <c r="AW738" s="11">
        <f t="shared" si="739"/>
        <v>0</v>
      </c>
      <c r="AY738" s="11">
        <f t="shared" si="740"/>
        <v>0</v>
      </c>
      <c r="BA738" s="11">
        <f t="shared" si="741"/>
        <v>0</v>
      </c>
      <c r="BC738" s="11">
        <f t="shared" si="742"/>
        <v>0</v>
      </c>
      <c r="BE738" s="11">
        <f t="shared" si="743"/>
        <v>0</v>
      </c>
      <c r="BG738" s="11">
        <f t="shared" si="744"/>
        <v>0</v>
      </c>
      <c r="BN738" s="8">
        <f t="shared" si="724"/>
        <v>13105</v>
      </c>
      <c r="BO738" s="8">
        <f t="shared" si="725"/>
        <v>786300</v>
      </c>
      <c r="BP738" s="8">
        <f t="shared" si="745"/>
        <v>6770</v>
      </c>
      <c r="BQ738" s="12">
        <f t="shared" si="746"/>
        <v>391435</v>
      </c>
    </row>
    <row r="739" spans="1:69">
      <c r="A739" s="28">
        <v>1996</v>
      </c>
      <c r="B739" s="27" t="s">
        <v>57</v>
      </c>
      <c r="C739" s="24">
        <f t="shared" si="704"/>
        <v>698</v>
      </c>
      <c r="D739" s="7">
        <f t="shared" ca="1" si="705"/>
        <v>1.5009380863039399</v>
      </c>
      <c r="E739" s="26">
        <f t="array" aca="1" ref="E739" ca="1">AVERAGE(IF(INDIRECT(DatCol&amp;"$"&amp;TEXT(C739,"###")):INDIRECT(DatCol&amp;"$"&amp;TEXT(C739+57,"###"))&gt;0,INDIRECT(DatCol&amp;"$"&amp;TEXT(C739,"###")):INDIRECT(DatCol&amp;"$"&amp;TEXT(C739+57,"###"))))</f>
        <v>799.5</v>
      </c>
      <c r="F739" s="26" t="str">
        <f t="shared" si="682"/>
        <v>B</v>
      </c>
      <c r="G739" s="9">
        <v>0</v>
      </c>
      <c r="H739" s="9">
        <v>0</v>
      </c>
      <c r="I739" s="9">
        <v>0</v>
      </c>
      <c r="J739" s="9">
        <v>0</v>
      </c>
      <c r="K739" s="9">
        <f t="shared" si="726"/>
        <v>0</v>
      </c>
      <c r="L739" s="10">
        <v>0</v>
      </c>
      <c r="M739" s="11">
        <f t="shared" si="727"/>
        <v>0</v>
      </c>
      <c r="N739" s="10">
        <v>1200</v>
      </c>
      <c r="O739" s="11">
        <f t="shared" si="728"/>
        <v>60000</v>
      </c>
      <c r="P739" s="10">
        <f>3000+3230+1500+20</f>
        <v>7750</v>
      </c>
      <c r="Q739" s="11">
        <f t="shared" si="729"/>
        <v>465000</v>
      </c>
      <c r="X739" s="10">
        <f>4400+3000+1340</f>
        <v>8740</v>
      </c>
      <c r="Y739" s="11">
        <f t="shared" si="730"/>
        <v>524400</v>
      </c>
      <c r="AF739" s="10">
        <v>0</v>
      </c>
      <c r="AG739" s="11">
        <f t="shared" si="731"/>
        <v>0</v>
      </c>
      <c r="AH739" s="10">
        <v>100</v>
      </c>
      <c r="AI739" s="11">
        <f t="shared" si="732"/>
        <v>6500</v>
      </c>
      <c r="AJ739" s="10">
        <v>200</v>
      </c>
      <c r="AK739" s="13">
        <f t="shared" si="733"/>
        <v>1800</v>
      </c>
      <c r="AL739" s="10">
        <v>175</v>
      </c>
      <c r="AM739" s="13">
        <f t="shared" si="734"/>
        <v>1575</v>
      </c>
      <c r="AN739" s="10">
        <v>0</v>
      </c>
      <c r="AO739" s="11">
        <f t="shared" si="735"/>
        <v>0</v>
      </c>
      <c r="AP739" s="10">
        <v>0</v>
      </c>
      <c r="AQ739" s="11">
        <f t="shared" si="736"/>
        <v>0</v>
      </c>
      <c r="AR739" s="10">
        <v>0</v>
      </c>
      <c r="AS739" s="11">
        <f t="shared" si="737"/>
        <v>0</v>
      </c>
      <c r="AT739" s="10">
        <v>0</v>
      </c>
      <c r="AU739" s="11">
        <f t="shared" si="738"/>
        <v>0</v>
      </c>
      <c r="AV739" s="10">
        <v>200</v>
      </c>
      <c r="AW739" s="11">
        <f t="shared" si="739"/>
        <v>12000</v>
      </c>
      <c r="AX739" s="10">
        <v>100</v>
      </c>
      <c r="AY739" s="11">
        <f t="shared" si="740"/>
        <v>6000</v>
      </c>
      <c r="BA739" s="11">
        <f t="shared" si="741"/>
        <v>0</v>
      </c>
      <c r="BC739" s="11">
        <f t="shared" si="742"/>
        <v>0</v>
      </c>
      <c r="BE739" s="11">
        <f t="shared" si="743"/>
        <v>0</v>
      </c>
      <c r="BG739" s="11">
        <f t="shared" si="744"/>
        <v>0</v>
      </c>
      <c r="BN739" s="8">
        <f t="shared" si="724"/>
        <v>16890</v>
      </c>
      <c r="BO739" s="8">
        <f t="shared" si="725"/>
        <v>1003200</v>
      </c>
      <c r="BP739" s="8">
        <f t="shared" si="745"/>
        <v>10315</v>
      </c>
      <c r="BQ739" s="12">
        <f t="shared" si="746"/>
        <v>598475</v>
      </c>
    </row>
    <row r="740" spans="1:69">
      <c r="A740" s="28">
        <v>1997</v>
      </c>
      <c r="B740" s="27" t="s">
        <v>57</v>
      </c>
      <c r="C740" s="24">
        <f t="shared" si="704"/>
        <v>698</v>
      </c>
      <c r="D740" s="7">
        <f t="shared" ca="1" si="705"/>
        <v>1.3133208255159474</v>
      </c>
      <c r="E740" s="26">
        <f t="array" aca="1" ref="E740" ca="1">AVERAGE(IF(INDIRECT(DatCol&amp;"$"&amp;TEXT(C740,"###")):INDIRECT(DatCol&amp;"$"&amp;TEXT(C740+57,"###"))&gt;0,INDIRECT(DatCol&amp;"$"&amp;TEXT(C740,"###")):INDIRECT(DatCol&amp;"$"&amp;TEXT(C740+57,"###"))))</f>
        <v>799.5</v>
      </c>
      <c r="F740" s="26" t="str">
        <f t="shared" si="682"/>
        <v>B</v>
      </c>
      <c r="G740" s="9">
        <v>335</v>
      </c>
      <c r="H740" s="9">
        <v>14</v>
      </c>
      <c r="I740" s="9">
        <v>69</v>
      </c>
      <c r="J740" s="9">
        <v>457</v>
      </c>
      <c r="K740" s="9">
        <f t="shared" si="726"/>
        <v>806</v>
      </c>
      <c r="L740" s="10">
        <v>0</v>
      </c>
      <c r="M740" s="11">
        <f t="shared" si="727"/>
        <v>0</v>
      </c>
      <c r="N740" s="10">
        <v>1050</v>
      </c>
      <c r="O740" s="11">
        <f t="shared" si="728"/>
        <v>52500</v>
      </c>
      <c r="P740" s="10">
        <f>2200+3800+5000</f>
        <v>11000</v>
      </c>
      <c r="Q740" s="11">
        <f t="shared" si="729"/>
        <v>660000</v>
      </c>
      <c r="X740" s="10">
        <f>1000+1470+1000</f>
        <v>3470</v>
      </c>
      <c r="Y740" s="11">
        <f t="shared" si="730"/>
        <v>208200</v>
      </c>
      <c r="AF740" s="10">
        <v>0</v>
      </c>
      <c r="AG740" s="11">
        <f t="shared" si="731"/>
        <v>0</v>
      </c>
      <c r="AH740" s="10">
        <v>50</v>
      </c>
      <c r="AI740" s="11">
        <f t="shared" si="732"/>
        <v>3250</v>
      </c>
      <c r="AJ740" s="10">
        <v>0</v>
      </c>
      <c r="AK740" s="13">
        <f t="shared" si="733"/>
        <v>0</v>
      </c>
      <c r="AL740" s="10">
        <v>10</v>
      </c>
      <c r="AM740" s="13">
        <f t="shared" si="734"/>
        <v>90</v>
      </c>
      <c r="AN740" s="10">
        <v>0</v>
      </c>
      <c r="AO740" s="11">
        <f t="shared" si="735"/>
        <v>0</v>
      </c>
      <c r="AP740" s="10">
        <v>0</v>
      </c>
      <c r="AQ740" s="11">
        <f t="shared" si="736"/>
        <v>0</v>
      </c>
      <c r="AR740" s="10">
        <v>0</v>
      </c>
      <c r="AS740" s="11">
        <f t="shared" si="737"/>
        <v>0</v>
      </c>
      <c r="AT740" s="10">
        <v>0</v>
      </c>
      <c r="AU740" s="11">
        <f t="shared" si="738"/>
        <v>0</v>
      </c>
      <c r="AV740" s="10">
        <v>300</v>
      </c>
      <c r="AW740" s="11">
        <f t="shared" si="739"/>
        <v>18000</v>
      </c>
      <c r="AX740" s="10">
        <v>0</v>
      </c>
      <c r="AY740" s="11">
        <f t="shared" si="740"/>
        <v>0</v>
      </c>
      <c r="BA740" s="11">
        <f t="shared" si="741"/>
        <v>0</v>
      </c>
      <c r="BC740" s="11">
        <f t="shared" si="742"/>
        <v>0</v>
      </c>
      <c r="BE740" s="11">
        <f t="shared" si="743"/>
        <v>0</v>
      </c>
      <c r="BG740" s="11">
        <f t="shared" si="744"/>
        <v>0</v>
      </c>
      <c r="BN740" s="8">
        <f t="shared" si="724"/>
        <v>14770</v>
      </c>
      <c r="BO740" s="8">
        <f t="shared" si="725"/>
        <v>886200</v>
      </c>
      <c r="BP740" s="8">
        <f t="shared" si="745"/>
        <v>4580</v>
      </c>
      <c r="BQ740" s="12">
        <f t="shared" si="746"/>
        <v>264040</v>
      </c>
    </row>
    <row r="741" spans="1:69">
      <c r="A741" s="28">
        <v>1998</v>
      </c>
      <c r="B741" s="27" t="s">
        <v>57</v>
      </c>
      <c r="C741" s="24">
        <f t="shared" si="704"/>
        <v>698</v>
      </c>
      <c r="D741" s="7">
        <f t="shared" ca="1" si="705"/>
        <v>1.5009380863039399</v>
      </c>
      <c r="E741" s="26">
        <f t="array" aca="1" ref="E741" ca="1">AVERAGE(IF(INDIRECT(DatCol&amp;"$"&amp;TEXT(C741,"###")):INDIRECT(DatCol&amp;"$"&amp;TEXT(C741+57,"###"))&gt;0,INDIRECT(DatCol&amp;"$"&amp;TEXT(C741,"###")):INDIRECT(DatCol&amp;"$"&amp;TEXT(C741+57,"###"))))</f>
        <v>799.5</v>
      </c>
      <c r="F741" s="26" t="str">
        <f t="shared" si="682"/>
        <v>B</v>
      </c>
      <c r="G741" s="9">
        <v>360</v>
      </c>
      <c r="H741" s="9">
        <v>17</v>
      </c>
      <c r="I741" s="9">
        <v>42</v>
      </c>
      <c r="J741" s="9">
        <v>438</v>
      </c>
      <c r="K741" s="9">
        <f t="shared" si="726"/>
        <v>815</v>
      </c>
      <c r="L741" s="10">
        <v>0</v>
      </c>
      <c r="M741" s="11">
        <v>0</v>
      </c>
      <c r="N741" s="10">
        <f>O741/50</f>
        <v>1200</v>
      </c>
      <c r="O741" s="11">
        <v>60000</v>
      </c>
      <c r="P741" s="10">
        <f>Q741/60</f>
        <v>4600</v>
      </c>
      <c r="Q741" s="11">
        <v>276000</v>
      </c>
      <c r="R741" s="10">
        <f>S741/60</f>
        <v>3736.6666666666665</v>
      </c>
      <c r="S741" s="11">
        <v>224200</v>
      </c>
      <c r="T741" s="10">
        <f>U741/60</f>
        <v>1333.3333333333333</v>
      </c>
      <c r="U741" s="11">
        <v>80000</v>
      </c>
      <c r="V741" s="10">
        <f>W741/60</f>
        <v>4616.666666666667</v>
      </c>
      <c r="W741" s="11">
        <v>277000</v>
      </c>
      <c r="X741" s="10">
        <f>Y741/60</f>
        <v>2400</v>
      </c>
      <c r="Y741" s="11">
        <v>144000</v>
      </c>
      <c r="Z741" s="10">
        <f>AA741/60</f>
        <v>1000</v>
      </c>
      <c r="AA741" s="11">
        <v>60000</v>
      </c>
      <c r="AB741" s="10">
        <v>1000</v>
      </c>
      <c r="AC741" s="11">
        <v>60000</v>
      </c>
      <c r="AD741" s="10">
        <f>AE741/60</f>
        <v>700</v>
      </c>
      <c r="AE741" s="11">
        <v>42000</v>
      </c>
      <c r="AF741" s="10">
        <v>0</v>
      </c>
      <c r="AG741" s="11">
        <v>0</v>
      </c>
      <c r="AH741" s="10">
        <f>AI741/50</f>
        <v>10</v>
      </c>
      <c r="AI741" s="11">
        <v>500</v>
      </c>
      <c r="AJ741" s="10">
        <f>AK741/9</f>
        <v>22.222222222222221</v>
      </c>
      <c r="AK741" s="13">
        <v>200</v>
      </c>
      <c r="AL741" s="10">
        <f>AM741/9</f>
        <v>83.333333333333329</v>
      </c>
      <c r="AM741" s="13">
        <v>750</v>
      </c>
      <c r="AN741" s="10">
        <v>0</v>
      </c>
      <c r="AO741" s="11">
        <v>0</v>
      </c>
      <c r="AP741" s="10">
        <v>0</v>
      </c>
      <c r="AQ741" s="11">
        <v>0</v>
      </c>
      <c r="AR741" s="10">
        <v>0</v>
      </c>
      <c r="AS741" s="11">
        <v>0</v>
      </c>
      <c r="AT741" s="10">
        <v>0</v>
      </c>
      <c r="AU741" s="11">
        <v>0</v>
      </c>
      <c r="AV741" s="10">
        <f>AW741/40</f>
        <v>200</v>
      </c>
      <c r="AW741" s="11">
        <v>8000</v>
      </c>
      <c r="AX741" s="10">
        <v>0</v>
      </c>
      <c r="AY741" s="11">
        <v>0</v>
      </c>
      <c r="AZ741" s="10">
        <v>0</v>
      </c>
      <c r="BA741" s="11">
        <v>0</v>
      </c>
      <c r="BB741" s="10">
        <v>0</v>
      </c>
      <c r="BC741" s="11">
        <v>0</v>
      </c>
      <c r="BD741" s="10">
        <v>0</v>
      </c>
      <c r="BE741" s="11">
        <v>0</v>
      </c>
      <c r="BF741" s="10">
        <v>0</v>
      </c>
      <c r="BG741" s="11">
        <v>0</v>
      </c>
      <c r="BH741" s="11">
        <v>0</v>
      </c>
      <c r="BI741" s="11">
        <v>0</v>
      </c>
      <c r="BJ741" s="10">
        <v>0</v>
      </c>
      <c r="BK741" s="11">
        <v>0</v>
      </c>
      <c r="BN741" s="8">
        <f t="shared" si="724"/>
        <v>19608.888888888891</v>
      </c>
      <c r="BO741" s="8">
        <f t="shared" si="725"/>
        <v>1129400</v>
      </c>
      <c r="BP741" s="8">
        <f t="shared" si="745"/>
        <v>6393.333333333333</v>
      </c>
      <c r="BQ741" s="12">
        <f t="shared" si="746"/>
        <v>367250</v>
      </c>
    </row>
    <row r="742" spans="1:69">
      <c r="A742" s="28">
        <v>1999</v>
      </c>
      <c r="B742" s="27" t="s">
        <v>57</v>
      </c>
      <c r="C742" s="24">
        <f t="shared" si="704"/>
        <v>698</v>
      </c>
      <c r="D742" s="7">
        <f t="shared" ca="1" si="705"/>
        <v>6.2539086929330828E-2</v>
      </c>
      <c r="E742" s="26">
        <f t="array" aca="1" ref="E742" ca="1">AVERAGE(IF(INDIRECT(DatCol&amp;"$"&amp;TEXT(C742,"###")):INDIRECT(DatCol&amp;"$"&amp;TEXT(C742+57,"###"))&gt;0,INDIRECT(DatCol&amp;"$"&amp;TEXT(C742,"###")):INDIRECT(DatCol&amp;"$"&amp;TEXT(C742+57,"###"))))</f>
        <v>799.5</v>
      </c>
      <c r="F742" s="26" t="str">
        <f t="shared" ref="F742:F808" si="747">VLOOKUP(B742,town_region,2,FALSE)</f>
        <v>B</v>
      </c>
      <c r="G742" s="9">
        <v>363</v>
      </c>
      <c r="H742" s="9">
        <v>22</v>
      </c>
      <c r="I742" s="9">
        <v>44</v>
      </c>
      <c r="J742" s="9">
        <v>508</v>
      </c>
      <c r="K742" s="9">
        <f t="shared" si="726"/>
        <v>893</v>
      </c>
      <c r="L742" s="10">
        <v>0</v>
      </c>
      <c r="M742" s="11">
        <v>0</v>
      </c>
      <c r="N742" s="10">
        <f>O742/50</f>
        <v>50</v>
      </c>
      <c r="O742" s="11">
        <v>2500</v>
      </c>
      <c r="P742" s="10">
        <f>Q742/60</f>
        <v>73.333333333333329</v>
      </c>
      <c r="Q742" s="11">
        <v>4400</v>
      </c>
      <c r="R742" s="10">
        <f>S742/60</f>
        <v>2663.3333333333335</v>
      </c>
      <c r="S742" s="11">
        <v>159800</v>
      </c>
      <c r="T742" s="10">
        <f>U742/60</f>
        <v>3783.3333333333335</v>
      </c>
      <c r="U742" s="11">
        <v>227000</v>
      </c>
      <c r="V742" s="10">
        <f>W742/60</f>
        <v>7276.666666666667</v>
      </c>
      <c r="W742" s="11">
        <v>436600</v>
      </c>
      <c r="X742" s="10">
        <v>0</v>
      </c>
      <c r="Y742" s="11">
        <v>0</v>
      </c>
      <c r="Z742" s="10">
        <f>AA742/60</f>
        <v>1820</v>
      </c>
      <c r="AA742" s="11">
        <v>109200</v>
      </c>
      <c r="AB742" s="10">
        <f>AC742/60</f>
        <v>650</v>
      </c>
      <c r="AC742" s="11">
        <v>39000</v>
      </c>
      <c r="AD742" s="10">
        <f>AE742/60</f>
        <v>1401.6666666666667</v>
      </c>
      <c r="AE742" s="11">
        <v>84100</v>
      </c>
      <c r="AF742" s="10">
        <v>0</v>
      </c>
      <c r="AG742" s="11">
        <v>0</v>
      </c>
      <c r="AH742" s="10">
        <f>AI742/50</f>
        <v>70</v>
      </c>
      <c r="AI742" s="11">
        <v>3500</v>
      </c>
      <c r="AJ742" s="10">
        <v>0</v>
      </c>
      <c r="AK742" s="13">
        <v>0</v>
      </c>
      <c r="AL742" s="10">
        <f>AM742/50</f>
        <v>160</v>
      </c>
      <c r="AM742" s="13">
        <v>8000</v>
      </c>
      <c r="AN742" s="10">
        <v>0</v>
      </c>
      <c r="AO742" s="11">
        <v>0</v>
      </c>
      <c r="AP742" s="10">
        <v>0</v>
      </c>
      <c r="AQ742" s="11">
        <v>0</v>
      </c>
      <c r="AR742" s="10">
        <v>0</v>
      </c>
      <c r="AS742" s="11">
        <v>0</v>
      </c>
      <c r="AT742" s="10">
        <v>0</v>
      </c>
      <c r="AU742" s="11">
        <v>0</v>
      </c>
      <c r="AV742" s="10">
        <f>AW742/40</f>
        <v>2000</v>
      </c>
      <c r="AW742" s="11">
        <v>80000</v>
      </c>
      <c r="AX742" s="10">
        <v>0</v>
      </c>
      <c r="AY742" s="11">
        <v>0</v>
      </c>
      <c r="AZ742" s="10">
        <v>0</v>
      </c>
      <c r="BA742" s="11">
        <v>0</v>
      </c>
      <c r="BB742" s="10">
        <v>0</v>
      </c>
      <c r="BC742" s="11">
        <v>0</v>
      </c>
      <c r="BD742" s="10">
        <v>0</v>
      </c>
      <c r="BE742" s="11">
        <v>0</v>
      </c>
      <c r="BF742" s="10">
        <v>0</v>
      </c>
      <c r="BG742" s="11">
        <v>0</v>
      </c>
      <c r="BH742" s="11">
        <v>0</v>
      </c>
      <c r="BI742" s="11">
        <v>0</v>
      </c>
      <c r="BN742" s="8">
        <f t="shared" si="724"/>
        <v>19668.333333333336</v>
      </c>
      <c r="BO742" s="8">
        <f t="shared" si="725"/>
        <v>1056000</v>
      </c>
      <c r="BP742" s="8">
        <f t="shared" si="745"/>
        <v>4151.666666666667</v>
      </c>
      <c r="BQ742" s="12">
        <f t="shared" si="746"/>
        <v>246300</v>
      </c>
    </row>
    <row r="743" spans="1:69">
      <c r="A743" s="28">
        <v>2000</v>
      </c>
      <c r="B743" s="27" t="s">
        <v>57</v>
      </c>
      <c r="C743" s="24">
        <f t="shared" si="704"/>
        <v>698</v>
      </c>
      <c r="D743" s="7" t="e">
        <f t="shared" ca="1" si="705"/>
        <v>#N/A</v>
      </c>
      <c r="E743" s="26">
        <f t="array" aca="1" ref="E743" ca="1">AVERAGE(IF(INDIRECT(DatCol&amp;"$"&amp;TEXT(C743,"###")):INDIRECT(DatCol&amp;"$"&amp;TEXT(C743+57,"###"))&gt;0,INDIRECT(DatCol&amp;"$"&amp;TEXT(C743,"###")):INDIRECT(DatCol&amp;"$"&amp;TEXT(C743+57,"###"))))</f>
        <v>799.5</v>
      </c>
      <c r="F743" s="26" t="str">
        <f t="shared" si="747"/>
        <v>B</v>
      </c>
      <c r="G743" s="9">
        <v>360</v>
      </c>
      <c r="H743" s="9">
        <v>22</v>
      </c>
      <c r="I743" s="9">
        <v>42</v>
      </c>
      <c r="J743" s="9">
        <v>505</v>
      </c>
      <c r="K743" s="9">
        <f t="shared" si="726"/>
        <v>887</v>
      </c>
      <c r="L743" s="10">
        <v>0</v>
      </c>
      <c r="M743" s="11">
        <v>0</v>
      </c>
      <c r="N743" s="10">
        <v>0</v>
      </c>
      <c r="O743" s="11">
        <v>0</v>
      </c>
      <c r="P743" s="10">
        <v>0</v>
      </c>
      <c r="Q743" s="11">
        <v>0</v>
      </c>
      <c r="R743" s="10">
        <f>S743/75</f>
        <v>4000</v>
      </c>
      <c r="S743" s="11">
        <v>300000</v>
      </c>
      <c r="T743" s="10">
        <f>U743/75</f>
        <v>6666.666666666667</v>
      </c>
      <c r="U743" s="11">
        <v>500000</v>
      </c>
      <c r="V743" s="10">
        <f>W743/75</f>
        <v>4000</v>
      </c>
      <c r="W743" s="11">
        <v>300000</v>
      </c>
      <c r="X743" s="10">
        <v>0</v>
      </c>
      <c r="Y743" s="11">
        <v>0</v>
      </c>
      <c r="Z743" s="10">
        <f>AA743/75</f>
        <v>1666.6666666666667</v>
      </c>
      <c r="AA743" s="11">
        <v>125000</v>
      </c>
      <c r="AB743" s="10">
        <f>AC743/75</f>
        <v>2666.6666666666665</v>
      </c>
      <c r="AC743" s="11">
        <v>200000</v>
      </c>
      <c r="AD743" s="10">
        <f>AE743/75</f>
        <v>4440</v>
      </c>
      <c r="AE743" s="11">
        <v>333000</v>
      </c>
      <c r="AF743" s="10">
        <v>0</v>
      </c>
      <c r="AG743" s="11">
        <v>0</v>
      </c>
      <c r="AH743" s="10">
        <v>0</v>
      </c>
      <c r="AI743" s="11">
        <v>0</v>
      </c>
      <c r="AJ743" s="10">
        <v>0</v>
      </c>
      <c r="AK743" s="13">
        <v>0</v>
      </c>
      <c r="AL743" s="10">
        <f>AM743/9</f>
        <v>1111.1111111111111</v>
      </c>
      <c r="AM743" s="13">
        <v>10000</v>
      </c>
      <c r="AN743" s="10">
        <v>0</v>
      </c>
      <c r="AO743" s="11">
        <v>0</v>
      </c>
      <c r="AP743" s="10">
        <v>0</v>
      </c>
      <c r="AQ743" s="11">
        <v>0</v>
      </c>
      <c r="AR743" s="10">
        <v>0</v>
      </c>
      <c r="AS743" s="11">
        <v>0</v>
      </c>
      <c r="AT743" s="10">
        <v>0</v>
      </c>
      <c r="AU743" s="11">
        <v>0</v>
      </c>
      <c r="AV743" s="10">
        <v>0</v>
      </c>
      <c r="AW743" s="11">
        <v>0</v>
      </c>
      <c r="AX743" s="10">
        <v>0</v>
      </c>
      <c r="AY743" s="11">
        <v>0</v>
      </c>
      <c r="AZ743" s="10">
        <v>0</v>
      </c>
      <c r="BA743" s="11">
        <v>0</v>
      </c>
      <c r="BB743" s="10">
        <v>0</v>
      </c>
      <c r="BN743" s="8">
        <f t="shared" si="724"/>
        <v>23440</v>
      </c>
      <c r="BO743" s="8">
        <f t="shared" si="725"/>
        <v>1425000</v>
      </c>
      <c r="BP743" s="8">
        <f t="shared" si="745"/>
        <v>9884.4444444444434</v>
      </c>
      <c r="BQ743" s="12">
        <f t="shared" si="746"/>
        <v>668000</v>
      </c>
    </row>
    <row r="744" spans="1:69">
      <c r="A744" s="28">
        <v>2001</v>
      </c>
      <c r="B744" s="27" t="s">
        <v>57</v>
      </c>
      <c r="C744" s="24">
        <f t="shared" si="704"/>
        <v>698</v>
      </c>
      <c r="D744" s="7">
        <f t="shared" ca="1" si="705"/>
        <v>2.5015634771732333E-2</v>
      </c>
      <c r="E744" s="26">
        <f t="array" aca="1" ref="E744" ca="1">AVERAGE(IF(INDIRECT(DatCol&amp;"$"&amp;TEXT(C744,"###")):INDIRECT(DatCol&amp;"$"&amp;TEXT(C744+57,"###"))&gt;0,INDIRECT(DatCol&amp;"$"&amp;TEXT(C744,"###")):INDIRECT(DatCol&amp;"$"&amp;TEXT(C744+57,"###"))))</f>
        <v>799.5</v>
      </c>
      <c r="F744" s="26" t="str">
        <f t="shared" si="747"/>
        <v>B</v>
      </c>
      <c r="G744" s="9">
        <v>391</v>
      </c>
      <c r="H744" s="9">
        <v>21</v>
      </c>
      <c r="I744" s="9">
        <f>34+1+6</f>
        <v>41</v>
      </c>
      <c r="J744" s="9">
        <v>526</v>
      </c>
      <c r="K744" s="9">
        <f t="shared" si="726"/>
        <v>938</v>
      </c>
      <c r="L744" s="10">
        <v>0</v>
      </c>
      <c r="M744" s="11">
        <v>0</v>
      </c>
      <c r="N744" s="10">
        <v>20</v>
      </c>
      <c r="O744" s="11">
        <v>1000</v>
      </c>
      <c r="P744" s="10">
        <v>0</v>
      </c>
      <c r="Q744" s="11">
        <v>0</v>
      </c>
      <c r="R744" s="10">
        <f>S744/75</f>
        <v>4666.666666666667</v>
      </c>
      <c r="S744" s="11">
        <v>350000</v>
      </c>
      <c r="T744" s="10">
        <f>U744/75</f>
        <v>2400</v>
      </c>
      <c r="U744" s="11">
        <v>180000</v>
      </c>
      <c r="V744" s="10">
        <f>W744/75</f>
        <v>1333.3333333333333</v>
      </c>
      <c r="W744" s="11">
        <v>100000</v>
      </c>
      <c r="X744" s="10">
        <v>0</v>
      </c>
      <c r="Y744" s="11">
        <v>0</v>
      </c>
      <c r="Z744" s="10">
        <f>AA744/75</f>
        <v>2666.6666666666665</v>
      </c>
      <c r="AA744" s="11">
        <v>200000</v>
      </c>
      <c r="AB744" s="10">
        <f>AC744/75</f>
        <v>2666.6666666666665</v>
      </c>
      <c r="AC744" s="11">
        <v>200000</v>
      </c>
      <c r="AD744" s="10">
        <f>AE744/75</f>
        <v>4000</v>
      </c>
      <c r="AE744" s="11">
        <v>300000</v>
      </c>
      <c r="AF744" s="10">
        <v>0</v>
      </c>
      <c r="AG744" s="11">
        <v>0</v>
      </c>
      <c r="AH744" s="10">
        <f>AI744/47.5</f>
        <v>10.526315789473685</v>
      </c>
      <c r="AI744" s="11">
        <v>500</v>
      </c>
      <c r="AJ744" s="10">
        <v>0</v>
      </c>
      <c r="AK744" s="13">
        <v>0</v>
      </c>
      <c r="AL744" s="10">
        <f>AM744/9</f>
        <v>1666.6666666666667</v>
      </c>
      <c r="AM744" s="13">
        <v>15000</v>
      </c>
      <c r="AN744" s="10">
        <v>0</v>
      </c>
      <c r="AO744" s="11">
        <v>0</v>
      </c>
      <c r="AP744" s="10">
        <v>0</v>
      </c>
      <c r="AQ744" s="11">
        <v>0</v>
      </c>
      <c r="AR744" s="10">
        <v>0</v>
      </c>
      <c r="AS744" s="11">
        <v>0</v>
      </c>
      <c r="AT744" s="10">
        <v>0</v>
      </c>
      <c r="AU744" s="11">
        <v>0</v>
      </c>
      <c r="AV744" s="10">
        <v>0</v>
      </c>
      <c r="AW744" s="11">
        <v>0</v>
      </c>
      <c r="AX744" s="10">
        <v>0</v>
      </c>
      <c r="AY744" s="11">
        <v>0</v>
      </c>
      <c r="AZ744" s="10">
        <v>0</v>
      </c>
      <c r="BA744" s="11">
        <v>0</v>
      </c>
      <c r="BB744" s="10">
        <v>0</v>
      </c>
      <c r="BC744" s="11">
        <v>0</v>
      </c>
      <c r="BD744" s="10">
        <v>0</v>
      </c>
      <c r="BN744" s="8">
        <f t="shared" si="724"/>
        <v>17733.333333333332</v>
      </c>
      <c r="BO744" s="8">
        <f t="shared" si="725"/>
        <v>1030000</v>
      </c>
      <c r="BP744" s="8">
        <f t="shared" si="745"/>
        <v>11030.526315789471</v>
      </c>
      <c r="BQ744" s="12">
        <f t="shared" si="746"/>
        <v>716500</v>
      </c>
    </row>
    <row r="745" spans="1:69">
      <c r="A745" s="28">
        <v>2002</v>
      </c>
      <c r="B745" s="27" t="s">
        <v>57</v>
      </c>
      <c r="C745" s="24">
        <f t="shared" si="704"/>
        <v>698</v>
      </c>
      <c r="D745" s="7">
        <f t="shared" ca="1" si="705"/>
        <v>5.0031269543464665E-2</v>
      </c>
      <c r="E745" s="26">
        <f t="array" aca="1" ref="E745" ca="1">AVERAGE(IF(INDIRECT(DatCol&amp;"$"&amp;TEXT(C745,"###")):INDIRECT(DatCol&amp;"$"&amp;TEXT(C745+57,"###"))&gt;0,INDIRECT(DatCol&amp;"$"&amp;TEXT(C745,"###")):INDIRECT(DatCol&amp;"$"&amp;TEXT(C745+57,"###"))))</f>
        <v>799.5</v>
      </c>
      <c r="F745" s="26" t="str">
        <f t="shared" si="747"/>
        <v>B</v>
      </c>
      <c r="G745" s="9">
        <v>0</v>
      </c>
      <c r="H745" s="9">
        <v>21</v>
      </c>
      <c r="I745" s="9">
        <v>40</v>
      </c>
      <c r="J745" s="9">
        <v>906</v>
      </c>
      <c r="K745" s="9">
        <f t="shared" si="726"/>
        <v>927</v>
      </c>
      <c r="L745" s="10">
        <v>0</v>
      </c>
      <c r="M745" s="11">
        <v>0</v>
      </c>
      <c r="N745" s="10">
        <f>O745/50</f>
        <v>40</v>
      </c>
      <c r="O745" s="11">
        <v>2000</v>
      </c>
      <c r="P745" s="10">
        <v>0</v>
      </c>
      <c r="Q745" s="11">
        <v>0</v>
      </c>
      <c r="R745" s="10">
        <f>S745/75</f>
        <v>6000</v>
      </c>
      <c r="S745" s="11">
        <v>450000</v>
      </c>
      <c r="T745" s="10">
        <f>U745/75</f>
        <v>1466.6666666666667</v>
      </c>
      <c r="U745" s="11">
        <v>110000</v>
      </c>
      <c r="V745" s="10">
        <f>W745/75</f>
        <v>666.66666666666663</v>
      </c>
      <c r="W745" s="11">
        <v>50000</v>
      </c>
      <c r="X745" s="10">
        <v>0</v>
      </c>
      <c r="Y745" s="11">
        <v>0</v>
      </c>
      <c r="Z745" s="10">
        <f>AA745/75</f>
        <v>3733.3333333333335</v>
      </c>
      <c r="AA745" s="11">
        <v>280000</v>
      </c>
      <c r="AB745" s="10">
        <f>AC745/75</f>
        <v>3666.6666666666665</v>
      </c>
      <c r="AC745" s="11">
        <v>275000</v>
      </c>
      <c r="AD745" s="10">
        <f>AE745/75</f>
        <v>4666.666666666667</v>
      </c>
      <c r="AE745" s="11">
        <v>350000</v>
      </c>
      <c r="AF745" s="10">
        <v>0</v>
      </c>
      <c r="AG745" s="11">
        <v>0</v>
      </c>
      <c r="AH745" s="10">
        <f>AI745/47.5</f>
        <v>42.10526315789474</v>
      </c>
      <c r="AI745" s="11">
        <v>2000</v>
      </c>
      <c r="AJ745" s="10">
        <v>0</v>
      </c>
      <c r="AK745" s="13">
        <v>0</v>
      </c>
      <c r="AL745" s="10">
        <f>AM745/9</f>
        <v>1111.1111111111111</v>
      </c>
      <c r="AM745" s="13">
        <v>10000</v>
      </c>
      <c r="AN745" s="10">
        <v>0</v>
      </c>
      <c r="AO745" s="11">
        <v>0</v>
      </c>
      <c r="AP745" s="10">
        <v>0</v>
      </c>
      <c r="AQ745" s="11">
        <v>0</v>
      </c>
      <c r="AR745" s="10">
        <v>0</v>
      </c>
      <c r="AS745" s="11">
        <v>0</v>
      </c>
      <c r="AT745" s="10">
        <v>0</v>
      </c>
      <c r="AU745" s="11">
        <v>0</v>
      </c>
      <c r="AV745" s="10">
        <v>0</v>
      </c>
      <c r="AW745" s="11">
        <v>0</v>
      </c>
      <c r="AX745" s="10">
        <v>0</v>
      </c>
      <c r="AY745" s="11">
        <v>0</v>
      </c>
      <c r="AZ745" s="10">
        <v>0</v>
      </c>
      <c r="BA745" s="11">
        <v>0</v>
      </c>
      <c r="BB745" s="10">
        <v>0</v>
      </c>
      <c r="BC745" s="11">
        <v>0</v>
      </c>
      <c r="BD745" s="10">
        <v>0</v>
      </c>
      <c r="BN745" s="8">
        <f t="shared" si="724"/>
        <v>20200</v>
      </c>
      <c r="BO745" s="8">
        <f t="shared" si="725"/>
        <v>1165000</v>
      </c>
      <c r="BP745" s="8">
        <f t="shared" si="745"/>
        <v>13259.883040935674</v>
      </c>
      <c r="BQ745" s="12">
        <f t="shared" si="746"/>
        <v>919000</v>
      </c>
    </row>
    <row r="746" spans="1:69">
      <c r="A746" s="28">
        <v>2003</v>
      </c>
      <c r="B746" s="27" t="s">
        <v>57</v>
      </c>
      <c r="C746" s="24">
        <f t="shared" si="704"/>
        <v>698</v>
      </c>
      <c r="D746" s="7">
        <f t="shared" ca="1" si="705"/>
        <v>3.7523452157598502E-2</v>
      </c>
      <c r="E746" s="26">
        <f t="array" aca="1" ref="E746" ca="1">AVERAGE(IF(INDIRECT(DatCol&amp;"$"&amp;TEXT(C746,"###")):INDIRECT(DatCol&amp;"$"&amp;TEXT(C746+57,"###"))&gt;0,INDIRECT(DatCol&amp;"$"&amp;TEXT(C746,"###")):INDIRECT(DatCol&amp;"$"&amp;TEXT(C746+57,"###"))))</f>
        <v>799.5</v>
      </c>
      <c r="F746" s="26" t="str">
        <f t="shared" si="747"/>
        <v>B</v>
      </c>
      <c r="G746" s="9">
        <v>235</v>
      </c>
      <c r="H746" s="9">
        <v>11</v>
      </c>
      <c r="I746" s="9">
        <v>17</v>
      </c>
      <c r="J746" s="9">
        <v>191</v>
      </c>
      <c r="K746" s="9">
        <f t="shared" si="726"/>
        <v>437</v>
      </c>
      <c r="L746" s="10">
        <v>0</v>
      </c>
      <c r="M746" s="11">
        <v>0</v>
      </c>
      <c r="N746" s="10">
        <f>O746/50</f>
        <v>30</v>
      </c>
      <c r="O746" s="11">
        <v>1500</v>
      </c>
      <c r="P746" s="10">
        <f>Q746/75</f>
        <v>66.666666666666671</v>
      </c>
      <c r="Q746" s="11">
        <v>5000</v>
      </c>
      <c r="R746" s="10">
        <f>S746/75</f>
        <v>266.66666666666669</v>
      </c>
      <c r="S746" s="11">
        <v>20000</v>
      </c>
      <c r="T746" s="10">
        <v>0</v>
      </c>
      <c r="U746" s="11">
        <v>0</v>
      </c>
      <c r="V746" s="10">
        <v>0</v>
      </c>
      <c r="W746" s="11">
        <v>0</v>
      </c>
      <c r="X746" s="10">
        <f>Y746/75</f>
        <v>16</v>
      </c>
      <c r="Y746" s="11">
        <v>1200</v>
      </c>
      <c r="Z746" s="10">
        <f>AA746/75</f>
        <v>120</v>
      </c>
      <c r="AA746" s="11">
        <v>9000</v>
      </c>
      <c r="AB746" s="10">
        <f>AC746/75</f>
        <v>13.333333333333334</v>
      </c>
      <c r="AC746" s="11">
        <v>1000</v>
      </c>
      <c r="AD746" s="10">
        <f>AE746/75</f>
        <v>12</v>
      </c>
      <c r="AE746" s="11">
        <v>900</v>
      </c>
      <c r="AF746" s="10">
        <v>0</v>
      </c>
      <c r="AG746" s="11">
        <v>0</v>
      </c>
      <c r="AH746" s="10">
        <f>AI746/47.5</f>
        <v>13.684210526315789</v>
      </c>
      <c r="AI746" s="11">
        <v>650</v>
      </c>
      <c r="AJ746" s="10">
        <v>0</v>
      </c>
      <c r="AK746" s="13">
        <v>0</v>
      </c>
      <c r="AL746" s="10">
        <f>AM746/9</f>
        <v>33.333333333333336</v>
      </c>
      <c r="AM746" s="13">
        <v>300</v>
      </c>
      <c r="AN746" s="10">
        <v>0</v>
      </c>
      <c r="AO746" s="11">
        <v>0</v>
      </c>
      <c r="AP746" s="10">
        <v>0</v>
      </c>
      <c r="AQ746" s="11">
        <v>0</v>
      </c>
      <c r="AR746" s="10">
        <v>0</v>
      </c>
      <c r="AS746" s="11">
        <v>0</v>
      </c>
      <c r="AT746" s="10">
        <v>0</v>
      </c>
      <c r="AU746" s="11">
        <v>0</v>
      </c>
      <c r="AV746" s="10">
        <v>0</v>
      </c>
      <c r="AW746" s="11">
        <v>0</v>
      </c>
      <c r="AX746" s="10">
        <v>0</v>
      </c>
      <c r="AY746" s="11">
        <v>0</v>
      </c>
      <c r="AZ746" s="10">
        <v>0</v>
      </c>
      <c r="BN746" s="8">
        <f t="shared" si="724"/>
        <v>494.66666666666669</v>
      </c>
      <c r="BO746" s="8">
        <f t="shared" si="725"/>
        <v>36200</v>
      </c>
      <c r="BP746" s="8">
        <f t="shared" si="745"/>
        <v>238.35087719298247</v>
      </c>
      <c r="BQ746" s="12">
        <f t="shared" si="746"/>
        <v>14550</v>
      </c>
    </row>
    <row r="747" spans="1:69">
      <c r="A747" s="28">
        <v>2004</v>
      </c>
      <c r="B747" s="27" t="s">
        <v>57</v>
      </c>
      <c r="C747" s="24">
        <f t="shared" si="704"/>
        <v>698</v>
      </c>
      <c r="D747" s="7" t="e">
        <f t="shared" ca="1" si="705"/>
        <v>#N/A</v>
      </c>
      <c r="E747" s="26">
        <f t="array" aca="1" ref="E747" ca="1">AVERAGE(IF(INDIRECT(DatCol&amp;"$"&amp;TEXT(C747,"###")):INDIRECT(DatCol&amp;"$"&amp;TEXT(C747+57,"###"))&gt;0,INDIRECT(DatCol&amp;"$"&amp;TEXT(C747,"###")):INDIRECT(DatCol&amp;"$"&amp;TEXT(C747+57,"###"))))</f>
        <v>799.5</v>
      </c>
      <c r="F747" s="26" t="str">
        <f t="shared" si="747"/>
        <v>B</v>
      </c>
      <c r="K747" s="9">
        <f t="shared" si="726"/>
        <v>0</v>
      </c>
      <c r="AK747" s="13"/>
      <c r="AM747" s="13"/>
      <c r="BN747" s="8">
        <f t="shared" si="724"/>
        <v>0</v>
      </c>
      <c r="BO747" s="8">
        <f t="shared" si="725"/>
        <v>0</v>
      </c>
      <c r="BP747" s="8">
        <f t="shared" si="745"/>
        <v>0</v>
      </c>
      <c r="BQ747" s="12">
        <f t="shared" si="746"/>
        <v>0</v>
      </c>
    </row>
    <row r="748" spans="1:69">
      <c r="A748" s="28">
        <v>2005</v>
      </c>
      <c r="B748" s="27" t="s">
        <v>57</v>
      </c>
      <c r="C748" s="24">
        <f t="shared" si="704"/>
        <v>698</v>
      </c>
      <c r="D748" s="7">
        <f t="shared" ca="1" si="705"/>
        <v>2.5015634771732333E-2</v>
      </c>
      <c r="E748" s="26">
        <f t="array" aca="1" ref="E748" ca="1">AVERAGE(IF(INDIRECT(DatCol&amp;"$"&amp;TEXT(C748,"###")):INDIRECT(DatCol&amp;"$"&amp;TEXT(C748+57,"###"))&gt;0,INDIRECT(DatCol&amp;"$"&amp;TEXT(C748,"###")):INDIRECT(DatCol&amp;"$"&amp;TEXT(C748+57,"###"))))</f>
        <v>799.5</v>
      </c>
      <c r="F748" s="26" t="str">
        <f t="shared" si="747"/>
        <v>B</v>
      </c>
      <c r="H748" s="9">
        <v>13</v>
      </c>
      <c r="I748" s="9">
        <v>31</v>
      </c>
      <c r="J748" s="9">
        <v>818</v>
      </c>
      <c r="K748" s="9">
        <f t="shared" si="726"/>
        <v>831</v>
      </c>
      <c r="L748" s="10">
        <v>0</v>
      </c>
      <c r="M748" s="11">
        <v>0</v>
      </c>
      <c r="N748" s="10">
        <f>O748/50</f>
        <v>20</v>
      </c>
      <c r="O748" s="11">
        <v>1000</v>
      </c>
      <c r="P748" s="10">
        <v>0</v>
      </c>
      <c r="Q748" s="11">
        <v>0</v>
      </c>
      <c r="R748" s="10">
        <f>S748/75</f>
        <v>3333.3333333333335</v>
      </c>
      <c r="S748" s="11">
        <v>250000</v>
      </c>
      <c r="T748" s="10">
        <f>U748/75</f>
        <v>1066.6666666666667</v>
      </c>
      <c r="U748" s="11">
        <v>80000</v>
      </c>
      <c r="V748" s="10">
        <f>W748/75</f>
        <v>666.66666666666663</v>
      </c>
      <c r="W748" s="11">
        <v>50000</v>
      </c>
      <c r="X748" s="10">
        <v>0</v>
      </c>
      <c r="Y748" s="11">
        <v>0</v>
      </c>
      <c r="Z748" s="10">
        <f>AA748/75</f>
        <v>2400</v>
      </c>
      <c r="AA748" s="11">
        <v>180000</v>
      </c>
      <c r="AB748" s="10">
        <f>AC748/75</f>
        <v>3400</v>
      </c>
      <c r="AC748" s="11">
        <v>255000</v>
      </c>
      <c r="AD748" s="10">
        <f>AE748/75</f>
        <v>4400</v>
      </c>
      <c r="AE748" s="11">
        <v>330000</v>
      </c>
      <c r="AF748" s="10">
        <v>0</v>
      </c>
      <c r="AG748" s="11">
        <v>0</v>
      </c>
      <c r="AH748" s="10">
        <f>AI748/47.5</f>
        <v>10.526315789473685</v>
      </c>
      <c r="AI748" s="11">
        <v>500</v>
      </c>
      <c r="AJ748" s="10">
        <v>0</v>
      </c>
      <c r="AK748" s="13">
        <v>0</v>
      </c>
      <c r="AL748" s="10">
        <f>AM748/9</f>
        <v>888.88888888888891</v>
      </c>
      <c r="AM748" s="13">
        <v>8000</v>
      </c>
      <c r="AN748" s="10">
        <v>0</v>
      </c>
      <c r="AO748" s="11">
        <v>0</v>
      </c>
      <c r="AP748" s="10">
        <v>0</v>
      </c>
      <c r="AQ748" s="11">
        <v>0</v>
      </c>
      <c r="AR748" s="10">
        <v>0</v>
      </c>
      <c r="AS748" s="11">
        <v>0</v>
      </c>
      <c r="AT748" s="10">
        <v>0</v>
      </c>
      <c r="AU748" s="11">
        <v>0</v>
      </c>
      <c r="AV748" s="10">
        <v>0</v>
      </c>
      <c r="AW748" s="11">
        <v>0</v>
      </c>
      <c r="AX748" s="10">
        <v>0</v>
      </c>
      <c r="AY748" s="11">
        <v>0</v>
      </c>
      <c r="AZ748" s="10">
        <v>0</v>
      </c>
      <c r="BA748" s="11">
        <v>0</v>
      </c>
      <c r="BB748" s="10">
        <v>0</v>
      </c>
      <c r="BC748" s="11">
        <v>0</v>
      </c>
      <c r="BD748" s="10">
        <v>0</v>
      </c>
      <c r="BE748" s="11">
        <v>0</v>
      </c>
      <c r="BF748" s="10">
        <v>0</v>
      </c>
      <c r="BG748" s="11">
        <v>0</v>
      </c>
      <c r="BH748" s="11">
        <v>0</v>
      </c>
      <c r="BI748" s="11">
        <v>0</v>
      </c>
      <c r="BN748" s="8">
        <f t="shared" si="724"/>
        <v>15266.666666666668</v>
      </c>
      <c r="BO748" s="8">
        <f t="shared" si="725"/>
        <v>815000</v>
      </c>
      <c r="BP748" s="8">
        <f t="shared" si="745"/>
        <v>11119.415204678362</v>
      </c>
      <c r="BQ748" s="12">
        <f t="shared" si="746"/>
        <v>774500</v>
      </c>
    </row>
    <row r="749" spans="1:69">
      <c r="A749" s="28">
        <v>2006</v>
      </c>
      <c r="B749" s="27" t="s">
        <v>57</v>
      </c>
      <c r="C749" s="24">
        <f t="shared" si="704"/>
        <v>698</v>
      </c>
      <c r="D749" s="7" t="e">
        <f t="shared" ca="1" si="705"/>
        <v>#N/A</v>
      </c>
      <c r="E749" s="26">
        <f t="array" aca="1" ref="E749" ca="1">AVERAGE(IF(INDIRECT(DatCol&amp;"$"&amp;TEXT(C749,"###")):INDIRECT(DatCol&amp;"$"&amp;TEXT(C749+57,"###"))&gt;0,INDIRECT(DatCol&amp;"$"&amp;TEXT(C749,"###")):INDIRECT(DatCol&amp;"$"&amp;TEXT(C749+57,"###"))))</f>
        <v>799.5</v>
      </c>
      <c r="F749" s="26" t="str">
        <f t="shared" si="747"/>
        <v>B</v>
      </c>
      <c r="K749" s="9">
        <f t="shared" si="726"/>
        <v>0</v>
      </c>
      <c r="AK749" s="13"/>
      <c r="AM749" s="13"/>
      <c r="BN749" s="8">
        <f t="shared" si="724"/>
        <v>0</v>
      </c>
      <c r="BO749" s="8">
        <f t="shared" si="725"/>
        <v>0</v>
      </c>
      <c r="BP749" s="8">
        <f t="shared" si="745"/>
        <v>0</v>
      </c>
      <c r="BQ749" s="12">
        <f t="shared" si="746"/>
        <v>0</v>
      </c>
    </row>
    <row r="750" spans="1:69">
      <c r="A750" s="28">
        <v>2007</v>
      </c>
      <c r="B750" s="27" t="s">
        <v>57</v>
      </c>
      <c r="C750" s="24">
        <f t="shared" si="704"/>
        <v>698</v>
      </c>
      <c r="D750" s="7" t="e">
        <f t="shared" ca="1" si="705"/>
        <v>#N/A</v>
      </c>
      <c r="E750" s="26">
        <f t="array" aca="1" ref="E750" ca="1">AVERAGE(IF(INDIRECT(DatCol&amp;"$"&amp;TEXT(C750,"###")):INDIRECT(DatCol&amp;"$"&amp;TEXT(C750+57,"###"))&gt;0,INDIRECT(DatCol&amp;"$"&amp;TEXT(C750,"###")):INDIRECT(DatCol&amp;"$"&amp;TEXT(C750+57,"###"))))</f>
        <v>799.5</v>
      </c>
      <c r="F750" s="26" t="str">
        <f t="shared" si="747"/>
        <v>B</v>
      </c>
      <c r="K750" s="9">
        <f t="shared" si="726"/>
        <v>0</v>
      </c>
      <c r="AK750" s="13"/>
      <c r="AM750" s="13"/>
      <c r="BN750" s="8">
        <f t="shared" si="724"/>
        <v>0</v>
      </c>
      <c r="BO750" s="8">
        <f t="shared" si="725"/>
        <v>0</v>
      </c>
      <c r="BP750" s="8">
        <f t="shared" si="745"/>
        <v>0</v>
      </c>
      <c r="BQ750" s="12">
        <f t="shared" si="746"/>
        <v>0</v>
      </c>
    </row>
    <row r="751" spans="1:69">
      <c r="A751" s="28">
        <v>2008</v>
      </c>
      <c r="B751" s="27" t="s">
        <v>57</v>
      </c>
      <c r="C751" s="24">
        <f t="shared" si="704"/>
        <v>698</v>
      </c>
      <c r="D751" s="7" t="e">
        <f t="shared" ca="1" si="705"/>
        <v>#N/A</v>
      </c>
      <c r="E751" s="26">
        <f t="array" aca="1" ref="E751" ca="1">AVERAGE(IF(INDIRECT(DatCol&amp;"$"&amp;TEXT(C751,"###")):INDIRECT(DatCol&amp;"$"&amp;TEXT(C751+57,"###"))&gt;0,INDIRECT(DatCol&amp;"$"&amp;TEXT(C751,"###")):INDIRECT(DatCol&amp;"$"&amp;TEXT(C751+57,"###"))))</f>
        <v>799.5</v>
      </c>
      <c r="F751" s="26" t="str">
        <f t="shared" si="747"/>
        <v>B</v>
      </c>
      <c r="K751" s="9">
        <f t="shared" si="726"/>
        <v>0</v>
      </c>
      <c r="AK751" s="13"/>
      <c r="AM751" s="13"/>
      <c r="BN751" s="8">
        <f t="shared" si="724"/>
        <v>0</v>
      </c>
      <c r="BO751" s="8">
        <f t="shared" si="725"/>
        <v>0</v>
      </c>
      <c r="BP751" s="8">
        <f t="shared" si="745"/>
        <v>0</v>
      </c>
      <c r="BQ751" s="12">
        <f t="shared" si="746"/>
        <v>0</v>
      </c>
    </row>
    <row r="752" spans="1:69">
      <c r="A752" s="28">
        <v>2009</v>
      </c>
      <c r="B752" s="27" t="s">
        <v>57</v>
      </c>
      <c r="C752" s="24">
        <f t="shared" si="704"/>
        <v>698</v>
      </c>
      <c r="D752" s="7" t="e">
        <f t="shared" ca="1" si="705"/>
        <v>#N/A</v>
      </c>
      <c r="E752" s="26">
        <f t="array" aca="1" ref="E752" ca="1">AVERAGE(IF(INDIRECT(DatCol&amp;"$"&amp;TEXT(C752,"###")):INDIRECT(DatCol&amp;"$"&amp;TEXT(C752+57,"###"))&gt;0,INDIRECT(DatCol&amp;"$"&amp;TEXT(C752,"###")):INDIRECT(DatCol&amp;"$"&amp;TEXT(C752+57,"###"))))</f>
        <v>799.5</v>
      </c>
      <c r="F752" s="26" t="str">
        <f t="shared" si="747"/>
        <v>B</v>
      </c>
      <c r="K752" s="9">
        <f t="shared" si="726"/>
        <v>0</v>
      </c>
      <c r="AK752" s="13"/>
      <c r="AM752" s="13"/>
      <c r="BN752" s="8">
        <f t="shared" si="724"/>
        <v>0</v>
      </c>
      <c r="BO752" s="8">
        <f t="shared" si="725"/>
        <v>0</v>
      </c>
      <c r="BP752" s="8">
        <f t="shared" si="745"/>
        <v>0</v>
      </c>
      <c r="BQ752" s="12">
        <f t="shared" si="746"/>
        <v>0</v>
      </c>
    </row>
    <row r="753" spans="1:69">
      <c r="A753" s="28">
        <v>2010</v>
      </c>
      <c r="B753" s="27" t="s">
        <v>57</v>
      </c>
      <c r="C753" s="24">
        <f t="shared" si="704"/>
        <v>698</v>
      </c>
      <c r="D753" s="7" t="e">
        <f t="shared" ca="1" si="705"/>
        <v>#N/A</v>
      </c>
      <c r="E753" s="26">
        <f t="array" aca="1" ref="E753" ca="1">AVERAGE(IF(INDIRECT(DatCol&amp;"$"&amp;TEXT(C753,"###")):INDIRECT(DatCol&amp;"$"&amp;TEXT(C753+57,"###"))&gt;0,INDIRECT(DatCol&amp;"$"&amp;TEXT(C753,"###")):INDIRECT(DatCol&amp;"$"&amp;TEXT(C753+57,"###"))))</f>
        <v>799.5</v>
      </c>
      <c r="F753" s="26" t="str">
        <f t="shared" ref="F753:F755" si="748">VLOOKUP(B753,town_region,2,FALSE)</f>
        <v>B</v>
      </c>
      <c r="AK753" s="13"/>
      <c r="AM753" s="13"/>
      <c r="BN753" s="8"/>
      <c r="BO753" s="8"/>
      <c r="BP753" s="8"/>
      <c r="BQ753" s="12"/>
    </row>
    <row r="754" spans="1:69">
      <c r="A754" s="28">
        <v>2011</v>
      </c>
      <c r="B754" s="27" t="s">
        <v>57</v>
      </c>
      <c r="C754" s="24">
        <f t="shared" si="704"/>
        <v>698</v>
      </c>
      <c r="D754" s="7" t="e">
        <f t="shared" ca="1" si="705"/>
        <v>#N/A</v>
      </c>
      <c r="E754" s="26">
        <f t="array" aca="1" ref="E754" ca="1">AVERAGE(IF(INDIRECT(DatCol&amp;"$"&amp;TEXT(C754,"###")):INDIRECT(DatCol&amp;"$"&amp;TEXT(C754+57,"###"))&gt;0,INDIRECT(DatCol&amp;"$"&amp;TEXT(C754,"###")):INDIRECT(DatCol&amp;"$"&amp;TEXT(C754+57,"###"))))</f>
        <v>799.5</v>
      </c>
      <c r="F754" s="26" t="str">
        <f t="shared" si="748"/>
        <v>B</v>
      </c>
      <c r="AK754" s="13"/>
      <c r="AM754" s="13"/>
      <c r="BN754" s="8"/>
      <c r="BO754" s="8"/>
      <c r="BP754" s="8"/>
      <c r="BQ754" s="12"/>
    </row>
    <row r="755" spans="1:69">
      <c r="A755" s="28">
        <v>2012</v>
      </c>
      <c r="B755" s="27" t="s">
        <v>57</v>
      </c>
      <c r="C755" s="24">
        <f t="shared" si="704"/>
        <v>698</v>
      </c>
      <c r="D755" s="7" t="e">
        <f t="shared" ca="1" si="705"/>
        <v>#N/A</v>
      </c>
      <c r="E755" s="26">
        <f t="array" aca="1" ref="E755" ca="1">AVERAGE(IF(INDIRECT(DatCol&amp;"$"&amp;TEXT(C755,"###")):INDIRECT(DatCol&amp;"$"&amp;TEXT(C755+57,"###"))&gt;0,INDIRECT(DatCol&amp;"$"&amp;TEXT(C755,"###")):INDIRECT(DatCol&amp;"$"&amp;TEXT(C755+57,"###"))))</f>
        <v>799.5</v>
      </c>
      <c r="F755" s="26" t="str">
        <f t="shared" si="748"/>
        <v>B</v>
      </c>
      <c r="AK755" s="13"/>
      <c r="AM755" s="13"/>
      <c r="BN755" s="8"/>
      <c r="BO755" s="8"/>
      <c r="BP755" s="8"/>
      <c r="BQ755" s="12"/>
    </row>
    <row r="756" spans="1:69">
      <c r="A756" s="28">
        <v>1955</v>
      </c>
      <c r="B756" s="27" t="s">
        <v>58</v>
      </c>
      <c r="C756" s="24">
        <f>ROW()</f>
        <v>756</v>
      </c>
      <c r="D756" s="7" t="e">
        <f t="shared" ca="1" si="705"/>
        <v>#N/A</v>
      </c>
      <c r="E756" s="26">
        <f t="array" aca="1" ref="E756" ca="1">AVERAGE(IF(INDIRECT(DatCol&amp;"$"&amp;TEXT(C756,"###")):INDIRECT(DatCol&amp;"$"&amp;TEXT(C756+57,"###"))&gt;0,INDIRECT(DatCol&amp;"$"&amp;TEXT(C756,"###")):INDIRECT(DatCol&amp;"$"&amp;TEXT(C756+57,"###"))))</f>
        <v>849.36697435897429</v>
      </c>
      <c r="F756" s="26" t="str">
        <f t="shared" si="747"/>
        <v>B</v>
      </c>
      <c r="G756" s="8"/>
      <c r="K756" s="9">
        <f t="shared" si="726"/>
        <v>0</v>
      </c>
      <c r="M756" s="11">
        <f t="shared" si="727"/>
        <v>0</v>
      </c>
      <c r="O756" s="11">
        <f t="shared" si="728"/>
        <v>0</v>
      </c>
      <c r="Q756" s="11">
        <f t="shared" si="729"/>
        <v>0</v>
      </c>
      <c r="Y756" s="11">
        <f t="shared" si="730"/>
        <v>0</v>
      </c>
      <c r="AG756" s="11">
        <f t="shared" si="731"/>
        <v>0</v>
      </c>
      <c r="AI756" s="11">
        <f t="shared" si="732"/>
        <v>0</v>
      </c>
      <c r="AK756" s="13">
        <f t="shared" si="733"/>
        <v>0</v>
      </c>
      <c r="AM756" s="13">
        <f t="shared" si="734"/>
        <v>0</v>
      </c>
      <c r="AO756" s="11">
        <f t="shared" si="735"/>
        <v>0</v>
      </c>
      <c r="AQ756" s="11">
        <f t="shared" si="736"/>
        <v>0</v>
      </c>
      <c r="AS756" s="11">
        <f t="shared" si="737"/>
        <v>0</v>
      </c>
      <c r="AU756" s="11">
        <f t="shared" si="738"/>
        <v>0</v>
      </c>
      <c r="AW756" s="11">
        <f t="shared" si="739"/>
        <v>0</v>
      </c>
      <c r="AY756" s="11">
        <f t="shared" si="740"/>
        <v>0</v>
      </c>
      <c r="BA756" s="11">
        <f t="shared" si="741"/>
        <v>0</v>
      </c>
      <c r="BC756" s="11">
        <f t="shared" si="742"/>
        <v>0</v>
      </c>
      <c r="BE756" s="11">
        <f t="shared" si="743"/>
        <v>0</v>
      </c>
      <c r="BG756" s="11">
        <f t="shared" si="744"/>
        <v>0</v>
      </c>
      <c r="BN756" s="8">
        <f t="shared" si="724"/>
        <v>0</v>
      </c>
      <c r="BO756" s="8">
        <f t="shared" si="725"/>
        <v>0</v>
      </c>
      <c r="BP756" s="8">
        <f t="shared" si="745"/>
        <v>0</v>
      </c>
      <c r="BQ756" s="12">
        <f t="shared" si="746"/>
        <v>0</v>
      </c>
    </row>
    <row r="757" spans="1:69">
      <c r="A757" s="28">
        <v>1956</v>
      </c>
      <c r="B757" s="27" t="s">
        <v>58</v>
      </c>
      <c r="C757" s="24">
        <f t="shared" ref="C757:C813" si="749">C756</f>
        <v>756</v>
      </c>
      <c r="D757" s="7" t="e">
        <f t="shared" ca="1" si="705"/>
        <v>#N/A</v>
      </c>
      <c r="E757" s="26">
        <f t="array" aca="1" ref="E757" ca="1">AVERAGE(IF(INDIRECT(DatCol&amp;"$"&amp;TEXT(C757,"###")):INDIRECT(DatCol&amp;"$"&amp;TEXT(C757+57,"###"))&gt;0,INDIRECT(DatCol&amp;"$"&amp;TEXT(C757,"###")):INDIRECT(DatCol&amp;"$"&amp;TEXT(C757+57,"###"))))</f>
        <v>849.36697435897429</v>
      </c>
      <c r="F757" s="26" t="str">
        <f t="shared" si="747"/>
        <v>B</v>
      </c>
      <c r="G757" s="8"/>
      <c r="K757" s="9">
        <f t="shared" si="726"/>
        <v>0</v>
      </c>
      <c r="M757" s="11">
        <f t="shared" si="727"/>
        <v>0</v>
      </c>
      <c r="O757" s="11">
        <f t="shared" si="728"/>
        <v>0</v>
      </c>
      <c r="Q757" s="11">
        <f t="shared" si="729"/>
        <v>0</v>
      </c>
      <c r="Y757" s="11">
        <f t="shared" si="730"/>
        <v>0</v>
      </c>
      <c r="AG757" s="11">
        <f t="shared" si="731"/>
        <v>0</v>
      </c>
      <c r="AI757" s="11">
        <f t="shared" si="732"/>
        <v>0</v>
      </c>
      <c r="AK757" s="13">
        <f t="shared" si="733"/>
        <v>0</v>
      </c>
      <c r="AM757" s="13">
        <f t="shared" si="734"/>
        <v>0</v>
      </c>
      <c r="AO757" s="11">
        <f t="shared" si="735"/>
        <v>0</v>
      </c>
      <c r="AQ757" s="11">
        <f t="shared" si="736"/>
        <v>0</v>
      </c>
      <c r="AS757" s="11">
        <f t="shared" si="737"/>
        <v>0</v>
      </c>
      <c r="AU757" s="11">
        <f t="shared" si="738"/>
        <v>0</v>
      </c>
      <c r="AW757" s="11">
        <f t="shared" si="739"/>
        <v>0</v>
      </c>
      <c r="AY757" s="11">
        <f t="shared" si="740"/>
        <v>0</v>
      </c>
      <c r="BA757" s="11">
        <f t="shared" si="741"/>
        <v>0</v>
      </c>
      <c r="BC757" s="11">
        <f t="shared" si="742"/>
        <v>0</v>
      </c>
      <c r="BE757" s="11">
        <f t="shared" si="743"/>
        <v>0</v>
      </c>
      <c r="BG757" s="11">
        <f t="shared" si="744"/>
        <v>0</v>
      </c>
      <c r="BN757" s="8">
        <f t="shared" si="724"/>
        <v>0</v>
      </c>
      <c r="BO757" s="8">
        <f t="shared" si="725"/>
        <v>0</v>
      </c>
      <c r="BP757" s="8">
        <f t="shared" si="745"/>
        <v>0</v>
      </c>
      <c r="BQ757" s="12">
        <f t="shared" si="746"/>
        <v>0</v>
      </c>
    </row>
    <row r="758" spans="1:69">
      <c r="A758" s="28">
        <v>1957</v>
      </c>
      <c r="B758" s="27" t="s">
        <v>58</v>
      </c>
      <c r="C758" s="24">
        <f t="shared" si="749"/>
        <v>756</v>
      </c>
      <c r="D758" s="7" t="e">
        <f t="shared" ca="1" si="705"/>
        <v>#N/A</v>
      </c>
      <c r="E758" s="26">
        <f t="array" aca="1" ref="E758" ca="1">AVERAGE(IF(INDIRECT(DatCol&amp;"$"&amp;TEXT(C758,"###")):INDIRECT(DatCol&amp;"$"&amp;TEXT(C758+57,"###"))&gt;0,INDIRECT(DatCol&amp;"$"&amp;TEXT(C758,"###")):INDIRECT(DatCol&amp;"$"&amp;TEXT(C758+57,"###"))))</f>
        <v>849.36697435897429</v>
      </c>
      <c r="F758" s="26" t="str">
        <f t="shared" si="747"/>
        <v>B</v>
      </c>
      <c r="G758" s="8"/>
      <c r="K758" s="9">
        <f t="shared" si="726"/>
        <v>0</v>
      </c>
      <c r="M758" s="11">
        <f t="shared" ref="M758:M773" si="750">(L758*50)</f>
        <v>0</v>
      </c>
      <c r="O758" s="11">
        <f t="shared" ref="O758:O773" si="751">(N758*50)</f>
        <v>0</v>
      </c>
      <c r="Q758" s="11">
        <f t="shared" ref="Q758:Q773" si="752">((P758*330)/5.5)</f>
        <v>0</v>
      </c>
      <c r="Y758" s="11">
        <f t="shared" ref="Y758:Y773" si="753">((X758*330)/5.5)</f>
        <v>0</v>
      </c>
      <c r="AG758" s="11">
        <f t="shared" ref="AG758:AG773" si="754">(AF758*65)</f>
        <v>0</v>
      </c>
      <c r="AI758" s="11">
        <f t="shared" ref="AI758:AI773" si="755">(AH758*65)</f>
        <v>0</v>
      </c>
      <c r="AK758" s="13">
        <f t="shared" ref="AK758:AK773" si="756">(AJ758*9)</f>
        <v>0</v>
      </c>
      <c r="AM758" s="13">
        <f t="shared" ref="AM758:AM773" si="757">(AL758*9)</f>
        <v>0</v>
      </c>
      <c r="AO758" s="11">
        <f t="shared" ref="AO758:AO773" si="758">(AN758*80)</f>
        <v>0</v>
      </c>
      <c r="AQ758" s="11">
        <f t="shared" ref="AQ758:AQ773" si="759">(AP758*80)</f>
        <v>0</v>
      </c>
      <c r="AS758" s="11">
        <f t="shared" ref="AS758:AS773" si="760">(AR758*50)</f>
        <v>0</v>
      </c>
      <c r="AU758" s="11">
        <f t="shared" ref="AU758:AU773" si="761">(AT758*50)</f>
        <v>0</v>
      </c>
      <c r="AW758" s="11">
        <f t="shared" ref="AW758:AW773" si="762">(AV758*60)</f>
        <v>0</v>
      </c>
      <c r="AY758" s="11">
        <f t="shared" ref="AY758:AY773" si="763">(AX758*60)</f>
        <v>0</v>
      </c>
      <c r="BA758" s="11">
        <f t="shared" ref="BA758:BA773" si="764">(AZ758*40)</f>
        <v>0</v>
      </c>
      <c r="BC758" s="11">
        <f t="shared" ref="BC758:BC773" si="765">(BB758*40)</f>
        <v>0</v>
      </c>
      <c r="BE758" s="11">
        <f t="shared" ref="BE758:BE773" si="766">(BD758*95)</f>
        <v>0</v>
      </c>
      <c r="BG758" s="11">
        <f t="shared" ref="BG758:BG773" si="767">(BF758*95)</f>
        <v>0</v>
      </c>
      <c r="BN758" s="8">
        <f t="shared" si="724"/>
        <v>0</v>
      </c>
      <c r="BO758" s="8">
        <f t="shared" si="725"/>
        <v>0</v>
      </c>
      <c r="BP758" s="8">
        <f t="shared" si="745"/>
        <v>0</v>
      </c>
      <c r="BQ758" s="12">
        <f t="shared" si="746"/>
        <v>0</v>
      </c>
    </row>
    <row r="759" spans="1:69">
      <c r="A759" s="28">
        <v>1958</v>
      </c>
      <c r="B759" s="27" t="s">
        <v>58</v>
      </c>
      <c r="C759" s="24">
        <f t="shared" si="749"/>
        <v>756</v>
      </c>
      <c r="D759" s="7" t="e">
        <f t="shared" ca="1" si="705"/>
        <v>#N/A</v>
      </c>
      <c r="E759" s="26">
        <f t="array" aca="1" ref="E759" ca="1">AVERAGE(IF(INDIRECT(DatCol&amp;"$"&amp;TEXT(C759,"###")):INDIRECT(DatCol&amp;"$"&amp;TEXT(C759+57,"###"))&gt;0,INDIRECT(DatCol&amp;"$"&amp;TEXT(C759,"###")):INDIRECT(DatCol&amp;"$"&amp;TEXT(C759+57,"###"))))</f>
        <v>849.36697435897429</v>
      </c>
      <c r="F759" s="26" t="str">
        <f t="shared" si="747"/>
        <v>B</v>
      </c>
      <c r="G759" s="8"/>
      <c r="K759" s="9">
        <f t="shared" si="726"/>
        <v>0</v>
      </c>
      <c r="M759" s="11">
        <f t="shared" si="750"/>
        <v>0</v>
      </c>
      <c r="O759" s="11">
        <f t="shared" si="751"/>
        <v>0</v>
      </c>
      <c r="Q759" s="11">
        <f t="shared" si="752"/>
        <v>0</v>
      </c>
      <c r="Y759" s="11">
        <f t="shared" si="753"/>
        <v>0</v>
      </c>
      <c r="AG759" s="11">
        <f t="shared" si="754"/>
        <v>0</v>
      </c>
      <c r="AI759" s="11">
        <f t="shared" si="755"/>
        <v>0</v>
      </c>
      <c r="AK759" s="13">
        <f t="shared" si="756"/>
        <v>0</v>
      </c>
      <c r="AM759" s="13">
        <f t="shared" si="757"/>
        <v>0</v>
      </c>
      <c r="AO759" s="11">
        <f t="shared" si="758"/>
        <v>0</v>
      </c>
      <c r="AQ759" s="11">
        <f t="shared" si="759"/>
        <v>0</v>
      </c>
      <c r="AS759" s="11">
        <f t="shared" si="760"/>
        <v>0</v>
      </c>
      <c r="AU759" s="11">
        <f t="shared" si="761"/>
        <v>0</v>
      </c>
      <c r="AW759" s="11">
        <f t="shared" si="762"/>
        <v>0</v>
      </c>
      <c r="AY759" s="11">
        <f t="shared" si="763"/>
        <v>0</v>
      </c>
      <c r="BA759" s="11">
        <f t="shared" si="764"/>
        <v>0</v>
      </c>
      <c r="BC759" s="11">
        <f t="shared" si="765"/>
        <v>0</v>
      </c>
      <c r="BE759" s="11">
        <f t="shared" si="766"/>
        <v>0</v>
      </c>
      <c r="BG759" s="11">
        <f t="shared" si="767"/>
        <v>0</v>
      </c>
      <c r="BN759" s="8">
        <f t="shared" si="724"/>
        <v>0</v>
      </c>
      <c r="BO759" s="8">
        <f t="shared" si="725"/>
        <v>0</v>
      </c>
      <c r="BP759" s="8">
        <f t="shared" si="745"/>
        <v>0</v>
      </c>
      <c r="BQ759" s="12">
        <f t="shared" si="746"/>
        <v>0</v>
      </c>
    </row>
    <row r="760" spans="1:69">
      <c r="A760" s="28">
        <v>1959</v>
      </c>
      <c r="B760" s="27" t="s">
        <v>58</v>
      </c>
      <c r="C760" s="24">
        <f t="shared" si="749"/>
        <v>756</v>
      </c>
      <c r="D760" s="7" t="e">
        <f t="shared" ca="1" si="705"/>
        <v>#N/A</v>
      </c>
      <c r="E760" s="26">
        <f t="array" aca="1" ref="E760" ca="1">AVERAGE(IF(INDIRECT(DatCol&amp;"$"&amp;TEXT(C760,"###")):INDIRECT(DatCol&amp;"$"&amp;TEXT(C760+57,"###"))&gt;0,INDIRECT(DatCol&amp;"$"&amp;TEXT(C760,"###")):INDIRECT(DatCol&amp;"$"&amp;TEXT(C760+57,"###"))))</f>
        <v>849.36697435897429</v>
      </c>
      <c r="F760" s="26" t="str">
        <f t="shared" si="747"/>
        <v>B</v>
      </c>
      <c r="G760" s="8"/>
      <c r="K760" s="9">
        <f t="shared" si="726"/>
        <v>0</v>
      </c>
      <c r="M760" s="11">
        <f t="shared" si="750"/>
        <v>0</v>
      </c>
      <c r="O760" s="11">
        <f t="shared" si="751"/>
        <v>0</v>
      </c>
      <c r="Q760" s="11">
        <f t="shared" si="752"/>
        <v>0</v>
      </c>
      <c r="Y760" s="11">
        <f t="shared" si="753"/>
        <v>0</v>
      </c>
      <c r="AG760" s="11">
        <f t="shared" si="754"/>
        <v>0</v>
      </c>
      <c r="AI760" s="11">
        <f t="shared" si="755"/>
        <v>0</v>
      </c>
      <c r="AK760" s="13">
        <f t="shared" si="756"/>
        <v>0</v>
      </c>
      <c r="AM760" s="13">
        <f t="shared" si="757"/>
        <v>0</v>
      </c>
      <c r="AO760" s="11">
        <f t="shared" si="758"/>
        <v>0</v>
      </c>
      <c r="AQ760" s="11">
        <f t="shared" si="759"/>
        <v>0</v>
      </c>
      <c r="AS760" s="11">
        <f t="shared" si="760"/>
        <v>0</v>
      </c>
      <c r="AU760" s="11">
        <f t="shared" si="761"/>
        <v>0</v>
      </c>
      <c r="AW760" s="11">
        <f t="shared" si="762"/>
        <v>0</v>
      </c>
      <c r="AY760" s="11">
        <f t="shared" si="763"/>
        <v>0</v>
      </c>
      <c r="BA760" s="11">
        <f t="shared" si="764"/>
        <v>0</v>
      </c>
      <c r="BC760" s="11">
        <f t="shared" si="765"/>
        <v>0</v>
      </c>
      <c r="BE760" s="11">
        <f t="shared" si="766"/>
        <v>0</v>
      </c>
      <c r="BG760" s="11">
        <f t="shared" si="767"/>
        <v>0</v>
      </c>
      <c r="BN760" s="8">
        <f t="shared" si="724"/>
        <v>0</v>
      </c>
      <c r="BO760" s="8">
        <f t="shared" si="725"/>
        <v>0</v>
      </c>
      <c r="BP760" s="8">
        <f t="shared" si="745"/>
        <v>0</v>
      </c>
      <c r="BQ760" s="12">
        <f t="shared" si="746"/>
        <v>0</v>
      </c>
    </row>
    <row r="761" spans="1:69">
      <c r="A761" s="28">
        <v>1960</v>
      </c>
      <c r="B761" s="27" t="s">
        <v>58</v>
      </c>
      <c r="C761" s="24">
        <f t="shared" si="749"/>
        <v>756</v>
      </c>
      <c r="D761" s="7" t="e">
        <f t="shared" ca="1" si="705"/>
        <v>#N/A</v>
      </c>
      <c r="E761" s="26">
        <f t="array" aca="1" ref="E761" ca="1">AVERAGE(IF(INDIRECT(DatCol&amp;"$"&amp;TEXT(C761,"###")):INDIRECT(DatCol&amp;"$"&amp;TEXT(C761+57,"###"))&gt;0,INDIRECT(DatCol&amp;"$"&amp;TEXT(C761,"###")):INDIRECT(DatCol&amp;"$"&amp;TEXT(C761+57,"###"))))</f>
        <v>849.36697435897429</v>
      </c>
      <c r="F761" s="26" t="str">
        <f t="shared" si="747"/>
        <v>B</v>
      </c>
      <c r="G761" s="8"/>
      <c r="K761" s="9">
        <f t="shared" si="726"/>
        <v>0</v>
      </c>
      <c r="M761" s="11">
        <f t="shared" si="750"/>
        <v>0</v>
      </c>
      <c r="O761" s="11">
        <f t="shared" si="751"/>
        <v>0</v>
      </c>
      <c r="Q761" s="11">
        <f t="shared" si="752"/>
        <v>0</v>
      </c>
      <c r="Y761" s="11">
        <f t="shared" si="753"/>
        <v>0</v>
      </c>
      <c r="AG761" s="11">
        <f t="shared" si="754"/>
        <v>0</v>
      </c>
      <c r="AI761" s="11">
        <f t="shared" si="755"/>
        <v>0</v>
      </c>
      <c r="AK761" s="13">
        <f t="shared" si="756"/>
        <v>0</v>
      </c>
      <c r="AM761" s="13">
        <f t="shared" si="757"/>
        <v>0</v>
      </c>
      <c r="AO761" s="11">
        <f t="shared" si="758"/>
        <v>0</v>
      </c>
      <c r="AQ761" s="11">
        <f t="shared" si="759"/>
        <v>0</v>
      </c>
      <c r="AS761" s="11">
        <f t="shared" si="760"/>
        <v>0</v>
      </c>
      <c r="AU761" s="11">
        <f t="shared" si="761"/>
        <v>0</v>
      </c>
      <c r="AW761" s="11">
        <f t="shared" si="762"/>
        <v>0</v>
      </c>
      <c r="AY761" s="11">
        <f t="shared" si="763"/>
        <v>0</v>
      </c>
      <c r="BA761" s="11">
        <f t="shared" si="764"/>
        <v>0</v>
      </c>
      <c r="BC761" s="11">
        <f t="shared" si="765"/>
        <v>0</v>
      </c>
      <c r="BE761" s="11">
        <f t="shared" si="766"/>
        <v>0</v>
      </c>
      <c r="BG761" s="11">
        <f t="shared" si="767"/>
        <v>0</v>
      </c>
      <c r="BN761" s="8">
        <f t="shared" si="724"/>
        <v>0</v>
      </c>
      <c r="BO761" s="8">
        <f t="shared" si="725"/>
        <v>0</v>
      </c>
      <c r="BP761" s="8">
        <f t="shared" si="745"/>
        <v>0</v>
      </c>
      <c r="BQ761" s="12">
        <f t="shared" si="746"/>
        <v>0</v>
      </c>
    </row>
    <row r="762" spans="1:69">
      <c r="A762" s="28">
        <v>1961</v>
      </c>
      <c r="B762" s="27" t="s">
        <v>58</v>
      </c>
      <c r="C762" s="24">
        <f t="shared" si="749"/>
        <v>756</v>
      </c>
      <c r="D762" s="7" t="e">
        <f t="shared" ca="1" si="705"/>
        <v>#N/A</v>
      </c>
      <c r="E762" s="26">
        <f t="array" aca="1" ref="E762" ca="1">AVERAGE(IF(INDIRECT(DatCol&amp;"$"&amp;TEXT(C762,"###")):INDIRECT(DatCol&amp;"$"&amp;TEXT(C762+57,"###"))&gt;0,INDIRECT(DatCol&amp;"$"&amp;TEXT(C762,"###")):INDIRECT(DatCol&amp;"$"&amp;TEXT(C762+57,"###"))))</f>
        <v>849.36697435897429</v>
      </c>
      <c r="F762" s="26" t="str">
        <f t="shared" si="747"/>
        <v>B</v>
      </c>
      <c r="G762" s="8"/>
      <c r="K762" s="9">
        <f t="shared" si="726"/>
        <v>0</v>
      </c>
      <c r="M762" s="11">
        <f t="shared" si="750"/>
        <v>0</v>
      </c>
      <c r="O762" s="11">
        <f t="shared" si="751"/>
        <v>0</v>
      </c>
      <c r="Q762" s="11">
        <f t="shared" si="752"/>
        <v>0</v>
      </c>
      <c r="Y762" s="11">
        <f t="shared" si="753"/>
        <v>0</v>
      </c>
      <c r="AG762" s="11">
        <f t="shared" si="754"/>
        <v>0</v>
      </c>
      <c r="AI762" s="11">
        <f t="shared" si="755"/>
        <v>0</v>
      </c>
      <c r="AK762" s="13">
        <f t="shared" si="756"/>
        <v>0</v>
      </c>
      <c r="AM762" s="13">
        <f t="shared" si="757"/>
        <v>0</v>
      </c>
      <c r="AO762" s="11">
        <f t="shared" si="758"/>
        <v>0</v>
      </c>
      <c r="AQ762" s="11">
        <f t="shared" si="759"/>
        <v>0</v>
      </c>
      <c r="AS762" s="11">
        <f t="shared" si="760"/>
        <v>0</v>
      </c>
      <c r="AU762" s="11">
        <f t="shared" si="761"/>
        <v>0</v>
      </c>
      <c r="AW762" s="11">
        <f t="shared" si="762"/>
        <v>0</v>
      </c>
      <c r="AY762" s="11">
        <f t="shared" si="763"/>
        <v>0</v>
      </c>
      <c r="BA762" s="11">
        <f t="shared" si="764"/>
        <v>0</v>
      </c>
      <c r="BC762" s="11">
        <f t="shared" si="765"/>
        <v>0</v>
      </c>
      <c r="BE762" s="11">
        <f t="shared" si="766"/>
        <v>0</v>
      </c>
      <c r="BG762" s="11">
        <f t="shared" si="767"/>
        <v>0</v>
      </c>
      <c r="BN762" s="8">
        <f t="shared" si="724"/>
        <v>0</v>
      </c>
      <c r="BO762" s="8">
        <f t="shared" si="725"/>
        <v>0</v>
      </c>
      <c r="BP762" s="8">
        <f t="shared" si="745"/>
        <v>0</v>
      </c>
      <c r="BQ762" s="12">
        <f t="shared" si="746"/>
        <v>0</v>
      </c>
    </row>
    <row r="763" spans="1:69">
      <c r="A763" s="28">
        <v>1962</v>
      </c>
      <c r="B763" s="27" t="s">
        <v>58</v>
      </c>
      <c r="C763" s="24">
        <f t="shared" si="749"/>
        <v>756</v>
      </c>
      <c r="D763" s="7" t="e">
        <f t="shared" ca="1" si="705"/>
        <v>#N/A</v>
      </c>
      <c r="E763" s="26">
        <f t="array" aca="1" ref="E763" ca="1">AVERAGE(IF(INDIRECT(DatCol&amp;"$"&amp;TEXT(C763,"###")):INDIRECT(DatCol&amp;"$"&amp;TEXT(C763+57,"###"))&gt;0,INDIRECT(DatCol&amp;"$"&amp;TEXT(C763,"###")):INDIRECT(DatCol&amp;"$"&amp;TEXT(C763+57,"###"))))</f>
        <v>849.36697435897429</v>
      </c>
      <c r="F763" s="26" t="str">
        <f t="shared" si="747"/>
        <v>B</v>
      </c>
      <c r="G763" s="8"/>
      <c r="K763" s="9">
        <f t="shared" si="726"/>
        <v>0</v>
      </c>
      <c r="M763" s="11">
        <f t="shared" si="750"/>
        <v>0</v>
      </c>
      <c r="O763" s="11">
        <f t="shared" si="751"/>
        <v>0</v>
      </c>
      <c r="Q763" s="11">
        <f t="shared" si="752"/>
        <v>0</v>
      </c>
      <c r="Y763" s="11">
        <f t="shared" si="753"/>
        <v>0</v>
      </c>
      <c r="AG763" s="11">
        <f t="shared" si="754"/>
        <v>0</v>
      </c>
      <c r="AI763" s="11">
        <f t="shared" si="755"/>
        <v>0</v>
      </c>
      <c r="AK763" s="13">
        <f t="shared" si="756"/>
        <v>0</v>
      </c>
      <c r="AM763" s="13">
        <f t="shared" si="757"/>
        <v>0</v>
      </c>
      <c r="AO763" s="11">
        <f t="shared" si="758"/>
        <v>0</v>
      </c>
      <c r="AQ763" s="11">
        <f t="shared" si="759"/>
        <v>0</v>
      </c>
      <c r="AS763" s="11">
        <f t="shared" si="760"/>
        <v>0</v>
      </c>
      <c r="AU763" s="11">
        <f t="shared" si="761"/>
        <v>0</v>
      </c>
      <c r="AW763" s="11">
        <f t="shared" si="762"/>
        <v>0</v>
      </c>
      <c r="AY763" s="11">
        <f t="shared" si="763"/>
        <v>0</v>
      </c>
      <c r="BA763" s="11">
        <f t="shared" si="764"/>
        <v>0</v>
      </c>
      <c r="BC763" s="11">
        <f t="shared" si="765"/>
        <v>0</v>
      </c>
      <c r="BE763" s="11">
        <f t="shared" si="766"/>
        <v>0</v>
      </c>
      <c r="BG763" s="11">
        <f t="shared" si="767"/>
        <v>0</v>
      </c>
      <c r="BN763" s="8">
        <f t="shared" si="724"/>
        <v>0</v>
      </c>
      <c r="BO763" s="8">
        <f t="shared" si="725"/>
        <v>0</v>
      </c>
      <c r="BP763" s="8">
        <f t="shared" si="745"/>
        <v>0</v>
      </c>
      <c r="BQ763" s="12">
        <f t="shared" si="746"/>
        <v>0</v>
      </c>
    </row>
    <row r="764" spans="1:69">
      <c r="A764" s="28">
        <v>1963</v>
      </c>
      <c r="B764" s="27" t="s">
        <v>58</v>
      </c>
      <c r="C764" s="24">
        <f t="shared" si="749"/>
        <v>756</v>
      </c>
      <c r="D764" s="7" t="e">
        <f t="shared" ca="1" si="705"/>
        <v>#N/A</v>
      </c>
      <c r="E764" s="26">
        <f t="array" aca="1" ref="E764" ca="1">AVERAGE(IF(INDIRECT(DatCol&amp;"$"&amp;TEXT(C764,"###")):INDIRECT(DatCol&amp;"$"&amp;TEXT(C764+57,"###"))&gt;0,INDIRECT(DatCol&amp;"$"&amp;TEXT(C764,"###")):INDIRECT(DatCol&amp;"$"&amp;TEXT(C764+57,"###"))))</f>
        <v>849.36697435897429</v>
      </c>
      <c r="F764" s="26" t="str">
        <f t="shared" si="747"/>
        <v>B</v>
      </c>
      <c r="G764" s="8"/>
      <c r="K764" s="9">
        <f t="shared" si="726"/>
        <v>0</v>
      </c>
      <c r="M764" s="11">
        <f t="shared" si="750"/>
        <v>0</v>
      </c>
      <c r="O764" s="11">
        <f t="shared" si="751"/>
        <v>0</v>
      </c>
      <c r="Q764" s="11">
        <f t="shared" si="752"/>
        <v>0</v>
      </c>
      <c r="Y764" s="11">
        <f t="shared" si="753"/>
        <v>0</v>
      </c>
      <c r="AG764" s="11">
        <f t="shared" si="754"/>
        <v>0</v>
      </c>
      <c r="AI764" s="11">
        <f t="shared" si="755"/>
        <v>0</v>
      </c>
      <c r="AK764" s="13">
        <f t="shared" si="756"/>
        <v>0</v>
      </c>
      <c r="AM764" s="13">
        <f t="shared" si="757"/>
        <v>0</v>
      </c>
      <c r="AO764" s="11">
        <f t="shared" si="758"/>
        <v>0</v>
      </c>
      <c r="AQ764" s="11">
        <f t="shared" si="759"/>
        <v>0</v>
      </c>
      <c r="AS764" s="11">
        <f t="shared" si="760"/>
        <v>0</v>
      </c>
      <c r="AU764" s="11">
        <f t="shared" si="761"/>
        <v>0</v>
      </c>
      <c r="AW764" s="11">
        <f t="shared" si="762"/>
        <v>0</v>
      </c>
      <c r="AY764" s="11">
        <f t="shared" si="763"/>
        <v>0</v>
      </c>
      <c r="BA764" s="11">
        <f t="shared" si="764"/>
        <v>0</v>
      </c>
      <c r="BC764" s="11">
        <f t="shared" si="765"/>
        <v>0</v>
      </c>
      <c r="BE764" s="11">
        <f t="shared" si="766"/>
        <v>0</v>
      </c>
      <c r="BG764" s="11">
        <f t="shared" si="767"/>
        <v>0</v>
      </c>
      <c r="BN764" s="8">
        <f t="shared" si="724"/>
        <v>0</v>
      </c>
      <c r="BO764" s="8">
        <f t="shared" si="725"/>
        <v>0</v>
      </c>
      <c r="BP764" s="8">
        <f t="shared" si="745"/>
        <v>0</v>
      </c>
      <c r="BQ764" s="12">
        <f t="shared" si="746"/>
        <v>0</v>
      </c>
    </row>
    <row r="765" spans="1:69">
      <c r="A765" s="28">
        <v>1964</v>
      </c>
      <c r="B765" s="27" t="s">
        <v>58</v>
      </c>
      <c r="C765" s="24">
        <f t="shared" si="749"/>
        <v>756</v>
      </c>
      <c r="D765" s="7" t="e">
        <f t="shared" ca="1" si="705"/>
        <v>#N/A</v>
      </c>
      <c r="E765" s="26">
        <f t="array" aca="1" ref="E765" ca="1">AVERAGE(IF(INDIRECT(DatCol&amp;"$"&amp;TEXT(C765,"###")):INDIRECT(DatCol&amp;"$"&amp;TEXT(C765+57,"###"))&gt;0,INDIRECT(DatCol&amp;"$"&amp;TEXT(C765,"###")):INDIRECT(DatCol&amp;"$"&amp;TEXT(C765+57,"###"))))</f>
        <v>849.36697435897429</v>
      </c>
      <c r="F765" s="26" t="str">
        <f t="shared" si="747"/>
        <v>B</v>
      </c>
      <c r="G765" s="8"/>
      <c r="K765" s="9">
        <f t="shared" si="726"/>
        <v>0</v>
      </c>
      <c r="M765" s="11">
        <f t="shared" si="750"/>
        <v>0</v>
      </c>
      <c r="O765" s="11">
        <f t="shared" si="751"/>
        <v>0</v>
      </c>
      <c r="Q765" s="11">
        <f t="shared" si="752"/>
        <v>0</v>
      </c>
      <c r="Y765" s="11">
        <f t="shared" si="753"/>
        <v>0</v>
      </c>
      <c r="AG765" s="11">
        <f t="shared" si="754"/>
        <v>0</v>
      </c>
      <c r="AI765" s="11">
        <f t="shared" si="755"/>
        <v>0</v>
      </c>
      <c r="AK765" s="13">
        <f t="shared" si="756"/>
        <v>0</v>
      </c>
      <c r="AM765" s="13">
        <f t="shared" si="757"/>
        <v>0</v>
      </c>
      <c r="AO765" s="11">
        <f t="shared" si="758"/>
        <v>0</v>
      </c>
      <c r="AQ765" s="11">
        <f t="shared" si="759"/>
        <v>0</v>
      </c>
      <c r="AS765" s="11">
        <f t="shared" si="760"/>
        <v>0</v>
      </c>
      <c r="AU765" s="11">
        <f t="shared" si="761"/>
        <v>0</v>
      </c>
      <c r="AW765" s="11">
        <f t="shared" si="762"/>
        <v>0</v>
      </c>
      <c r="AY765" s="11">
        <f t="shared" si="763"/>
        <v>0</v>
      </c>
      <c r="BA765" s="11">
        <f t="shared" si="764"/>
        <v>0</v>
      </c>
      <c r="BC765" s="11">
        <f t="shared" si="765"/>
        <v>0</v>
      </c>
      <c r="BE765" s="11">
        <f t="shared" si="766"/>
        <v>0</v>
      </c>
      <c r="BG765" s="11">
        <f t="shared" si="767"/>
        <v>0</v>
      </c>
      <c r="BN765" s="8">
        <f t="shared" si="724"/>
        <v>0</v>
      </c>
      <c r="BO765" s="8">
        <f t="shared" si="725"/>
        <v>0</v>
      </c>
      <c r="BP765" s="8">
        <f t="shared" si="745"/>
        <v>0</v>
      </c>
      <c r="BQ765" s="12">
        <f t="shared" si="746"/>
        <v>0</v>
      </c>
    </row>
    <row r="766" spans="1:69">
      <c r="A766" s="28">
        <v>1965</v>
      </c>
      <c r="B766" s="27" t="s">
        <v>58</v>
      </c>
      <c r="C766" s="24">
        <f t="shared" si="749"/>
        <v>756</v>
      </c>
      <c r="D766" s="7" t="e">
        <f t="shared" ca="1" si="705"/>
        <v>#N/A</v>
      </c>
      <c r="E766" s="26">
        <f t="array" aca="1" ref="E766" ca="1">AVERAGE(IF(INDIRECT(DatCol&amp;"$"&amp;TEXT(C766,"###")):INDIRECT(DatCol&amp;"$"&amp;TEXT(C766+57,"###"))&gt;0,INDIRECT(DatCol&amp;"$"&amp;TEXT(C766,"###")):INDIRECT(DatCol&amp;"$"&amp;TEXT(C766+57,"###"))))</f>
        <v>849.36697435897429</v>
      </c>
      <c r="F766" s="26" t="str">
        <f t="shared" si="747"/>
        <v>B</v>
      </c>
      <c r="G766" s="8"/>
      <c r="K766" s="9">
        <f t="shared" si="726"/>
        <v>0</v>
      </c>
      <c r="M766" s="11">
        <f t="shared" si="750"/>
        <v>0</v>
      </c>
      <c r="O766" s="11">
        <f t="shared" si="751"/>
        <v>0</v>
      </c>
      <c r="Q766" s="11">
        <f t="shared" si="752"/>
        <v>0</v>
      </c>
      <c r="Y766" s="11">
        <f t="shared" si="753"/>
        <v>0</v>
      </c>
      <c r="AG766" s="11">
        <f t="shared" si="754"/>
        <v>0</v>
      </c>
      <c r="AI766" s="11">
        <f t="shared" si="755"/>
        <v>0</v>
      </c>
      <c r="AK766" s="13">
        <f t="shared" si="756"/>
        <v>0</v>
      </c>
      <c r="AM766" s="13">
        <f t="shared" si="757"/>
        <v>0</v>
      </c>
      <c r="AO766" s="11">
        <f t="shared" si="758"/>
        <v>0</v>
      </c>
      <c r="AQ766" s="11">
        <f t="shared" si="759"/>
        <v>0</v>
      </c>
      <c r="AS766" s="11">
        <f t="shared" si="760"/>
        <v>0</v>
      </c>
      <c r="AU766" s="11">
        <f t="shared" si="761"/>
        <v>0</v>
      </c>
      <c r="AW766" s="11">
        <f t="shared" si="762"/>
        <v>0</v>
      </c>
      <c r="AY766" s="11">
        <f t="shared" si="763"/>
        <v>0</v>
      </c>
      <c r="BA766" s="11">
        <f t="shared" si="764"/>
        <v>0</v>
      </c>
      <c r="BC766" s="11">
        <f t="shared" si="765"/>
        <v>0</v>
      </c>
      <c r="BE766" s="11">
        <f t="shared" si="766"/>
        <v>0</v>
      </c>
      <c r="BG766" s="11">
        <f t="shared" si="767"/>
        <v>0</v>
      </c>
      <c r="BN766" s="8">
        <f t="shared" si="724"/>
        <v>0</v>
      </c>
      <c r="BO766" s="8">
        <f t="shared" si="725"/>
        <v>0</v>
      </c>
      <c r="BP766" s="8">
        <f t="shared" si="745"/>
        <v>0</v>
      </c>
      <c r="BQ766" s="12">
        <f t="shared" si="746"/>
        <v>0</v>
      </c>
    </row>
    <row r="767" spans="1:69">
      <c r="A767" s="28">
        <v>1966</v>
      </c>
      <c r="B767" s="27" t="s">
        <v>58</v>
      </c>
      <c r="C767" s="24">
        <f t="shared" si="749"/>
        <v>756</v>
      </c>
      <c r="D767" s="7" t="e">
        <f t="shared" ca="1" si="705"/>
        <v>#N/A</v>
      </c>
      <c r="E767" s="26">
        <f t="array" aca="1" ref="E767" ca="1">AVERAGE(IF(INDIRECT(DatCol&amp;"$"&amp;TEXT(C767,"###")):INDIRECT(DatCol&amp;"$"&amp;TEXT(C767+57,"###"))&gt;0,INDIRECT(DatCol&amp;"$"&amp;TEXT(C767,"###")):INDIRECT(DatCol&amp;"$"&amp;TEXT(C767+57,"###"))))</f>
        <v>849.36697435897429</v>
      </c>
      <c r="F767" s="26" t="str">
        <f t="shared" si="747"/>
        <v>B</v>
      </c>
      <c r="G767" s="8"/>
      <c r="K767" s="9">
        <f t="shared" si="726"/>
        <v>0</v>
      </c>
      <c r="M767" s="11">
        <f t="shared" si="750"/>
        <v>0</v>
      </c>
      <c r="O767" s="11">
        <f t="shared" si="751"/>
        <v>0</v>
      </c>
      <c r="Q767" s="11">
        <f t="shared" si="752"/>
        <v>0</v>
      </c>
      <c r="Y767" s="11">
        <f t="shared" si="753"/>
        <v>0</v>
      </c>
      <c r="AG767" s="11">
        <f t="shared" si="754"/>
        <v>0</v>
      </c>
      <c r="AI767" s="11">
        <f t="shared" si="755"/>
        <v>0</v>
      </c>
      <c r="AK767" s="13">
        <f t="shared" si="756"/>
        <v>0</v>
      </c>
      <c r="AM767" s="13">
        <f t="shared" si="757"/>
        <v>0</v>
      </c>
      <c r="AO767" s="11">
        <f t="shared" si="758"/>
        <v>0</v>
      </c>
      <c r="AQ767" s="11">
        <f t="shared" si="759"/>
        <v>0</v>
      </c>
      <c r="AS767" s="11">
        <f t="shared" si="760"/>
        <v>0</v>
      </c>
      <c r="AU767" s="11">
        <f t="shared" si="761"/>
        <v>0</v>
      </c>
      <c r="AW767" s="11">
        <f t="shared" si="762"/>
        <v>0</v>
      </c>
      <c r="AY767" s="11">
        <f t="shared" si="763"/>
        <v>0</v>
      </c>
      <c r="BA767" s="11">
        <f t="shared" si="764"/>
        <v>0</v>
      </c>
      <c r="BC767" s="11">
        <f t="shared" si="765"/>
        <v>0</v>
      </c>
      <c r="BE767" s="11">
        <f t="shared" si="766"/>
        <v>0</v>
      </c>
      <c r="BG767" s="11">
        <f t="shared" si="767"/>
        <v>0</v>
      </c>
      <c r="BN767" s="8">
        <f t="shared" si="724"/>
        <v>0</v>
      </c>
      <c r="BO767" s="8">
        <f t="shared" si="725"/>
        <v>0</v>
      </c>
      <c r="BP767" s="8">
        <f t="shared" si="745"/>
        <v>0</v>
      </c>
      <c r="BQ767" s="12">
        <f t="shared" si="746"/>
        <v>0</v>
      </c>
    </row>
    <row r="768" spans="1:69">
      <c r="A768" s="28">
        <v>1967</v>
      </c>
      <c r="B768" s="27" t="s">
        <v>58</v>
      </c>
      <c r="C768" s="24">
        <f t="shared" si="749"/>
        <v>756</v>
      </c>
      <c r="D768" s="7" t="e">
        <f t="shared" ca="1" si="705"/>
        <v>#N/A</v>
      </c>
      <c r="E768" s="26">
        <f t="array" aca="1" ref="E768" ca="1">AVERAGE(IF(INDIRECT(DatCol&amp;"$"&amp;TEXT(C768,"###")):INDIRECT(DatCol&amp;"$"&amp;TEXT(C768+57,"###"))&gt;0,INDIRECT(DatCol&amp;"$"&amp;TEXT(C768,"###")):INDIRECT(DatCol&amp;"$"&amp;TEXT(C768+57,"###"))))</f>
        <v>849.36697435897429</v>
      </c>
      <c r="F768" s="26" t="str">
        <f t="shared" si="747"/>
        <v>B</v>
      </c>
      <c r="G768" s="8"/>
      <c r="J768" s="8" t="s">
        <v>21</v>
      </c>
      <c r="K768" s="9">
        <f t="shared" si="726"/>
        <v>0</v>
      </c>
      <c r="M768" s="11">
        <f t="shared" si="750"/>
        <v>0</v>
      </c>
      <c r="O768" s="11">
        <f t="shared" si="751"/>
        <v>0</v>
      </c>
      <c r="Q768" s="11">
        <f t="shared" si="752"/>
        <v>0</v>
      </c>
      <c r="Y768" s="11">
        <f t="shared" si="753"/>
        <v>0</v>
      </c>
      <c r="AG768" s="11">
        <f t="shared" si="754"/>
        <v>0</v>
      </c>
      <c r="AI768" s="11">
        <f t="shared" si="755"/>
        <v>0</v>
      </c>
      <c r="AK768" s="13">
        <f t="shared" si="756"/>
        <v>0</v>
      </c>
      <c r="AM768" s="13">
        <f t="shared" si="757"/>
        <v>0</v>
      </c>
      <c r="AO768" s="11">
        <f t="shared" si="758"/>
        <v>0</v>
      </c>
      <c r="AQ768" s="11">
        <f t="shared" si="759"/>
        <v>0</v>
      </c>
      <c r="AS768" s="11">
        <f t="shared" si="760"/>
        <v>0</v>
      </c>
      <c r="AU768" s="11">
        <f t="shared" si="761"/>
        <v>0</v>
      </c>
      <c r="AW768" s="11">
        <f t="shared" si="762"/>
        <v>0</v>
      </c>
      <c r="AY768" s="11">
        <f t="shared" si="763"/>
        <v>0</v>
      </c>
      <c r="BA768" s="11">
        <f t="shared" si="764"/>
        <v>0</v>
      </c>
      <c r="BC768" s="11">
        <f t="shared" si="765"/>
        <v>0</v>
      </c>
      <c r="BE768" s="11">
        <f t="shared" si="766"/>
        <v>0</v>
      </c>
      <c r="BG768" s="11">
        <f t="shared" si="767"/>
        <v>0</v>
      </c>
      <c r="BN768" s="8">
        <f t="shared" si="724"/>
        <v>0</v>
      </c>
      <c r="BO768" s="8">
        <f t="shared" si="725"/>
        <v>0</v>
      </c>
      <c r="BP768" s="8">
        <f t="shared" si="745"/>
        <v>0</v>
      </c>
      <c r="BQ768" s="12">
        <f t="shared" si="746"/>
        <v>0</v>
      </c>
    </row>
    <row r="769" spans="1:69">
      <c r="A769" s="28">
        <v>1968</v>
      </c>
      <c r="B769" s="27" t="s">
        <v>58</v>
      </c>
      <c r="C769" s="24">
        <f t="shared" si="749"/>
        <v>756</v>
      </c>
      <c r="D769" s="7">
        <f t="shared" ca="1" si="705"/>
        <v>2.1886888189913503</v>
      </c>
      <c r="E769" s="26">
        <f t="array" aca="1" ref="E769" ca="1">AVERAGE(IF(INDIRECT(DatCol&amp;"$"&amp;TEXT(C769,"###")):INDIRECT(DatCol&amp;"$"&amp;TEXT(C769+57,"###"))&gt;0,INDIRECT(DatCol&amp;"$"&amp;TEXT(C769,"###")):INDIRECT(DatCol&amp;"$"&amp;TEXT(C769+57,"###"))))</f>
        <v>849.36697435897429</v>
      </c>
      <c r="F769" s="26" t="str">
        <f t="shared" si="747"/>
        <v>B</v>
      </c>
      <c r="G769" s="8"/>
      <c r="H769" s="8">
        <v>187</v>
      </c>
      <c r="I769" s="8">
        <v>70</v>
      </c>
      <c r="J769" s="8">
        <v>2400</v>
      </c>
      <c r="K769" s="9">
        <f t="shared" si="726"/>
        <v>2587</v>
      </c>
      <c r="L769" s="12">
        <v>718</v>
      </c>
      <c r="M769" s="11">
        <f t="shared" si="750"/>
        <v>35900</v>
      </c>
      <c r="N769" s="12">
        <v>1859</v>
      </c>
      <c r="O769" s="11">
        <f t="shared" si="751"/>
        <v>92950</v>
      </c>
      <c r="P769" s="12">
        <v>6622</v>
      </c>
      <c r="Q769" s="11">
        <f t="shared" si="752"/>
        <v>397320</v>
      </c>
      <c r="X769" s="12">
        <v>1827</v>
      </c>
      <c r="Y769" s="11">
        <f t="shared" si="753"/>
        <v>109620</v>
      </c>
      <c r="AG769" s="11">
        <f t="shared" si="754"/>
        <v>0</v>
      </c>
      <c r="AH769" s="12">
        <v>300</v>
      </c>
      <c r="AI769" s="11">
        <f t="shared" si="755"/>
        <v>19500</v>
      </c>
      <c r="AJ769" s="12">
        <v>3643</v>
      </c>
      <c r="AK769" s="13">
        <f t="shared" si="756"/>
        <v>32787</v>
      </c>
      <c r="AL769" s="12">
        <v>785</v>
      </c>
      <c r="AM769" s="13">
        <f t="shared" si="757"/>
        <v>7065</v>
      </c>
      <c r="AO769" s="11">
        <f t="shared" si="758"/>
        <v>0</v>
      </c>
      <c r="AQ769" s="11">
        <f t="shared" si="759"/>
        <v>0</v>
      </c>
      <c r="AS769" s="11">
        <f t="shared" si="760"/>
        <v>0</v>
      </c>
      <c r="AU769" s="11">
        <f t="shared" si="761"/>
        <v>0</v>
      </c>
      <c r="AW769" s="11">
        <f t="shared" si="762"/>
        <v>0</v>
      </c>
      <c r="AY769" s="11">
        <f t="shared" si="763"/>
        <v>0</v>
      </c>
      <c r="BA769" s="11">
        <f t="shared" si="764"/>
        <v>0</v>
      </c>
      <c r="BC769" s="11">
        <f t="shared" si="765"/>
        <v>0</v>
      </c>
      <c r="BE769" s="11">
        <f t="shared" si="766"/>
        <v>0</v>
      </c>
      <c r="BG769" s="11">
        <f t="shared" si="767"/>
        <v>0</v>
      </c>
      <c r="BN769" s="8">
        <f t="shared" si="724"/>
        <v>12810</v>
      </c>
      <c r="BO769" s="8">
        <f t="shared" si="725"/>
        <v>575627</v>
      </c>
      <c r="BP769" s="8">
        <f t="shared" si="745"/>
        <v>4771</v>
      </c>
      <c r="BQ769" s="12">
        <f t="shared" si="746"/>
        <v>229135</v>
      </c>
    </row>
    <row r="770" spans="1:69">
      <c r="A770" s="28">
        <v>1969</v>
      </c>
      <c r="B770" s="27" t="s">
        <v>58</v>
      </c>
      <c r="C770" s="24">
        <f t="shared" si="749"/>
        <v>756</v>
      </c>
      <c r="D770" s="7">
        <f t="shared" ref="D770:D833" ca="1" si="768">IF(AND((INDIRECT(DatCol&amp;TEXT(ROW(),"###"))&gt;0),((F770=RegionSelect)+(RegionSelect="A"))),INDIRECT(DatCol&amp;TEXT(ROW(),"###"))/E770,NA())</f>
        <v>2.2687484422788229</v>
      </c>
      <c r="E770" s="26">
        <f t="array" aca="1" ref="E770" ca="1">AVERAGE(IF(INDIRECT(DatCol&amp;"$"&amp;TEXT(C770,"###")):INDIRECT(DatCol&amp;"$"&amp;TEXT(C770+57,"###"))&gt;0,INDIRECT(DatCol&amp;"$"&amp;TEXT(C770,"###")):INDIRECT(DatCol&amp;"$"&amp;TEXT(C770+57,"###"))))</f>
        <v>849.36697435897429</v>
      </c>
      <c r="F770" s="26" t="str">
        <f t="shared" si="747"/>
        <v>B</v>
      </c>
      <c r="G770" s="8"/>
      <c r="H770" s="8">
        <v>153</v>
      </c>
      <c r="I770" s="8">
        <v>80</v>
      </c>
      <c r="J770" s="8">
        <v>2221</v>
      </c>
      <c r="K770" s="9">
        <f t="shared" si="726"/>
        <v>2374</v>
      </c>
      <c r="L770" s="12">
        <v>610</v>
      </c>
      <c r="M770" s="11">
        <f t="shared" si="750"/>
        <v>30500</v>
      </c>
      <c r="N770" s="12">
        <v>1927</v>
      </c>
      <c r="O770" s="11">
        <f t="shared" si="751"/>
        <v>96350</v>
      </c>
      <c r="P770" s="12">
        <v>4985</v>
      </c>
      <c r="Q770" s="11">
        <f t="shared" si="752"/>
        <v>299100</v>
      </c>
      <c r="X770" s="12">
        <v>2196</v>
      </c>
      <c r="Y770" s="11">
        <f t="shared" si="753"/>
        <v>131760</v>
      </c>
      <c r="AG770" s="11">
        <f t="shared" si="754"/>
        <v>0</v>
      </c>
      <c r="AI770" s="11">
        <f t="shared" si="755"/>
        <v>0</v>
      </c>
      <c r="AJ770" s="12">
        <v>5000</v>
      </c>
      <c r="AK770" s="13">
        <f t="shared" si="756"/>
        <v>45000</v>
      </c>
      <c r="AL770" s="12">
        <v>2899</v>
      </c>
      <c r="AM770" s="13">
        <f t="shared" si="757"/>
        <v>26091</v>
      </c>
      <c r="AO770" s="11">
        <f t="shared" si="758"/>
        <v>0</v>
      </c>
      <c r="AQ770" s="11">
        <f t="shared" si="759"/>
        <v>0</v>
      </c>
      <c r="AS770" s="11">
        <f t="shared" si="760"/>
        <v>0</v>
      </c>
      <c r="AU770" s="11">
        <f t="shared" si="761"/>
        <v>0</v>
      </c>
      <c r="AW770" s="11">
        <f t="shared" si="762"/>
        <v>0</v>
      </c>
      <c r="AY770" s="11">
        <f t="shared" si="763"/>
        <v>0</v>
      </c>
      <c r="BA770" s="11">
        <f t="shared" si="764"/>
        <v>0</v>
      </c>
      <c r="BC770" s="11">
        <f t="shared" si="765"/>
        <v>0</v>
      </c>
      <c r="BE770" s="11">
        <f t="shared" si="766"/>
        <v>0</v>
      </c>
      <c r="BG770" s="11">
        <f t="shared" si="767"/>
        <v>0</v>
      </c>
      <c r="BN770" s="8">
        <f t="shared" si="724"/>
        <v>12791</v>
      </c>
      <c r="BO770" s="8">
        <f t="shared" si="725"/>
        <v>506360</v>
      </c>
      <c r="BP770" s="8">
        <f t="shared" si="745"/>
        <v>7022</v>
      </c>
      <c r="BQ770" s="12">
        <f t="shared" si="746"/>
        <v>254201</v>
      </c>
    </row>
    <row r="771" spans="1:69">
      <c r="A771" s="28">
        <v>1970</v>
      </c>
      <c r="B771" s="27" t="s">
        <v>58</v>
      </c>
      <c r="C771" s="24">
        <f t="shared" si="749"/>
        <v>756</v>
      </c>
      <c r="D771" s="7">
        <f t="shared" ca="1" si="768"/>
        <v>1.8649182836376004</v>
      </c>
      <c r="E771" s="26">
        <f t="array" aca="1" ref="E771" ca="1">AVERAGE(IF(INDIRECT(DatCol&amp;"$"&amp;TEXT(C771,"###")):INDIRECT(DatCol&amp;"$"&amp;TEXT(C771+57,"###"))&gt;0,INDIRECT(DatCol&amp;"$"&amp;TEXT(C771,"###")):INDIRECT(DatCol&amp;"$"&amp;TEXT(C771+57,"###"))))</f>
        <v>849.36697435897429</v>
      </c>
      <c r="F771" s="26" t="str">
        <f t="shared" si="747"/>
        <v>B</v>
      </c>
      <c r="G771" s="8"/>
      <c r="H771" s="8">
        <v>166</v>
      </c>
      <c r="I771" s="8">
        <v>150</v>
      </c>
      <c r="J771" s="8">
        <v>2190</v>
      </c>
      <c r="K771" s="9">
        <f t="shared" si="726"/>
        <v>2356</v>
      </c>
      <c r="L771" s="12">
        <v>550</v>
      </c>
      <c r="M771" s="11">
        <f t="shared" si="750"/>
        <v>27500</v>
      </c>
      <c r="N771" s="12">
        <v>1584</v>
      </c>
      <c r="O771" s="11">
        <f t="shared" si="751"/>
        <v>79200</v>
      </c>
      <c r="P771" s="12">
        <v>4892</v>
      </c>
      <c r="Q771" s="11">
        <f t="shared" si="752"/>
        <v>293520</v>
      </c>
      <c r="X771" s="12">
        <v>3000</v>
      </c>
      <c r="Y771" s="11">
        <f t="shared" si="753"/>
        <v>180000</v>
      </c>
      <c r="AG771" s="11">
        <f t="shared" si="754"/>
        <v>0</v>
      </c>
      <c r="AI771" s="11">
        <f t="shared" si="755"/>
        <v>0</v>
      </c>
      <c r="AJ771" s="12">
        <v>9519</v>
      </c>
      <c r="AK771" s="13">
        <f t="shared" si="756"/>
        <v>85671</v>
      </c>
      <c r="AL771" s="12">
        <v>3000</v>
      </c>
      <c r="AM771" s="13">
        <f t="shared" si="757"/>
        <v>27000</v>
      </c>
      <c r="AO771" s="11">
        <f t="shared" si="758"/>
        <v>0</v>
      </c>
      <c r="AQ771" s="11">
        <f t="shared" si="759"/>
        <v>0</v>
      </c>
      <c r="AS771" s="11">
        <f t="shared" si="760"/>
        <v>0</v>
      </c>
      <c r="AU771" s="11">
        <f t="shared" si="761"/>
        <v>0</v>
      </c>
      <c r="AW771" s="11">
        <f t="shared" si="762"/>
        <v>0</v>
      </c>
      <c r="AY771" s="11">
        <f t="shared" si="763"/>
        <v>0</v>
      </c>
      <c r="BA771" s="11">
        <f t="shared" si="764"/>
        <v>0</v>
      </c>
      <c r="BC771" s="11">
        <f t="shared" si="765"/>
        <v>0</v>
      </c>
      <c r="BE771" s="11">
        <f t="shared" si="766"/>
        <v>0</v>
      </c>
      <c r="BG771" s="11">
        <f t="shared" si="767"/>
        <v>0</v>
      </c>
      <c r="BN771" s="8">
        <f t="shared" si="724"/>
        <v>17961</v>
      </c>
      <c r="BO771" s="8">
        <f t="shared" si="725"/>
        <v>586691</v>
      </c>
      <c r="BP771" s="8">
        <f t="shared" si="745"/>
        <v>7584</v>
      </c>
      <c r="BQ771" s="12">
        <f t="shared" si="746"/>
        <v>286200</v>
      </c>
    </row>
    <row r="772" spans="1:69">
      <c r="A772" s="28">
        <v>1971</v>
      </c>
      <c r="B772" s="27" t="s">
        <v>58</v>
      </c>
      <c r="C772" s="24">
        <f t="shared" si="749"/>
        <v>756</v>
      </c>
      <c r="D772" s="7">
        <f t="shared" ca="1" si="768"/>
        <v>1.1773474012863638</v>
      </c>
      <c r="E772" s="26">
        <f t="array" aca="1" ref="E772" ca="1">AVERAGE(IF(INDIRECT(DatCol&amp;"$"&amp;TEXT(C772,"###")):INDIRECT(DatCol&amp;"$"&amp;TEXT(C772+57,"###"))&gt;0,INDIRECT(DatCol&amp;"$"&amp;TEXT(C772,"###")):INDIRECT(DatCol&amp;"$"&amp;TEXT(C772+57,"###"))))</f>
        <v>849.36697435897429</v>
      </c>
      <c r="F772" s="26" t="str">
        <f t="shared" si="747"/>
        <v>B</v>
      </c>
      <c r="G772" s="8"/>
      <c r="H772" s="8">
        <v>168</v>
      </c>
      <c r="I772" s="8">
        <v>92</v>
      </c>
      <c r="J772" s="8">
        <v>2341</v>
      </c>
      <c r="K772" s="9">
        <f t="shared" si="726"/>
        <v>2509</v>
      </c>
      <c r="L772" s="12">
        <v>375</v>
      </c>
      <c r="M772" s="11">
        <f t="shared" si="750"/>
        <v>18750</v>
      </c>
      <c r="N772" s="12">
        <v>1000</v>
      </c>
      <c r="O772" s="11">
        <f t="shared" si="751"/>
        <v>50000</v>
      </c>
      <c r="P772" s="12">
        <v>44555</v>
      </c>
      <c r="Q772" s="11">
        <f t="shared" si="752"/>
        <v>2673300</v>
      </c>
      <c r="X772" s="12">
        <v>2000</v>
      </c>
      <c r="Y772" s="11">
        <f t="shared" si="753"/>
        <v>120000</v>
      </c>
      <c r="AG772" s="11">
        <f t="shared" si="754"/>
        <v>0</v>
      </c>
      <c r="AI772" s="11">
        <f t="shared" si="755"/>
        <v>0</v>
      </c>
      <c r="AJ772" s="12">
        <v>1188</v>
      </c>
      <c r="AK772" s="13">
        <f t="shared" si="756"/>
        <v>10692</v>
      </c>
      <c r="AL772" s="12">
        <v>1000</v>
      </c>
      <c r="AM772" s="13">
        <f t="shared" si="757"/>
        <v>9000</v>
      </c>
      <c r="AO772" s="11">
        <f t="shared" si="758"/>
        <v>0</v>
      </c>
      <c r="AQ772" s="11">
        <f t="shared" si="759"/>
        <v>0</v>
      </c>
      <c r="AS772" s="11">
        <f t="shared" si="760"/>
        <v>0</v>
      </c>
      <c r="AU772" s="11">
        <f t="shared" si="761"/>
        <v>0</v>
      </c>
      <c r="AW772" s="11">
        <f t="shared" si="762"/>
        <v>0</v>
      </c>
      <c r="AY772" s="11">
        <f t="shared" si="763"/>
        <v>0</v>
      </c>
      <c r="BA772" s="11">
        <f t="shared" si="764"/>
        <v>0</v>
      </c>
      <c r="BC772" s="11">
        <f t="shared" si="765"/>
        <v>0</v>
      </c>
      <c r="BE772" s="11">
        <f t="shared" si="766"/>
        <v>0</v>
      </c>
      <c r="BG772" s="11">
        <f t="shared" si="767"/>
        <v>0</v>
      </c>
      <c r="BN772" s="8">
        <f t="shared" si="724"/>
        <v>48118</v>
      </c>
      <c r="BO772" s="8">
        <f t="shared" si="725"/>
        <v>2822742</v>
      </c>
      <c r="BP772" s="8">
        <f t="shared" si="745"/>
        <v>4000</v>
      </c>
      <c r="BQ772" s="12">
        <f t="shared" si="746"/>
        <v>179000</v>
      </c>
    </row>
    <row r="773" spans="1:69">
      <c r="A773" s="28">
        <v>1972</v>
      </c>
      <c r="B773" s="27" t="s">
        <v>58</v>
      </c>
      <c r="C773" s="24">
        <f t="shared" si="749"/>
        <v>756</v>
      </c>
      <c r="D773" s="7" t="e">
        <f t="shared" ca="1" si="768"/>
        <v>#N/A</v>
      </c>
      <c r="E773" s="26">
        <f t="array" aca="1" ref="E773" ca="1">AVERAGE(IF(INDIRECT(DatCol&amp;"$"&amp;TEXT(C773,"###")):INDIRECT(DatCol&amp;"$"&amp;TEXT(C773+57,"###"))&gt;0,INDIRECT(DatCol&amp;"$"&amp;TEXT(C773,"###")):INDIRECT(DatCol&amp;"$"&amp;TEXT(C773+57,"###"))))</f>
        <v>849.36697435897429</v>
      </c>
      <c r="F773" s="26" t="str">
        <f t="shared" si="747"/>
        <v>B</v>
      </c>
      <c r="G773" s="8"/>
      <c r="K773" s="9">
        <f t="shared" si="726"/>
        <v>0</v>
      </c>
      <c r="M773" s="11">
        <f t="shared" si="750"/>
        <v>0</v>
      </c>
      <c r="O773" s="11">
        <f t="shared" si="751"/>
        <v>0</v>
      </c>
      <c r="Q773" s="11">
        <f t="shared" si="752"/>
        <v>0</v>
      </c>
      <c r="Y773" s="11">
        <f t="shared" si="753"/>
        <v>0</v>
      </c>
      <c r="AG773" s="11">
        <f t="shared" si="754"/>
        <v>0</v>
      </c>
      <c r="AI773" s="11">
        <f t="shared" si="755"/>
        <v>0</v>
      </c>
      <c r="AK773" s="13">
        <f t="shared" si="756"/>
        <v>0</v>
      </c>
      <c r="AM773" s="13">
        <f t="shared" si="757"/>
        <v>0</v>
      </c>
      <c r="AO773" s="11">
        <f t="shared" si="758"/>
        <v>0</v>
      </c>
      <c r="AQ773" s="11">
        <f t="shared" si="759"/>
        <v>0</v>
      </c>
      <c r="AS773" s="11">
        <f t="shared" si="760"/>
        <v>0</v>
      </c>
      <c r="AU773" s="11">
        <f t="shared" si="761"/>
        <v>0</v>
      </c>
      <c r="AW773" s="11">
        <f t="shared" si="762"/>
        <v>0</v>
      </c>
      <c r="AY773" s="11">
        <f t="shared" si="763"/>
        <v>0</v>
      </c>
      <c r="BA773" s="11">
        <f t="shared" si="764"/>
        <v>0</v>
      </c>
      <c r="BC773" s="11">
        <f t="shared" si="765"/>
        <v>0</v>
      </c>
      <c r="BE773" s="11">
        <f t="shared" si="766"/>
        <v>0</v>
      </c>
      <c r="BG773" s="11">
        <f t="shared" si="767"/>
        <v>0</v>
      </c>
      <c r="BN773" s="8">
        <f t="shared" si="724"/>
        <v>0</v>
      </c>
      <c r="BO773" s="8">
        <f t="shared" si="725"/>
        <v>0</v>
      </c>
      <c r="BP773" s="8">
        <f t="shared" si="745"/>
        <v>0</v>
      </c>
      <c r="BQ773" s="12">
        <f t="shared" si="746"/>
        <v>0</v>
      </c>
    </row>
    <row r="774" spans="1:69">
      <c r="A774" s="28">
        <v>1973</v>
      </c>
      <c r="B774" s="27" t="s">
        <v>58</v>
      </c>
      <c r="C774" s="24">
        <f t="shared" si="749"/>
        <v>756</v>
      </c>
      <c r="D774" s="7" t="e">
        <f t="shared" ca="1" si="768"/>
        <v>#N/A</v>
      </c>
      <c r="E774" s="26">
        <f t="array" aca="1" ref="E774" ca="1">AVERAGE(IF(INDIRECT(DatCol&amp;"$"&amp;TEXT(C774,"###")):INDIRECT(DatCol&amp;"$"&amp;TEXT(C774+57,"###"))&gt;0,INDIRECT(DatCol&amp;"$"&amp;TEXT(C774,"###")):INDIRECT(DatCol&amp;"$"&amp;TEXT(C774+57,"###"))))</f>
        <v>849.36697435897429</v>
      </c>
      <c r="F774" s="26" t="str">
        <f t="shared" si="747"/>
        <v>B</v>
      </c>
      <c r="G774" s="8"/>
      <c r="K774" s="9">
        <f t="shared" si="726"/>
        <v>0</v>
      </c>
      <c r="M774" s="11">
        <f t="shared" ref="M774:M789" si="769">(L774*50)</f>
        <v>0</v>
      </c>
      <c r="O774" s="11">
        <f t="shared" ref="O774:O789" si="770">(N774*50)</f>
        <v>0</v>
      </c>
      <c r="Q774" s="11">
        <f t="shared" ref="Q774:Q789" si="771">((P774*330)/5.5)</f>
        <v>0</v>
      </c>
      <c r="Y774" s="11">
        <f t="shared" ref="Y774:Y789" si="772">((X774*330)/5.5)</f>
        <v>0</v>
      </c>
      <c r="AG774" s="11">
        <f t="shared" ref="AG774:AG789" si="773">(AF774*65)</f>
        <v>0</v>
      </c>
      <c r="AI774" s="11">
        <f t="shared" ref="AI774:AI789" si="774">(AH774*65)</f>
        <v>0</v>
      </c>
      <c r="AK774" s="13">
        <f t="shared" ref="AK774:AK789" si="775">(AJ774*9)</f>
        <v>0</v>
      </c>
      <c r="AM774" s="13">
        <f t="shared" ref="AM774:AM789" si="776">(AL774*9)</f>
        <v>0</v>
      </c>
      <c r="AO774" s="11">
        <f t="shared" ref="AO774:AO789" si="777">(AN774*80)</f>
        <v>0</v>
      </c>
      <c r="AQ774" s="11">
        <f t="shared" ref="AQ774:AQ789" si="778">(AP774*80)</f>
        <v>0</v>
      </c>
      <c r="AS774" s="11">
        <f t="shared" ref="AS774:AS789" si="779">(AR774*50)</f>
        <v>0</v>
      </c>
      <c r="AU774" s="11">
        <f t="shared" ref="AU774:AU789" si="780">(AT774*50)</f>
        <v>0</v>
      </c>
      <c r="AW774" s="11">
        <f t="shared" ref="AW774:AW789" si="781">(AV774*60)</f>
        <v>0</v>
      </c>
      <c r="AY774" s="11">
        <f t="shared" ref="AY774:AY789" si="782">(AX774*60)</f>
        <v>0</v>
      </c>
      <c r="BA774" s="11">
        <f t="shared" ref="BA774:BA789" si="783">(AZ774*40)</f>
        <v>0</v>
      </c>
      <c r="BC774" s="11">
        <f t="shared" ref="BC774:BC789" si="784">(BB774*40)</f>
        <v>0</v>
      </c>
      <c r="BE774" s="11">
        <f t="shared" ref="BE774:BE789" si="785">(BD774*95)</f>
        <v>0</v>
      </c>
      <c r="BG774" s="11">
        <f t="shared" ref="BG774:BG789" si="786">(BF774*95)</f>
        <v>0</v>
      </c>
      <c r="BN774" s="8">
        <f t="shared" si="724"/>
        <v>0</v>
      </c>
      <c r="BO774" s="8">
        <f t="shared" si="725"/>
        <v>0</v>
      </c>
      <c r="BP774" s="8">
        <f t="shared" si="745"/>
        <v>0</v>
      </c>
      <c r="BQ774" s="12">
        <f t="shared" si="746"/>
        <v>0</v>
      </c>
    </row>
    <row r="775" spans="1:69">
      <c r="A775" s="28">
        <v>1974</v>
      </c>
      <c r="B775" s="27" t="s">
        <v>58</v>
      </c>
      <c r="C775" s="24">
        <f t="shared" si="749"/>
        <v>756</v>
      </c>
      <c r="D775" s="7">
        <f t="shared" ca="1" si="768"/>
        <v>1.4516693457860865</v>
      </c>
      <c r="E775" s="26">
        <f t="array" aca="1" ref="E775" ca="1">AVERAGE(IF(INDIRECT(DatCol&amp;"$"&amp;TEXT(C775,"###")):INDIRECT(DatCol&amp;"$"&amp;TEXT(C775+57,"###"))&gt;0,INDIRECT(DatCol&amp;"$"&amp;TEXT(C775,"###")):INDIRECT(DatCol&amp;"$"&amp;TEXT(C775+57,"###"))))</f>
        <v>849.36697435897429</v>
      </c>
      <c r="F775" s="26" t="str">
        <f t="shared" si="747"/>
        <v>B</v>
      </c>
      <c r="G775" s="8"/>
      <c r="H775" s="8">
        <v>250</v>
      </c>
      <c r="I775" s="8">
        <v>85</v>
      </c>
      <c r="J775" s="8">
        <v>2425</v>
      </c>
      <c r="K775" s="9">
        <f t="shared" si="726"/>
        <v>2675</v>
      </c>
      <c r="L775" s="12">
        <v>320</v>
      </c>
      <c r="M775" s="11">
        <f t="shared" si="769"/>
        <v>16000</v>
      </c>
      <c r="N775" s="12">
        <v>1233</v>
      </c>
      <c r="O775" s="11">
        <f t="shared" si="770"/>
        <v>61650</v>
      </c>
      <c r="P775" s="12">
        <v>4500</v>
      </c>
      <c r="Q775" s="11">
        <f t="shared" si="771"/>
        <v>270000</v>
      </c>
      <c r="X775" s="12">
        <v>3820</v>
      </c>
      <c r="Y775" s="11">
        <f t="shared" si="772"/>
        <v>229200</v>
      </c>
      <c r="AG775" s="11">
        <f t="shared" si="773"/>
        <v>0</v>
      </c>
      <c r="AI775" s="11">
        <f t="shared" si="774"/>
        <v>0</v>
      </c>
      <c r="AJ775" s="12">
        <v>900</v>
      </c>
      <c r="AK775" s="13">
        <f t="shared" si="775"/>
        <v>8100</v>
      </c>
      <c r="AL775" s="12">
        <v>1000</v>
      </c>
      <c r="AM775" s="13">
        <f t="shared" si="776"/>
        <v>9000</v>
      </c>
      <c r="AO775" s="11">
        <f t="shared" si="777"/>
        <v>0</v>
      </c>
      <c r="AQ775" s="11">
        <f t="shared" si="778"/>
        <v>0</v>
      </c>
      <c r="AS775" s="11">
        <f t="shared" si="779"/>
        <v>0</v>
      </c>
      <c r="AU775" s="11">
        <f t="shared" si="780"/>
        <v>0</v>
      </c>
      <c r="AW775" s="11">
        <f t="shared" si="781"/>
        <v>0</v>
      </c>
      <c r="AY775" s="11">
        <f t="shared" si="782"/>
        <v>0</v>
      </c>
      <c r="BA775" s="11">
        <f t="shared" si="783"/>
        <v>0</v>
      </c>
      <c r="BC775" s="11">
        <f t="shared" si="784"/>
        <v>0</v>
      </c>
      <c r="BE775" s="11">
        <f t="shared" si="785"/>
        <v>0</v>
      </c>
      <c r="BG775" s="11">
        <f t="shared" si="786"/>
        <v>0</v>
      </c>
      <c r="BN775" s="8">
        <f t="shared" si="724"/>
        <v>9540</v>
      </c>
      <c r="BO775" s="8">
        <f t="shared" si="725"/>
        <v>523300</v>
      </c>
      <c r="BP775" s="8">
        <f t="shared" si="745"/>
        <v>6053</v>
      </c>
      <c r="BQ775" s="12">
        <f t="shared" si="746"/>
        <v>299850</v>
      </c>
    </row>
    <row r="776" spans="1:69">
      <c r="A776" s="28">
        <v>1975</v>
      </c>
      <c r="B776" s="27" t="s">
        <v>58</v>
      </c>
      <c r="C776" s="24">
        <f t="shared" si="749"/>
        <v>756</v>
      </c>
      <c r="D776" s="7" t="e">
        <f t="shared" ca="1" si="768"/>
        <v>#N/A</v>
      </c>
      <c r="E776" s="26">
        <f t="array" aca="1" ref="E776" ca="1">AVERAGE(IF(INDIRECT(DatCol&amp;"$"&amp;TEXT(C776,"###")):INDIRECT(DatCol&amp;"$"&amp;TEXT(C776+57,"###"))&gt;0,INDIRECT(DatCol&amp;"$"&amp;TEXT(C776,"###")):INDIRECT(DatCol&amp;"$"&amp;TEXT(C776+57,"###"))))</f>
        <v>849.36697435897429</v>
      </c>
      <c r="F776" s="26" t="str">
        <f t="shared" si="747"/>
        <v>B</v>
      </c>
      <c r="G776" s="8"/>
      <c r="K776" s="9">
        <f t="shared" si="726"/>
        <v>0</v>
      </c>
      <c r="L776" s="12" t="s">
        <v>21</v>
      </c>
      <c r="M776" s="11">
        <f t="shared" si="769"/>
        <v>0</v>
      </c>
      <c r="O776" s="11">
        <f t="shared" si="770"/>
        <v>0</v>
      </c>
      <c r="Q776" s="11">
        <f t="shared" si="771"/>
        <v>0</v>
      </c>
      <c r="Y776" s="11">
        <f t="shared" si="772"/>
        <v>0</v>
      </c>
      <c r="AG776" s="11">
        <f t="shared" si="773"/>
        <v>0</v>
      </c>
      <c r="AI776" s="11">
        <f t="shared" si="774"/>
        <v>0</v>
      </c>
      <c r="AK776" s="13">
        <f t="shared" si="775"/>
        <v>0</v>
      </c>
      <c r="AM776" s="13">
        <f t="shared" si="776"/>
        <v>0</v>
      </c>
      <c r="AO776" s="11">
        <f t="shared" si="777"/>
        <v>0</v>
      </c>
      <c r="AQ776" s="11">
        <f t="shared" si="778"/>
        <v>0</v>
      </c>
      <c r="AS776" s="11">
        <f t="shared" si="779"/>
        <v>0</v>
      </c>
      <c r="AU776" s="11">
        <f t="shared" si="780"/>
        <v>0</v>
      </c>
      <c r="AW776" s="11">
        <f t="shared" si="781"/>
        <v>0</v>
      </c>
      <c r="AY776" s="11">
        <f t="shared" si="782"/>
        <v>0</v>
      </c>
      <c r="BA776" s="11">
        <f t="shared" si="783"/>
        <v>0</v>
      </c>
      <c r="BC776" s="11">
        <f t="shared" si="784"/>
        <v>0</v>
      </c>
      <c r="BE776" s="11">
        <f t="shared" si="785"/>
        <v>0</v>
      </c>
      <c r="BG776" s="11">
        <f t="shared" si="786"/>
        <v>0</v>
      </c>
      <c r="BN776" s="8">
        <f t="shared" si="724"/>
        <v>0</v>
      </c>
      <c r="BO776" s="8">
        <f t="shared" si="725"/>
        <v>0</v>
      </c>
      <c r="BP776" s="8">
        <f t="shared" si="745"/>
        <v>0</v>
      </c>
      <c r="BQ776" s="12">
        <f t="shared" si="746"/>
        <v>0</v>
      </c>
    </row>
    <row r="777" spans="1:69">
      <c r="A777" s="28">
        <v>1976</v>
      </c>
      <c r="B777" s="27" t="s">
        <v>58</v>
      </c>
      <c r="C777" s="24">
        <f t="shared" si="749"/>
        <v>756</v>
      </c>
      <c r="D777" s="7">
        <f t="shared" ca="1" si="768"/>
        <v>0.7064084407718183</v>
      </c>
      <c r="E777" s="26">
        <f t="array" aca="1" ref="E777" ca="1">AVERAGE(IF(INDIRECT(DatCol&amp;"$"&amp;TEXT(C777,"###")):INDIRECT(DatCol&amp;"$"&amp;TEXT(C777+57,"###"))&gt;0,INDIRECT(DatCol&amp;"$"&amp;TEXT(C777,"###")):INDIRECT(DatCol&amp;"$"&amp;TEXT(C777+57,"###"))))</f>
        <v>849.36697435897429</v>
      </c>
      <c r="F777" s="26" t="str">
        <f t="shared" si="747"/>
        <v>B</v>
      </c>
      <c r="G777" s="8"/>
      <c r="H777" s="8">
        <v>170</v>
      </c>
      <c r="I777" s="8">
        <v>116</v>
      </c>
      <c r="J777" s="8">
        <v>2250</v>
      </c>
      <c r="K777" s="9">
        <f t="shared" si="726"/>
        <v>2420</v>
      </c>
      <c r="L777" s="12">
        <v>300</v>
      </c>
      <c r="M777" s="11">
        <f t="shared" si="769"/>
        <v>15000</v>
      </c>
      <c r="N777" s="12">
        <v>600</v>
      </c>
      <c r="O777" s="11">
        <f t="shared" si="770"/>
        <v>30000</v>
      </c>
      <c r="P777" s="12">
        <v>7000</v>
      </c>
      <c r="Q777" s="11">
        <f t="shared" si="771"/>
        <v>420000</v>
      </c>
      <c r="X777" s="12">
        <v>4523</v>
      </c>
      <c r="Y777" s="11">
        <f t="shared" si="772"/>
        <v>271380</v>
      </c>
      <c r="AG777" s="11">
        <f t="shared" si="773"/>
        <v>0</v>
      </c>
      <c r="AI777" s="11">
        <f t="shared" si="774"/>
        <v>0</v>
      </c>
      <c r="AJ777" s="12">
        <v>900</v>
      </c>
      <c r="AK777" s="13">
        <f t="shared" si="775"/>
        <v>8100</v>
      </c>
      <c r="AL777" s="12">
        <v>1171</v>
      </c>
      <c r="AM777" s="13">
        <f t="shared" si="776"/>
        <v>10539</v>
      </c>
      <c r="AO777" s="11">
        <f t="shared" si="777"/>
        <v>0</v>
      </c>
      <c r="AQ777" s="11">
        <f t="shared" si="778"/>
        <v>0</v>
      </c>
      <c r="AS777" s="11">
        <f t="shared" si="779"/>
        <v>0</v>
      </c>
      <c r="AU777" s="11">
        <f t="shared" si="780"/>
        <v>0</v>
      </c>
      <c r="AW777" s="11">
        <f t="shared" si="781"/>
        <v>0</v>
      </c>
      <c r="AY777" s="11">
        <f t="shared" si="782"/>
        <v>0</v>
      </c>
      <c r="BA777" s="11">
        <f t="shared" si="783"/>
        <v>0</v>
      </c>
      <c r="BC777" s="11">
        <f t="shared" si="784"/>
        <v>0</v>
      </c>
      <c r="BE777" s="11">
        <f t="shared" si="785"/>
        <v>0</v>
      </c>
      <c r="BG777" s="11">
        <f t="shared" si="786"/>
        <v>0</v>
      </c>
      <c r="BN777" s="8">
        <f t="shared" si="724"/>
        <v>12723</v>
      </c>
      <c r="BO777" s="8">
        <f t="shared" si="725"/>
        <v>714480</v>
      </c>
      <c r="BP777" s="8">
        <f t="shared" si="745"/>
        <v>6294</v>
      </c>
      <c r="BQ777" s="12">
        <f t="shared" si="746"/>
        <v>311919</v>
      </c>
    </row>
    <row r="778" spans="1:69">
      <c r="A778" s="28">
        <v>1977</v>
      </c>
      <c r="B778" s="27" t="s">
        <v>58</v>
      </c>
      <c r="C778" s="24">
        <f t="shared" si="749"/>
        <v>756</v>
      </c>
      <c r="D778" s="7">
        <f t="shared" ca="1" si="768"/>
        <v>0.52627428837500467</v>
      </c>
      <c r="E778" s="26">
        <f t="array" aca="1" ref="E778" ca="1">AVERAGE(IF(INDIRECT(DatCol&amp;"$"&amp;TEXT(C778,"###")):INDIRECT(DatCol&amp;"$"&amp;TEXT(C778+57,"###"))&gt;0,INDIRECT(DatCol&amp;"$"&amp;TEXT(C778,"###")):INDIRECT(DatCol&amp;"$"&amp;TEXT(C778+57,"###"))))</f>
        <v>849.36697435897429</v>
      </c>
      <c r="F778" s="26" t="str">
        <f t="shared" si="747"/>
        <v>B</v>
      </c>
      <c r="G778" s="8"/>
      <c r="H778" s="8">
        <v>140</v>
      </c>
      <c r="I778" s="8">
        <v>84</v>
      </c>
      <c r="J778" s="8">
        <v>2000</v>
      </c>
      <c r="K778" s="9">
        <f t="shared" si="726"/>
        <v>2140</v>
      </c>
      <c r="L778" s="12">
        <v>75</v>
      </c>
      <c r="M778" s="11">
        <f t="shared" si="769"/>
        <v>3750</v>
      </c>
      <c r="N778" s="12">
        <v>447</v>
      </c>
      <c r="O778" s="11">
        <f t="shared" si="770"/>
        <v>22350</v>
      </c>
      <c r="P778" s="12">
        <v>3500</v>
      </c>
      <c r="Q778" s="11">
        <f t="shared" si="771"/>
        <v>210000</v>
      </c>
      <c r="X778" s="12">
        <v>5348</v>
      </c>
      <c r="Y778" s="11">
        <f t="shared" si="772"/>
        <v>320880</v>
      </c>
      <c r="AG778" s="11">
        <f t="shared" si="773"/>
        <v>0</v>
      </c>
      <c r="AI778" s="11">
        <f t="shared" si="774"/>
        <v>0</v>
      </c>
      <c r="AJ778" s="12">
        <v>200</v>
      </c>
      <c r="AK778" s="13">
        <f t="shared" si="775"/>
        <v>1800</v>
      </c>
      <c r="AL778" s="12">
        <v>306</v>
      </c>
      <c r="AM778" s="13">
        <f t="shared" si="776"/>
        <v>2754</v>
      </c>
      <c r="AO778" s="11">
        <f t="shared" si="777"/>
        <v>0</v>
      </c>
      <c r="AQ778" s="11">
        <f t="shared" si="778"/>
        <v>0</v>
      </c>
      <c r="AS778" s="11">
        <f t="shared" si="779"/>
        <v>0</v>
      </c>
      <c r="AU778" s="11">
        <f t="shared" si="780"/>
        <v>0</v>
      </c>
      <c r="AW778" s="11">
        <f t="shared" si="781"/>
        <v>0</v>
      </c>
      <c r="AY778" s="11">
        <f t="shared" si="782"/>
        <v>0</v>
      </c>
      <c r="BA778" s="11">
        <f t="shared" si="783"/>
        <v>0</v>
      </c>
      <c r="BC778" s="11">
        <f t="shared" si="784"/>
        <v>0</v>
      </c>
      <c r="BE778" s="11">
        <f t="shared" si="785"/>
        <v>0</v>
      </c>
      <c r="BG778" s="11">
        <f t="shared" si="786"/>
        <v>0</v>
      </c>
      <c r="BN778" s="8">
        <f t="shared" si="724"/>
        <v>9123</v>
      </c>
      <c r="BO778" s="8">
        <f t="shared" si="725"/>
        <v>536430</v>
      </c>
      <c r="BP778" s="8">
        <f t="shared" si="745"/>
        <v>6101</v>
      </c>
      <c r="BQ778" s="12">
        <f t="shared" si="746"/>
        <v>345984</v>
      </c>
    </row>
    <row r="779" spans="1:69">
      <c r="A779" s="28">
        <v>1978</v>
      </c>
      <c r="B779" s="27" t="s">
        <v>58</v>
      </c>
      <c r="C779" s="24">
        <f t="shared" si="749"/>
        <v>756</v>
      </c>
      <c r="D779" s="7">
        <f t="shared" ca="1" si="768"/>
        <v>0.23546948025727277</v>
      </c>
      <c r="E779" s="26">
        <f t="array" aca="1" ref="E779" ca="1">AVERAGE(IF(INDIRECT(DatCol&amp;"$"&amp;TEXT(C779,"###")):INDIRECT(DatCol&amp;"$"&amp;TEXT(C779+57,"###"))&gt;0,INDIRECT(DatCol&amp;"$"&amp;TEXT(C779,"###")):INDIRECT(DatCol&amp;"$"&amp;TEXT(C779+57,"###"))))</f>
        <v>849.36697435897429</v>
      </c>
      <c r="F779" s="26" t="str">
        <f t="shared" si="747"/>
        <v>B</v>
      </c>
      <c r="G779" s="8"/>
      <c r="H779" s="8">
        <v>134</v>
      </c>
      <c r="I779" s="8">
        <v>237</v>
      </c>
      <c r="J779" s="8">
        <v>1391</v>
      </c>
      <c r="K779" s="9">
        <f t="shared" si="726"/>
        <v>1525</v>
      </c>
      <c r="L779" s="12">
        <v>56</v>
      </c>
      <c r="M779" s="11">
        <f t="shared" si="769"/>
        <v>2800</v>
      </c>
      <c r="N779" s="12">
        <v>200</v>
      </c>
      <c r="O779" s="11">
        <f t="shared" si="770"/>
        <v>10000</v>
      </c>
      <c r="P779" s="12">
        <v>3000</v>
      </c>
      <c r="Q779" s="11">
        <f t="shared" si="771"/>
        <v>180000</v>
      </c>
      <c r="X779" s="12">
        <v>2409</v>
      </c>
      <c r="Y779" s="11">
        <f t="shared" si="772"/>
        <v>144540</v>
      </c>
      <c r="AG779" s="11">
        <f t="shared" si="773"/>
        <v>0</v>
      </c>
      <c r="AI779" s="11">
        <f t="shared" si="774"/>
        <v>0</v>
      </c>
      <c r="AJ779" s="12">
        <v>3375</v>
      </c>
      <c r="AK779" s="13">
        <f t="shared" si="775"/>
        <v>30375</v>
      </c>
      <c r="AL779" s="12">
        <v>2612</v>
      </c>
      <c r="AM779" s="13">
        <f t="shared" si="776"/>
        <v>23508</v>
      </c>
      <c r="AO779" s="11">
        <f t="shared" si="777"/>
        <v>0</v>
      </c>
      <c r="AQ779" s="11">
        <f t="shared" si="778"/>
        <v>0</v>
      </c>
      <c r="AS779" s="11">
        <f t="shared" si="779"/>
        <v>0</v>
      </c>
      <c r="AU779" s="11">
        <f t="shared" si="780"/>
        <v>0</v>
      </c>
      <c r="AW779" s="11">
        <f t="shared" si="781"/>
        <v>0</v>
      </c>
      <c r="AY779" s="11">
        <f t="shared" si="782"/>
        <v>0</v>
      </c>
      <c r="BA779" s="11">
        <f t="shared" si="783"/>
        <v>0</v>
      </c>
      <c r="BC779" s="11">
        <f t="shared" si="784"/>
        <v>0</v>
      </c>
      <c r="BE779" s="11">
        <f t="shared" si="785"/>
        <v>0</v>
      </c>
      <c r="BG779" s="11">
        <f t="shared" si="786"/>
        <v>0</v>
      </c>
      <c r="BN779" s="8">
        <f t="shared" si="724"/>
        <v>8840</v>
      </c>
      <c r="BO779" s="8">
        <f t="shared" si="725"/>
        <v>357715</v>
      </c>
      <c r="BP779" s="8">
        <f t="shared" si="745"/>
        <v>5221</v>
      </c>
      <c r="BQ779" s="12">
        <f t="shared" si="746"/>
        <v>178048</v>
      </c>
    </row>
    <row r="780" spans="1:69">
      <c r="A780" s="28">
        <v>1979</v>
      </c>
      <c r="B780" s="27" t="s">
        <v>58</v>
      </c>
      <c r="C780" s="24">
        <f t="shared" si="749"/>
        <v>756</v>
      </c>
      <c r="D780" s="7">
        <f t="shared" ca="1" si="768"/>
        <v>0.32023849314989095</v>
      </c>
      <c r="E780" s="26">
        <f t="array" aca="1" ref="E780" ca="1">AVERAGE(IF(INDIRECT(DatCol&amp;"$"&amp;TEXT(C780,"###")):INDIRECT(DatCol&amp;"$"&amp;TEXT(C780+57,"###"))&gt;0,INDIRECT(DatCol&amp;"$"&amp;TEXT(C780,"###")):INDIRECT(DatCol&amp;"$"&amp;TEXT(C780+57,"###"))))</f>
        <v>849.36697435897429</v>
      </c>
      <c r="F780" s="26" t="str">
        <f t="shared" si="747"/>
        <v>B</v>
      </c>
      <c r="G780" s="8"/>
      <c r="H780" s="8">
        <v>255</v>
      </c>
      <c r="I780" s="8">
        <v>250</v>
      </c>
      <c r="J780" s="8">
        <v>2800</v>
      </c>
      <c r="K780" s="9">
        <f t="shared" si="726"/>
        <v>3055</v>
      </c>
      <c r="L780" s="12">
        <v>500</v>
      </c>
      <c r="M780" s="11">
        <f t="shared" si="769"/>
        <v>25000</v>
      </c>
      <c r="N780" s="12">
        <v>272</v>
      </c>
      <c r="O780" s="11">
        <f t="shared" si="770"/>
        <v>13600</v>
      </c>
      <c r="P780" s="12">
        <v>5500</v>
      </c>
      <c r="Q780" s="11">
        <f t="shared" si="771"/>
        <v>330000</v>
      </c>
      <c r="X780" s="12">
        <v>3202</v>
      </c>
      <c r="Y780" s="11">
        <f t="shared" si="772"/>
        <v>192120</v>
      </c>
      <c r="AG780" s="11">
        <f t="shared" si="773"/>
        <v>0</v>
      </c>
      <c r="AI780" s="11">
        <f t="shared" si="774"/>
        <v>0</v>
      </c>
      <c r="AJ780" s="12">
        <v>2000</v>
      </c>
      <c r="AK780" s="13">
        <f t="shared" si="775"/>
        <v>18000</v>
      </c>
      <c r="AL780" s="12">
        <v>1200</v>
      </c>
      <c r="AM780" s="13">
        <f t="shared" si="776"/>
        <v>10800</v>
      </c>
      <c r="AO780" s="11">
        <f t="shared" si="777"/>
        <v>0</v>
      </c>
      <c r="AQ780" s="11">
        <f t="shared" si="778"/>
        <v>0</v>
      </c>
      <c r="AS780" s="11">
        <f t="shared" si="779"/>
        <v>0</v>
      </c>
      <c r="AU780" s="11">
        <f t="shared" si="780"/>
        <v>0</v>
      </c>
      <c r="AW780" s="11">
        <f t="shared" si="781"/>
        <v>0</v>
      </c>
      <c r="AY780" s="11">
        <f t="shared" si="782"/>
        <v>0</v>
      </c>
      <c r="BA780" s="11">
        <f t="shared" si="783"/>
        <v>0</v>
      </c>
      <c r="BC780" s="11">
        <f t="shared" si="784"/>
        <v>0</v>
      </c>
      <c r="BE780" s="11">
        <f t="shared" si="785"/>
        <v>0</v>
      </c>
      <c r="BG780" s="11">
        <f t="shared" si="786"/>
        <v>0</v>
      </c>
      <c r="BN780" s="8">
        <f t="shared" si="724"/>
        <v>11202</v>
      </c>
      <c r="BO780" s="8">
        <f t="shared" si="725"/>
        <v>565120</v>
      </c>
      <c r="BP780" s="8">
        <f t="shared" si="745"/>
        <v>4674</v>
      </c>
      <c r="BQ780" s="12">
        <f t="shared" si="746"/>
        <v>216520</v>
      </c>
    </row>
    <row r="781" spans="1:69">
      <c r="A781" s="28">
        <v>1980</v>
      </c>
      <c r="B781" s="27" t="s">
        <v>58</v>
      </c>
      <c r="C781" s="24">
        <f t="shared" si="749"/>
        <v>756</v>
      </c>
      <c r="D781" s="7">
        <f t="shared" ca="1" si="768"/>
        <v>1.1773474012863638</v>
      </c>
      <c r="E781" s="26">
        <f t="array" aca="1" ref="E781" ca="1">AVERAGE(IF(INDIRECT(DatCol&amp;"$"&amp;TEXT(C781,"###")):INDIRECT(DatCol&amp;"$"&amp;TEXT(C781+57,"###"))&gt;0,INDIRECT(DatCol&amp;"$"&amp;TEXT(C781,"###")):INDIRECT(DatCol&amp;"$"&amp;TEXT(C781+57,"###"))))</f>
        <v>849.36697435897429</v>
      </c>
      <c r="F781" s="26" t="str">
        <f t="shared" si="747"/>
        <v>B</v>
      </c>
      <c r="G781" s="8"/>
      <c r="H781" s="8">
        <f>210+412</f>
        <v>622</v>
      </c>
      <c r="I781" s="8">
        <v>263</v>
      </c>
      <c r="J781" s="8">
        <v>2364</v>
      </c>
      <c r="K781" s="9">
        <f t="shared" si="726"/>
        <v>2986</v>
      </c>
      <c r="L781" s="12">
        <v>726</v>
      </c>
      <c r="M781" s="11">
        <f t="shared" si="769"/>
        <v>36300</v>
      </c>
      <c r="N781" s="12">
        <v>1000</v>
      </c>
      <c r="O781" s="11">
        <f t="shared" si="770"/>
        <v>50000</v>
      </c>
      <c r="P781" s="12">
        <v>6480</v>
      </c>
      <c r="Q781" s="11">
        <f t="shared" si="771"/>
        <v>388800</v>
      </c>
      <c r="X781" s="12">
        <v>2567</v>
      </c>
      <c r="Y781" s="11">
        <f t="shared" si="772"/>
        <v>154020</v>
      </c>
      <c r="AG781" s="11">
        <f t="shared" si="773"/>
        <v>0</v>
      </c>
      <c r="AI781" s="11">
        <f t="shared" si="774"/>
        <v>0</v>
      </c>
      <c r="AJ781" s="12">
        <v>130</v>
      </c>
      <c r="AK781" s="13">
        <f t="shared" si="775"/>
        <v>1170</v>
      </c>
      <c r="AL781" s="12">
        <v>300</v>
      </c>
      <c r="AM781" s="13">
        <f t="shared" si="776"/>
        <v>2700</v>
      </c>
      <c r="AO781" s="11">
        <f t="shared" si="777"/>
        <v>0</v>
      </c>
      <c r="AQ781" s="11">
        <f t="shared" si="778"/>
        <v>0</v>
      </c>
      <c r="AS781" s="11">
        <f t="shared" si="779"/>
        <v>0</v>
      </c>
      <c r="AU781" s="11">
        <f t="shared" si="780"/>
        <v>0</v>
      </c>
      <c r="AW781" s="11">
        <f t="shared" si="781"/>
        <v>0</v>
      </c>
      <c r="AY781" s="11">
        <f t="shared" si="782"/>
        <v>0</v>
      </c>
      <c r="BA781" s="11">
        <f t="shared" si="783"/>
        <v>0</v>
      </c>
      <c r="BC781" s="11">
        <f t="shared" si="784"/>
        <v>0</v>
      </c>
      <c r="BE781" s="11">
        <f t="shared" si="785"/>
        <v>0</v>
      </c>
      <c r="BG781" s="11">
        <f t="shared" si="786"/>
        <v>0</v>
      </c>
      <c r="BN781" s="8">
        <f t="shared" si="724"/>
        <v>9903</v>
      </c>
      <c r="BO781" s="8">
        <f t="shared" si="725"/>
        <v>580290</v>
      </c>
      <c r="BP781" s="8">
        <f t="shared" si="745"/>
        <v>3867</v>
      </c>
      <c r="BQ781" s="12">
        <f t="shared" si="746"/>
        <v>206720</v>
      </c>
    </row>
    <row r="782" spans="1:69">
      <c r="A782" s="28">
        <v>1981</v>
      </c>
      <c r="B782" s="27" t="s">
        <v>58</v>
      </c>
      <c r="C782" s="24">
        <f t="shared" si="749"/>
        <v>756</v>
      </c>
      <c r="D782" s="7">
        <f t="shared" ca="1" si="768"/>
        <v>1.3963340179256274</v>
      </c>
      <c r="E782" s="26">
        <f t="array" aca="1" ref="E782" ca="1">AVERAGE(IF(INDIRECT(DatCol&amp;"$"&amp;TEXT(C782,"###")):INDIRECT(DatCol&amp;"$"&amp;TEXT(C782+57,"###"))&gt;0,INDIRECT(DatCol&amp;"$"&amp;TEXT(C782,"###")):INDIRECT(DatCol&amp;"$"&amp;TEXT(C782+57,"###"))))</f>
        <v>849.36697435897429</v>
      </c>
      <c r="F782" s="26" t="str">
        <f t="shared" si="747"/>
        <v>B</v>
      </c>
      <c r="G782" s="8"/>
      <c r="H782" s="8">
        <v>127</v>
      </c>
      <c r="I782" s="8">
        <v>101</v>
      </c>
      <c r="J782" s="8">
        <v>2942</v>
      </c>
      <c r="K782" s="9">
        <f t="shared" si="726"/>
        <v>3069</v>
      </c>
      <c r="L782" s="12">
        <v>960</v>
      </c>
      <c r="M782" s="11">
        <f t="shared" si="769"/>
        <v>48000</v>
      </c>
      <c r="N782" s="12">
        <v>1186</v>
      </c>
      <c r="O782" s="11">
        <f t="shared" si="770"/>
        <v>59300</v>
      </c>
      <c r="P782" s="12">
        <v>2919</v>
      </c>
      <c r="Q782" s="11">
        <f t="shared" si="771"/>
        <v>175140</v>
      </c>
      <c r="X782" s="12">
        <v>33433</v>
      </c>
      <c r="Y782" s="11">
        <f t="shared" si="772"/>
        <v>2005980</v>
      </c>
      <c r="AG782" s="11">
        <f t="shared" si="773"/>
        <v>0</v>
      </c>
      <c r="AI782" s="11">
        <f t="shared" si="774"/>
        <v>0</v>
      </c>
      <c r="AJ782" s="12">
        <v>220</v>
      </c>
      <c r="AK782" s="13">
        <f t="shared" si="775"/>
        <v>1980</v>
      </c>
      <c r="AL782" s="12">
        <v>372</v>
      </c>
      <c r="AM782" s="13">
        <f t="shared" si="776"/>
        <v>3348</v>
      </c>
      <c r="AO782" s="11">
        <f t="shared" si="777"/>
        <v>0</v>
      </c>
      <c r="AQ782" s="11">
        <f t="shared" si="778"/>
        <v>0</v>
      </c>
      <c r="AS782" s="11">
        <f t="shared" si="779"/>
        <v>0</v>
      </c>
      <c r="AU782" s="11">
        <f t="shared" si="780"/>
        <v>0</v>
      </c>
      <c r="AW782" s="11">
        <f t="shared" si="781"/>
        <v>0</v>
      </c>
      <c r="AY782" s="11">
        <f t="shared" si="782"/>
        <v>0</v>
      </c>
      <c r="BA782" s="11">
        <f t="shared" si="783"/>
        <v>0</v>
      </c>
      <c r="BC782" s="11">
        <f t="shared" si="784"/>
        <v>0</v>
      </c>
      <c r="BE782" s="11">
        <f t="shared" si="785"/>
        <v>0</v>
      </c>
      <c r="BG782" s="11">
        <f t="shared" si="786"/>
        <v>0</v>
      </c>
      <c r="BN782" s="8">
        <f t="shared" ref="BN782:BN846" si="787">(L782+P782+R782+T782+V782+X782+Z782+AB782+AD782+AF782+AJ782+AN782+AR782+AV782+AZ782+BD782)</f>
        <v>37532</v>
      </c>
      <c r="BO782" s="8">
        <f t="shared" si="725"/>
        <v>2231100</v>
      </c>
      <c r="BP782" s="8">
        <f t="shared" si="745"/>
        <v>34991</v>
      </c>
      <c r="BQ782" s="12">
        <f t="shared" si="746"/>
        <v>2068628</v>
      </c>
    </row>
    <row r="783" spans="1:69">
      <c r="A783" s="28">
        <v>1982</v>
      </c>
      <c r="B783" s="27" t="s">
        <v>58</v>
      </c>
      <c r="C783" s="24">
        <f t="shared" si="749"/>
        <v>756</v>
      </c>
      <c r="D783" s="7">
        <f t="shared" ca="1" si="768"/>
        <v>0.95836078464710017</v>
      </c>
      <c r="E783" s="26">
        <f t="array" aca="1" ref="E783" ca="1">AVERAGE(IF(INDIRECT(DatCol&amp;"$"&amp;TEXT(C783,"###")):INDIRECT(DatCol&amp;"$"&amp;TEXT(C783+57,"###"))&gt;0,INDIRECT(DatCol&amp;"$"&amp;TEXT(C783,"###")):INDIRECT(DatCol&amp;"$"&amp;TEXT(C783+57,"###"))))</f>
        <v>849.36697435897429</v>
      </c>
      <c r="F783" s="26" t="str">
        <f t="shared" si="747"/>
        <v>B</v>
      </c>
      <c r="G783" s="8"/>
      <c r="H783" s="8">
        <v>103</v>
      </c>
      <c r="I783" s="8">
        <v>168</v>
      </c>
      <c r="J783" s="8">
        <v>2842</v>
      </c>
      <c r="K783" s="9">
        <f t="shared" si="726"/>
        <v>2945</v>
      </c>
      <c r="L783" s="12">
        <v>900</v>
      </c>
      <c r="M783" s="11">
        <f t="shared" si="769"/>
        <v>45000</v>
      </c>
      <c r="N783" s="12">
        <v>814</v>
      </c>
      <c r="O783" s="11">
        <f t="shared" si="770"/>
        <v>40700</v>
      </c>
      <c r="P783" s="12">
        <v>5000</v>
      </c>
      <c r="Q783" s="11">
        <f t="shared" si="771"/>
        <v>300000</v>
      </c>
      <c r="X783" s="12">
        <v>3818</v>
      </c>
      <c r="Y783" s="11">
        <f t="shared" si="772"/>
        <v>229080</v>
      </c>
      <c r="AG783" s="11">
        <f t="shared" si="773"/>
        <v>0</v>
      </c>
      <c r="AI783" s="11">
        <f t="shared" si="774"/>
        <v>0</v>
      </c>
      <c r="AJ783" s="12">
        <v>4232</v>
      </c>
      <c r="AK783" s="13">
        <f t="shared" si="775"/>
        <v>38088</v>
      </c>
      <c r="AL783" s="12">
        <v>1688</v>
      </c>
      <c r="AM783" s="13">
        <f t="shared" si="776"/>
        <v>15192</v>
      </c>
      <c r="AO783" s="11">
        <f t="shared" si="777"/>
        <v>0</v>
      </c>
      <c r="AQ783" s="11">
        <f t="shared" si="778"/>
        <v>0</v>
      </c>
      <c r="AS783" s="11">
        <f t="shared" si="779"/>
        <v>0</v>
      </c>
      <c r="AU783" s="11">
        <f t="shared" si="780"/>
        <v>0</v>
      </c>
      <c r="AW783" s="11">
        <f t="shared" si="781"/>
        <v>0</v>
      </c>
      <c r="AY783" s="11">
        <f t="shared" si="782"/>
        <v>0</v>
      </c>
      <c r="BA783" s="11">
        <f t="shared" si="783"/>
        <v>0</v>
      </c>
      <c r="BC783" s="11">
        <f t="shared" si="784"/>
        <v>0</v>
      </c>
      <c r="BE783" s="11">
        <f t="shared" si="785"/>
        <v>0</v>
      </c>
      <c r="BG783" s="11">
        <f t="shared" si="786"/>
        <v>0</v>
      </c>
      <c r="BN783" s="8">
        <f t="shared" si="787"/>
        <v>13950</v>
      </c>
      <c r="BO783" s="8">
        <f t="shared" ref="BO783:BO847" si="788">(M783+Q783+S783+U783+W783+Y783+AA783+AC783+AG783+AK783+AO783+AS783+AW783+BA783+BE783)</f>
        <v>612168</v>
      </c>
      <c r="BP783" s="8">
        <f t="shared" si="745"/>
        <v>6320</v>
      </c>
      <c r="BQ783" s="12">
        <f t="shared" si="746"/>
        <v>284972</v>
      </c>
    </row>
    <row r="784" spans="1:69">
      <c r="A784" s="28">
        <v>1983</v>
      </c>
      <c r="B784" s="27" t="s">
        <v>58</v>
      </c>
      <c r="C784" s="24">
        <f t="shared" si="749"/>
        <v>756</v>
      </c>
      <c r="D784" s="7">
        <f t="shared" ca="1" si="768"/>
        <v>1.3092103102304367</v>
      </c>
      <c r="E784" s="26">
        <f t="array" aca="1" ref="E784" ca="1">AVERAGE(IF(INDIRECT(DatCol&amp;"$"&amp;TEXT(C784,"###")):INDIRECT(DatCol&amp;"$"&amp;TEXT(C784+57,"###"))&gt;0,INDIRECT(DatCol&amp;"$"&amp;TEXT(C784,"###")):INDIRECT(DatCol&amp;"$"&amp;TEXT(C784+57,"###"))))</f>
        <v>849.36697435897429</v>
      </c>
      <c r="F784" s="26" t="str">
        <f t="shared" si="747"/>
        <v>B</v>
      </c>
      <c r="G784" s="8"/>
      <c r="H784" s="8">
        <v>103</v>
      </c>
      <c r="I784" s="8">
        <v>121</v>
      </c>
      <c r="J784" s="8">
        <v>2779</v>
      </c>
      <c r="K784" s="9">
        <f t="shared" ref="K784:K848" si="789">G784+H784+J784</f>
        <v>2882</v>
      </c>
      <c r="L784" s="12">
        <v>1158</v>
      </c>
      <c r="M784" s="11">
        <f t="shared" si="769"/>
        <v>57900</v>
      </c>
      <c r="N784" s="12">
        <v>1112</v>
      </c>
      <c r="O784" s="11">
        <f t="shared" si="770"/>
        <v>55600</v>
      </c>
      <c r="P784" s="12">
        <v>4500</v>
      </c>
      <c r="Q784" s="11">
        <f t="shared" si="771"/>
        <v>270000</v>
      </c>
      <c r="X784" s="12">
        <v>3040</v>
      </c>
      <c r="Y784" s="11">
        <f t="shared" si="772"/>
        <v>182400</v>
      </c>
      <c r="AG784" s="11">
        <f t="shared" si="773"/>
        <v>0</v>
      </c>
      <c r="AI784" s="11">
        <f t="shared" si="774"/>
        <v>0</v>
      </c>
      <c r="AJ784" s="12">
        <v>200</v>
      </c>
      <c r="AK784" s="13">
        <f t="shared" si="775"/>
        <v>1800</v>
      </c>
      <c r="AL784" s="12">
        <v>112</v>
      </c>
      <c r="AM784" s="13">
        <f t="shared" si="776"/>
        <v>1008</v>
      </c>
      <c r="AO784" s="11">
        <f t="shared" si="777"/>
        <v>0</v>
      </c>
      <c r="AQ784" s="11">
        <f t="shared" si="778"/>
        <v>0</v>
      </c>
      <c r="AS784" s="11">
        <f t="shared" si="779"/>
        <v>0</v>
      </c>
      <c r="AU784" s="11">
        <f t="shared" si="780"/>
        <v>0</v>
      </c>
      <c r="AW784" s="11">
        <f t="shared" si="781"/>
        <v>0</v>
      </c>
      <c r="AY784" s="11">
        <f t="shared" si="782"/>
        <v>0</v>
      </c>
      <c r="BA784" s="11">
        <f t="shared" si="783"/>
        <v>0</v>
      </c>
      <c r="BC784" s="11">
        <f t="shared" si="784"/>
        <v>0</v>
      </c>
      <c r="BE784" s="11">
        <f t="shared" si="785"/>
        <v>0</v>
      </c>
      <c r="BG784" s="11">
        <f t="shared" si="786"/>
        <v>0</v>
      </c>
      <c r="BN784" s="8">
        <f t="shared" si="787"/>
        <v>8898</v>
      </c>
      <c r="BO784" s="8">
        <f t="shared" si="788"/>
        <v>512100</v>
      </c>
      <c r="BP784" s="8">
        <f t="shared" si="745"/>
        <v>4264</v>
      </c>
      <c r="BQ784" s="12">
        <f t="shared" si="746"/>
        <v>239008</v>
      </c>
    </row>
    <row r="785" spans="1:69">
      <c r="A785" s="28">
        <v>1984</v>
      </c>
      <c r="B785" s="27" t="s">
        <v>58</v>
      </c>
      <c r="C785" s="24">
        <f t="shared" si="749"/>
        <v>756</v>
      </c>
      <c r="D785" s="7">
        <f t="shared" ca="1" si="768"/>
        <v>1.2409241609558275</v>
      </c>
      <c r="E785" s="26">
        <f t="array" aca="1" ref="E785" ca="1">AVERAGE(IF(INDIRECT(DatCol&amp;"$"&amp;TEXT(C785,"###")):INDIRECT(DatCol&amp;"$"&amp;TEXT(C785+57,"###"))&gt;0,INDIRECT(DatCol&amp;"$"&amp;TEXT(C785,"###")):INDIRECT(DatCol&amp;"$"&amp;TEXT(C785+57,"###"))))</f>
        <v>849.36697435897429</v>
      </c>
      <c r="F785" s="26" t="str">
        <f t="shared" si="747"/>
        <v>B</v>
      </c>
      <c r="G785" s="8">
        <v>608</v>
      </c>
      <c r="H785" s="8">
        <v>121</v>
      </c>
      <c r="I785" s="8">
        <v>106</v>
      </c>
      <c r="J785" s="8">
        <v>2038</v>
      </c>
      <c r="K785" s="9">
        <f t="shared" si="789"/>
        <v>2767</v>
      </c>
      <c r="L785" s="12">
        <v>900</v>
      </c>
      <c r="M785" s="11">
        <f t="shared" si="769"/>
        <v>45000</v>
      </c>
      <c r="N785" s="12">
        <v>1054</v>
      </c>
      <c r="O785" s="11">
        <f t="shared" si="770"/>
        <v>52700</v>
      </c>
      <c r="P785" s="12">
        <v>4200</v>
      </c>
      <c r="Q785" s="11">
        <f t="shared" si="771"/>
        <v>252000</v>
      </c>
      <c r="X785" s="12">
        <v>3146</v>
      </c>
      <c r="Y785" s="11">
        <f t="shared" si="772"/>
        <v>188760</v>
      </c>
      <c r="AG785" s="11">
        <f t="shared" si="773"/>
        <v>0</v>
      </c>
      <c r="AI785" s="11">
        <f t="shared" si="774"/>
        <v>0</v>
      </c>
      <c r="AJ785" s="12">
        <v>1000</v>
      </c>
      <c r="AK785" s="13">
        <f t="shared" si="775"/>
        <v>9000</v>
      </c>
      <c r="AL785" s="12">
        <v>518</v>
      </c>
      <c r="AM785" s="13">
        <f t="shared" si="776"/>
        <v>4662</v>
      </c>
      <c r="AO785" s="11">
        <f t="shared" si="777"/>
        <v>0</v>
      </c>
      <c r="AQ785" s="11">
        <f t="shared" si="778"/>
        <v>0</v>
      </c>
      <c r="AS785" s="11">
        <f t="shared" si="779"/>
        <v>0</v>
      </c>
      <c r="AU785" s="11">
        <f t="shared" si="780"/>
        <v>0</v>
      </c>
      <c r="AW785" s="11">
        <f t="shared" si="781"/>
        <v>0</v>
      </c>
      <c r="AY785" s="11">
        <f t="shared" si="782"/>
        <v>0</v>
      </c>
      <c r="BA785" s="11">
        <f t="shared" si="783"/>
        <v>0</v>
      </c>
      <c r="BC785" s="11">
        <f t="shared" si="784"/>
        <v>0</v>
      </c>
      <c r="BE785" s="11">
        <f t="shared" si="785"/>
        <v>0</v>
      </c>
      <c r="BG785" s="11">
        <f t="shared" si="786"/>
        <v>0</v>
      </c>
      <c r="BN785" s="8">
        <f t="shared" si="787"/>
        <v>9246</v>
      </c>
      <c r="BO785" s="8">
        <f t="shared" si="788"/>
        <v>494760</v>
      </c>
      <c r="BP785" s="8">
        <f t="shared" si="745"/>
        <v>4718</v>
      </c>
      <c r="BQ785" s="12">
        <f t="shared" si="746"/>
        <v>246122</v>
      </c>
    </row>
    <row r="786" spans="1:69">
      <c r="A786" s="28">
        <v>1985</v>
      </c>
      <c r="B786" s="27" t="s">
        <v>58</v>
      </c>
      <c r="C786" s="24">
        <f t="shared" si="749"/>
        <v>756</v>
      </c>
      <c r="D786" s="7">
        <f t="shared" ca="1" si="768"/>
        <v>0.87359177175448199</v>
      </c>
      <c r="E786" s="26">
        <f t="array" aca="1" ref="E786" ca="1">AVERAGE(IF(INDIRECT(DatCol&amp;"$"&amp;TEXT(C786,"###")):INDIRECT(DatCol&amp;"$"&amp;TEXT(C786+57,"###"))&gt;0,INDIRECT(DatCol&amp;"$"&amp;TEXT(C786,"###")):INDIRECT(DatCol&amp;"$"&amp;TEXT(C786+57,"###"))))</f>
        <v>849.36697435897429</v>
      </c>
      <c r="F786" s="26" t="str">
        <f t="shared" si="747"/>
        <v>B</v>
      </c>
      <c r="G786" s="8">
        <v>596</v>
      </c>
      <c r="H786" s="8">
        <v>143</v>
      </c>
      <c r="I786" s="8">
        <v>121</v>
      </c>
      <c r="J786" s="8">
        <v>2013</v>
      </c>
      <c r="K786" s="9">
        <f t="shared" si="789"/>
        <v>2752</v>
      </c>
      <c r="L786" s="12">
        <v>975</v>
      </c>
      <c r="M786" s="11">
        <f t="shared" si="769"/>
        <v>48750</v>
      </c>
      <c r="N786" s="12">
        <v>742</v>
      </c>
      <c r="O786" s="11">
        <f t="shared" si="770"/>
        <v>37100</v>
      </c>
      <c r="P786" s="12">
        <v>5000</v>
      </c>
      <c r="Q786" s="11">
        <f t="shared" si="771"/>
        <v>300000</v>
      </c>
      <c r="X786" s="12">
        <v>3290</v>
      </c>
      <c r="Y786" s="11">
        <f t="shared" si="772"/>
        <v>197400</v>
      </c>
      <c r="AG786" s="11">
        <f t="shared" si="773"/>
        <v>0</v>
      </c>
      <c r="AI786" s="11">
        <f t="shared" si="774"/>
        <v>0</v>
      </c>
      <c r="AJ786" s="12">
        <v>2000</v>
      </c>
      <c r="AK786" s="13">
        <f t="shared" si="775"/>
        <v>18000</v>
      </c>
      <c r="AL786" s="12">
        <v>1105</v>
      </c>
      <c r="AM786" s="13">
        <f t="shared" si="776"/>
        <v>9945</v>
      </c>
      <c r="AO786" s="11">
        <f t="shared" si="777"/>
        <v>0</v>
      </c>
      <c r="AQ786" s="11">
        <f t="shared" si="778"/>
        <v>0</v>
      </c>
      <c r="AS786" s="11">
        <f t="shared" si="779"/>
        <v>0</v>
      </c>
      <c r="AU786" s="11">
        <f t="shared" si="780"/>
        <v>0</v>
      </c>
      <c r="AW786" s="11">
        <f t="shared" si="781"/>
        <v>0</v>
      </c>
      <c r="AY786" s="11">
        <f t="shared" si="782"/>
        <v>0</v>
      </c>
      <c r="BA786" s="11">
        <f t="shared" si="783"/>
        <v>0</v>
      </c>
      <c r="BC786" s="11">
        <f t="shared" si="784"/>
        <v>0</v>
      </c>
      <c r="BE786" s="11">
        <f t="shared" si="785"/>
        <v>0</v>
      </c>
      <c r="BG786" s="11">
        <f t="shared" si="786"/>
        <v>0</v>
      </c>
      <c r="BN786" s="8">
        <f t="shared" si="787"/>
        <v>11265</v>
      </c>
      <c r="BO786" s="8">
        <f t="shared" si="788"/>
        <v>564150</v>
      </c>
      <c r="BP786" s="8">
        <f t="shared" si="745"/>
        <v>5137</v>
      </c>
      <c r="BQ786" s="12">
        <f t="shared" si="746"/>
        <v>244445</v>
      </c>
    </row>
    <row r="787" spans="1:69">
      <c r="A787" s="28">
        <v>1986</v>
      </c>
      <c r="B787" s="27" t="s">
        <v>58</v>
      </c>
      <c r="C787" s="24">
        <f t="shared" si="749"/>
        <v>756</v>
      </c>
      <c r="D787" s="7">
        <f t="shared" ca="1" si="768"/>
        <v>1.2950821414150002</v>
      </c>
      <c r="E787" s="26">
        <f t="array" aca="1" ref="E787" ca="1">AVERAGE(IF(INDIRECT(DatCol&amp;"$"&amp;TEXT(C787,"###")):INDIRECT(DatCol&amp;"$"&amp;TEXT(C787+57,"###"))&gt;0,INDIRECT(DatCol&amp;"$"&amp;TEXT(C787,"###")):INDIRECT(DatCol&amp;"$"&amp;TEXT(C787+57,"###"))))</f>
        <v>849.36697435897429</v>
      </c>
      <c r="F787" s="26" t="str">
        <f t="shared" si="747"/>
        <v>B</v>
      </c>
      <c r="G787" s="8">
        <v>626</v>
      </c>
      <c r="H787" s="8">
        <v>138</v>
      </c>
      <c r="I787" s="8">
        <v>122</v>
      </c>
      <c r="J787" s="8">
        <v>2083</v>
      </c>
      <c r="K787" s="9">
        <f t="shared" si="789"/>
        <v>2847</v>
      </c>
      <c r="L787" s="12">
        <v>1700</v>
      </c>
      <c r="M787" s="11">
        <f t="shared" si="769"/>
        <v>85000</v>
      </c>
      <c r="N787" s="12">
        <v>1100</v>
      </c>
      <c r="O787" s="11">
        <f t="shared" si="770"/>
        <v>55000</v>
      </c>
      <c r="P787" s="12">
        <v>5600</v>
      </c>
      <c r="Q787" s="11">
        <f t="shared" si="771"/>
        <v>336000</v>
      </c>
      <c r="X787" s="12">
        <v>3000</v>
      </c>
      <c r="Y787" s="11">
        <f t="shared" si="772"/>
        <v>180000</v>
      </c>
      <c r="AG787" s="11">
        <f t="shared" si="773"/>
        <v>0</v>
      </c>
      <c r="AI787" s="11">
        <f t="shared" si="774"/>
        <v>0</v>
      </c>
      <c r="AJ787" s="12">
        <v>1500</v>
      </c>
      <c r="AK787" s="13">
        <f t="shared" si="775"/>
        <v>13500</v>
      </c>
      <c r="AL787" s="12">
        <v>750</v>
      </c>
      <c r="AM787" s="13">
        <f t="shared" si="776"/>
        <v>6750</v>
      </c>
      <c r="AO787" s="11">
        <f t="shared" si="777"/>
        <v>0</v>
      </c>
      <c r="AQ787" s="11">
        <f t="shared" si="778"/>
        <v>0</v>
      </c>
      <c r="AS787" s="11">
        <f t="shared" si="779"/>
        <v>0</v>
      </c>
      <c r="AU787" s="11">
        <f t="shared" si="780"/>
        <v>0</v>
      </c>
      <c r="AW787" s="11">
        <f t="shared" si="781"/>
        <v>0</v>
      </c>
      <c r="AY787" s="11">
        <f t="shared" si="782"/>
        <v>0</v>
      </c>
      <c r="BA787" s="11">
        <f t="shared" si="783"/>
        <v>0</v>
      </c>
      <c r="BC787" s="11">
        <f t="shared" si="784"/>
        <v>0</v>
      </c>
      <c r="BE787" s="11">
        <f t="shared" si="785"/>
        <v>0</v>
      </c>
      <c r="BG787" s="11">
        <f t="shared" si="786"/>
        <v>0</v>
      </c>
      <c r="BN787" s="8">
        <f t="shared" si="787"/>
        <v>11800</v>
      </c>
      <c r="BO787" s="8">
        <f t="shared" si="788"/>
        <v>614500</v>
      </c>
      <c r="BP787" s="8">
        <f t="shared" si="745"/>
        <v>4850</v>
      </c>
      <c r="BQ787" s="12">
        <f t="shared" si="746"/>
        <v>241750</v>
      </c>
    </row>
    <row r="788" spans="1:69">
      <c r="A788" s="28">
        <v>1987</v>
      </c>
      <c r="B788" s="27" t="s">
        <v>58</v>
      </c>
      <c r="C788" s="24">
        <f t="shared" si="749"/>
        <v>756</v>
      </c>
      <c r="D788" s="7">
        <f t="shared" ca="1" si="768"/>
        <v>1.7660211019295458</v>
      </c>
      <c r="E788" s="26">
        <f t="array" aca="1" ref="E788" ca="1">AVERAGE(IF(INDIRECT(DatCol&amp;"$"&amp;TEXT(C788,"###")):INDIRECT(DatCol&amp;"$"&amp;TEXT(C788+57,"###"))&gt;0,INDIRECT(DatCol&amp;"$"&amp;TEXT(C788,"###")):INDIRECT(DatCol&amp;"$"&amp;TEXT(C788+57,"###"))))</f>
        <v>849.36697435897429</v>
      </c>
      <c r="F788" s="26" t="str">
        <f t="shared" si="747"/>
        <v>B</v>
      </c>
      <c r="G788" s="8">
        <v>450</v>
      </c>
      <c r="H788" s="8">
        <v>120</v>
      </c>
      <c r="I788" s="8">
        <v>137</v>
      </c>
      <c r="J788" s="8">
        <v>1812</v>
      </c>
      <c r="K788" s="9">
        <f t="shared" si="789"/>
        <v>2382</v>
      </c>
      <c r="L788" s="12">
        <v>2258</v>
      </c>
      <c r="M788" s="11">
        <f t="shared" si="769"/>
        <v>112900</v>
      </c>
      <c r="N788" s="12">
        <v>1500</v>
      </c>
      <c r="O788" s="11">
        <f t="shared" si="770"/>
        <v>75000</v>
      </c>
      <c r="P788" s="12">
        <v>4000</v>
      </c>
      <c r="Q788" s="11">
        <f t="shared" si="771"/>
        <v>240000</v>
      </c>
      <c r="X788" s="12">
        <v>2906</v>
      </c>
      <c r="Y788" s="11">
        <f t="shared" si="772"/>
        <v>174360</v>
      </c>
      <c r="AG788" s="11">
        <f t="shared" si="773"/>
        <v>0</v>
      </c>
      <c r="AI788" s="11">
        <f t="shared" si="774"/>
        <v>0</v>
      </c>
      <c r="AJ788" s="12">
        <v>1613</v>
      </c>
      <c r="AK788" s="13">
        <f t="shared" si="775"/>
        <v>14517</v>
      </c>
      <c r="AL788" s="12">
        <v>800</v>
      </c>
      <c r="AM788" s="13">
        <f t="shared" si="776"/>
        <v>7200</v>
      </c>
      <c r="AO788" s="11">
        <f t="shared" si="777"/>
        <v>0</v>
      </c>
      <c r="AQ788" s="11">
        <f t="shared" si="778"/>
        <v>0</v>
      </c>
      <c r="AS788" s="11">
        <f t="shared" si="779"/>
        <v>0</v>
      </c>
      <c r="AU788" s="11">
        <f t="shared" si="780"/>
        <v>0</v>
      </c>
      <c r="AW788" s="11">
        <f t="shared" si="781"/>
        <v>0</v>
      </c>
      <c r="AY788" s="11">
        <f t="shared" si="782"/>
        <v>0</v>
      </c>
      <c r="BA788" s="11">
        <f t="shared" si="783"/>
        <v>0</v>
      </c>
      <c r="BC788" s="11">
        <f t="shared" si="784"/>
        <v>0</v>
      </c>
      <c r="BE788" s="11">
        <f t="shared" si="785"/>
        <v>0</v>
      </c>
      <c r="BG788" s="11">
        <f t="shared" si="786"/>
        <v>0</v>
      </c>
      <c r="BN788" s="8">
        <f t="shared" si="787"/>
        <v>10777</v>
      </c>
      <c r="BO788" s="8">
        <f t="shared" si="788"/>
        <v>541777</v>
      </c>
      <c r="BP788" s="8">
        <f t="shared" si="745"/>
        <v>5206</v>
      </c>
      <c r="BQ788" s="12">
        <f t="shared" si="746"/>
        <v>256560</v>
      </c>
    </row>
    <row r="789" spans="1:69">
      <c r="A789" s="28">
        <v>1988</v>
      </c>
      <c r="B789" s="27" t="s">
        <v>58</v>
      </c>
      <c r="C789" s="24">
        <f t="shared" si="749"/>
        <v>756</v>
      </c>
      <c r="D789" s="7">
        <f t="shared" ca="1" si="768"/>
        <v>2.3546948025727277</v>
      </c>
      <c r="E789" s="26">
        <f t="array" aca="1" ref="E789" ca="1">AVERAGE(IF(INDIRECT(DatCol&amp;"$"&amp;TEXT(C789,"###")):INDIRECT(DatCol&amp;"$"&amp;TEXT(C789+57,"###"))&gt;0,INDIRECT(DatCol&amp;"$"&amp;TEXT(C789,"###")):INDIRECT(DatCol&amp;"$"&amp;TEXT(C789+57,"###"))))</f>
        <v>849.36697435897429</v>
      </c>
      <c r="F789" s="26" t="str">
        <f t="shared" si="747"/>
        <v>B</v>
      </c>
      <c r="G789" s="8">
        <v>671</v>
      </c>
      <c r="H789" s="8">
        <v>129</v>
      </c>
      <c r="I789" s="8">
        <v>157</v>
      </c>
      <c r="J789" s="8">
        <v>2503</v>
      </c>
      <c r="K789" s="9">
        <f t="shared" si="789"/>
        <v>3303</v>
      </c>
      <c r="L789" s="12">
        <v>4841</v>
      </c>
      <c r="M789" s="11">
        <f t="shared" si="769"/>
        <v>242050</v>
      </c>
      <c r="N789" s="12">
        <v>2000</v>
      </c>
      <c r="O789" s="11">
        <f t="shared" si="770"/>
        <v>100000</v>
      </c>
      <c r="P789" s="12">
        <v>3789</v>
      </c>
      <c r="Q789" s="11">
        <f t="shared" si="771"/>
        <v>227340</v>
      </c>
      <c r="X789" s="12">
        <v>2300</v>
      </c>
      <c r="Y789" s="11">
        <f t="shared" si="772"/>
        <v>138000</v>
      </c>
      <c r="AG789" s="11">
        <f t="shared" si="773"/>
        <v>0</v>
      </c>
      <c r="AI789" s="11">
        <f t="shared" si="774"/>
        <v>0</v>
      </c>
      <c r="AJ789" s="12">
        <v>150</v>
      </c>
      <c r="AK789" s="13">
        <f t="shared" si="775"/>
        <v>1350</v>
      </c>
      <c r="AL789" s="12">
        <v>100</v>
      </c>
      <c r="AM789" s="13">
        <f t="shared" si="776"/>
        <v>900</v>
      </c>
      <c r="AO789" s="11">
        <f t="shared" si="777"/>
        <v>0</v>
      </c>
      <c r="AQ789" s="11">
        <f t="shared" si="778"/>
        <v>0</v>
      </c>
      <c r="AS789" s="11">
        <f t="shared" si="779"/>
        <v>0</v>
      </c>
      <c r="AU789" s="11">
        <f t="shared" si="780"/>
        <v>0</v>
      </c>
      <c r="AW789" s="11">
        <f t="shared" si="781"/>
        <v>0</v>
      </c>
      <c r="AY789" s="11">
        <f t="shared" si="782"/>
        <v>0</v>
      </c>
      <c r="BA789" s="11">
        <f t="shared" si="783"/>
        <v>0</v>
      </c>
      <c r="BC789" s="11">
        <f t="shared" si="784"/>
        <v>0</v>
      </c>
      <c r="BE789" s="11">
        <f t="shared" si="785"/>
        <v>0</v>
      </c>
      <c r="BG789" s="11">
        <f t="shared" si="786"/>
        <v>0</v>
      </c>
      <c r="BN789" s="8">
        <f t="shared" si="787"/>
        <v>11080</v>
      </c>
      <c r="BO789" s="8">
        <f t="shared" si="788"/>
        <v>608740</v>
      </c>
      <c r="BP789" s="8">
        <f t="shared" si="745"/>
        <v>4400</v>
      </c>
      <c r="BQ789" s="12">
        <f t="shared" si="746"/>
        <v>238900</v>
      </c>
    </row>
    <row r="790" spans="1:69">
      <c r="A790" s="28">
        <v>1989</v>
      </c>
      <c r="B790" s="27" t="s">
        <v>58</v>
      </c>
      <c r="C790" s="24">
        <f t="shared" si="749"/>
        <v>756</v>
      </c>
      <c r="D790" s="7">
        <f t="shared" ca="1" si="768"/>
        <v>2.2557976208646733</v>
      </c>
      <c r="E790" s="26">
        <f t="array" aca="1" ref="E790" ca="1">AVERAGE(IF(INDIRECT(DatCol&amp;"$"&amp;TEXT(C790,"###")):INDIRECT(DatCol&amp;"$"&amp;TEXT(C790+57,"###"))&gt;0,INDIRECT(DatCol&amp;"$"&amp;TEXT(C790,"###")):INDIRECT(DatCol&amp;"$"&amp;TEXT(C790+57,"###"))))</f>
        <v>849.36697435897429</v>
      </c>
      <c r="F790" s="26" t="str">
        <f t="shared" si="747"/>
        <v>B</v>
      </c>
      <c r="G790" s="8">
        <v>650</v>
      </c>
      <c r="H790" s="8">
        <v>122</v>
      </c>
      <c r="I790" s="8">
        <v>132</v>
      </c>
      <c r="J790" s="8">
        <v>1786</v>
      </c>
      <c r="K790" s="9">
        <f t="shared" si="789"/>
        <v>2558</v>
      </c>
      <c r="L790" s="12">
        <v>5000</v>
      </c>
      <c r="M790" s="11">
        <f t="shared" ref="M790:M820" si="790">(L790*50)</f>
        <v>250000</v>
      </c>
      <c r="N790" s="12">
        <v>1916</v>
      </c>
      <c r="O790" s="11">
        <f t="shared" ref="O790:O820" si="791">(N790*50)</f>
        <v>95800</v>
      </c>
      <c r="P790" s="12">
        <v>3009</v>
      </c>
      <c r="Q790" s="11">
        <f t="shared" ref="Q790:Q820" si="792">((P790*330)/5.5)</f>
        <v>180540</v>
      </c>
      <c r="X790" s="12">
        <v>1800</v>
      </c>
      <c r="Y790" s="11">
        <f t="shared" ref="Y790:Y820" si="793">((X790*330)/5.5)</f>
        <v>108000</v>
      </c>
      <c r="AF790" s="12">
        <v>0</v>
      </c>
      <c r="AG790" s="11">
        <f t="shared" ref="AG790:AG820" si="794">(AF790*65)</f>
        <v>0</v>
      </c>
      <c r="AH790" s="12">
        <v>0</v>
      </c>
      <c r="AI790" s="11">
        <f t="shared" ref="AI790:AI820" si="795">(AH790*65)</f>
        <v>0</v>
      </c>
      <c r="AJ790" s="12">
        <v>158</v>
      </c>
      <c r="AK790" s="13">
        <f t="shared" ref="AK790:AK820" si="796">(AJ790*9)</f>
        <v>1422</v>
      </c>
      <c r="AL790" s="12">
        <v>150</v>
      </c>
      <c r="AM790" s="13">
        <f t="shared" ref="AM790:AM820" si="797">(AL790*9)</f>
        <v>1350</v>
      </c>
      <c r="AO790" s="11">
        <f t="shared" ref="AO790:AO820" si="798">(AN790*80)</f>
        <v>0</v>
      </c>
      <c r="AQ790" s="11">
        <f t="shared" ref="AQ790:AQ820" si="799">(AP790*80)</f>
        <v>0</v>
      </c>
      <c r="AS790" s="11">
        <f t="shared" ref="AS790:AS820" si="800">(AR790*50)</f>
        <v>0</v>
      </c>
      <c r="AU790" s="11">
        <f t="shared" ref="AU790:AU820" si="801">(AT790*50)</f>
        <v>0</v>
      </c>
      <c r="AW790" s="11">
        <f t="shared" ref="AW790:AW820" si="802">(AV790*60)</f>
        <v>0</v>
      </c>
      <c r="AY790" s="11">
        <f t="shared" ref="AY790:AY820" si="803">(AX790*60)</f>
        <v>0</v>
      </c>
      <c r="BA790" s="11">
        <f t="shared" ref="BA790:BA820" si="804">(AZ790*40)</f>
        <v>0</v>
      </c>
      <c r="BC790" s="11">
        <f t="shared" ref="BC790:BC820" si="805">(BB790*40)</f>
        <v>0</v>
      </c>
      <c r="BE790" s="11">
        <f t="shared" ref="BE790:BE820" si="806">(BD790*95)</f>
        <v>0</v>
      </c>
      <c r="BG790" s="11">
        <f t="shared" ref="BG790:BG820" si="807">(BF790*95)</f>
        <v>0</v>
      </c>
      <c r="BN790" s="8">
        <f t="shared" si="787"/>
        <v>9967</v>
      </c>
      <c r="BO790" s="8">
        <f t="shared" si="788"/>
        <v>539962</v>
      </c>
      <c r="BP790" s="8">
        <f t="shared" si="745"/>
        <v>3866</v>
      </c>
      <c r="BQ790" s="12">
        <f t="shared" si="746"/>
        <v>205150</v>
      </c>
    </row>
    <row r="791" spans="1:69">
      <c r="A791" s="28">
        <v>1990</v>
      </c>
      <c r="B791" s="27" t="s">
        <v>58</v>
      </c>
      <c r="C791" s="24">
        <f t="shared" si="749"/>
        <v>756</v>
      </c>
      <c r="D791" s="7">
        <f t="shared" ca="1" si="768"/>
        <v>2.0674220366588547</v>
      </c>
      <c r="E791" s="26">
        <f t="array" aca="1" ref="E791" ca="1">AVERAGE(IF(INDIRECT(DatCol&amp;"$"&amp;TEXT(C791,"###")):INDIRECT(DatCol&amp;"$"&amp;TEXT(C791+57,"###"))&gt;0,INDIRECT(DatCol&amp;"$"&amp;TEXT(C791,"###")):INDIRECT(DatCol&amp;"$"&amp;TEXT(C791+57,"###"))))</f>
        <v>849.36697435897429</v>
      </c>
      <c r="F791" s="26" t="str">
        <f t="shared" si="747"/>
        <v>B</v>
      </c>
      <c r="G791" s="8">
        <v>600</v>
      </c>
      <c r="H791" s="8">
        <v>169</v>
      </c>
      <c r="I791" s="8">
        <v>142</v>
      </c>
      <c r="J791" s="8">
        <v>1542</v>
      </c>
      <c r="K791" s="9">
        <f t="shared" si="789"/>
        <v>2311</v>
      </c>
      <c r="L791" s="12">
        <v>5354</v>
      </c>
      <c r="M791" s="11">
        <f t="shared" si="790"/>
        <v>267700</v>
      </c>
      <c r="N791" s="12">
        <v>1756</v>
      </c>
      <c r="O791" s="11">
        <f t="shared" si="791"/>
        <v>87800</v>
      </c>
      <c r="P791" s="12">
        <v>4748</v>
      </c>
      <c r="Q791" s="11">
        <f t="shared" si="792"/>
        <v>284880</v>
      </c>
      <c r="X791" s="12">
        <v>1575</v>
      </c>
      <c r="Y791" s="11">
        <f t="shared" si="793"/>
        <v>94500</v>
      </c>
      <c r="AF791" s="12">
        <v>0</v>
      </c>
      <c r="AG791" s="11">
        <f t="shared" si="794"/>
        <v>0</v>
      </c>
      <c r="AH791" s="12">
        <v>0</v>
      </c>
      <c r="AI791" s="11">
        <f t="shared" si="795"/>
        <v>0</v>
      </c>
      <c r="AJ791" s="12">
        <v>175</v>
      </c>
      <c r="AK791" s="13">
        <f t="shared" si="796"/>
        <v>1575</v>
      </c>
      <c r="AL791" s="12">
        <v>240</v>
      </c>
      <c r="AM791" s="13">
        <f t="shared" si="797"/>
        <v>2160</v>
      </c>
      <c r="AO791" s="11">
        <f t="shared" si="798"/>
        <v>0</v>
      </c>
      <c r="AQ791" s="11">
        <f t="shared" si="799"/>
        <v>0</v>
      </c>
      <c r="AS791" s="11">
        <f t="shared" si="800"/>
        <v>0</v>
      </c>
      <c r="AU791" s="11">
        <f t="shared" si="801"/>
        <v>0</v>
      </c>
      <c r="AW791" s="11">
        <f t="shared" si="802"/>
        <v>0</v>
      </c>
      <c r="AY791" s="11">
        <f t="shared" si="803"/>
        <v>0</v>
      </c>
      <c r="BA791" s="11">
        <f t="shared" si="804"/>
        <v>0</v>
      </c>
      <c r="BC791" s="11">
        <f t="shared" si="805"/>
        <v>0</v>
      </c>
      <c r="BE791" s="11">
        <f t="shared" si="806"/>
        <v>0</v>
      </c>
      <c r="BG791" s="11">
        <f t="shared" si="807"/>
        <v>0</v>
      </c>
      <c r="BN791" s="8">
        <f t="shared" si="787"/>
        <v>11852</v>
      </c>
      <c r="BO791" s="8">
        <f t="shared" si="788"/>
        <v>648655</v>
      </c>
      <c r="BP791" s="8">
        <f t="shared" si="745"/>
        <v>3571</v>
      </c>
      <c r="BQ791" s="12">
        <f t="shared" si="746"/>
        <v>184460</v>
      </c>
    </row>
    <row r="792" spans="1:69">
      <c r="A792" s="28">
        <v>1991</v>
      </c>
      <c r="B792" s="27" t="s">
        <v>58</v>
      </c>
      <c r="C792" s="24">
        <f t="shared" si="749"/>
        <v>756</v>
      </c>
      <c r="D792" s="7">
        <f t="shared" ca="1" si="768"/>
        <v>2.3476307181650093</v>
      </c>
      <c r="E792" s="26">
        <f t="array" aca="1" ref="E792" ca="1">AVERAGE(IF(INDIRECT(DatCol&amp;"$"&amp;TEXT(C792,"###")):INDIRECT(DatCol&amp;"$"&amp;TEXT(C792+57,"###"))&gt;0,INDIRECT(DatCol&amp;"$"&amp;TEXT(C792,"###")):INDIRECT(DatCol&amp;"$"&amp;TEXT(C792+57,"###"))))</f>
        <v>849.36697435897429</v>
      </c>
      <c r="F792" s="26" t="str">
        <f t="shared" si="747"/>
        <v>B</v>
      </c>
      <c r="G792" s="8">
        <v>650</v>
      </c>
      <c r="H792" s="8">
        <v>150</v>
      </c>
      <c r="I792" s="8">
        <v>172</v>
      </c>
      <c r="J792" s="8">
        <v>1513</v>
      </c>
      <c r="K792" s="9">
        <f t="shared" si="789"/>
        <v>2313</v>
      </c>
      <c r="L792" s="12">
        <v>6350</v>
      </c>
      <c r="M792" s="11">
        <f t="shared" si="790"/>
        <v>317500</v>
      </c>
      <c r="N792" s="12">
        <v>1994</v>
      </c>
      <c r="O792" s="11">
        <f t="shared" si="791"/>
        <v>99700</v>
      </c>
      <c r="P792" s="12">
        <v>4654</v>
      </c>
      <c r="Q792" s="11">
        <f t="shared" si="792"/>
        <v>279240</v>
      </c>
      <c r="X792" s="12">
        <v>1711</v>
      </c>
      <c r="Y792" s="11">
        <f t="shared" si="793"/>
        <v>102660</v>
      </c>
      <c r="AF792" s="12">
        <v>0</v>
      </c>
      <c r="AG792" s="11">
        <f t="shared" si="794"/>
        <v>0</v>
      </c>
      <c r="AH792" s="12">
        <v>0</v>
      </c>
      <c r="AI792" s="11">
        <f t="shared" si="795"/>
        <v>0</v>
      </c>
      <c r="AJ792" s="12">
        <v>375</v>
      </c>
      <c r="AK792" s="13">
        <f t="shared" si="796"/>
        <v>3375</v>
      </c>
      <c r="AL792" s="12">
        <v>287</v>
      </c>
      <c r="AM792" s="13">
        <f t="shared" si="797"/>
        <v>2583</v>
      </c>
      <c r="AO792" s="11">
        <f t="shared" si="798"/>
        <v>0</v>
      </c>
      <c r="AQ792" s="11">
        <f t="shared" si="799"/>
        <v>0</v>
      </c>
      <c r="AS792" s="11">
        <f t="shared" si="800"/>
        <v>0</v>
      </c>
      <c r="AU792" s="11">
        <f t="shared" si="801"/>
        <v>0</v>
      </c>
      <c r="AW792" s="11">
        <f t="shared" si="802"/>
        <v>0</v>
      </c>
      <c r="AY792" s="11">
        <f t="shared" si="803"/>
        <v>0</v>
      </c>
      <c r="BA792" s="11">
        <f t="shared" si="804"/>
        <v>0</v>
      </c>
      <c r="BC792" s="11">
        <f t="shared" si="805"/>
        <v>0</v>
      </c>
      <c r="BE792" s="11">
        <f t="shared" si="806"/>
        <v>0</v>
      </c>
      <c r="BG792" s="11">
        <f t="shared" si="807"/>
        <v>0</v>
      </c>
      <c r="BN792" s="8">
        <f t="shared" si="787"/>
        <v>13090</v>
      </c>
      <c r="BO792" s="8">
        <f t="shared" si="788"/>
        <v>702775</v>
      </c>
      <c r="BP792" s="8">
        <f t="shared" si="745"/>
        <v>3992</v>
      </c>
      <c r="BQ792" s="12">
        <f t="shared" si="746"/>
        <v>204943</v>
      </c>
    </row>
    <row r="793" spans="1:69">
      <c r="A793" s="28">
        <v>1992</v>
      </c>
      <c r="B793" s="27" t="s">
        <v>58</v>
      </c>
      <c r="C793" s="24">
        <f t="shared" si="749"/>
        <v>756</v>
      </c>
      <c r="D793" s="7">
        <f t="shared" ca="1" si="768"/>
        <v>1.8084056083758548</v>
      </c>
      <c r="E793" s="26">
        <f t="array" aca="1" ref="E793" ca="1">AVERAGE(IF(INDIRECT(DatCol&amp;"$"&amp;TEXT(C793,"###")):INDIRECT(DatCol&amp;"$"&amp;TEXT(C793+57,"###"))&gt;0,INDIRECT(DatCol&amp;"$"&amp;TEXT(C793,"###")):INDIRECT(DatCol&amp;"$"&amp;TEXT(C793+57,"###"))))</f>
        <v>849.36697435897429</v>
      </c>
      <c r="F793" s="26" t="str">
        <f t="shared" si="747"/>
        <v>B</v>
      </c>
      <c r="G793" s="8">
        <v>550</v>
      </c>
      <c r="H793" s="8">
        <v>158</v>
      </c>
      <c r="I793" s="8">
        <v>117</v>
      </c>
      <c r="J793" s="8">
        <v>1650</v>
      </c>
      <c r="K793" s="9">
        <f t="shared" si="789"/>
        <v>2358</v>
      </c>
      <c r="L793" s="12">
        <v>5152</v>
      </c>
      <c r="M793" s="11">
        <f t="shared" si="790"/>
        <v>257600</v>
      </c>
      <c r="N793" s="12">
        <v>1536</v>
      </c>
      <c r="O793" s="11">
        <f t="shared" si="791"/>
        <v>76800</v>
      </c>
      <c r="P793" s="12">
        <v>4274</v>
      </c>
      <c r="Q793" s="11">
        <f t="shared" si="792"/>
        <v>256440</v>
      </c>
      <c r="X793" s="12">
        <v>1826</v>
      </c>
      <c r="Y793" s="11">
        <f t="shared" si="793"/>
        <v>109560</v>
      </c>
      <c r="AF793" s="12">
        <v>0</v>
      </c>
      <c r="AG793" s="11">
        <f t="shared" si="794"/>
        <v>0</v>
      </c>
      <c r="AH793" s="12">
        <v>0</v>
      </c>
      <c r="AI793" s="11">
        <f t="shared" si="795"/>
        <v>0</v>
      </c>
      <c r="AJ793" s="12">
        <v>1275</v>
      </c>
      <c r="AK793" s="13">
        <f t="shared" si="796"/>
        <v>11475</v>
      </c>
      <c r="AL793" s="12">
        <v>334</v>
      </c>
      <c r="AM793" s="13">
        <f t="shared" si="797"/>
        <v>3006</v>
      </c>
      <c r="AO793" s="11">
        <f t="shared" si="798"/>
        <v>0</v>
      </c>
      <c r="AQ793" s="11">
        <f t="shared" si="799"/>
        <v>0</v>
      </c>
      <c r="AS793" s="11">
        <f t="shared" si="800"/>
        <v>0</v>
      </c>
      <c r="AU793" s="11">
        <f t="shared" si="801"/>
        <v>0</v>
      </c>
      <c r="AW793" s="11">
        <f t="shared" si="802"/>
        <v>0</v>
      </c>
      <c r="AY793" s="11">
        <f t="shared" si="803"/>
        <v>0</v>
      </c>
      <c r="BA793" s="11">
        <f t="shared" si="804"/>
        <v>0</v>
      </c>
      <c r="BC793" s="11">
        <f t="shared" si="805"/>
        <v>0</v>
      </c>
      <c r="BE793" s="11">
        <f t="shared" si="806"/>
        <v>0</v>
      </c>
      <c r="BG793" s="11">
        <f t="shared" si="807"/>
        <v>0</v>
      </c>
      <c r="BN793" s="8">
        <f t="shared" si="787"/>
        <v>12527</v>
      </c>
      <c r="BO793" s="8">
        <f t="shared" si="788"/>
        <v>635075</v>
      </c>
      <c r="BP793" s="8">
        <f t="shared" ref="BP793:BP857" si="808">(N793+X793+Z793+AB793+AD793+AH793+AL793+AP793+AT793+AX793+BB793+BF793)</f>
        <v>3696</v>
      </c>
      <c r="BQ793" s="12">
        <f t="shared" ref="BQ793:BQ857" si="809">(O793+Y793+AA793+AC793+AE793+AI793+AM793+AQ793+AU793+AY793+BC793+BG793)</f>
        <v>189366</v>
      </c>
    </row>
    <row r="794" spans="1:69">
      <c r="A794" s="28">
        <v>1993</v>
      </c>
      <c r="B794" s="27" t="s">
        <v>58</v>
      </c>
      <c r="C794" s="24">
        <f t="shared" si="749"/>
        <v>756</v>
      </c>
      <c r="D794" s="7">
        <f t="shared" ca="1" si="768"/>
        <v>1.9426232121225002</v>
      </c>
      <c r="E794" s="26">
        <f t="array" aca="1" ref="E794" ca="1">AVERAGE(IF(INDIRECT(DatCol&amp;"$"&amp;TEXT(C794,"###")):INDIRECT(DatCol&amp;"$"&amp;TEXT(C794+57,"###"))&gt;0,INDIRECT(DatCol&amp;"$"&amp;TEXT(C794,"###")):INDIRECT(DatCol&amp;"$"&amp;TEXT(C794+57,"###"))))</f>
        <v>849.36697435897429</v>
      </c>
      <c r="F794" s="26" t="str">
        <f t="shared" si="747"/>
        <v>B</v>
      </c>
      <c r="G794" s="8">
        <v>500</v>
      </c>
      <c r="H794" s="8">
        <v>136</v>
      </c>
      <c r="I794" s="8">
        <v>127</v>
      </c>
      <c r="J794" s="8">
        <v>1375</v>
      </c>
      <c r="K794" s="9">
        <f t="shared" si="789"/>
        <v>2011</v>
      </c>
      <c r="L794" s="12">
        <v>4163</v>
      </c>
      <c r="M794" s="11">
        <f t="shared" si="790"/>
        <v>208150</v>
      </c>
      <c r="N794" s="12">
        <v>1650</v>
      </c>
      <c r="O794" s="11">
        <f t="shared" si="791"/>
        <v>82500</v>
      </c>
      <c r="P794" s="12">
        <v>5117</v>
      </c>
      <c r="Q794" s="11">
        <f t="shared" si="792"/>
        <v>307020</v>
      </c>
      <c r="X794" s="12">
        <v>1987</v>
      </c>
      <c r="Y794" s="11">
        <f t="shared" si="793"/>
        <v>119220</v>
      </c>
      <c r="AF794" s="12">
        <v>0</v>
      </c>
      <c r="AG794" s="11">
        <f t="shared" si="794"/>
        <v>0</v>
      </c>
      <c r="AH794" s="12">
        <v>0</v>
      </c>
      <c r="AI794" s="11">
        <f t="shared" si="795"/>
        <v>0</v>
      </c>
      <c r="AJ794" s="12">
        <v>1197</v>
      </c>
      <c r="AK794" s="13">
        <f t="shared" si="796"/>
        <v>10773</v>
      </c>
      <c r="AL794" s="12">
        <v>544</v>
      </c>
      <c r="AM794" s="13">
        <f t="shared" si="797"/>
        <v>4896</v>
      </c>
      <c r="AO794" s="11">
        <f t="shared" si="798"/>
        <v>0</v>
      </c>
      <c r="AQ794" s="11">
        <f t="shared" si="799"/>
        <v>0</v>
      </c>
      <c r="AS794" s="11">
        <f t="shared" si="800"/>
        <v>0</v>
      </c>
      <c r="AU794" s="11">
        <f t="shared" si="801"/>
        <v>0</v>
      </c>
      <c r="AW794" s="11">
        <f t="shared" si="802"/>
        <v>0</v>
      </c>
      <c r="AY794" s="11">
        <f t="shared" si="803"/>
        <v>0</v>
      </c>
      <c r="BA794" s="11">
        <f t="shared" si="804"/>
        <v>0</v>
      </c>
      <c r="BC794" s="11">
        <f t="shared" si="805"/>
        <v>0</v>
      </c>
      <c r="BE794" s="11">
        <f t="shared" si="806"/>
        <v>0</v>
      </c>
      <c r="BG794" s="11">
        <f t="shared" si="807"/>
        <v>0</v>
      </c>
      <c r="BN794" s="8">
        <f t="shared" si="787"/>
        <v>12464</v>
      </c>
      <c r="BO794" s="8">
        <f t="shared" si="788"/>
        <v>645163</v>
      </c>
      <c r="BP794" s="8">
        <f t="shared" si="808"/>
        <v>4181</v>
      </c>
      <c r="BQ794" s="12">
        <f t="shared" si="809"/>
        <v>206616</v>
      </c>
    </row>
    <row r="795" spans="1:69">
      <c r="A795" s="28">
        <v>1994</v>
      </c>
      <c r="B795" s="27" t="s">
        <v>58</v>
      </c>
      <c r="C795" s="24">
        <f t="shared" si="749"/>
        <v>756</v>
      </c>
      <c r="D795" s="7">
        <f t="shared" ca="1" si="768"/>
        <v>1.2315053817455366</v>
      </c>
      <c r="E795" s="26">
        <f t="array" aca="1" ref="E795" ca="1">AVERAGE(IF(INDIRECT(DatCol&amp;"$"&amp;TEXT(C795,"###")):INDIRECT(DatCol&amp;"$"&amp;TEXT(C795+57,"###"))&gt;0,INDIRECT(DatCol&amp;"$"&amp;TEXT(C795,"###")):INDIRECT(DatCol&amp;"$"&amp;TEXT(C795+57,"###"))))</f>
        <v>849.36697435897429</v>
      </c>
      <c r="F795" s="26" t="str">
        <f t="shared" si="747"/>
        <v>B</v>
      </c>
      <c r="G795" s="8">
        <v>683</v>
      </c>
      <c r="H795" s="8">
        <v>157</v>
      </c>
      <c r="I795" s="8">
        <v>121</v>
      </c>
      <c r="J795" s="8">
        <v>1281</v>
      </c>
      <c r="K795" s="9">
        <f t="shared" si="789"/>
        <v>2121</v>
      </c>
      <c r="L795" s="12">
        <v>4069</v>
      </c>
      <c r="M795" s="11">
        <f t="shared" si="790"/>
        <v>203450</v>
      </c>
      <c r="N795" s="12">
        <v>1046</v>
      </c>
      <c r="O795" s="11">
        <f t="shared" si="791"/>
        <v>52300</v>
      </c>
      <c r="P795" s="12">
        <v>6451</v>
      </c>
      <c r="Q795" s="11">
        <f t="shared" si="792"/>
        <v>387060</v>
      </c>
      <c r="X795" s="12">
        <v>1658</v>
      </c>
      <c r="Y795" s="11">
        <f t="shared" si="793"/>
        <v>99480</v>
      </c>
      <c r="AF795" s="12">
        <v>0</v>
      </c>
      <c r="AG795" s="11">
        <f t="shared" si="794"/>
        <v>0</v>
      </c>
      <c r="AH795" s="12">
        <v>0</v>
      </c>
      <c r="AI795" s="11">
        <f t="shared" si="795"/>
        <v>0</v>
      </c>
      <c r="AJ795" s="12">
        <v>55</v>
      </c>
      <c r="AK795" s="13">
        <f t="shared" si="796"/>
        <v>495</v>
      </c>
      <c r="AL795" s="12">
        <v>81</v>
      </c>
      <c r="AM795" s="13">
        <f t="shared" si="797"/>
        <v>729</v>
      </c>
      <c r="AN795" s="12">
        <v>0</v>
      </c>
      <c r="AO795" s="11">
        <f t="shared" si="798"/>
        <v>0</v>
      </c>
      <c r="AP795" s="12">
        <v>0</v>
      </c>
      <c r="AQ795" s="11">
        <f t="shared" si="799"/>
        <v>0</v>
      </c>
      <c r="AR795" s="12">
        <v>0</v>
      </c>
      <c r="AS795" s="11">
        <f t="shared" si="800"/>
        <v>0</v>
      </c>
      <c r="AT795" s="12">
        <v>0</v>
      </c>
      <c r="AU795" s="11">
        <f t="shared" si="801"/>
        <v>0</v>
      </c>
      <c r="AV795" s="12">
        <v>0</v>
      </c>
      <c r="AW795" s="11">
        <f t="shared" si="802"/>
        <v>0</v>
      </c>
      <c r="AX795" s="12">
        <v>0</v>
      </c>
      <c r="AY795" s="11">
        <f t="shared" si="803"/>
        <v>0</v>
      </c>
      <c r="AZ795" s="12">
        <v>0</v>
      </c>
      <c r="BA795" s="11">
        <f t="shared" si="804"/>
        <v>0</v>
      </c>
      <c r="BB795" s="12">
        <v>0</v>
      </c>
      <c r="BC795" s="11">
        <f t="shared" si="805"/>
        <v>0</v>
      </c>
      <c r="BD795" s="12">
        <v>0</v>
      </c>
      <c r="BE795" s="11">
        <f t="shared" si="806"/>
        <v>0</v>
      </c>
      <c r="BF795" s="12">
        <v>0</v>
      </c>
      <c r="BG795" s="11">
        <f t="shared" si="807"/>
        <v>0</v>
      </c>
      <c r="BH795" s="13">
        <v>0</v>
      </c>
      <c r="BI795" s="13">
        <v>0</v>
      </c>
      <c r="BN795" s="8">
        <f t="shared" si="787"/>
        <v>12233</v>
      </c>
      <c r="BO795" s="8">
        <f t="shared" si="788"/>
        <v>690485</v>
      </c>
      <c r="BP795" s="8">
        <f t="shared" si="808"/>
        <v>2785</v>
      </c>
      <c r="BQ795" s="12">
        <f t="shared" si="809"/>
        <v>152509</v>
      </c>
    </row>
    <row r="796" spans="1:69">
      <c r="A796" s="28">
        <v>1995</v>
      </c>
      <c r="B796" s="27" t="s">
        <v>58</v>
      </c>
      <c r="C796" s="24">
        <f t="shared" si="749"/>
        <v>756</v>
      </c>
      <c r="D796" s="7">
        <f t="shared" ca="1" si="768"/>
        <v>0.39323403202964552</v>
      </c>
      <c r="E796" s="26">
        <f t="array" aca="1" ref="E796" ca="1">AVERAGE(IF(INDIRECT(DatCol&amp;"$"&amp;TEXT(C796,"###")):INDIRECT(DatCol&amp;"$"&amp;TEXT(C796+57,"###"))&gt;0,INDIRECT(DatCol&amp;"$"&amp;TEXT(C796,"###")):INDIRECT(DatCol&amp;"$"&amp;TEXT(C796+57,"###"))))</f>
        <v>849.36697435897429</v>
      </c>
      <c r="F796" s="26" t="str">
        <f t="shared" si="747"/>
        <v>B</v>
      </c>
      <c r="G796" s="9">
        <v>468</v>
      </c>
      <c r="H796" s="9">
        <v>154</v>
      </c>
      <c r="I796" s="9">
        <v>133</v>
      </c>
      <c r="J796" s="9">
        <v>1016</v>
      </c>
      <c r="K796" s="9">
        <f t="shared" si="789"/>
        <v>1638</v>
      </c>
      <c r="L796" s="10">
        <v>2698</v>
      </c>
      <c r="M796" s="11">
        <f t="shared" si="790"/>
        <v>134900</v>
      </c>
      <c r="N796" s="10">
        <v>334</v>
      </c>
      <c r="O796" s="11">
        <f t="shared" si="791"/>
        <v>16700</v>
      </c>
      <c r="P796" s="10">
        <v>4156</v>
      </c>
      <c r="Q796" s="11">
        <f t="shared" si="792"/>
        <v>249360</v>
      </c>
      <c r="X796" s="10">
        <v>438</v>
      </c>
      <c r="Y796" s="11">
        <f t="shared" si="793"/>
        <v>26280</v>
      </c>
      <c r="AF796" s="10">
        <v>0</v>
      </c>
      <c r="AG796" s="11">
        <f t="shared" si="794"/>
        <v>0</v>
      </c>
      <c r="AH796" s="10">
        <v>0</v>
      </c>
      <c r="AI796" s="11">
        <f t="shared" si="795"/>
        <v>0</v>
      </c>
      <c r="AJ796" s="10">
        <v>11</v>
      </c>
      <c r="AK796" s="13">
        <f t="shared" si="796"/>
        <v>99</v>
      </c>
      <c r="AL796" s="10">
        <v>6</v>
      </c>
      <c r="AM796" s="13">
        <f t="shared" si="797"/>
        <v>54</v>
      </c>
      <c r="AO796" s="11">
        <f t="shared" si="798"/>
        <v>0</v>
      </c>
      <c r="AQ796" s="11">
        <f t="shared" si="799"/>
        <v>0</v>
      </c>
      <c r="AS796" s="11">
        <f t="shared" si="800"/>
        <v>0</v>
      </c>
      <c r="AU796" s="11">
        <f t="shared" si="801"/>
        <v>0</v>
      </c>
      <c r="AW796" s="11">
        <f t="shared" si="802"/>
        <v>0</v>
      </c>
      <c r="AY796" s="11">
        <f t="shared" si="803"/>
        <v>0</v>
      </c>
      <c r="BA796" s="11">
        <f t="shared" si="804"/>
        <v>0</v>
      </c>
      <c r="BC796" s="11">
        <f t="shared" si="805"/>
        <v>0</v>
      </c>
      <c r="BE796" s="11">
        <f t="shared" si="806"/>
        <v>0</v>
      </c>
      <c r="BG796" s="11">
        <f t="shared" si="807"/>
        <v>0</v>
      </c>
      <c r="BN796" s="8">
        <f t="shared" si="787"/>
        <v>7303</v>
      </c>
      <c r="BO796" s="8">
        <f t="shared" si="788"/>
        <v>410639</v>
      </c>
      <c r="BP796" s="8">
        <f t="shared" si="808"/>
        <v>778</v>
      </c>
      <c r="BQ796" s="12">
        <f t="shared" si="809"/>
        <v>43034</v>
      </c>
    </row>
    <row r="797" spans="1:69">
      <c r="A797" s="28">
        <v>1996</v>
      </c>
      <c r="B797" s="27" t="s">
        <v>58</v>
      </c>
      <c r="C797" s="24">
        <f t="shared" si="749"/>
        <v>756</v>
      </c>
      <c r="D797" s="7">
        <f t="shared" ca="1" si="768"/>
        <v>0.58867370064318192</v>
      </c>
      <c r="E797" s="26">
        <f t="array" aca="1" ref="E797" ca="1">AVERAGE(IF(INDIRECT(DatCol&amp;"$"&amp;TEXT(C797,"###")):INDIRECT(DatCol&amp;"$"&amp;TEXT(C797+57,"###"))&gt;0,INDIRECT(DatCol&amp;"$"&amp;TEXT(C797,"###")):INDIRECT(DatCol&amp;"$"&amp;TEXT(C797+57,"###"))))</f>
        <v>849.36697435897429</v>
      </c>
      <c r="F797" s="26" t="str">
        <f t="shared" si="747"/>
        <v>B</v>
      </c>
      <c r="G797" s="9">
        <v>557</v>
      </c>
      <c r="H797" s="9">
        <v>187</v>
      </c>
      <c r="I797" s="9">
        <v>141</v>
      </c>
      <c r="J797" s="9">
        <v>1228</v>
      </c>
      <c r="K797" s="9">
        <f t="shared" si="789"/>
        <v>1972</v>
      </c>
      <c r="L797" s="10">
        <v>4270</v>
      </c>
      <c r="M797" s="11">
        <f t="shared" si="790"/>
        <v>213500</v>
      </c>
      <c r="N797" s="10">
        <v>500</v>
      </c>
      <c r="O797" s="11">
        <f t="shared" si="791"/>
        <v>25000</v>
      </c>
      <c r="P797" s="10">
        <v>4140</v>
      </c>
      <c r="Q797" s="11">
        <f t="shared" si="792"/>
        <v>248400</v>
      </c>
      <c r="X797" s="10">
        <v>1000</v>
      </c>
      <c r="Y797" s="11">
        <f t="shared" si="793"/>
        <v>60000</v>
      </c>
      <c r="AF797" s="10">
        <v>0</v>
      </c>
      <c r="AG797" s="11">
        <f t="shared" si="794"/>
        <v>0</v>
      </c>
      <c r="AH797" s="10">
        <v>0</v>
      </c>
      <c r="AI797" s="11">
        <f t="shared" si="795"/>
        <v>0</v>
      </c>
      <c r="AJ797" s="10">
        <v>50</v>
      </c>
      <c r="AK797" s="13">
        <f t="shared" si="796"/>
        <v>450</v>
      </c>
      <c r="AL797" s="10">
        <v>10</v>
      </c>
      <c r="AM797" s="13">
        <f t="shared" si="797"/>
        <v>90</v>
      </c>
      <c r="AO797" s="11">
        <f t="shared" si="798"/>
        <v>0</v>
      </c>
      <c r="AQ797" s="11">
        <f t="shared" si="799"/>
        <v>0</v>
      </c>
      <c r="AS797" s="11">
        <f t="shared" si="800"/>
        <v>0</v>
      </c>
      <c r="AU797" s="11">
        <f t="shared" si="801"/>
        <v>0</v>
      </c>
      <c r="AW797" s="11">
        <f t="shared" si="802"/>
        <v>0</v>
      </c>
      <c r="AY797" s="11">
        <f t="shared" si="803"/>
        <v>0</v>
      </c>
      <c r="BA797" s="11">
        <f t="shared" si="804"/>
        <v>0</v>
      </c>
      <c r="BC797" s="11">
        <f t="shared" si="805"/>
        <v>0</v>
      </c>
      <c r="BE797" s="11">
        <f t="shared" si="806"/>
        <v>0</v>
      </c>
      <c r="BG797" s="11">
        <f t="shared" si="807"/>
        <v>0</v>
      </c>
      <c r="BN797" s="8">
        <f t="shared" si="787"/>
        <v>9460</v>
      </c>
      <c r="BO797" s="8">
        <f t="shared" si="788"/>
        <v>522350</v>
      </c>
      <c r="BP797" s="8">
        <f t="shared" si="808"/>
        <v>1510</v>
      </c>
      <c r="BQ797" s="12">
        <f t="shared" si="809"/>
        <v>85090</v>
      </c>
    </row>
    <row r="798" spans="1:69">
      <c r="A798" s="28">
        <v>1997</v>
      </c>
      <c r="B798" s="27" t="s">
        <v>58</v>
      </c>
      <c r="C798" s="24">
        <f t="shared" si="749"/>
        <v>756</v>
      </c>
      <c r="D798" s="7">
        <f t="shared" ca="1" si="768"/>
        <v>0.19073027900839093</v>
      </c>
      <c r="E798" s="26">
        <f t="array" aca="1" ref="E798" ca="1">AVERAGE(IF(INDIRECT(DatCol&amp;"$"&amp;TEXT(C798,"###")):INDIRECT(DatCol&amp;"$"&amp;TEXT(C798+57,"###"))&gt;0,INDIRECT(DatCol&amp;"$"&amp;TEXT(C798,"###")):INDIRECT(DatCol&amp;"$"&amp;TEXT(C798+57,"###"))))</f>
        <v>849.36697435897429</v>
      </c>
      <c r="F798" s="26" t="str">
        <f t="shared" si="747"/>
        <v>B</v>
      </c>
      <c r="G798" s="9">
        <v>508</v>
      </c>
      <c r="H798" s="9">
        <v>129</v>
      </c>
      <c r="I798" s="9">
        <v>81</v>
      </c>
      <c r="J798" s="9">
        <v>998</v>
      </c>
      <c r="K798" s="9">
        <f t="shared" si="789"/>
        <v>1635</v>
      </c>
      <c r="L798" s="10">
        <v>4889</v>
      </c>
      <c r="M798" s="11">
        <f t="shared" si="790"/>
        <v>244450</v>
      </c>
      <c r="N798" s="10">
        <v>162</v>
      </c>
      <c r="O798" s="11">
        <f t="shared" si="791"/>
        <v>8100</v>
      </c>
      <c r="P798" s="10">
        <f>4000+400+2437</f>
        <v>6837</v>
      </c>
      <c r="Q798" s="11">
        <f t="shared" si="792"/>
        <v>410220</v>
      </c>
      <c r="X798" s="10">
        <v>268</v>
      </c>
      <c r="Y798" s="11">
        <f t="shared" si="793"/>
        <v>16080</v>
      </c>
      <c r="AF798" s="10">
        <v>239</v>
      </c>
      <c r="AG798" s="11">
        <f t="shared" si="794"/>
        <v>15535</v>
      </c>
      <c r="AH798" s="10">
        <v>24</v>
      </c>
      <c r="AI798" s="11">
        <f t="shared" si="795"/>
        <v>1560</v>
      </c>
      <c r="AJ798" s="10">
        <v>20</v>
      </c>
      <c r="AK798" s="13">
        <f t="shared" si="796"/>
        <v>180</v>
      </c>
      <c r="AL798" s="10">
        <v>18</v>
      </c>
      <c r="AM798" s="13">
        <f t="shared" si="797"/>
        <v>162</v>
      </c>
      <c r="AO798" s="11">
        <f t="shared" si="798"/>
        <v>0</v>
      </c>
      <c r="AQ798" s="11">
        <f t="shared" si="799"/>
        <v>0</v>
      </c>
      <c r="AS798" s="11">
        <f t="shared" si="800"/>
        <v>0</v>
      </c>
      <c r="AU798" s="11">
        <f t="shared" si="801"/>
        <v>0</v>
      </c>
      <c r="AW798" s="11">
        <f t="shared" si="802"/>
        <v>0</v>
      </c>
      <c r="AY798" s="11">
        <f t="shared" si="803"/>
        <v>0</v>
      </c>
      <c r="BA798" s="11">
        <f t="shared" si="804"/>
        <v>0</v>
      </c>
      <c r="BC798" s="11">
        <f t="shared" si="805"/>
        <v>0</v>
      </c>
      <c r="BE798" s="11">
        <f t="shared" si="806"/>
        <v>0</v>
      </c>
      <c r="BG798" s="11">
        <f t="shared" si="807"/>
        <v>0</v>
      </c>
      <c r="BN798" s="8">
        <f t="shared" si="787"/>
        <v>12253</v>
      </c>
      <c r="BO798" s="8">
        <f t="shared" si="788"/>
        <v>686465</v>
      </c>
      <c r="BP798" s="8">
        <f t="shared" si="808"/>
        <v>472</v>
      </c>
      <c r="BQ798" s="12">
        <f t="shared" si="809"/>
        <v>25902</v>
      </c>
    </row>
    <row r="799" spans="1:69">
      <c r="A799" s="28">
        <v>1998</v>
      </c>
      <c r="B799" s="27" t="s">
        <v>58</v>
      </c>
      <c r="C799" s="24">
        <f t="shared" si="749"/>
        <v>756</v>
      </c>
      <c r="D799" s="7">
        <f t="shared" ca="1" si="768"/>
        <v>0.41254252941074188</v>
      </c>
      <c r="E799" s="26">
        <f t="array" aca="1" ref="E799" ca="1">AVERAGE(IF(INDIRECT(DatCol&amp;"$"&amp;TEXT(C799,"###")):INDIRECT(DatCol&amp;"$"&amp;TEXT(C799+57,"###"))&gt;0,INDIRECT(DatCol&amp;"$"&amp;TEXT(C799,"###")):INDIRECT(DatCol&amp;"$"&amp;TEXT(C799+57,"###"))))</f>
        <v>849.36697435897429</v>
      </c>
      <c r="F799" s="26" t="str">
        <f t="shared" si="747"/>
        <v>B</v>
      </c>
      <c r="G799" s="9">
        <v>514</v>
      </c>
      <c r="H799" s="9">
        <v>121</v>
      </c>
      <c r="I799" s="9">
        <v>99</v>
      </c>
      <c r="J799" s="9">
        <v>943</v>
      </c>
      <c r="K799" s="9">
        <f t="shared" si="789"/>
        <v>1578</v>
      </c>
      <c r="L799" s="10">
        <f>(M799/50)</f>
        <v>10790.4</v>
      </c>
      <c r="M799" s="11">
        <v>539520</v>
      </c>
      <c r="N799" s="10">
        <f>(O799/50)</f>
        <v>350.4</v>
      </c>
      <c r="O799" s="11">
        <v>17520</v>
      </c>
      <c r="P799" s="10">
        <f>((Q799/330)*5.5)</f>
        <v>11743</v>
      </c>
      <c r="Q799" s="11">
        <v>704580</v>
      </c>
      <c r="R799" s="10">
        <v>0</v>
      </c>
      <c r="S799" s="11">
        <v>0</v>
      </c>
      <c r="T799" s="10">
        <v>0</v>
      </c>
      <c r="U799" s="11">
        <v>0</v>
      </c>
      <c r="V799" s="10">
        <v>0</v>
      </c>
      <c r="W799" s="11">
        <v>0</v>
      </c>
      <c r="X799" s="10">
        <f>((Y799/330)*5.5)</f>
        <v>554.66666666666663</v>
      </c>
      <c r="Y799" s="11">
        <v>33280</v>
      </c>
      <c r="Z799" s="10">
        <v>0</v>
      </c>
      <c r="AA799" s="11">
        <v>0</v>
      </c>
      <c r="AB799" s="10">
        <v>0</v>
      </c>
      <c r="AC799" s="11">
        <v>0</v>
      </c>
      <c r="AD799" s="10">
        <v>0</v>
      </c>
      <c r="AE799" s="11">
        <v>0</v>
      </c>
      <c r="AF799" s="10">
        <f>(AG799/50)</f>
        <v>835.2</v>
      </c>
      <c r="AG799" s="11">
        <v>41760</v>
      </c>
      <c r="AH799" s="10">
        <f>(AI799/50)</f>
        <v>100.8</v>
      </c>
      <c r="AI799" s="11">
        <v>5040</v>
      </c>
      <c r="AJ799" s="10">
        <f>(AK799/9)</f>
        <v>1973.3333333333333</v>
      </c>
      <c r="AK799" s="13">
        <v>17760</v>
      </c>
      <c r="AL799" s="10">
        <f>(AM799/9)</f>
        <v>44.444444444444443</v>
      </c>
      <c r="AM799" s="13">
        <v>400</v>
      </c>
      <c r="AN799" s="10">
        <v>0</v>
      </c>
      <c r="AO799" s="11">
        <f t="shared" si="798"/>
        <v>0</v>
      </c>
      <c r="AP799" s="10">
        <v>0</v>
      </c>
      <c r="AQ799" s="11">
        <f t="shared" si="799"/>
        <v>0</v>
      </c>
      <c r="AR799" s="10">
        <v>0</v>
      </c>
      <c r="AS799" s="11">
        <f t="shared" si="800"/>
        <v>0</v>
      </c>
      <c r="AT799" s="10">
        <v>0</v>
      </c>
      <c r="AU799" s="11">
        <f t="shared" si="801"/>
        <v>0</v>
      </c>
      <c r="AV799" s="10">
        <v>0</v>
      </c>
      <c r="AW799" s="11">
        <f t="shared" si="802"/>
        <v>0</v>
      </c>
      <c r="AX799" s="10">
        <v>0</v>
      </c>
      <c r="AY799" s="11">
        <f t="shared" si="803"/>
        <v>0</v>
      </c>
      <c r="AZ799" s="10">
        <v>0</v>
      </c>
      <c r="BA799" s="11">
        <f t="shared" si="804"/>
        <v>0</v>
      </c>
      <c r="BB799" s="10">
        <v>0</v>
      </c>
      <c r="BC799" s="11">
        <f t="shared" si="805"/>
        <v>0</v>
      </c>
      <c r="BD799" s="10">
        <v>0</v>
      </c>
      <c r="BE799" s="11">
        <f t="shared" si="806"/>
        <v>0</v>
      </c>
      <c r="BF799" s="10">
        <v>0</v>
      </c>
      <c r="BG799" s="11">
        <f t="shared" si="807"/>
        <v>0</v>
      </c>
      <c r="BH799" s="11">
        <v>400</v>
      </c>
      <c r="BI799" s="11">
        <v>0</v>
      </c>
      <c r="BJ799" s="10">
        <v>0</v>
      </c>
      <c r="BK799" s="11">
        <v>0</v>
      </c>
      <c r="BL799" s="10">
        <v>0</v>
      </c>
      <c r="BM799" s="11">
        <v>0</v>
      </c>
      <c r="BN799" s="8">
        <f t="shared" si="787"/>
        <v>25896.600000000002</v>
      </c>
      <c r="BO799" s="8">
        <f t="shared" si="788"/>
        <v>1336900</v>
      </c>
      <c r="BP799" s="8">
        <f t="shared" si="808"/>
        <v>1050.3111111111109</v>
      </c>
      <c r="BQ799" s="12">
        <f t="shared" si="809"/>
        <v>56240</v>
      </c>
    </row>
    <row r="800" spans="1:69">
      <c r="A800" s="28">
        <v>1999</v>
      </c>
      <c r="B800" s="27" t="s">
        <v>58</v>
      </c>
      <c r="C800" s="24">
        <f t="shared" si="749"/>
        <v>756</v>
      </c>
      <c r="D800" s="7">
        <f t="shared" ca="1" si="768"/>
        <v>0.70829219661387655</v>
      </c>
      <c r="E800" s="26">
        <f t="array" aca="1" ref="E800" ca="1">AVERAGE(IF(INDIRECT(DatCol&amp;"$"&amp;TEXT(C800,"###")):INDIRECT(DatCol&amp;"$"&amp;TEXT(C800+57,"###"))&gt;0,INDIRECT(DatCol&amp;"$"&amp;TEXT(C800,"###")):INDIRECT(DatCol&amp;"$"&amp;TEXT(C800+57,"###"))))</f>
        <v>849.36697435897429</v>
      </c>
      <c r="F800" s="26" t="str">
        <f t="shared" si="747"/>
        <v>B</v>
      </c>
      <c r="G800" s="9">
        <v>542</v>
      </c>
      <c r="H800" s="9">
        <v>149</v>
      </c>
      <c r="I800" s="9">
        <v>116</v>
      </c>
      <c r="J800" s="9">
        <v>1126</v>
      </c>
      <c r="K800" s="9">
        <f t="shared" si="789"/>
        <v>1817</v>
      </c>
      <c r="L800" s="10">
        <f t="shared" ref="L800:L810" si="810">M800/50</f>
        <v>6222.4</v>
      </c>
      <c r="M800" s="11">
        <v>311120</v>
      </c>
      <c r="N800" s="10">
        <f t="shared" ref="N800:N810" si="811">O800/50</f>
        <v>601.6</v>
      </c>
      <c r="O800" s="11">
        <v>30080</v>
      </c>
      <c r="P800" s="10">
        <v>0</v>
      </c>
      <c r="Q800" s="11">
        <v>0</v>
      </c>
      <c r="R800" s="10">
        <f>S800/60</f>
        <v>12620.533333333333</v>
      </c>
      <c r="S800" s="11">
        <f>1081760*0.7</f>
        <v>757232</v>
      </c>
      <c r="T800" s="10">
        <f>U800/60</f>
        <v>3605.8666666666668</v>
      </c>
      <c r="U800" s="11">
        <f>1081760*0.2</f>
        <v>216352</v>
      </c>
      <c r="V800" s="10">
        <f>W800/60</f>
        <v>1802.9333333333334</v>
      </c>
      <c r="W800" s="11">
        <f>1081760*0.1</f>
        <v>108176</v>
      </c>
      <c r="X800" s="10">
        <f>Y800/60</f>
        <v>1221.3333333333333</v>
      </c>
      <c r="Y800" s="11">
        <v>73280</v>
      </c>
      <c r="AF800" s="10">
        <f>AG800/50</f>
        <v>656</v>
      </c>
      <c r="AG800" s="11">
        <v>32800</v>
      </c>
      <c r="AH800" s="10">
        <f>AI800/50</f>
        <v>89.6</v>
      </c>
      <c r="AI800" s="11">
        <v>4480</v>
      </c>
      <c r="AJ800" s="10">
        <f>AK800/9</f>
        <v>4664.333333333333</v>
      </c>
      <c r="AK800" s="13">
        <v>41979</v>
      </c>
      <c r="AL800" s="10">
        <f>AM800/9</f>
        <v>342.22222222222223</v>
      </c>
      <c r="AM800" s="13">
        <v>3080</v>
      </c>
      <c r="AN800" s="10">
        <v>0</v>
      </c>
      <c r="AO800" s="11">
        <v>0</v>
      </c>
      <c r="AP800" s="10">
        <v>0</v>
      </c>
      <c r="AQ800" s="11">
        <v>0</v>
      </c>
      <c r="AR800" s="10">
        <v>0</v>
      </c>
      <c r="AS800" s="11">
        <v>0</v>
      </c>
      <c r="AT800" s="10">
        <v>0</v>
      </c>
      <c r="AU800" s="11">
        <v>0</v>
      </c>
      <c r="AV800" s="10">
        <v>0</v>
      </c>
      <c r="AW800" s="11">
        <v>0</v>
      </c>
      <c r="AX800" s="10">
        <v>0</v>
      </c>
      <c r="AY800" s="11">
        <v>0</v>
      </c>
      <c r="AZ800" s="10">
        <v>0</v>
      </c>
      <c r="BA800" s="11">
        <v>0</v>
      </c>
      <c r="BB800" s="10">
        <v>0</v>
      </c>
      <c r="BC800" s="11">
        <v>0</v>
      </c>
      <c r="BD800" s="10">
        <v>0</v>
      </c>
      <c r="BE800" s="11">
        <v>0</v>
      </c>
      <c r="BF800" s="10">
        <v>0</v>
      </c>
      <c r="BG800" s="11">
        <v>0</v>
      </c>
      <c r="BH800" s="11">
        <v>500</v>
      </c>
      <c r="BI800" s="11">
        <v>300</v>
      </c>
      <c r="BN800" s="8">
        <f t="shared" si="787"/>
        <v>30793.4</v>
      </c>
      <c r="BO800" s="8">
        <f t="shared" si="788"/>
        <v>1540939</v>
      </c>
      <c r="BP800" s="8">
        <f t="shared" si="808"/>
        <v>2254.7555555555555</v>
      </c>
      <c r="BQ800" s="12">
        <f t="shared" si="809"/>
        <v>110920</v>
      </c>
    </row>
    <row r="801" spans="1:69">
      <c r="A801" s="28">
        <v>2000</v>
      </c>
      <c r="B801" s="27" t="s">
        <v>58</v>
      </c>
      <c r="C801" s="24">
        <f t="shared" si="749"/>
        <v>756</v>
      </c>
      <c r="D801" s="7">
        <f t="shared" ca="1" si="768"/>
        <v>0.2750283529404946</v>
      </c>
      <c r="E801" s="26">
        <f t="array" aca="1" ref="E801" ca="1">AVERAGE(IF(INDIRECT(DatCol&amp;"$"&amp;TEXT(C801,"###")):INDIRECT(DatCol&amp;"$"&amp;TEXT(C801+57,"###"))&gt;0,INDIRECT(DatCol&amp;"$"&amp;TEXT(C801,"###")):INDIRECT(DatCol&amp;"$"&amp;TEXT(C801+57,"###"))))</f>
        <v>849.36697435897429</v>
      </c>
      <c r="F801" s="26" t="str">
        <f t="shared" si="747"/>
        <v>B</v>
      </c>
      <c r="G801" s="9">
        <v>199</v>
      </c>
      <c r="H801" s="9">
        <v>529</v>
      </c>
      <c r="I801" s="9">
        <v>160</v>
      </c>
      <c r="J801" s="9">
        <v>1247</v>
      </c>
      <c r="K801" s="9">
        <f t="shared" si="789"/>
        <v>1975</v>
      </c>
      <c r="L801" s="10">
        <f t="shared" si="810"/>
        <v>2048</v>
      </c>
      <c r="M801" s="11">
        <v>102400</v>
      </c>
      <c r="N801" s="10">
        <f t="shared" si="811"/>
        <v>233.6</v>
      </c>
      <c r="O801" s="11">
        <v>11680</v>
      </c>
      <c r="P801" s="10">
        <v>0</v>
      </c>
      <c r="Q801" s="11">
        <v>0</v>
      </c>
      <c r="R801" s="10">
        <f>S801/49.5</f>
        <v>12328.363636363636</v>
      </c>
      <c r="S801" s="11">
        <v>610254</v>
      </c>
      <c r="T801" s="10">
        <f>U801/56</f>
        <v>5448.6964285714284</v>
      </c>
      <c r="U801" s="11">
        <v>305127</v>
      </c>
      <c r="V801" s="10">
        <f>W801/57.5</f>
        <v>1768.8521739130435</v>
      </c>
      <c r="W801" s="11">
        <v>101709</v>
      </c>
      <c r="X801" s="10">
        <f>Y801/49.5</f>
        <v>1205.6565656565656</v>
      </c>
      <c r="Y801" s="11">
        <v>59680</v>
      </c>
      <c r="Z801" s="10">
        <v>0</v>
      </c>
      <c r="AA801" s="11">
        <v>0</v>
      </c>
      <c r="AB801" s="10">
        <v>0</v>
      </c>
      <c r="AC801" s="11">
        <v>0</v>
      </c>
      <c r="AD801" s="10">
        <v>0</v>
      </c>
      <c r="AE801" s="11">
        <v>0</v>
      </c>
      <c r="AF801" s="10">
        <f t="shared" ref="AF801:AF810" si="812">AG801/47.5</f>
        <v>1337.2631578947369</v>
      </c>
      <c r="AG801" s="11">
        <v>63520</v>
      </c>
      <c r="AH801" s="10">
        <f t="shared" ref="AH801:AH810" si="813">AI801/47.5</f>
        <v>58.94736842105263</v>
      </c>
      <c r="AI801" s="11">
        <v>2800</v>
      </c>
      <c r="AJ801" s="10">
        <f>AK801/9</f>
        <v>626.88888888888891</v>
      </c>
      <c r="AK801" s="13">
        <v>5642</v>
      </c>
      <c r="AL801" s="10">
        <f>AM801/9</f>
        <v>189.77777777777777</v>
      </c>
      <c r="AM801" s="13">
        <v>1708</v>
      </c>
      <c r="AN801" s="10">
        <v>0</v>
      </c>
      <c r="AO801" s="11">
        <v>0</v>
      </c>
      <c r="AP801" s="10">
        <v>0</v>
      </c>
      <c r="AQ801" s="11">
        <v>0</v>
      </c>
      <c r="AR801" s="10">
        <v>0</v>
      </c>
      <c r="AS801" s="11">
        <v>0</v>
      </c>
      <c r="AT801" s="10">
        <v>0</v>
      </c>
      <c r="AU801" s="11">
        <v>0</v>
      </c>
      <c r="AV801" s="10">
        <v>0</v>
      </c>
      <c r="AW801" s="11">
        <v>0</v>
      </c>
      <c r="AX801" s="10">
        <v>0</v>
      </c>
      <c r="AY801" s="11">
        <v>0</v>
      </c>
      <c r="AZ801" s="10">
        <v>0</v>
      </c>
      <c r="BA801" s="11">
        <v>0</v>
      </c>
      <c r="BB801" s="10">
        <v>0</v>
      </c>
      <c r="BC801" s="11">
        <v>0</v>
      </c>
      <c r="BD801" s="10">
        <v>0</v>
      </c>
      <c r="BE801" s="11">
        <v>0</v>
      </c>
      <c r="BF801" s="10">
        <v>0</v>
      </c>
      <c r="BG801" s="11">
        <v>0</v>
      </c>
      <c r="BH801" s="11">
        <v>200</v>
      </c>
      <c r="BI801" s="11">
        <v>0</v>
      </c>
      <c r="BJ801" s="10">
        <v>0</v>
      </c>
      <c r="BK801" s="11">
        <v>0</v>
      </c>
      <c r="BL801" s="10">
        <v>0</v>
      </c>
      <c r="BM801" s="11">
        <v>0</v>
      </c>
      <c r="BN801" s="8">
        <f t="shared" si="787"/>
        <v>24763.720851288301</v>
      </c>
      <c r="BO801" s="8">
        <f t="shared" si="788"/>
        <v>1248332</v>
      </c>
      <c r="BP801" s="8">
        <f t="shared" si="808"/>
        <v>1687.981711855396</v>
      </c>
      <c r="BQ801" s="12">
        <f t="shared" si="809"/>
        <v>75868</v>
      </c>
    </row>
    <row r="802" spans="1:69">
      <c r="A802" s="28">
        <v>2001</v>
      </c>
      <c r="B802" s="27" t="s">
        <v>58</v>
      </c>
      <c r="C802" s="24">
        <f t="shared" si="749"/>
        <v>756</v>
      </c>
      <c r="D802" s="7">
        <f t="shared" ca="1" si="768"/>
        <v>0.23170196857315642</v>
      </c>
      <c r="E802" s="26">
        <f t="array" aca="1" ref="E802" ca="1">AVERAGE(IF(INDIRECT(DatCol&amp;"$"&amp;TEXT(C802,"###")):INDIRECT(DatCol&amp;"$"&amp;TEXT(C802+57,"###"))&gt;0,INDIRECT(DatCol&amp;"$"&amp;TEXT(C802,"###")):INDIRECT(DatCol&amp;"$"&amp;TEXT(C802+57,"###"))))</f>
        <v>849.36697435897429</v>
      </c>
      <c r="F802" s="26" t="str">
        <f t="shared" si="747"/>
        <v>B</v>
      </c>
      <c r="H802" s="9">
        <v>173</v>
      </c>
      <c r="I802" s="9">
        <v>140</v>
      </c>
      <c r="J802" s="9">
        <v>1632</v>
      </c>
      <c r="K802" s="9">
        <f t="shared" si="789"/>
        <v>1805</v>
      </c>
      <c r="L802" s="10">
        <f t="shared" si="810"/>
        <v>1245.5999999999999</v>
      </c>
      <c r="M802" s="11">
        <v>62280</v>
      </c>
      <c r="N802" s="10">
        <f t="shared" si="811"/>
        <v>196.8</v>
      </c>
      <c r="O802" s="11">
        <v>9840</v>
      </c>
      <c r="P802" s="10">
        <v>0</v>
      </c>
      <c r="Q802" s="11">
        <v>0</v>
      </c>
      <c r="R802" s="10">
        <f t="shared" ref="R802:R810" si="814">S802/75</f>
        <v>12005.28</v>
      </c>
      <c r="S802" s="11">
        <v>900396</v>
      </c>
      <c r="T802" s="10">
        <f t="shared" ref="T802:T810" si="815">U802/75</f>
        <v>3430.08</v>
      </c>
      <c r="U802" s="11">
        <v>257256</v>
      </c>
      <c r="V802" s="10">
        <f t="shared" ref="V802:V810" si="816">W802/75</f>
        <v>1715.04</v>
      </c>
      <c r="W802" s="11">
        <v>128628</v>
      </c>
      <c r="X802" s="10">
        <v>0</v>
      </c>
      <c r="Y802" s="11">
        <v>0</v>
      </c>
      <c r="Z802" s="10">
        <f t="shared" ref="Z802:Z810" si="817">AA802/75</f>
        <v>565.97333333333336</v>
      </c>
      <c r="AA802" s="11">
        <v>42448</v>
      </c>
      <c r="AB802" s="10">
        <f t="shared" ref="AB802:AB810" si="818">AC802/75</f>
        <v>161.70666666666668</v>
      </c>
      <c r="AC802" s="11">
        <v>12128</v>
      </c>
      <c r="AD802" s="10">
        <f t="shared" ref="AD802:AD810" si="819">AE802/75</f>
        <v>80.853333333333339</v>
      </c>
      <c r="AE802" s="11">
        <v>6064</v>
      </c>
      <c r="AF802" s="10">
        <f t="shared" si="812"/>
        <v>1064.8421052631579</v>
      </c>
      <c r="AG802" s="11">
        <v>50580</v>
      </c>
      <c r="AH802" s="10">
        <f t="shared" si="813"/>
        <v>139.78947368421052</v>
      </c>
      <c r="AI802" s="11">
        <v>6640</v>
      </c>
      <c r="AJ802" s="10">
        <f>AK802/9</f>
        <v>976.88888888888891</v>
      </c>
      <c r="AK802" s="13">
        <v>8792</v>
      </c>
      <c r="AL802" s="10">
        <f>AM802/9</f>
        <v>271.44444444444446</v>
      </c>
      <c r="AM802" s="13">
        <v>2443</v>
      </c>
      <c r="AN802" s="10">
        <v>0</v>
      </c>
      <c r="AO802" s="11">
        <v>0</v>
      </c>
      <c r="AP802" s="10">
        <v>0</v>
      </c>
      <c r="AQ802" s="11">
        <v>0</v>
      </c>
      <c r="AR802" s="10">
        <v>0</v>
      </c>
      <c r="AS802" s="11">
        <v>0</v>
      </c>
      <c r="AT802" s="10">
        <v>0</v>
      </c>
      <c r="AU802" s="11">
        <v>0</v>
      </c>
      <c r="AV802" s="10">
        <v>0</v>
      </c>
      <c r="AW802" s="11">
        <v>0</v>
      </c>
      <c r="AX802" s="10">
        <v>0</v>
      </c>
      <c r="AY802" s="11">
        <v>0</v>
      </c>
      <c r="AZ802" s="10">
        <v>0</v>
      </c>
      <c r="BA802" s="11">
        <v>0</v>
      </c>
      <c r="BB802" s="10">
        <v>0</v>
      </c>
      <c r="BC802" s="11">
        <v>0</v>
      </c>
      <c r="BD802" s="10">
        <v>0</v>
      </c>
      <c r="BE802" s="11">
        <v>0</v>
      </c>
      <c r="BF802" s="10">
        <v>0</v>
      </c>
      <c r="BG802" s="11">
        <v>0</v>
      </c>
      <c r="BH802" s="11">
        <v>600</v>
      </c>
      <c r="BI802" s="11">
        <v>0</v>
      </c>
      <c r="BJ802" s="10">
        <v>0</v>
      </c>
      <c r="BK802" s="11">
        <v>0</v>
      </c>
      <c r="BL802" s="10">
        <v>0</v>
      </c>
      <c r="BM802" s="11">
        <v>0</v>
      </c>
      <c r="BN802" s="8">
        <f t="shared" si="787"/>
        <v>21246.26432748538</v>
      </c>
      <c r="BO802" s="8">
        <f t="shared" si="788"/>
        <v>1462508</v>
      </c>
      <c r="BP802" s="8">
        <f t="shared" si="808"/>
        <v>1416.5672514619882</v>
      </c>
      <c r="BQ802" s="12">
        <f t="shared" si="809"/>
        <v>79563</v>
      </c>
    </row>
    <row r="803" spans="1:69">
      <c r="A803" s="28">
        <v>2002</v>
      </c>
      <c r="B803" s="27" t="s">
        <v>58</v>
      </c>
      <c r="C803" s="24">
        <f t="shared" si="749"/>
        <v>756</v>
      </c>
      <c r="D803" s="7">
        <f t="shared" ca="1" si="768"/>
        <v>0.20459943139554432</v>
      </c>
      <c r="E803" s="26">
        <f t="array" aca="1" ref="E803" ca="1">AVERAGE(IF(INDIRECT(DatCol&amp;"$"&amp;TEXT(C803,"###")):INDIRECT(DatCol&amp;"$"&amp;TEXT(C803+57,"###"))&gt;0,INDIRECT(DatCol&amp;"$"&amp;TEXT(C803,"###")):INDIRECT(DatCol&amp;"$"&amp;TEXT(C803+57,"###"))))</f>
        <v>849.36697435897429</v>
      </c>
      <c r="F803" s="26" t="str">
        <f t="shared" si="747"/>
        <v>B</v>
      </c>
      <c r="H803" s="9">
        <v>173</v>
      </c>
      <c r="I803" s="9">
        <v>140</v>
      </c>
      <c r="J803" s="9">
        <v>1632</v>
      </c>
      <c r="K803" s="9">
        <f t="shared" si="789"/>
        <v>1805</v>
      </c>
      <c r="L803" s="10">
        <f t="shared" si="810"/>
        <v>1315.8</v>
      </c>
      <c r="M803" s="11">
        <v>65790</v>
      </c>
      <c r="N803" s="10">
        <f t="shared" si="811"/>
        <v>173.78</v>
      </c>
      <c r="O803" s="11">
        <v>8689</v>
      </c>
      <c r="P803" s="10">
        <v>0</v>
      </c>
      <c r="Q803" s="11">
        <v>0</v>
      </c>
      <c r="R803" s="10">
        <f t="shared" si="814"/>
        <v>7570.08</v>
      </c>
      <c r="S803" s="11">
        <v>567756</v>
      </c>
      <c r="T803" s="10">
        <f t="shared" si="815"/>
        <v>2162.88</v>
      </c>
      <c r="U803" s="11">
        <v>162216</v>
      </c>
      <c r="V803" s="10">
        <f t="shared" si="816"/>
        <v>1081.44</v>
      </c>
      <c r="W803" s="11">
        <v>81108</v>
      </c>
      <c r="X803" s="10">
        <v>0</v>
      </c>
      <c r="Y803" s="11">
        <v>0</v>
      </c>
      <c r="Z803" s="10">
        <f t="shared" si="817"/>
        <v>409.33333333333331</v>
      </c>
      <c r="AA803" s="11">
        <v>30700</v>
      </c>
      <c r="AB803" s="10">
        <f t="shared" si="818"/>
        <v>116.94666666666667</v>
      </c>
      <c r="AC803" s="11">
        <v>8771</v>
      </c>
      <c r="AD803" s="10">
        <f t="shared" si="819"/>
        <v>58.48</v>
      </c>
      <c r="AE803" s="11">
        <v>4386</v>
      </c>
      <c r="AF803" s="10">
        <f t="shared" si="812"/>
        <v>462.31578947368422</v>
      </c>
      <c r="AG803" s="11">
        <v>21960</v>
      </c>
      <c r="AH803" s="10">
        <f t="shared" si="813"/>
        <v>67.368421052631575</v>
      </c>
      <c r="AI803" s="11">
        <v>3200</v>
      </c>
      <c r="AJ803" s="10">
        <f>AK803/50</f>
        <v>6581.12</v>
      </c>
      <c r="AK803" s="13">
        <v>329056</v>
      </c>
      <c r="AL803" s="10">
        <f>AM803/50</f>
        <v>907.2</v>
      </c>
      <c r="AM803" s="13">
        <v>45360</v>
      </c>
      <c r="AN803" s="10">
        <v>0</v>
      </c>
      <c r="AO803" s="11">
        <v>0</v>
      </c>
      <c r="AP803" s="10">
        <v>0</v>
      </c>
      <c r="AQ803" s="11">
        <v>0</v>
      </c>
      <c r="AR803" s="10">
        <v>0</v>
      </c>
      <c r="AS803" s="11">
        <v>0</v>
      </c>
      <c r="AT803" s="10">
        <v>0</v>
      </c>
      <c r="AU803" s="11">
        <v>0</v>
      </c>
      <c r="AV803" s="10">
        <v>0</v>
      </c>
      <c r="AW803" s="11">
        <v>0</v>
      </c>
      <c r="AX803" s="10">
        <v>0</v>
      </c>
      <c r="AY803" s="11">
        <v>0</v>
      </c>
      <c r="AZ803" s="10">
        <v>0</v>
      </c>
      <c r="BA803" s="11">
        <v>0</v>
      </c>
      <c r="BB803" s="10">
        <v>0</v>
      </c>
      <c r="BC803" s="11">
        <v>0</v>
      </c>
      <c r="BD803" s="10">
        <v>0</v>
      </c>
      <c r="BE803" s="11">
        <v>0</v>
      </c>
      <c r="BF803" s="10">
        <v>0</v>
      </c>
      <c r="BG803" s="11">
        <v>0</v>
      </c>
      <c r="BH803" s="11">
        <v>0</v>
      </c>
      <c r="BI803" s="11">
        <v>0</v>
      </c>
      <c r="BJ803" s="10">
        <v>0</v>
      </c>
      <c r="BK803" s="11">
        <v>0</v>
      </c>
      <c r="BN803" s="8">
        <f t="shared" si="787"/>
        <v>19758.395789473685</v>
      </c>
      <c r="BO803" s="8">
        <f t="shared" si="788"/>
        <v>1267357</v>
      </c>
      <c r="BP803" s="8">
        <f t="shared" si="808"/>
        <v>1733.1084210526317</v>
      </c>
      <c r="BQ803" s="12">
        <f t="shared" si="809"/>
        <v>101106</v>
      </c>
    </row>
    <row r="804" spans="1:69">
      <c r="A804" s="28">
        <v>2003</v>
      </c>
      <c r="B804" s="27" t="s">
        <v>58</v>
      </c>
      <c r="C804" s="24">
        <f t="shared" si="749"/>
        <v>756</v>
      </c>
      <c r="D804" s="7">
        <f t="shared" ca="1" si="768"/>
        <v>0.13598362484857501</v>
      </c>
      <c r="E804" s="26">
        <f t="array" aca="1" ref="E804" ca="1">AVERAGE(IF(INDIRECT(DatCol&amp;"$"&amp;TEXT(C804,"###")):INDIRECT(DatCol&amp;"$"&amp;TEXT(C804+57,"###"))&gt;0,INDIRECT(DatCol&amp;"$"&amp;TEXT(C804,"###")):INDIRECT(DatCol&amp;"$"&amp;TEXT(C804+57,"###"))))</f>
        <v>849.36697435897429</v>
      </c>
      <c r="F804" s="26" t="str">
        <f t="shared" si="747"/>
        <v>B</v>
      </c>
      <c r="H804" s="9">
        <v>180</v>
      </c>
      <c r="I804" s="9">
        <v>123</v>
      </c>
      <c r="J804" s="9">
        <v>1771</v>
      </c>
      <c r="K804" s="9">
        <f t="shared" si="789"/>
        <v>1951</v>
      </c>
      <c r="L804" s="10">
        <f t="shared" si="810"/>
        <v>1532.8</v>
      </c>
      <c r="M804" s="11">
        <v>76640</v>
      </c>
      <c r="N804" s="10">
        <f t="shared" si="811"/>
        <v>115.5</v>
      </c>
      <c r="O804" s="11">
        <v>5775</v>
      </c>
      <c r="P804" s="10">
        <v>0</v>
      </c>
      <c r="Q804" s="11">
        <v>0</v>
      </c>
      <c r="R804" s="10">
        <f t="shared" si="814"/>
        <v>5647.32</v>
      </c>
      <c r="S804" s="11">
        <v>423549</v>
      </c>
      <c r="T804" s="10">
        <f t="shared" si="815"/>
        <v>1613.52</v>
      </c>
      <c r="U804" s="11">
        <v>121014</v>
      </c>
      <c r="V804" s="10">
        <f t="shared" si="816"/>
        <v>806.76</v>
      </c>
      <c r="W804" s="11">
        <v>60507</v>
      </c>
      <c r="X804" s="10">
        <v>0</v>
      </c>
      <c r="Y804" s="11">
        <v>0</v>
      </c>
      <c r="Z804" s="10">
        <f t="shared" si="817"/>
        <v>294.60000000000002</v>
      </c>
      <c r="AA804" s="11">
        <v>22095</v>
      </c>
      <c r="AB804" s="10">
        <f t="shared" si="818"/>
        <v>98.2</v>
      </c>
      <c r="AC804" s="11">
        <v>7365</v>
      </c>
      <c r="AD804" s="10">
        <f t="shared" si="819"/>
        <v>98.2</v>
      </c>
      <c r="AE804" s="11">
        <v>7365</v>
      </c>
      <c r="AF804" s="10">
        <f t="shared" si="812"/>
        <v>508.63157894736844</v>
      </c>
      <c r="AG804" s="11">
        <v>24160</v>
      </c>
      <c r="AH804" s="10">
        <f t="shared" si="813"/>
        <v>35.11578947368421</v>
      </c>
      <c r="AI804" s="11">
        <v>1668</v>
      </c>
      <c r="AJ804" s="10">
        <f t="shared" ref="AJ804:AJ809" si="820">AK804/9</f>
        <v>3201.3333333333335</v>
      </c>
      <c r="AK804" s="13">
        <v>28812</v>
      </c>
      <c r="AL804" s="10">
        <f t="shared" ref="AL804:AL810" si="821">AM804/9</f>
        <v>80.111111111111114</v>
      </c>
      <c r="AM804" s="13">
        <v>721</v>
      </c>
      <c r="AN804" s="10">
        <v>0</v>
      </c>
      <c r="AO804" s="11">
        <v>0</v>
      </c>
      <c r="AP804" s="10">
        <v>0</v>
      </c>
      <c r="AQ804" s="11">
        <v>0</v>
      </c>
      <c r="AR804" s="10">
        <v>0</v>
      </c>
      <c r="AS804" s="11">
        <v>0</v>
      </c>
      <c r="AT804" s="10">
        <v>0</v>
      </c>
      <c r="AU804" s="11">
        <v>0</v>
      </c>
      <c r="AV804" s="10">
        <v>0</v>
      </c>
      <c r="AW804" s="11">
        <v>0</v>
      </c>
      <c r="AX804" s="10">
        <v>0</v>
      </c>
      <c r="AY804" s="11">
        <v>0</v>
      </c>
      <c r="AZ804" s="10">
        <v>0</v>
      </c>
      <c r="BA804" s="11">
        <v>0</v>
      </c>
      <c r="BB804" s="10">
        <v>0</v>
      </c>
      <c r="BC804" s="11">
        <v>0</v>
      </c>
      <c r="BD804" s="10">
        <v>0</v>
      </c>
      <c r="BE804" s="11">
        <v>0</v>
      </c>
      <c r="BF804" s="10">
        <v>0</v>
      </c>
      <c r="BG804" s="11">
        <v>0</v>
      </c>
      <c r="BH804" s="11">
        <v>0</v>
      </c>
      <c r="BI804" s="11">
        <v>0</v>
      </c>
      <c r="BJ804" s="10">
        <v>0</v>
      </c>
      <c r="BK804" s="11">
        <v>0</v>
      </c>
      <c r="BL804" s="10">
        <v>0</v>
      </c>
      <c r="BM804" s="11">
        <v>0</v>
      </c>
      <c r="BN804" s="8">
        <f t="shared" si="787"/>
        <v>13801.364912280704</v>
      </c>
      <c r="BO804" s="8">
        <f t="shared" si="788"/>
        <v>764142</v>
      </c>
      <c r="BP804" s="8">
        <f t="shared" si="808"/>
        <v>721.72690058479532</v>
      </c>
      <c r="BQ804" s="12">
        <f t="shared" si="809"/>
        <v>44989</v>
      </c>
    </row>
    <row r="805" spans="1:69">
      <c r="A805" s="28">
        <v>2004</v>
      </c>
      <c r="B805" s="27" t="s">
        <v>58</v>
      </c>
      <c r="C805" s="24">
        <f t="shared" si="749"/>
        <v>756</v>
      </c>
      <c r="D805" s="7">
        <f t="shared" ca="1" si="768"/>
        <v>0.18276199179648484</v>
      </c>
      <c r="E805" s="26">
        <f t="array" aca="1" ref="E805" ca="1">AVERAGE(IF(INDIRECT(DatCol&amp;"$"&amp;TEXT(C805,"###")):INDIRECT(DatCol&amp;"$"&amp;TEXT(C805+57,"###"))&gt;0,INDIRECT(DatCol&amp;"$"&amp;TEXT(C805,"###")):INDIRECT(DatCol&amp;"$"&amp;TEXT(C805+57,"###"))))</f>
        <v>849.36697435897429</v>
      </c>
      <c r="F805" s="26" t="str">
        <f t="shared" si="747"/>
        <v>B</v>
      </c>
      <c r="H805" s="9">
        <v>203</v>
      </c>
      <c r="I805" s="9">
        <v>103</v>
      </c>
      <c r="J805" s="9">
        <v>1321</v>
      </c>
      <c r="K805" s="9">
        <f t="shared" si="789"/>
        <v>1524</v>
      </c>
      <c r="L805" s="10">
        <f t="shared" si="810"/>
        <v>1916</v>
      </c>
      <c r="M805" s="11">
        <v>95800</v>
      </c>
      <c r="N805" s="10">
        <f t="shared" si="811"/>
        <v>155.232</v>
      </c>
      <c r="O805" s="11">
        <v>7761.6</v>
      </c>
      <c r="P805" s="10">
        <v>0</v>
      </c>
      <c r="Q805" s="11">
        <v>0</v>
      </c>
      <c r="R805" s="10">
        <f t="shared" si="814"/>
        <v>5364.9466666666667</v>
      </c>
      <c r="S805" s="11">
        <v>402371</v>
      </c>
      <c r="T805" s="10">
        <f t="shared" si="815"/>
        <v>1532.84</v>
      </c>
      <c r="U805" s="11">
        <v>114963</v>
      </c>
      <c r="V805" s="10">
        <f t="shared" si="816"/>
        <v>774.61333333333334</v>
      </c>
      <c r="W805" s="11">
        <v>58096</v>
      </c>
      <c r="X805" s="10">
        <v>0</v>
      </c>
      <c r="Y805" s="11">
        <v>0</v>
      </c>
      <c r="Z805" s="10">
        <f t="shared" si="817"/>
        <v>306.53333333333336</v>
      </c>
      <c r="AA805" s="11">
        <v>22990</v>
      </c>
      <c r="AB805" s="10">
        <f t="shared" si="818"/>
        <v>93.266666666666666</v>
      </c>
      <c r="AC805" s="11">
        <v>6995</v>
      </c>
      <c r="AD805" s="10">
        <f t="shared" si="819"/>
        <v>93.28</v>
      </c>
      <c r="AE805" s="11">
        <v>6996</v>
      </c>
      <c r="AF805" s="10">
        <f t="shared" si="812"/>
        <v>518.79999999999995</v>
      </c>
      <c r="AG805" s="11">
        <v>24643</v>
      </c>
      <c r="AH805" s="10">
        <f t="shared" si="813"/>
        <v>34.4</v>
      </c>
      <c r="AI805" s="11">
        <v>1634</v>
      </c>
      <c r="AJ805" s="10">
        <f t="shared" si="820"/>
        <v>3167.4444444444443</v>
      </c>
      <c r="AK805" s="13">
        <v>28507</v>
      </c>
      <c r="AL805" s="10">
        <f t="shared" si="821"/>
        <v>60</v>
      </c>
      <c r="AM805" s="13">
        <v>540</v>
      </c>
      <c r="AN805" s="10">
        <v>0</v>
      </c>
      <c r="AO805" s="11">
        <v>0</v>
      </c>
      <c r="AP805" s="10">
        <v>0</v>
      </c>
      <c r="AQ805" s="11">
        <v>0</v>
      </c>
      <c r="AR805" s="10">
        <v>0</v>
      </c>
      <c r="AS805" s="11">
        <v>0</v>
      </c>
      <c r="AT805" s="10">
        <v>0</v>
      </c>
      <c r="AU805" s="11">
        <v>0</v>
      </c>
      <c r="AV805" s="10">
        <v>0</v>
      </c>
      <c r="AW805" s="11">
        <v>0</v>
      </c>
      <c r="AX805" s="10">
        <v>0</v>
      </c>
      <c r="AY805" s="11">
        <v>0</v>
      </c>
      <c r="AZ805" s="10">
        <v>0</v>
      </c>
      <c r="BA805" s="11">
        <v>0</v>
      </c>
      <c r="BB805" s="10">
        <v>0</v>
      </c>
      <c r="BC805" s="11">
        <v>0</v>
      </c>
      <c r="BD805" s="10">
        <v>0</v>
      </c>
      <c r="BE805" s="11">
        <v>0</v>
      </c>
      <c r="BF805" s="10">
        <v>0</v>
      </c>
      <c r="BG805" s="11">
        <v>0</v>
      </c>
      <c r="BH805" s="11">
        <v>0</v>
      </c>
      <c r="BI805" s="11">
        <v>0</v>
      </c>
      <c r="BJ805" s="10">
        <v>0</v>
      </c>
      <c r="BK805" s="11">
        <v>0</v>
      </c>
      <c r="BL805" s="10">
        <v>0</v>
      </c>
      <c r="BM805" s="11">
        <v>0</v>
      </c>
      <c r="BN805" s="8">
        <f t="shared" si="787"/>
        <v>13767.724444444444</v>
      </c>
      <c r="BO805" s="8">
        <f t="shared" si="788"/>
        <v>754365</v>
      </c>
      <c r="BP805" s="8">
        <f t="shared" si="808"/>
        <v>742.71199999999999</v>
      </c>
      <c r="BQ805" s="12">
        <f t="shared" si="809"/>
        <v>46916.6</v>
      </c>
    </row>
    <row r="806" spans="1:69">
      <c r="A806" s="28">
        <v>2005</v>
      </c>
      <c r="B806" s="27" t="s">
        <v>58</v>
      </c>
      <c r="C806" s="24">
        <f t="shared" si="749"/>
        <v>756</v>
      </c>
      <c r="D806" s="7">
        <f t="shared" ca="1" si="768"/>
        <v>0.16011924657494547</v>
      </c>
      <c r="E806" s="26">
        <f t="array" aca="1" ref="E806" ca="1">AVERAGE(IF(INDIRECT(DatCol&amp;"$"&amp;TEXT(C806,"###")):INDIRECT(DatCol&amp;"$"&amp;TEXT(C806+57,"###"))&gt;0,INDIRECT(DatCol&amp;"$"&amp;TEXT(C806,"###")):INDIRECT(DatCol&amp;"$"&amp;TEXT(C806+57,"###"))))</f>
        <v>849.36697435897429</v>
      </c>
      <c r="F806" s="26" t="str">
        <f t="shared" si="747"/>
        <v>B</v>
      </c>
      <c r="H806" s="9">
        <v>175</v>
      </c>
      <c r="I806" s="9">
        <v>103</v>
      </c>
      <c r="J806" s="9">
        <f>1180+439</f>
        <v>1619</v>
      </c>
      <c r="K806" s="9">
        <f t="shared" si="789"/>
        <v>1794</v>
      </c>
      <c r="L806" s="10">
        <f t="shared" si="810"/>
        <v>1900</v>
      </c>
      <c r="M806" s="11">
        <v>95000</v>
      </c>
      <c r="N806" s="10">
        <f t="shared" si="811"/>
        <v>136</v>
      </c>
      <c r="O806" s="11">
        <v>6800</v>
      </c>
      <c r="P806" s="10">
        <v>0</v>
      </c>
      <c r="Q806" s="11">
        <v>0</v>
      </c>
      <c r="R806" s="10">
        <f t="shared" si="814"/>
        <v>5636.413333333333</v>
      </c>
      <c r="S806" s="11">
        <v>422731</v>
      </c>
      <c r="T806" s="10">
        <f t="shared" si="815"/>
        <v>1532</v>
      </c>
      <c r="U806" s="11">
        <v>114900</v>
      </c>
      <c r="V806" s="10">
        <f t="shared" si="816"/>
        <v>800</v>
      </c>
      <c r="W806" s="11">
        <v>60000</v>
      </c>
      <c r="X806" s="10">
        <v>0</v>
      </c>
      <c r="Y806" s="11">
        <v>0</v>
      </c>
      <c r="Z806" s="10">
        <f t="shared" si="817"/>
        <v>266.54666666666668</v>
      </c>
      <c r="AA806" s="11">
        <v>19991</v>
      </c>
      <c r="AB806" s="10">
        <f t="shared" si="818"/>
        <v>93.333333333333329</v>
      </c>
      <c r="AC806" s="11">
        <v>7000</v>
      </c>
      <c r="AD806" s="10">
        <f t="shared" si="819"/>
        <v>86.666666666666671</v>
      </c>
      <c r="AE806" s="11">
        <v>6500</v>
      </c>
      <c r="AF806" s="10">
        <f t="shared" si="812"/>
        <v>517.89473684210532</v>
      </c>
      <c r="AG806" s="11">
        <v>24600</v>
      </c>
      <c r="AH806" s="10">
        <f t="shared" si="813"/>
        <v>34.4</v>
      </c>
      <c r="AI806" s="11">
        <v>1634</v>
      </c>
      <c r="AJ806" s="10">
        <f t="shared" si="820"/>
        <v>333.33333333333331</v>
      </c>
      <c r="AK806" s="13">
        <v>3000</v>
      </c>
      <c r="AL806" s="10">
        <f t="shared" si="821"/>
        <v>22.222222222222221</v>
      </c>
      <c r="AM806" s="13">
        <v>200</v>
      </c>
      <c r="AN806" s="10">
        <v>0</v>
      </c>
      <c r="AO806" s="11">
        <v>0</v>
      </c>
      <c r="AP806" s="10">
        <v>0</v>
      </c>
      <c r="AQ806" s="11">
        <v>0</v>
      </c>
      <c r="AR806" s="10">
        <v>0</v>
      </c>
      <c r="AS806" s="11">
        <v>0</v>
      </c>
      <c r="AT806" s="10">
        <v>0</v>
      </c>
      <c r="AU806" s="11">
        <v>0</v>
      </c>
      <c r="AV806" s="10">
        <v>0</v>
      </c>
      <c r="AW806" s="11">
        <v>0</v>
      </c>
      <c r="AX806" s="10">
        <v>0</v>
      </c>
      <c r="AY806" s="11">
        <v>0</v>
      </c>
      <c r="AZ806" s="10">
        <v>0</v>
      </c>
      <c r="BA806" s="11">
        <v>0</v>
      </c>
      <c r="BB806" s="10">
        <v>0</v>
      </c>
      <c r="BC806" s="11">
        <v>0</v>
      </c>
      <c r="BD806" s="10">
        <v>0</v>
      </c>
      <c r="BE806" s="11">
        <v>0</v>
      </c>
      <c r="BF806" s="10">
        <v>0</v>
      </c>
      <c r="BG806" s="11">
        <v>0</v>
      </c>
      <c r="BH806" s="11">
        <v>0</v>
      </c>
      <c r="BI806" s="11">
        <v>0</v>
      </c>
      <c r="BJ806" s="10">
        <v>0</v>
      </c>
      <c r="BK806" s="11">
        <v>0</v>
      </c>
      <c r="BL806" s="10">
        <v>0</v>
      </c>
      <c r="BM806" s="11">
        <v>0</v>
      </c>
      <c r="BN806" s="8">
        <f t="shared" si="787"/>
        <v>11166.18807017544</v>
      </c>
      <c r="BO806" s="8">
        <f t="shared" si="788"/>
        <v>747222</v>
      </c>
      <c r="BP806" s="8">
        <f t="shared" si="808"/>
        <v>639.16888888888877</v>
      </c>
      <c r="BQ806" s="12">
        <f t="shared" si="809"/>
        <v>42125</v>
      </c>
    </row>
    <row r="807" spans="1:69">
      <c r="A807" s="28">
        <v>2006</v>
      </c>
      <c r="B807" s="27" t="s">
        <v>58</v>
      </c>
      <c r="C807" s="24">
        <f t="shared" si="749"/>
        <v>756</v>
      </c>
      <c r="D807" s="7">
        <f t="shared" ca="1" si="768"/>
        <v>0.16718333098266366</v>
      </c>
      <c r="E807" s="26">
        <f t="array" aca="1" ref="E807" ca="1">AVERAGE(IF(INDIRECT(DatCol&amp;"$"&amp;TEXT(C807,"###")):INDIRECT(DatCol&amp;"$"&amp;TEXT(C807+57,"###"))&gt;0,INDIRECT(DatCol&amp;"$"&amp;TEXT(C807,"###")):INDIRECT(DatCol&amp;"$"&amp;TEXT(C807+57,"###"))))</f>
        <v>849.36697435897429</v>
      </c>
      <c r="F807" s="26" t="str">
        <f t="shared" si="747"/>
        <v>B</v>
      </c>
      <c r="H807" s="9">
        <v>181</v>
      </c>
      <c r="I807" s="9">
        <v>91</v>
      </c>
      <c r="J807" s="9">
        <f>1269+475</f>
        <v>1744</v>
      </c>
      <c r="K807" s="9">
        <f t="shared" si="789"/>
        <v>1925</v>
      </c>
      <c r="L807" s="10">
        <f t="shared" si="810"/>
        <v>1900</v>
      </c>
      <c r="M807" s="11">
        <v>95000</v>
      </c>
      <c r="N807" s="10">
        <f t="shared" si="811"/>
        <v>142</v>
      </c>
      <c r="O807" s="11">
        <v>7100</v>
      </c>
      <c r="P807" s="10">
        <v>0</v>
      </c>
      <c r="Q807" s="11">
        <v>0</v>
      </c>
      <c r="R807" s="10">
        <f t="shared" si="814"/>
        <v>9604.9466666666667</v>
      </c>
      <c r="S807" s="11">
        <v>720371</v>
      </c>
      <c r="T807" s="10">
        <f t="shared" si="815"/>
        <v>1520</v>
      </c>
      <c r="U807" s="11">
        <v>114000</v>
      </c>
      <c r="V807" s="10">
        <f t="shared" si="816"/>
        <v>880</v>
      </c>
      <c r="W807" s="11">
        <v>66000</v>
      </c>
      <c r="X807" s="10">
        <v>0</v>
      </c>
      <c r="Y807" s="11">
        <v>0</v>
      </c>
      <c r="Z807" s="10">
        <f t="shared" si="817"/>
        <v>265.34666666666669</v>
      </c>
      <c r="AA807" s="11">
        <v>19901</v>
      </c>
      <c r="AB807" s="10">
        <f t="shared" si="818"/>
        <v>93.333333333333329</v>
      </c>
      <c r="AC807" s="11">
        <v>7000</v>
      </c>
      <c r="AD807" s="10">
        <f t="shared" si="819"/>
        <v>960</v>
      </c>
      <c r="AE807" s="11">
        <v>72000</v>
      </c>
      <c r="AF807" s="10">
        <f t="shared" si="812"/>
        <v>421.05263157894734</v>
      </c>
      <c r="AG807" s="11">
        <v>20000</v>
      </c>
      <c r="AH807" s="10">
        <f t="shared" si="813"/>
        <v>35.789473684210527</v>
      </c>
      <c r="AI807" s="11">
        <v>1700</v>
      </c>
      <c r="AJ807" s="10">
        <f t="shared" si="820"/>
        <v>222.22222222222223</v>
      </c>
      <c r="AK807" s="13">
        <v>2000</v>
      </c>
      <c r="AL807" s="10">
        <f t="shared" si="821"/>
        <v>21.666666666666668</v>
      </c>
      <c r="AM807" s="13">
        <v>195</v>
      </c>
      <c r="AN807" s="10">
        <v>0</v>
      </c>
      <c r="AO807" s="11">
        <v>0</v>
      </c>
      <c r="AP807" s="10">
        <v>0</v>
      </c>
      <c r="AQ807" s="11">
        <v>0</v>
      </c>
      <c r="AR807" s="10">
        <v>0</v>
      </c>
      <c r="AS807" s="11">
        <v>0</v>
      </c>
      <c r="AT807" s="10">
        <v>0</v>
      </c>
      <c r="AU807" s="11">
        <v>0</v>
      </c>
      <c r="AV807" s="10">
        <v>0</v>
      </c>
      <c r="AW807" s="11">
        <v>0</v>
      </c>
      <c r="AX807" s="10">
        <v>0</v>
      </c>
      <c r="AY807" s="11">
        <v>0</v>
      </c>
      <c r="AZ807" s="10">
        <v>0</v>
      </c>
      <c r="BA807" s="11">
        <v>0</v>
      </c>
      <c r="BB807" s="10">
        <v>0</v>
      </c>
      <c r="BC807" s="11">
        <v>0</v>
      </c>
      <c r="BD807" s="10">
        <v>0</v>
      </c>
      <c r="BE807" s="11">
        <v>0</v>
      </c>
      <c r="BF807" s="10">
        <v>0</v>
      </c>
      <c r="BG807" s="11">
        <v>0</v>
      </c>
      <c r="BH807" s="11">
        <v>0</v>
      </c>
      <c r="BI807" s="11">
        <v>0</v>
      </c>
      <c r="BJ807" s="10">
        <v>0</v>
      </c>
      <c r="BK807" s="11">
        <v>0</v>
      </c>
      <c r="BL807" s="10">
        <v>0</v>
      </c>
      <c r="BM807" s="11">
        <v>0</v>
      </c>
      <c r="BN807" s="8">
        <f t="shared" si="787"/>
        <v>15866.901520467836</v>
      </c>
      <c r="BO807" s="8">
        <f t="shared" si="788"/>
        <v>1044272</v>
      </c>
      <c r="BP807" s="8">
        <f t="shared" si="808"/>
        <v>1518.1361403508774</v>
      </c>
      <c r="BQ807" s="12">
        <f t="shared" si="809"/>
        <v>107896</v>
      </c>
    </row>
    <row r="808" spans="1:69">
      <c r="A808" s="28">
        <v>2007</v>
      </c>
      <c r="B808" s="27" t="s">
        <v>58</v>
      </c>
      <c r="C808" s="24">
        <f t="shared" si="749"/>
        <v>756</v>
      </c>
      <c r="D808" s="7">
        <f t="shared" ca="1" si="768"/>
        <v>0.16059018553546003</v>
      </c>
      <c r="E808" s="26">
        <f t="array" aca="1" ref="E808" ca="1">AVERAGE(IF(INDIRECT(DatCol&amp;"$"&amp;TEXT(C808,"###")):INDIRECT(DatCol&amp;"$"&amp;TEXT(C808+57,"###"))&gt;0,INDIRECT(DatCol&amp;"$"&amp;TEXT(C808,"###")):INDIRECT(DatCol&amp;"$"&amp;TEXT(C808+57,"###"))))</f>
        <v>849.36697435897429</v>
      </c>
      <c r="F808" s="26" t="str">
        <f t="shared" si="747"/>
        <v>B</v>
      </c>
      <c r="H808" s="9">
        <v>216</v>
      </c>
      <c r="I808" s="9">
        <v>83</v>
      </c>
      <c r="J808" s="9">
        <v>1662</v>
      </c>
      <c r="K808" s="9">
        <f t="shared" si="789"/>
        <v>1878</v>
      </c>
      <c r="L808" s="10">
        <f t="shared" si="810"/>
        <v>1800</v>
      </c>
      <c r="M808" s="11">
        <v>90000</v>
      </c>
      <c r="N808" s="10">
        <f t="shared" si="811"/>
        <v>136.4</v>
      </c>
      <c r="O808" s="11">
        <v>6820</v>
      </c>
      <c r="P808" s="10">
        <v>0</v>
      </c>
      <c r="Q808" s="11">
        <v>0</v>
      </c>
      <c r="R808" s="10">
        <f t="shared" si="814"/>
        <v>5538.16</v>
      </c>
      <c r="S808" s="11">
        <v>415362</v>
      </c>
      <c r="T808" s="10">
        <f t="shared" si="815"/>
        <v>1466.6666666666667</v>
      </c>
      <c r="U808" s="11">
        <v>110000</v>
      </c>
      <c r="V808" s="10">
        <f t="shared" si="816"/>
        <v>1066.6666666666667</v>
      </c>
      <c r="W808" s="11">
        <v>80000</v>
      </c>
      <c r="X808" s="10">
        <v>0</v>
      </c>
      <c r="Y808" s="11">
        <v>0</v>
      </c>
      <c r="Z808" s="10">
        <f t="shared" si="817"/>
        <v>231.36</v>
      </c>
      <c r="AA808" s="11">
        <v>17352</v>
      </c>
      <c r="AB808" s="10">
        <f t="shared" si="818"/>
        <v>106.66666666666667</v>
      </c>
      <c r="AC808" s="11">
        <v>8000</v>
      </c>
      <c r="AD808" s="10">
        <f t="shared" si="819"/>
        <v>117.33333333333333</v>
      </c>
      <c r="AE808" s="11">
        <v>8800</v>
      </c>
      <c r="AF808" s="10">
        <f t="shared" si="812"/>
        <v>315.78947368421052</v>
      </c>
      <c r="AG808" s="11">
        <v>15000</v>
      </c>
      <c r="AH808" s="10">
        <f t="shared" si="813"/>
        <v>35.789473684210527</v>
      </c>
      <c r="AI808" s="11">
        <v>1700</v>
      </c>
      <c r="AJ808" s="10">
        <f t="shared" si="820"/>
        <v>156.66666666666666</v>
      </c>
      <c r="AK808" s="13">
        <v>1410</v>
      </c>
      <c r="AL808" s="10">
        <f t="shared" si="821"/>
        <v>22.222222222222221</v>
      </c>
      <c r="AM808" s="13">
        <v>200</v>
      </c>
      <c r="AN808" s="10">
        <v>0</v>
      </c>
      <c r="AO808" s="11">
        <v>0</v>
      </c>
      <c r="AP808" s="10">
        <v>0</v>
      </c>
      <c r="AQ808" s="11">
        <v>0</v>
      </c>
      <c r="AR808" s="10">
        <v>0</v>
      </c>
      <c r="AS808" s="11">
        <v>0</v>
      </c>
      <c r="AT808" s="10">
        <v>0</v>
      </c>
      <c r="AU808" s="11">
        <v>0</v>
      </c>
      <c r="AV808" s="10">
        <v>0</v>
      </c>
      <c r="AW808" s="11">
        <v>0</v>
      </c>
      <c r="AX808" s="10">
        <v>0</v>
      </c>
      <c r="AY808" s="11">
        <v>0</v>
      </c>
      <c r="AZ808" s="10">
        <v>0</v>
      </c>
      <c r="BA808" s="11">
        <v>0</v>
      </c>
      <c r="BB808" s="10">
        <v>0</v>
      </c>
      <c r="BC808" s="11">
        <v>0</v>
      </c>
      <c r="BD808" s="10">
        <v>0</v>
      </c>
      <c r="BN808" s="8">
        <f t="shared" si="787"/>
        <v>10799.309473684209</v>
      </c>
      <c r="BO808" s="8">
        <f t="shared" si="788"/>
        <v>737124</v>
      </c>
      <c r="BP808" s="8">
        <f t="shared" si="808"/>
        <v>649.77169590643268</v>
      </c>
      <c r="BQ808" s="12">
        <f t="shared" si="809"/>
        <v>42872</v>
      </c>
    </row>
    <row r="809" spans="1:69">
      <c r="A809" s="28">
        <v>2008</v>
      </c>
      <c r="B809" s="27" t="s">
        <v>58</v>
      </c>
      <c r="C809" s="24">
        <f t="shared" si="749"/>
        <v>756</v>
      </c>
      <c r="D809" s="7">
        <f t="shared" ca="1" si="768"/>
        <v>0.2119225322315455</v>
      </c>
      <c r="E809" s="26">
        <f t="array" aca="1" ref="E809" ca="1">AVERAGE(IF(INDIRECT(DatCol&amp;"$"&amp;TEXT(C809,"###")):INDIRECT(DatCol&amp;"$"&amp;TEXT(C809+57,"###"))&gt;0,INDIRECT(DatCol&amp;"$"&amp;TEXT(C809,"###")):INDIRECT(DatCol&amp;"$"&amp;TEXT(C809+57,"###"))))</f>
        <v>849.36697435897429</v>
      </c>
      <c r="F809" s="26" t="str">
        <f t="shared" ref="F809:F878" si="822">VLOOKUP(B809,town_region,2,FALSE)</f>
        <v>B</v>
      </c>
      <c r="H809" s="9">
        <v>232</v>
      </c>
      <c r="I809" s="9">
        <v>96</v>
      </c>
      <c r="J809" s="9">
        <v>1853</v>
      </c>
      <c r="K809" s="9">
        <f t="shared" si="789"/>
        <v>2085</v>
      </c>
      <c r="L809" s="10">
        <f t="shared" si="810"/>
        <v>1440</v>
      </c>
      <c r="M809" s="11">
        <v>72000</v>
      </c>
      <c r="N809" s="10">
        <f t="shared" si="811"/>
        <v>180</v>
      </c>
      <c r="O809" s="11">
        <v>9000</v>
      </c>
      <c r="P809" s="10">
        <v>0</v>
      </c>
      <c r="Q809" s="11">
        <v>0</v>
      </c>
      <c r="R809" s="10">
        <f t="shared" si="814"/>
        <v>6805.8933333333334</v>
      </c>
      <c r="S809" s="11">
        <v>510442</v>
      </c>
      <c r="T809" s="10">
        <f t="shared" si="815"/>
        <v>1737.2133333333334</v>
      </c>
      <c r="U809" s="11">
        <v>130291</v>
      </c>
      <c r="V809" s="10">
        <f t="shared" si="816"/>
        <v>1213.3333333333333</v>
      </c>
      <c r="W809" s="11">
        <v>91000</v>
      </c>
      <c r="X809" s="10">
        <v>0</v>
      </c>
      <c r="Y809" s="11">
        <v>0</v>
      </c>
      <c r="Z809" s="10">
        <f t="shared" si="817"/>
        <v>266.68</v>
      </c>
      <c r="AA809" s="11">
        <v>20001</v>
      </c>
      <c r="AB809" s="10">
        <f t="shared" si="818"/>
        <v>124</v>
      </c>
      <c r="AC809" s="11">
        <v>9300</v>
      </c>
      <c r="AD809" s="10">
        <f t="shared" si="819"/>
        <v>105.33333333333333</v>
      </c>
      <c r="AE809" s="11">
        <v>7900</v>
      </c>
      <c r="AF809" s="10">
        <f t="shared" si="812"/>
        <v>252.63157894736841</v>
      </c>
      <c r="AG809" s="11">
        <v>12000</v>
      </c>
      <c r="AH809" s="10">
        <f t="shared" si="813"/>
        <v>25.263157894736842</v>
      </c>
      <c r="AI809" s="11">
        <v>1200</v>
      </c>
      <c r="AJ809" s="10">
        <f t="shared" si="820"/>
        <v>444.44444444444446</v>
      </c>
      <c r="AK809" s="13">
        <v>4000</v>
      </c>
      <c r="AL809" s="10">
        <f t="shared" si="821"/>
        <v>111.11111111111111</v>
      </c>
      <c r="AM809" s="13">
        <v>1000</v>
      </c>
      <c r="AN809" s="10">
        <v>0</v>
      </c>
      <c r="AO809" s="11">
        <v>0</v>
      </c>
      <c r="AP809" s="10">
        <v>0</v>
      </c>
      <c r="AQ809" s="11">
        <v>0</v>
      </c>
      <c r="AR809" s="10">
        <v>0</v>
      </c>
      <c r="AS809" s="11">
        <v>0</v>
      </c>
      <c r="AT809" s="10">
        <v>0</v>
      </c>
      <c r="AU809" s="11">
        <v>0</v>
      </c>
      <c r="AV809" s="10">
        <v>0</v>
      </c>
      <c r="AW809" s="11">
        <v>0</v>
      </c>
      <c r="AX809" s="10">
        <v>0</v>
      </c>
      <c r="AY809" s="11">
        <v>0</v>
      </c>
      <c r="AZ809" s="10">
        <v>0</v>
      </c>
      <c r="BA809" s="11">
        <v>0</v>
      </c>
      <c r="BB809" s="10">
        <v>0</v>
      </c>
      <c r="BC809" s="11">
        <v>0</v>
      </c>
      <c r="BD809" s="10">
        <v>0</v>
      </c>
      <c r="BE809" s="11">
        <v>0</v>
      </c>
      <c r="BF809" s="10">
        <v>0</v>
      </c>
      <c r="BG809" s="11">
        <v>0</v>
      </c>
      <c r="BH809" s="11">
        <v>0</v>
      </c>
      <c r="BI809" s="11">
        <v>0</v>
      </c>
      <c r="BJ809" s="10">
        <v>0</v>
      </c>
      <c r="BK809" s="11">
        <v>0</v>
      </c>
      <c r="BL809" s="10">
        <v>0</v>
      </c>
      <c r="BM809" s="11">
        <v>0</v>
      </c>
      <c r="BN809" s="8">
        <f t="shared" si="787"/>
        <v>12389.529356725148</v>
      </c>
      <c r="BO809" s="8">
        <f t="shared" si="788"/>
        <v>849034</v>
      </c>
      <c r="BP809" s="8">
        <f t="shared" si="808"/>
        <v>812.3876023391814</v>
      </c>
      <c r="BQ809" s="12">
        <f t="shared" si="809"/>
        <v>48401</v>
      </c>
    </row>
    <row r="810" spans="1:69">
      <c r="A810" s="28">
        <v>2009</v>
      </c>
      <c r="B810" s="27" t="s">
        <v>58</v>
      </c>
      <c r="C810" s="24">
        <f t="shared" si="749"/>
        <v>756</v>
      </c>
      <c r="D810" s="7">
        <f t="shared" ca="1" si="768"/>
        <v>0.2119225322315455</v>
      </c>
      <c r="E810" s="26">
        <f t="array" aca="1" ref="E810" ca="1">AVERAGE(IF(INDIRECT(DatCol&amp;"$"&amp;TEXT(C810,"###")):INDIRECT(DatCol&amp;"$"&amp;TEXT(C810+57,"###"))&gt;0,INDIRECT(DatCol&amp;"$"&amp;TEXT(C810,"###")):INDIRECT(DatCol&amp;"$"&amp;TEXT(C810+57,"###"))))</f>
        <v>849.36697435897429</v>
      </c>
      <c r="F810" s="26" t="str">
        <f t="shared" si="822"/>
        <v>B</v>
      </c>
      <c r="H810" s="9">
        <v>270</v>
      </c>
      <c r="I810" s="9">
        <v>123</v>
      </c>
      <c r="J810" s="9">
        <v>1756</v>
      </c>
      <c r="K810" s="9">
        <f t="shared" si="789"/>
        <v>2026</v>
      </c>
      <c r="L810" s="10">
        <f t="shared" si="810"/>
        <v>700</v>
      </c>
      <c r="M810" s="11">
        <v>35000</v>
      </c>
      <c r="N810" s="10">
        <f t="shared" si="811"/>
        <v>180</v>
      </c>
      <c r="O810" s="11">
        <v>9000</v>
      </c>
      <c r="P810" s="10">
        <v>0</v>
      </c>
      <c r="Q810" s="11">
        <v>0</v>
      </c>
      <c r="R810" s="10">
        <f t="shared" si="814"/>
        <v>8352.56</v>
      </c>
      <c r="S810" s="11">
        <v>626442</v>
      </c>
      <c r="T810" s="10">
        <f t="shared" si="815"/>
        <v>2666.6666666666665</v>
      </c>
      <c r="U810" s="11">
        <v>200000</v>
      </c>
      <c r="V810" s="10">
        <f t="shared" si="816"/>
        <v>1293.3333333333333</v>
      </c>
      <c r="W810" s="11">
        <v>97000</v>
      </c>
      <c r="X810" s="10">
        <v>0</v>
      </c>
      <c r="Y810" s="11">
        <v>0</v>
      </c>
      <c r="Z810" s="10">
        <f t="shared" si="817"/>
        <v>294.14666666666665</v>
      </c>
      <c r="AA810" s="11">
        <v>22061</v>
      </c>
      <c r="AB810" s="10">
        <f t="shared" si="818"/>
        <v>14.666666666666666</v>
      </c>
      <c r="AC810" s="11">
        <v>1100</v>
      </c>
      <c r="AD810" s="10">
        <f t="shared" si="819"/>
        <v>116</v>
      </c>
      <c r="AE810" s="11">
        <v>8700</v>
      </c>
      <c r="AF810" s="10">
        <f t="shared" si="812"/>
        <v>27.368421052631579</v>
      </c>
      <c r="AG810" s="11">
        <v>1300</v>
      </c>
      <c r="AH810" s="10">
        <f t="shared" si="813"/>
        <v>12.631578947368421</v>
      </c>
      <c r="AI810" s="11">
        <v>600</v>
      </c>
      <c r="AJ810" s="10">
        <v>0</v>
      </c>
      <c r="AK810" s="13">
        <v>0</v>
      </c>
      <c r="AL810" s="10">
        <f t="shared" si="821"/>
        <v>55.555555555555557</v>
      </c>
      <c r="AM810" s="13">
        <v>500</v>
      </c>
      <c r="AN810" s="10">
        <v>0</v>
      </c>
      <c r="AO810" s="11">
        <v>0</v>
      </c>
      <c r="AP810" s="10">
        <v>0</v>
      </c>
      <c r="AQ810" s="11">
        <v>0</v>
      </c>
      <c r="AR810" s="10">
        <v>0</v>
      </c>
      <c r="AS810" s="11">
        <v>0</v>
      </c>
      <c r="AT810" s="10">
        <v>0</v>
      </c>
      <c r="AU810" s="11">
        <v>0</v>
      </c>
      <c r="AV810" s="10">
        <v>0</v>
      </c>
      <c r="AW810" s="11">
        <v>0</v>
      </c>
      <c r="AX810" s="10">
        <v>0</v>
      </c>
      <c r="AY810" s="11">
        <v>0</v>
      </c>
      <c r="AZ810" s="10">
        <v>0</v>
      </c>
      <c r="BA810" s="11">
        <v>0</v>
      </c>
      <c r="BB810" s="10">
        <v>0</v>
      </c>
      <c r="BC810" s="11">
        <v>0</v>
      </c>
      <c r="BD810" s="10">
        <v>0</v>
      </c>
      <c r="BE810" s="11">
        <v>0</v>
      </c>
      <c r="BF810" s="10">
        <v>0</v>
      </c>
      <c r="BG810" s="11">
        <v>0</v>
      </c>
      <c r="BH810" s="11">
        <v>0</v>
      </c>
      <c r="BI810" s="11">
        <v>0</v>
      </c>
      <c r="BN810" s="8">
        <f t="shared" si="787"/>
        <v>13464.741754385965</v>
      </c>
      <c r="BO810" s="8">
        <f t="shared" si="788"/>
        <v>982903</v>
      </c>
      <c r="BP810" s="8">
        <f t="shared" si="808"/>
        <v>673.00046783625726</v>
      </c>
      <c r="BQ810" s="12">
        <f t="shared" si="809"/>
        <v>41961</v>
      </c>
    </row>
    <row r="811" spans="1:69">
      <c r="A811" s="28">
        <v>2010</v>
      </c>
      <c r="B811" s="27" t="s">
        <v>58</v>
      </c>
      <c r="C811" s="24">
        <f t="shared" si="749"/>
        <v>756</v>
      </c>
      <c r="D811" s="7" t="e">
        <f t="shared" ca="1" si="768"/>
        <v>#N/A</v>
      </c>
      <c r="E811" s="26">
        <f t="array" aca="1" ref="E811" ca="1">AVERAGE(IF(INDIRECT(DatCol&amp;"$"&amp;TEXT(C811,"###")):INDIRECT(DatCol&amp;"$"&amp;TEXT(C811+57,"###"))&gt;0,INDIRECT(DatCol&amp;"$"&amp;TEXT(C811,"###")):INDIRECT(DatCol&amp;"$"&amp;TEXT(C811+57,"###"))))</f>
        <v>849.36697435897429</v>
      </c>
      <c r="F811" s="26" t="str">
        <f t="shared" ref="F811:F813" si="823">VLOOKUP(B811,town_region,2,FALSE)</f>
        <v>B</v>
      </c>
      <c r="AK811" s="13"/>
      <c r="AM811" s="13"/>
      <c r="BN811" s="8"/>
      <c r="BO811" s="8"/>
      <c r="BP811" s="8"/>
      <c r="BQ811" s="12"/>
    </row>
    <row r="812" spans="1:69">
      <c r="A812" s="28">
        <v>2011</v>
      </c>
      <c r="B812" s="27" t="s">
        <v>58</v>
      </c>
      <c r="C812" s="24">
        <f t="shared" si="749"/>
        <v>756</v>
      </c>
      <c r="D812" s="7" t="e">
        <f t="shared" ca="1" si="768"/>
        <v>#N/A</v>
      </c>
      <c r="E812" s="26">
        <f t="array" aca="1" ref="E812" ca="1">AVERAGE(IF(INDIRECT(DatCol&amp;"$"&amp;TEXT(C812,"###")):INDIRECT(DatCol&amp;"$"&amp;TEXT(C812+57,"###"))&gt;0,INDIRECT(DatCol&amp;"$"&amp;TEXT(C812,"###")):INDIRECT(DatCol&amp;"$"&amp;TEXT(C812+57,"###"))))</f>
        <v>849.36697435897429</v>
      </c>
      <c r="F812" s="26" t="str">
        <f t="shared" si="823"/>
        <v>B</v>
      </c>
      <c r="AK812" s="13"/>
      <c r="AM812" s="13"/>
      <c r="BN812" s="8"/>
      <c r="BO812" s="8"/>
      <c r="BP812" s="8"/>
      <c r="BQ812" s="12"/>
    </row>
    <row r="813" spans="1:69">
      <c r="A813" s="28">
        <v>2012</v>
      </c>
      <c r="B813" s="27" t="s">
        <v>58</v>
      </c>
      <c r="C813" s="24">
        <f t="shared" si="749"/>
        <v>756</v>
      </c>
      <c r="D813" s="7" t="e">
        <f t="shared" ca="1" si="768"/>
        <v>#N/A</v>
      </c>
      <c r="E813" s="26">
        <f t="array" aca="1" ref="E813" ca="1">AVERAGE(IF(INDIRECT(DatCol&amp;"$"&amp;TEXT(C813,"###")):INDIRECT(DatCol&amp;"$"&amp;TEXT(C813+57,"###"))&gt;0,INDIRECT(DatCol&amp;"$"&amp;TEXT(C813,"###")):INDIRECT(DatCol&amp;"$"&amp;TEXT(C813+57,"###"))))</f>
        <v>849.36697435897429</v>
      </c>
      <c r="F813" s="26" t="str">
        <f t="shared" si="823"/>
        <v>B</v>
      </c>
      <c r="AK813" s="13"/>
      <c r="AM813" s="13"/>
      <c r="BN813" s="8"/>
      <c r="BO813" s="8"/>
      <c r="BP813" s="8"/>
      <c r="BQ813" s="12"/>
    </row>
    <row r="814" spans="1:69">
      <c r="A814" s="28">
        <v>1955</v>
      </c>
      <c r="B814" s="27" t="s">
        <v>136</v>
      </c>
      <c r="C814" s="24">
        <f>ROW()</f>
        <v>814</v>
      </c>
      <c r="D814" s="7" t="e">
        <f t="shared" ca="1" si="768"/>
        <v>#N/A</v>
      </c>
      <c r="E814" s="26">
        <f t="array" aca="1" ref="E814" ca="1">AVERAGE(IF(INDIRECT(DatCol&amp;"$"&amp;TEXT(C814,"###")):INDIRECT(DatCol&amp;"$"&amp;TEXT(C814+57,"###"))&gt;0,INDIRECT(DatCol&amp;"$"&amp;TEXT(C814,"###")):INDIRECT(DatCol&amp;"$"&amp;TEXT(C814+57,"###"))))</f>
        <v>67.17647058823529</v>
      </c>
      <c r="F814" s="26" t="str">
        <f t="shared" si="822"/>
        <v>I</v>
      </c>
      <c r="G814" s="8"/>
      <c r="K814" s="9">
        <f t="shared" si="789"/>
        <v>0</v>
      </c>
      <c r="M814" s="11">
        <f t="shared" si="790"/>
        <v>0</v>
      </c>
      <c r="O814" s="11">
        <f t="shared" si="791"/>
        <v>0</v>
      </c>
      <c r="Q814" s="11">
        <f t="shared" si="792"/>
        <v>0</v>
      </c>
      <c r="Y814" s="11">
        <f t="shared" si="793"/>
        <v>0</v>
      </c>
      <c r="AG814" s="11">
        <f t="shared" si="794"/>
        <v>0</v>
      </c>
      <c r="AI814" s="11">
        <f t="shared" si="795"/>
        <v>0</v>
      </c>
      <c r="AK814" s="13">
        <f t="shared" si="796"/>
        <v>0</v>
      </c>
      <c r="AM814" s="13">
        <f t="shared" si="797"/>
        <v>0</v>
      </c>
      <c r="AO814" s="11">
        <f t="shared" si="798"/>
        <v>0</v>
      </c>
      <c r="AQ814" s="11">
        <f t="shared" si="799"/>
        <v>0</v>
      </c>
      <c r="AS814" s="11">
        <f t="shared" si="800"/>
        <v>0</v>
      </c>
      <c r="AU814" s="11">
        <f t="shared" si="801"/>
        <v>0</v>
      </c>
      <c r="AW814" s="11">
        <f t="shared" si="802"/>
        <v>0</v>
      </c>
      <c r="AY814" s="11">
        <f t="shared" si="803"/>
        <v>0</v>
      </c>
      <c r="BA814" s="11">
        <f t="shared" si="804"/>
        <v>0</v>
      </c>
      <c r="BC814" s="11">
        <f t="shared" si="805"/>
        <v>0</v>
      </c>
      <c r="BE814" s="11">
        <f t="shared" si="806"/>
        <v>0</v>
      </c>
      <c r="BG814" s="11">
        <f t="shared" si="807"/>
        <v>0</v>
      </c>
      <c r="BN814" s="8">
        <f t="shared" si="787"/>
        <v>0</v>
      </c>
      <c r="BO814" s="8">
        <f t="shared" si="788"/>
        <v>0</v>
      </c>
      <c r="BP814" s="8">
        <f t="shared" si="808"/>
        <v>0</v>
      </c>
      <c r="BQ814" s="12">
        <f t="shared" si="809"/>
        <v>0</v>
      </c>
    </row>
    <row r="815" spans="1:69">
      <c r="A815" s="28">
        <v>1956</v>
      </c>
      <c r="B815" s="27" t="s">
        <v>136</v>
      </c>
      <c r="C815" s="24">
        <f t="shared" ref="C815:C871" si="824">C814</f>
        <v>814</v>
      </c>
      <c r="D815" s="7" t="e">
        <f t="shared" ca="1" si="768"/>
        <v>#N/A</v>
      </c>
      <c r="E815" s="26">
        <f t="array" aca="1" ref="E815" ca="1">AVERAGE(IF(INDIRECT(DatCol&amp;"$"&amp;TEXT(C815,"###")):INDIRECT(DatCol&amp;"$"&amp;TEXT(C815+57,"###"))&gt;0,INDIRECT(DatCol&amp;"$"&amp;TEXT(C815,"###")):INDIRECT(DatCol&amp;"$"&amp;TEXT(C815+57,"###"))))</f>
        <v>67.17647058823529</v>
      </c>
      <c r="F815" s="26" t="str">
        <f t="shared" si="822"/>
        <v>I</v>
      </c>
      <c r="G815" s="8"/>
      <c r="K815" s="9">
        <f t="shared" si="789"/>
        <v>0</v>
      </c>
      <c r="M815" s="11">
        <f t="shared" si="790"/>
        <v>0</v>
      </c>
      <c r="O815" s="11">
        <f t="shared" si="791"/>
        <v>0</v>
      </c>
      <c r="Q815" s="11">
        <f t="shared" si="792"/>
        <v>0</v>
      </c>
      <c r="Y815" s="11">
        <f t="shared" si="793"/>
        <v>0</v>
      </c>
      <c r="AG815" s="11">
        <f t="shared" si="794"/>
        <v>0</v>
      </c>
      <c r="AI815" s="11">
        <f t="shared" si="795"/>
        <v>0</v>
      </c>
      <c r="AK815" s="13">
        <f t="shared" si="796"/>
        <v>0</v>
      </c>
      <c r="AM815" s="13">
        <f t="shared" si="797"/>
        <v>0</v>
      </c>
      <c r="AO815" s="11">
        <f t="shared" si="798"/>
        <v>0</v>
      </c>
      <c r="AQ815" s="11">
        <f t="shared" si="799"/>
        <v>0</v>
      </c>
      <c r="AS815" s="11">
        <f t="shared" si="800"/>
        <v>0</v>
      </c>
      <c r="AU815" s="11">
        <f t="shared" si="801"/>
        <v>0</v>
      </c>
      <c r="AW815" s="11">
        <f t="shared" si="802"/>
        <v>0</v>
      </c>
      <c r="AY815" s="11">
        <f t="shared" si="803"/>
        <v>0</v>
      </c>
      <c r="BA815" s="11">
        <f t="shared" si="804"/>
        <v>0</v>
      </c>
      <c r="BC815" s="11">
        <f t="shared" si="805"/>
        <v>0</v>
      </c>
      <c r="BE815" s="11">
        <f t="shared" si="806"/>
        <v>0</v>
      </c>
      <c r="BG815" s="11">
        <f t="shared" si="807"/>
        <v>0</v>
      </c>
      <c r="BN815" s="8">
        <f t="shared" si="787"/>
        <v>0</v>
      </c>
      <c r="BO815" s="8">
        <f t="shared" si="788"/>
        <v>0</v>
      </c>
      <c r="BP815" s="8">
        <f t="shared" si="808"/>
        <v>0</v>
      </c>
      <c r="BQ815" s="12">
        <f t="shared" si="809"/>
        <v>0</v>
      </c>
    </row>
    <row r="816" spans="1:69">
      <c r="A816" s="28">
        <v>1957</v>
      </c>
      <c r="B816" s="27" t="s">
        <v>136</v>
      </c>
      <c r="C816" s="24">
        <f t="shared" si="824"/>
        <v>814</v>
      </c>
      <c r="D816" s="7" t="e">
        <f t="shared" ca="1" si="768"/>
        <v>#N/A</v>
      </c>
      <c r="E816" s="26">
        <f t="array" aca="1" ref="E816" ca="1">AVERAGE(IF(INDIRECT(DatCol&amp;"$"&amp;TEXT(C816,"###")):INDIRECT(DatCol&amp;"$"&amp;TEXT(C816+57,"###"))&gt;0,INDIRECT(DatCol&amp;"$"&amp;TEXT(C816,"###")):INDIRECT(DatCol&amp;"$"&amp;TEXT(C816+57,"###"))))</f>
        <v>67.17647058823529</v>
      </c>
      <c r="F816" s="26" t="str">
        <f t="shared" si="822"/>
        <v>I</v>
      </c>
      <c r="G816" s="8"/>
      <c r="K816" s="9">
        <f t="shared" si="789"/>
        <v>0</v>
      </c>
      <c r="M816" s="11">
        <f t="shared" si="790"/>
        <v>0</v>
      </c>
      <c r="O816" s="11">
        <f t="shared" si="791"/>
        <v>0</v>
      </c>
      <c r="Q816" s="11">
        <f t="shared" si="792"/>
        <v>0</v>
      </c>
      <c r="Y816" s="11">
        <f t="shared" si="793"/>
        <v>0</v>
      </c>
      <c r="AG816" s="11">
        <f t="shared" si="794"/>
        <v>0</v>
      </c>
      <c r="AI816" s="11">
        <f t="shared" si="795"/>
        <v>0</v>
      </c>
      <c r="AK816" s="13">
        <f t="shared" si="796"/>
        <v>0</v>
      </c>
      <c r="AM816" s="13">
        <f t="shared" si="797"/>
        <v>0</v>
      </c>
      <c r="AO816" s="11">
        <f t="shared" si="798"/>
        <v>0</v>
      </c>
      <c r="AQ816" s="11">
        <f t="shared" si="799"/>
        <v>0</v>
      </c>
      <c r="AS816" s="11">
        <f t="shared" si="800"/>
        <v>0</v>
      </c>
      <c r="AU816" s="11">
        <f t="shared" si="801"/>
        <v>0</v>
      </c>
      <c r="AW816" s="11">
        <f t="shared" si="802"/>
        <v>0</v>
      </c>
      <c r="AY816" s="11">
        <f t="shared" si="803"/>
        <v>0</v>
      </c>
      <c r="BA816" s="11">
        <f t="shared" si="804"/>
        <v>0</v>
      </c>
      <c r="BC816" s="11">
        <f t="shared" si="805"/>
        <v>0</v>
      </c>
      <c r="BE816" s="11">
        <f t="shared" si="806"/>
        <v>0</v>
      </c>
      <c r="BG816" s="11">
        <f t="shared" si="807"/>
        <v>0</v>
      </c>
      <c r="BN816" s="8">
        <f t="shared" si="787"/>
        <v>0</v>
      </c>
      <c r="BO816" s="8">
        <f t="shared" si="788"/>
        <v>0</v>
      </c>
      <c r="BP816" s="8">
        <f t="shared" si="808"/>
        <v>0</v>
      </c>
      <c r="BQ816" s="12">
        <f t="shared" si="809"/>
        <v>0</v>
      </c>
    </row>
    <row r="817" spans="1:69">
      <c r="A817" s="28">
        <v>1958</v>
      </c>
      <c r="B817" s="27" t="s">
        <v>136</v>
      </c>
      <c r="C817" s="24">
        <f t="shared" si="824"/>
        <v>814</v>
      </c>
      <c r="D817" s="7" t="e">
        <f t="shared" ca="1" si="768"/>
        <v>#N/A</v>
      </c>
      <c r="E817" s="26">
        <f t="array" aca="1" ref="E817" ca="1">AVERAGE(IF(INDIRECT(DatCol&amp;"$"&amp;TEXT(C817,"###")):INDIRECT(DatCol&amp;"$"&amp;TEXT(C817+57,"###"))&gt;0,INDIRECT(DatCol&amp;"$"&amp;TEXT(C817,"###")):INDIRECT(DatCol&amp;"$"&amp;TEXT(C817+57,"###"))))</f>
        <v>67.17647058823529</v>
      </c>
      <c r="F817" s="26" t="str">
        <f t="shared" si="822"/>
        <v>I</v>
      </c>
      <c r="G817" s="8"/>
      <c r="K817" s="9">
        <f t="shared" si="789"/>
        <v>0</v>
      </c>
      <c r="M817" s="11">
        <f t="shared" si="790"/>
        <v>0</v>
      </c>
      <c r="O817" s="11">
        <f t="shared" si="791"/>
        <v>0</v>
      </c>
      <c r="Q817" s="11">
        <f t="shared" si="792"/>
        <v>0</v>
      </c>
      <c r="Y817" s="11">
        <f t="shared" si="793"/>
        <v>0</v>
      </c>
      <c r="AG817" s="11">
        <f t="shared" si="794"/>
        <v>0</v>
      </c>
      <c r="AI817" s="11">
        <f t="shared" si="795"/>
        <v>0</v>
      </c>
      <c r="AK817" s="13">
        <f t="shared" si="796"/>
        <v>0</v>
      </c>
      <c r="AM817" s="13">
        <f t="shared" si="797"/>
        <v>0</v>
      </c>
      <c r="AO817" s="11">
        <f t="shared" si="798"/>
        <v>0</v>
      </c>
      <c r="AQ817" s="11">
        <f t="shared" si="799"/>
        <v>0</v>
      </c>
      <c r="AS817" s="11">
        <f t="shared" si="800"/>
        <v>0</v>
      </c>
      <c r="AU817" s="11">
        <f t="shared" si="801"/>
        <v>0</v>
      </c>
      <c r="AW817" s="11">
        <f t="shared" si="802"/>
        <v>0</v>
      </c>
      <c r="AY817" s="11">
        <f t="shared" si="803"/>
        <v>0</v>
      </c>
      <c r="BA817" s="11">
        <f t="shared" si="804"/>
        <v>0</v>
      </c>
      <c r="BC817" s="11">
        <f t="shared" si="805"/>
        <v>0</v>
      </c>
      <c r="BE817" s="11">
        <f t="shared" si="806"/>
        <v>0</v>
      </c>
      <c r="BG817" s="11">
        <f t="shared" si="807"/>
        <v>0</v>
      </c>
      <c r="BN817" s="8">
        <f t="shared" si="787"/>
        <v>0</v>
      </c>
      <c r="BO817" s="8">
        <f t="shared" si="788"/>
        <v>0</v>
      </c>
      <c r="BP817" s="8">
        <f t="shared" si="808"/>
        <v>0</v>
      </c>
      <c r="BQ817" s="12">
        <f t="shared" si="809"/>
        <v>0</v>
      </c>
    </row>
    <row r="818" spans="1:69">
      <c r="A818" s="28">
        <v>1959</v>
      </c>
      <c r="B818" s="27" t="s">
        <v>136</v>
      </c>
      <c r="C818" s="24">
        <f t="shared" si="824"/>
        <v>814</v>
      </c>
      <c r="D818" s="7" t="e">
        <f t="shared" ca="1" si="768"/>
        <v>#N/A</v>
      </c>
      <c r="E818" s="26">
        <f t="array" aca="1" ref="E818" ca="1">AVERAGE(IF(INDIRECT(DatCol&amp;"$"&amp;TEXT(C818,"###")):INDIRECT(DatCol&amp;"$"&amp;TEXT(C818+57,"###"))&gt;0,INDIRECT(DatCol&amp;"$"&amp;TEXT(C818,"###")):INDIRECT(DatCol&amp;"$"&amp;TEXT(C818+57,"###"))))</f>
        <v>67.17647058823529</v>
      </c>
      <c r="F818" s="26" t="str">
        <f t="shared" si="822"/>
        <v>I</v>
      </c>
      <c r="G818" s="8"/>
      <c r="K818" s="9">
        <f t="shared" si="789"/>
        <v>0</v>
      </c>
      <c r="M818" s="11">
        <f t="shared" si="790"/>
        <v>0</v>
      </c>
      <c r="O818" s="11">
        <f t="shared" si="791"/>
        <v>0</v>
      </c>
      <c r="Q818" s="11">
        <f t="shared" si="792"/>
        <v>0</v>
      </c>
      <c r="Y818" s="11">
        <f t="shared" si="793"/>
        <v>0</v>
      </c>
      <c r="AG818" s="11">
        <f t="shared" si="794"/>
        <v>0</v>
      </c>
      <c r="AI818" s="11">
        <f t="shared" si="795"/>
        <v>0</v>
      </c>
      <c r="AK818" s="13">
        <f t="shared" si="796"/>
        <v>0</v>
      </c>
      <c r="AM818" s="13">
        <f t="shared" si="797"/>
        <v>0</v>
      </c>
      <c r="AO818" s="11">
        <f t="shared" si="798"/>
        <v>0</v>
      </c>
      <c r="AQ818" s="11">
        <f t="shared" si="799"/>
        <v>0</v>
      </c>
      <c r="AS818" s="11">
        <f t="shared" si="800"/>
        <v>0</v>
      </c>
      <c r="AU818" s="11">
        <f t="shared" si="801"/>
        <v>0</v>
      </c>
      <c r="AW818" s="11">
        <f t="shared" si="802"/>
        <v>0</v>
      </c>
      <c r="AY818" s="11">
        <f t="shared" si="803"/>
        <v>0</v>
      </c>
      <c r="BA818" s="11">
        <f t="shared" si="804"/>
        <v>0</v>
      </c>
      <c r="BC818" s="11">
        <f t="shared" si="805"/>
        <v>0</v>
      </c>
      <c r="BE818" s="11">
        <f t="shared" si="806"/>
        <v>0</v>
      </c>
      <c r="BG818" s="11">
        <f t="shared" si="807"/>
        <v>0</v>
      </c>
      <c r="BN818" s="8">
        <f t="shared" si="787"/>
        <v>0</v>
      </c>
      <c r="BO818" s="8">
        <f t="shared" si="788"/>
        <v>0</v>
      </c>
      <c r="BP818" s="8">
        <f t="shared" si="808"/>
        <v>0</v>
      </c>
      <c r="BQ818" s="12">
        <f t="shared" si="809"/>
        <v>0</v>
      </c>
    </row>
    <row r="819" spans="1:69">
      <c r="A819" s="28">
        <v>1960</v>
      </c>
      <c r="B819" s="27" t="s">
        <v>136</v>
      </c>
      <c r="C819" s="24">
        <f t="shared" si="824"/>
        <v>814</v>
      </c>
      <c r="D819" s="7" t="e">
        <f t="shared" ca="1" si="768"/>
        <v>#N/A</v>
      </c>
      <c r="E819" s="26">
        <f t="array" aca="1" ref="E819" ca="1">AVERAGE(IF(INDIRECT(DatCol&amp;"$"&amp;TEXT(C819,"###")):INDIRECT(DatCol&amp;"$"&amp;TEXT(C819+57,"###"))&gt;0,INDIRECT(DatCol&amp;"$"&amp;TEXT(C819,"###")):INDIRECT(DatCol&amp;"$"&amp;TEXT(C819+57,"###"))))</f>
        <v>67.17647058823529</v>
      </c>
      <c r="F819" s="26" t="str">
        <f t="shared" si="822"/>
        <v>I</v>
      </c>
      <c r="G819" s="8"/>
      <c r="K819" s="9">
        <f t="shared" si="789"/>
        <v>0</v>
      </c>
      <c r="M819" s="11">
        <f t="shared" si="790"/>
        <v>0</v>
      </c>
      <c r="O819" s="11">
        <f t="shared" si="791"/>
        <v>0</v>
      </c>
      <c r="Q819" s="11">
        <f t="shared" si="792"/>
        <v>0</v>
      </c>
      <c r="Y819" s="11">
        <f t="shared" si="793"/>
        <v>0</v>
      </c>
      <c r="AG819" s="11">
        <f t="shared" si="794"/>
        <v>0</v>
      </c>
      <c r="AI819" s="11">
        <f t="shared" si="795"/>
        <v>0</v>
      </c>
      <c r="AK819" s="13">
        <f t="shared" si="796"/>
        <v>0</v>
      </c>
      <c r="AM819" s="13">
        <f t="shared" si="797"/>
        <v>0</v>
      </c>
      <c r="AO819" s="11">
        <f t="shared" si="798"/>
        <v>0</v>
      </c>
      <c r="AQ819" s="11">
        <f t="shared" si="799"/>
        <v>0</v>
      </c>
      <c r="AS819" s="11">
        <f t="shared" si="800"/>
        <v>0</v>
      </c>
      <c r="AU819" s="11">
        <f t="shared" si="801"/>
        <v>0</v>
      </c>
      <c r="AW819" s="11">
        <f t="shared" si="802"/>
        <v>0</v>
      </c>
      <c r="AY819" s="11">
        <f t="shared" si="803"/>
        <v>0</v>
      </c>
      <c r="BA819" s="11">
        <f t="shared" si="804"/>
        <v>0</v>
      </c>
      <c r="BC819" s="11">
        <f t="shared" si="805"/>
        <v>0</v>
      </c>
      <c r="BE819" s="11">
        <f t="shared" si="806"/>
        <v>0</v>
      </c>
      <c r="BG819" s="11">
        <f t="shared" si="807"/>
        <v>0</v>
      </c>
      <c r="BN819" s="8">
        <f t="shared" si="787"/>
        <v>0</v>
      </c>
      <c r="BO819" s="8">
        <f t="shared" si="788"/>
        <v>0</v>
      </c>
      <c r="BP819" s="8">
        <f t="shared" si="808"/>
        <v>0</v>
      </c>
      <c r="BQ819" s="12">
        <f t="shared" si="809"/>
        <v>0</v>
      </c>
    </row>
    <row r="820" spans="1:69">
      <c r="A820" s="28">
        <v>1961</v>
      </c>
      <c r="B820" s="27" t="s">
        <v>136</v>
      </c>
      <c r="C820" s="24">
        <f t="shared" si="824"/>
        <v>814</v>
      </c>
      <c r="D820" s="7" t="e">
        <f t="shared" ca="1" si="768"/>
        <v>#N/A</v>
      </c>
      <c r="E820" s="26">
        <f t="array" aca="1" ref="E820" ca="1">AVERAGE(IF(INDIRECT(DatCol&amp;"$"&amp;TEXT(C820,"###")):INDIRECT(DatCol&amp;"$"&amp;TEXT(C820+57,"###"))&gt;0,INDIRECT(DatCol&amp;"$"&amp;TEXT(C820,"###")):INDIRECT(DatCol&amp;"$"&amp;TEXT(C820+57,"###"))))</f>
        <v>67.17647058823529</v>
      </c>
      <c r="F820" s="26" t="str">
        <f t="shared" si="822"/>
        <v>I</v>
      </c>
      <c r="G820" s="8"/>
      <c r="K820" s="9">
        <f t="shared" si="789"/>
        <v>0</v>
      </c>
      <c r="M820" s="11">
        <f t="shared" si="790"/>
        <v>0</v>
      </c>
      <c r="O820" s="11">
        <f t="shared" si="791"/>
        <v>0</v>
      </c>
      <c r="Q820" s="11">
        <f t="shared" si="792"/>
        <v>0</v>
      </c>
      <c r="Y820" s="11">
        <f t="shared" si="793"/>
        <v>0</v>
      </c>
      <c r="AG820" s="11">
        <f t="shared" si="794"/>
        <v>0</v>
      </c>
      <c r="AI820" s="11">
        <f t="shared" si="795"/>
        <v>0</v>
      </c>
      <c r="AK820" s="13">
        <f t="shared" si="796"/>
        <v>0</v>
      </c>
      <c r="AM820" s="13">
        <f t="shared" si="797"/>
        <v>0</v>
      </c>
      <c r="AO820" s="11">
        <f t="shared" si="798"/>
        <v>0</v>
      </c>
      <c r="AQ820" s="11">
        <f t="shared" si="799"/>
        <v>0</v>
      </c>
      <c r="AS820" s="11">
        <f t="shared" si="800"/>
        <v>0</v>
      </c>
      <c r="AU820" s="11">
        <f t="shared" si="801"/>
        <v>0</v>
      </c>
      <c r="AW820" s="11">
        <f t="shared" si="802"/>
        <v>0</v>
      </c>
      <c r="AY820" s="11">
        <f t="shared" si="803"/>
        <v>0</v>
      </c>
      <c r="BA820" s="11">
        <f t="shared" si="804"/>
        <v>0</v>
      </c>
      <c r="BC820" s="11">
        <f t="shared" si="805"/>
        <v>0</v>
      </c>
      <c r="BE820" s="11">
        <f t="shared" si="806"/>
        <v>0</v>
      </c>
      <c r="BG820" s="11">
        <f t="shared" si="807"/>
        <v>0</v>
      </c>
      <c r="BN820" s="8">
        <f t="shared" si="787"/>
        <v>0</v>
      </c>
      <c r="BO820" s="8">
        <f t="shared" si="788"/>
        <v>0</v>
      </c>
      <c r="BP820" s="8">
        <f t="shared" si="808"/>
        <v>0</v>
      </c>
      <c r="BQ820" s="12">
        <f t="shared" si="809"/>
        <v>0</v>
      </c>
    </row>
    <row r="821" spans="1:69">
      <c r="A821" s="28">
        <v>1962</v>
      </c>
      <c r="B821" s="27" t="s">
        <v>136</v>
      </c>
      <c r="C821" s="24">
        <f t="shared" si="824"/>
        <v>814</v>
      </c>
      <c r="D821" s="7" t="e">
        <f t="shared" ca="1" si="768"/>
        <v>#N/A</v>
      </c>
      <c r="E821" s="26">
        <f t="array" aca="1" ref="E821" ca="1">AVERAGE(IF(INDIRECT(DatCol&amp;"$"&amp;TEXT(C821,"###")):INDIRECT(DatCol&amp;"$"&amp;TEXT(C821+57,"###"))&gt;0,INDIRECT(DatCol&amp;"$"&amp;TEXT(C821,"###")):INDIRECT(DatCol&amp;"$"&amp;TEXT(C821+57,"###"))))</f>
        <v>67.17647058823529</v>
      </c>
      <c r="F821" s="26" t="str">
        <f t="shared" si="822"/>
        <v>I</v>
      </c>
      <c r="G821" s="8"/>
      <c r="K821" s="9">
        <f t="shared" si="789"/>
        <v>0</v>
      </c>
      <c r="M821" s="11">
        <f t="shared" ref="M821:M836" si="825">(L821*50)</f>
        <v>0</v>
      </c>
      <c r="O821" s="11">
        <f t="shared" ref="O821:O836" si="826">(N821*50)</f>
        <v>0</v>
      </c>
      <c r="Q821" s="11">
        <f t="shared" ref="Q821:Q836" si="827">((P821*330)/5.5)</f>
        <v>0</v>
      </c>
      <c r="Y821" s="11">
        <f t="shared" ref="Y821:Y836" si="828">((X821*330)/5.5)</f>
        <v>0</v>
      </c>
      <c r="AG821" s="11">
        <f t="shared" ref="AG821:AG836" si="829">(AF821*65)</f>
        <v>0</v>
      </c>
      <c r="AI821" s="11">
        <f t="shared" ref="AI821:AI836" si="830">(AH821*65)</f>
        <v>0</v>
      </c>
      <c r="AK821" s="13">
        <f t="shared" ref="AK821:AK836" si="831">(AJ821*9)</f>
        <v>0</v>
      </c>
      <c r="AM821" s="13">
        <f t="shared" ref="AM821:AM836" si="832">(AL821*9)</f>
        <v>0</v>
      </c>
      <c r="AO821" s="11">
        <f t="shared" ref="AO821:AO836" si="833">(AN821*80)</f>
        <v>0</v>
      </c>
      <c r="AQ821" s="11">
        <f t="shared" ref="AQ821:AQ836" si="834">(AP821*80)</f>
        <v>0</v>
      </c>
      <c r="AS821" s="11">
        <f t="shared" ref="AS821:AS836" si="835">(AR821*50)</f>
        <v>0</v>
      </c>
      <c r="AU821" s="11">
        <f t="shared" ref="AU821:AU836" si="836">(AT821*50)</f>
        <v>0</v>
      </c>
      <c r="AW821" s="11">
        <f t="shared" ref="AW821:AW836" si="837">(AV821*60)</f>
        <v>0</v>
      </c>
      <c r="AY821" s="11">
        <f t="shared" ref="AY821:AY836" si="838">(AX821*60)</f>
        <v>0</v>
      </c>
      <c r="BA821" s="11">
        <f t="shared" ref="BA821:BA836" si="839">(AZ821*40)</f>
        <v>0</v>
      </c>
      <c r="BC821" s="11">
        <f t="shared" ref="BC821:BC836" si="840">(BB821*40)</f>
        <v>0</v>
      </c>
      <c r="BE821" s="11">
        <f t="shared" ref="BE821:BE836" si="841">(BD821*95)</f>
        <v>0</v>
      </c>
      <c r="BG821" s="11">
        <f t="shared" ref="BG821:BG836" si="842">(BF821*95)</f>
        <v>0</v>
      </c>
      <c r="BN821" s="8">
        <f t="shared" si="787"/>
        <v>0</v>
      </c>
      <c r="BO821" s="8">
        <f t="shared" si="788"/>
        <v>0</v>
      </c>
      <c r="BP821" s="8">
        <f t="shared" si="808"/>
        <v>0</v>
      </c>
      <c r="BQ821" s="12">
        <f t="shared" si="809"/>
        <v>0</v>
      </c>
    </row>
    <row r="822" spans="1:69">
      <c r="A822" s="28">
        <v>1963</v>
      </c>
      <c r="B822" s="27" t="s">
        <v>136</v>
      </c>
      <c r="C822" s="24">
        <f t="shared" si="824"/>
        <v>814</v>
      </c>
      <c r="D822" s="7" t="e">
        <f t="shared" ca="1" si="768"/>
        <v>#N/A</v>
      </c>
      <c r="E822" s="26">
        <f t="array" aca="1" ref="E822" ca="1">AVERAGE(IF(INDIRECT(DatCol&amp;"$"&amp;TEXT(C822,"###")):INDIRECT(DatCol&amp;"$"&amp;TEXT(C822+57,"###"))&gt;0,INDIRECT(DatCol&amp;"$"&amp;TEXT(C822,"###")):INDIRECT(DatCol&amp;"$"&amp;TEXT(C822+57,"###"))))</f>
        <v>67.17647058823529</v>
      </c>
      <c r="F822" s="26" t="str">
        <f t="shared" si="822"/>
        <v>I</v>
      </c>
      <c r="G822" s="8"/>
      <c r="K822" s="9">
        <f t="shared" si="789"/>
        <v>0</v>
      </c>
      <c r="M822" s="11">
        <f t="shared" si="825"/>
        <v>0</v>
      </c>
      <c r="O822" s="11">
        <f t="shared" si="826"/>
        <v>0</v>
      </c>
      <c r="Q822" s="11">
        <f t="shared" si="827"/>
        <v>0</v>
      </c>
      <c r="Y822" s="11">
        <f t="shared" si="828"/>
        <v>0</v>
      </c>
      <c r="AG822" s="11">
        <f t="shared" si="829"/>
        <v>0</v>
      </c>
      <c r="AI822" s="11">
        <f t="shared" si="830"/>
        <v>0</v>
      </c>
      <c r="AK822" s="13">
        <f t="shared" si="831"/>
        <v>0</v>
      </c>
      <c r="AM822" s="13">
        <f t="shared" si="832"/>
        <v>0</v>
      </c>
      <c r="AO822" s="11">
        <f t="shared" si="833"/>
        <v>0</v>
      </c>
      <c r="AQ822" s="11">
        <f t="shared" si="834"/>
        <v>0</v>
      </c>
      <c r="AS822" s="11">
        <f t="shared" si="835"/>
        <v>0</v>
      </c>
      <c r="AU822" s="11">
        <f t="shared" si="836"/>
        <v>0</v>
      </c>
      <c r="AW822" s="11">
        <f t="shared" si="837"/>
        <v>0</v>
      </c>
      <c r="AY822" s="11">
        <f t="shared" si="838"/>
        <v>0</v>
      </c>
      <c r="BA822" s="11">
        <f t="shared" si="839"/>
        <v>0</v>
      </c>
      <c r="BC822" s="11">
        <f t="shared" si="840"/>
        <v>0</v>
      </c>
      <c r="BE822" s="11">
        <f t="shared" si="841"/>
        <v>0</v>
      </c>
      <c r="BG822" s="11">
        <f t="shared" si="842"/>
        <v>0</v>
      </c>
      <c r="BN822" s="8">
        <f t="shared" si="787"/>
        <v>0</v>
      </c>
      <c r="BO822" s="8">
        <f t="shared" si="788"/>
        <v>0</v>
      </c>
      <c r="BP822" s="8">
        <f t="shared" si="808"/>
        <v>0</v>
      </c>
      <c r="BQ822" s="12">
        <f t="shared" si="809"/>
        <v>0</v>
      </c>
    </row>
    <row r="823" spans="1:69">
      <c r="A823" s="28">
        <v>1964</v>
      </c>
      <c r="B823" s="27" t="s">
        <v>136</v>
      </c>
      <c r="C823" s="24">
        <f t="shared" si="824"/>
        <v>814</v>
      </c>
      <c r="D823" s="7" t="e">
        <f t="shared" ca="1" si="768"/>
        <v>#N/A</v>
      </c>
      <c r="E823" s="26">
        <f t="array" aca="1" ref="E823" ca="1">AVERAGE(IF(INDIRECT(DatCol&amp;"$"&amp;TEXT(C823,"###")):INDIRECT(DatCol&amp;"$"&amp;TEXT(C823+57,"###"))&gt;0,INDIRECT(DatCol&amp;"$"&amp;TEXT(C823,"###")):INDIRECT(DatCol&amp;"$"&amp;TEXT(C823+57,"###"))))</f>
        <v>67.17647058823529</v>
      </c>
      <c r="F823" s="26" t="str">
        <f t="shared" si="822"/>
        <v>I</v>
      </c>
      <c r="G823" s="8"/>
      <c r="K823" s="9">
        <f t="shared" si="789"/>
        <v>0</v>
      </c>
      <c r="M823" s="11">
        <f t="shared" si="825"/>
        <v>0</v>
      </c>
      <c r="O823" s="11">
        <f t="shared" si="826"/>
        <v>0</v>
      </c>
      <c r="Q823" s="11">
        <f t="shared" si="827"/>
        <v>0</v>
      </c>
      <c r="Y823" s="11">
        <f t="shared" si="828"/>
        <v>0</v>
      </c>
      <c r="AG823" s="11">
        <f t="shared" si="829"/>
        <v>0</v>
      </c>
      <c r="AI823" s="11">
        <f t="shared" si="830"/>
        <v>0</v>
      </c>
      <c r="AK823" s="13">
        <f t="shared" si="831"/>
        <v>0</v>
      </c>
      <c r="AM823" s="13">
        <f t="shared" si="832"/>
        <v>0</v>
      </c>
      <c r="AO823" s="11">
        <f t="shared" si="833"/>
        <v>0</v>
      </c>
      <c r="AQ823" s="11">
        <f t="shared" si="834"/>
        <v>0</v>
      </c>
      <c r="AS823" s="11">
        <f t="shared" si="835"/>
        <v>0</v>
      </c>
      <c r="AU823" s="11">
        <f t="shared" si="836"/>
        <v>0</v>
      </c>
      <c r="AW823" s="11">
        <f t="shared" si="837"/>
        <v>0</v>
      </c>
      <c r="AY823" s="11">
        <f t="shared" si="838"/>
        <v>0</v>
      </c>
      <c r="BA823" s="11">
        <f t="shared" si="839"/>
        <v>0</v>
      </c>
      <c r="BC823" s="11">
        <f t="shared" si="840"/>
        <v>0</v>
      </c>
      <c r="BE823" s="11">
        <f t="shared" si="841"/>
        <v>0</v>
      </c>
      <c r="BG823" s="11">
        <f t="shared" si="842"/>
        <v>0</v>
      </c>
      <c r="BN823" s="8">
        <f t="shared" si="787"/>
        <v>0</v>
      </c>
      <c r="BO823" s="8">
        <f t="shared" si="788"/>
        <v>0</v>
      </c>
      <c r="BP823" s="8">
        <f t="shared" si="808"/>
        <v>0</v>
      </c>
      <c r="BQ823" s="12">
        <f t="shared" si="809"/>
        <v>0</v>
      </c>
    </row>
    <row r="824" spans="1:69">
      <c r="A824" s="28">
        <v>1965</v>
      </c>
      <c r="B824" s="27" t="s">
        <v>136</v>
      </c>
      <c r="C824" s="24">
        <f t="shared" si="824"/>
        <v>814</v>
      </c>
      <c r="D824" s="7" t="e">
        <f t="shared" ca="1" si="768"/>
        <v>#N/A</v>
      </c>
      <c r="E824" s="26">
        <f t="array" aca="1" ref="E824" ca="1">AVERAGE(IF(INDIRECT(DatCol&amp;"$"&amp;TEXT(C824,"###")):INDIRECT(DatCol&amp;"$"&amp;TEXT(C824+57,"###"))&gt;0,INDIRECT(DatCol&amp;"$"&amp;TEXT(C824,"###")):INDIRECT(DatCol&amp;"$"&amp;TEXT(C824+57,"###"))))</f>
        <v>67.17647058823529</v>
      </c>
      <c r="F824" s="26" t="str">
        <f t="shared" si="822"/>
        <v>I</v>
      </c>
      <c r="G824" s="8"/>
      <c r="K824" s="9">
        <f t="shared" si="789"/>
        <v>0</v>
      </c>
      <c r="M824" s="11">
        <f t="shared" si="825"/>
        <v>0</v>
      </c>
      <c r="O824" s="11">
        <f t="shared" si="826"/>
        <v>0</v>
      </c>
      <c r="Q824" s="11">
        <f t="shared" si="827"/>
        <v>0</v>
      </c>
      <c r="Y824" s="11">
        <f t="shared" si="828"/>
        <v>0</v>
      </c>
      <c r="AG824" s="11">
        <f t="shared" si="829"/>
        <v>0</v>
      </c>
      <c r="AI824" s="11">
        <f t="shared" si="830"/>
        <v>0</v>
      </c>
      <c r="AK824" s="13">
        <f t="shared" si="831"/>
        <v>0</v>
      </c>
      <c r="AM824" s="13">
        <f t="shared" si="832"/>
        <v>0</v>
      </c>
      <c r="AO824" s="11">
        <f t="shared" si="833"/>
        <v>0</v>
      </c>
      <c r="AQ824" s="11">
        <f t="shared" si="834"/>
        <v>0</v>
      </c>
      <c r="AS824" s="11">
        <f t="shared" si="835"/>
        <v>0</v>
      </c>
      <c r="AU824" s="11">
        <f t="shared" si="836"/>
        <v>0</v>
      </c>
      <c r="AW824" s="11">
        <f t="shared" si="837"/>
        <v>0</v>
      </c>
      <c r="AY824" s="11">
        <f t="shared" si="838"/>
        <v>0</v>
      </c>
      <c r="BA824" s="11">
        <f t="shared" si="839"/>
        <v>0</v>
      </c>
      <c r="BC824" s="11">
        <f t="shared" si="840"/>
        <v>0</v>
      </c>
      <c r="BE824" s="11">
        <f t="shared" si="841"/>
        <v>0</v>
      </c>
      <c r="BG824" s="11">
        <f t="shared" si="842"/>
        <v>0</v>
      </c>
      <c r="BN824" s="8">
        <f t="shared" si="787"/>
        <v>0</v>
      </c>
      <c r="BO824" s="8">
        <f t="shared" si="788"/>
        <v>0</v>
      </c>
      <c r="BP824" s="8">
        <f t="shared" si="808"/>
        <v>0</v>
      </c>
      <c r="BQ824" s="12">
        <f t="shared" si="809"/>
        <v>0</v>
      </c>
    </row>
    <row r="825" spans="1:69">
      <c r="A825" s="28">
        <v>1966</v>
      </c>
      <c r="B825" s="27" t="s">
        <v>136</v>
      </c>
      <c r="C825" s="24">
        <f t="shared" si="824"/>
        <v>814</v>
      </c>
      <c r="D825" s="7" t="e">
        <f t="shared" ca="1" si="768"/>
        <v>#N/A</v>
      </c>
      <c r="E825" s="26">
        <f t="array" aca="1" ref="E825" ca="1">AVERAGE(IF(INDIRECT(DatCol&amp;"$"&amp;TEXT(C825,"###")):INDIRECT(DatCol&amp;"$"&amp;TEXT(C825+57,"###"))&gt;0,INDIRECT(DatCol&amp;"$"&amp;TEXT(C825,"###")):INDIRECT(DatCol&amp;"$"&amp;TEXT(C825+57,"###"))))</f>
        <v>67.17647058823529</v>
      </c>
      <c r="F825" s="26" t="str">
        <f t="shared" si="822"/>
        <v>I</v>
      </c>
      <c r="G825" s="8"/>
      <c r="I825" s="8">
        <v>7</v>
      </c>
      <c r="J825" s="8">
        <v>70</v>
      </c>
      <c r="K825" s="9">
        <f t="shared" si="789"/>
        <v>70</v>
      </c>
      <c r="M825" s="11">
        <f t="shared" si="825"/>
        <v>0</v>
      </c>
      <c r="O825" s="11">
        <f t="shared" si="826"/>
        <v>0</v>
      </c>
      <c r="Q825" s="11">
        <f t="shared" si="827"/>
        <v>0</v>
      </c>
      <c r="Y825" s="11">
        <f t="shared" si="828"/>
        <v>0</v>
      </c>
      <c r="AG825" s="11">
        <f t="shared" si="829"/>
        <v>0</v>
      </c>
      <c r="AI825" s="11">
        <f t="shared" si="830"/>
        <v>0</v>
      </c>
      <c r="AK825" s="13">
        <f t="shared" si="831"/>
        <v>0</v>
      </c>
      <c r="AM825" s="13">
        <f t="shared" si="832"/>
        <v>0</v>
      </c>
      <c r="AO825" s="11">
        <f t="shared" si="833"/>
        <v>0</v>
      </c>
      <c r="AQ825" s="11">
        <f t="shared" si="834"/>
        <v>0</v>
      </c>
      <c r="AS825" s="11">
        <f t="shared" si="835"/>
        <v>0</v>
      </c>
      <c r="AU825" s="11">
        <f t="shared" si="836"/>
        <v>0</v>
      </c>
      <c r="AW825" s="11">
        <f t="shared" si="837"/>
        <v>0</v>
      </c>
      <c r="AY825" s="11">
        <f t="shared" si="838"/>
        <v>0</v>
      </c>
      <c r="BA825" s="11">
        <f t="shared" si="839"/>
        <v>0</v>
      </c>
      <c r="BC825" s="11">
        <f t="shared" si="840"/>
        <v>0</v>
      </c>
      <c r="BE825" s="11">
        <f t="shared" si="841"/>
        <v>0</v>
      </c>
      <c r="BG825" s="11">
        <f t="shared" si="842"/>
        <v>0</v>
      </c>
      <c r="BN825" s="8">
        <f t="shared" si="787"/>
        <v>0</v>
      </c>
      <c r="BO825" s="8">
        <f t="shared" si="788"/>
        <v>0</v>
      </c>
      <c r="BP825" s="8">
        <f t="shared" si="808"/>
        <v>0</v>
      </c>
      <c r="BQ825" s="12">
        <f t="shared" si="809"/>
        <v>0</v>
      </c>
    </row>
    <row r="826" spans="1:69">
      <c r="A826" s="28">
        <v>1967</v>
      </c>
      <c r="B826" s="27" t="s">
        <v>136</v>
      </c>
      <c r="C826" s="24">
        <f t="shared" si="824"/>
        <v>814</v>
      </c>
      <c r="D826" s="7" t="e">
        <f t="shared" ca="1" si="768"/>
        <v>#N/A</v>
      </c>
      <c r="E826" s="26">
        <f t="array" aca="1" ref="E826" ca="1">AVERAGE(IF(INDIRECT(DatCol&amp;"$"&amp;TEXT(C826,"###")):INDIRECT(DatCol&amp;"$"&amp;TEXT(C826+57,"###"))&gt;0,INDIRECT(DatCol&amp;"$"&amp;TEXT(C826,"###")):INDIRECT(DatCol&amp;"$"&amp;TEXT(C826+57,"###"))))</f>
        <v>67.17647058823529</v>
      </c>
      <c r="F826" s="26" t="str">
        <f t="shared" si="822"/>
        <v>I</v>
      </c>
      <c r="G826" s="8"/>
      <c r="K826" s="9">
        <f t="shared" si="789"/>
        <v>0</v>
      </c>
      <c r="M826" s="11">
        <f t="shared" si="825"/>
        <v>0</v>
      </c>
      <c r="O826" s="11">
        <f t="shared" si="826"/>
        <v>0</v>
      </c>
      <c r="Q826" s="11">
        <f t="shared" si="827"/>
        <v>0</v>
      </c>
      <c r="Y826" s="11">
        <f t="shared" si="828"/>
        <v>0</v>
      </c>
      <c r="AG826" s="11">
        <f t="shared" si="829"/>
        <v>0</v>
      </c>
      <c r="AI826" s="11">
        <f t="shared" si="830"/>
        <v>0</v>
      </c>
      <c r="AK826" s="13">
        <f t="shared" si="831"/>
        <v>0</v>
      </c>
      <c r="AM826" s="13">
        <f t="shared" si="832"/>
        <v>0</v>
      </c>
      <c r="AO826" s="11">
        <f t="shared" si="833"/>
        <v>0</v>
      </c>
      <c r="AQ826" s="11">
        <f t="shared" si="834"/>
        <v>0</v>
      </c>
      <c r="AS826" s="11">
        <f t="shared" si="835"/>
        <v>0</v>
      </c>
      <c r="AU826" s="11">
        <f t="shared" si="836"/>
        <v>0</v>
      </c>
      <c r="AW826" s="11">
        <f t="shared" si="837"/>
        <v>0</v>
      </c>
      <c r="AY826" s="11">
        <f t="shared" si="838"/>
        <v>0</v>
      </c>
      <c r="BA826" s="11">
        <f t="shared" si="839"/>
        <v>0</v>
      </c>
      <c r="BC826" s="11">
        <f t="shared" si="840"/>
        <v>0</v>
      </c>
      <c r="BE826" s="11">
        <f t="shared" si="841"/>
        <v>0</v>
      </c>
      <c r="BG826" s="11">
        <f t="shared" si="842"/>
        <v>0</v>
      </c>
      <c r="BN826" s="8">
        <f t="shared" si="787"/>
        <v>0</v>
      </c>
      <c r="BO826" s="8">
        <f t="shared" si="788"/>
        <v>0</v>
      </c>
      <c r="BP826" s="8">
        <f t="shared" si="808"/>
        <v>0</v>
      </c>
      <c r="BQ826" s="12">
        <f t="shared" si="809"/>
        <v>0</v>
      </c>
    </row>
    <row r="827" spans="1:69">
      <c r="A827" s="28">
        <v>1968</v>
      </c>
      <c r="B827" s="27" t="s">
        <v>136</v>
      </c>
      <c r="C827" s="24">
        <f t="shared" si="824"/>
        <v>814</v>
      </c>
      <c r="D827" s="7" t="e">
        <f t="shared" ca="1" si="768"/>
        <v>#N/A</v>
      </c>
      <c r="E827" s="26">
        <f t="array" aca="1" ref="E827" ca="1">AVERAGE(IF(INDIRECT(DatCol&amp;"$"&amp;TEXT(C827,"###")):INDIRECT(DatCol&amp;"$"&amp;TEXT(C827+57,"###"))&gt;0,INDIRECT(DatCol&amp;"$"&amp;TEXT(C827,"###")):INDIRECT(DatCol&amp;"$"&amp;TEXT(C827+57,"###"))))</f>
        <v>67.17647058823529</v>
      </c>
      <c r="F827" s="26" t="str">
        <f t="shared" si="822"/>
        <v>I</v>
      </c>
      <c r="G827" s="8"/>
      <c r="H827" s="8">
        <v>50</v>
      </c>
      <c r="K827" s="9">
        <f t="shared" si="789"/>
        <v>50</v>
      </c>
      <c r="M827" s="11">
        <f t="shared" si="825"/>
        <v>0</v>
      </c>
      <c r="O827" s="11">
        <f t="shared" si="826"/>
        <v>0</v>
      </c>
      <c r="Q827" s="11">
        <f t="shared" si="827"/>
        <v>0</v>
      </c>
      <c r="Y827" s="11">
        <f t="shared" si="828"/>
        <v>0</v>
      </c>
      <c r="AG827" s="11">
        <f t="shared" si="829"/>
        <v>0</v>
      </c>
      <c r="AI827" s="11">
        <f t="shared" si="830"/>
        <v>0</v>
      </c>
      <c r="AK827" s="13">
        <f t="shared" si="831"/>
        <v>0</v>
      </c>
      <c r="AM827" s="13">
        <f t="shared" si="832"/>
        <v>0</v>
      </c>
      <c r="AO827" s="11">
        <f t="shared" si="833"/>
        <v>0</v>
      </c>
      <c r="AQ827" s="11">
        <f t="shared" si="834"/>
        <v>0</v>
      </c>
      <c r="AS827" s="11">
        <f t="shared" si="835"/>
        <v>0</v>
      </c>
      <c r="AU827" s="11">
        <f t="shared" si="836"/>
        <v>0</v>
      </c>
      <c r="AW827" s="11">
        <f t="shared" si="837"/>
        <v>0</v>
      </c>
      <c r="AY827" s="11">
        <f t="shared" si="838"/>
        <v>0</v>
      </c>
      <c r="BA827" s="11">
        <f t="shared" si="839"/>
        <v>0</v>
      </c>
      <c r="BC827" s="11">
        <f t="shared" si="840"/>
        <v>0</v>
      </c>
      <c r="BE827" s="11">
        <f t="shared" si="841"/>
        <v>0</v>
      </c>
      <c r="BG827" s="11">
        <f t="shared" si="842"/>
        <v>0</v>
      </c>
      <c r="BN827" s="8">
        <f t="shared" si="787"/>
        <v>0</v>
      </c>
      <c r="BO827" s="8">
        <f t="shared" si="788"/>
        <v>0</v>
      </c>
      <c r="BP827" s="8">
        <f t="shared" si="808"/>
        <v>0</v>
      </c>
      <c r="BQ827" s="12">
        <f t="shared" si="809"/>
        <v>0</v>
      </c>
    </row>
    <row r="828" spans="1:69">
      <c r="A828" s="28">
        <v>1969</v>
      </c>
      <c r="B828" s="27" t="s">
        <v>136</v>
      </c>
      <c r="C828" s="24">
        <f t="shared" si="824"/>
        <v>814</v>
      </c>
      <c r="D828" s="7" t="e">
        <f t="shared" ca="1" si="768"/>
        <v>#N/A</v>
      </c>
      <c r="E828" s="26">
        <f t="array" aca="1" ref="E828" ca="1">AVERAGE(IF(INDIRECT(DatCol&amp;"$"&amp;TEXT(C828,"###")):INDIRECT(DatCol&amp;"$"&amp;TEXT(C828+57,"###"))&gt;0,INDIRECT(DatCol&amp;"$"&amp;TEXT(C828,"###")):INDIRECT(DatCol&amp;"$"&amp;TEXT(C828+57,"###"))))</f>
        <v>67.17647058823529</v>
      </c>
      <c r="F828" s="26" t="str">
        <f t="shared" si="822"/>
        <v>I</v>
      </c>
      <c r="G828" s="8"/>
      <c r="H828" s="8">
        <v>2</v>
      </c>
      <c r="I828" s="8">
        <v>12</v>
      </c>
      <c r="K828" s="9">
        <f t="shared" si="789"/>
        <v>2</v>
      </c>
      <c r="M828" s="11">
        <f t="shared" si="825"/>
        <v>0</v>
      </c>
      <c r="O828" s="11">
        <f t="shared" si="826"/>
        <v>0</v>
      </c>
      <c r="P828" s="12">
        <v>50</v>
      </c>
      <c r="Q828" s="11">
        <f t="shared" si="827"/>
        <v>3000</v>
      </c>
      <c r="X828" s="12">
        <v>15</v>
      </c>
      <c r="Y828" s="11">
        <f t="shared" si="828"/>
        <v>900</v>
      </c>
      <c r="AG828" s="11">
        <f t="shared" si="829"/>
        <v>0</v>
      </c>
      <c r="AI828" s="11">
        <f t="shared" si="830"/>
        <v>0</v>
      </c>
      <c r="AK828" s="13">
        <f t="shared" si="831"/>
        <v>0</v>
      </c>
      <c r="AM828" s="13">
        <f t="shared" si="832"/>
        <v>0</v>
      </c>
      <c r="AO828" s="11">
        <f t="shared" si="833"/>
        <v>0</v>
      </c>
      <c r="AQ828" s="11">
        <f t="shared" si="834"/>
        <v>0</v>
      </c>
      <c r="AS828" s="11">
        <f t="shared" si="835"/>
        <v>0</v>
      </c>
      <c r="AU828" s="11">
        <f t="shared" si="836"/>
        <v>0</v>
      </c>
      <c r="AW828" s="11">
        <f t="shared" si="837"/>
        <v>0</v>
      </c>
      <c r="AY828" s="11">
        <f t="shared" si="838"/>
        <v>0</v>
      </c>
      <c r="BA828" s="11">
        <f t="shared" si="839"/>
        <v>0</v>
      </c>
      <c r="BC828" s="11">
        <f t="shared" si="840"/>
        <v>0</v>
      </c>
      <c r="BE828" s="11">
        <f t="shared" si="841"/>
        <v>0</v>
      </c>
      <c r="BG828" s="11">
        <f t="shared" si="842"/>
        <v>0</v>
      </c>
      <c r="BN828" s="8">
        <f t="shared" si="787"/>
        <v>65</v>
      </c>
      <c r="BO828" s="8">
        <f t="shared" si="788"/>
        <v>3900</v>
      </c>
      <c r="BP828" s="8">
        <f t="shared" si="808"/>
        <v>15</v>
      </c>
      <c r="BQ828" s="12">
        <f t="shared" si="809"/>
        <v>900</v>
      </c>
    </row>
    <row r="829" spans="1:69">
      <c r="A829" s="28">
        <v>1970</v>
      </c>
      <c r="B829" s="27" t="s">
        <v>136</v>
      </c>
      <c r="C829" s="24">
        <f t="shared" si="824"/>
        <v>814</v>
      </c>
      <c r="D829" s="7" t="e">
        <f t="shared" ca="1" si="768"/>
        <v>#N/A</v>
      </c>
      <c r="E829" s="26">
        <f t="array" aca="1" ref="E829" ca="1">AVERAGE(IF(INDIRECT(DatCol&amp;"$"&amp;TEXT(C829,"###")):INDIRECT(DatCol&amp;"$"&amp;TEXT(C829+57,"###"))&gt;0,INDIRECT(DatCol&amp;"$"&amp;TEXT(C829,"###")):INDIRECT(DatCol&amp;"$"&amp;TEXT(C829+57,"###"))))</f>
        <v>67.17647058823529</v>
      </c>
      <c r="F829" s="26" t="str">
        <f t="shared" si="822"/>
        <v>I</v>
      </c>
      <c r="G829" s="8"/>
      <c r="I829" s="8">
        <v>1</v>
      </c>
      <c r="K829" s="9">
        <f t="shared" si="789"/>
        <v>0</v>
      </c>
      <c r="M829" s="11">
        <f t="shared" si="825"/>
        <v>0</v>
      </c>
      <c r="O829" s="11">
        <f t="shared" si="826"/>
        <v>0</v>
      </c>
      <c r="Q829" s="11">
        <f t="shared" si="827"/>
        <v>0</v>
      </c>
      <c r="Y829" s="11">
        <f t="shared" si="828"/>
        <v>0</v>
      </c>
      <c r="AG829" s="11">
        <f t="shared" si="829"/>
        <v>0</v>
      </c>
      <c r="AI829" s="11">
        <f t="shared" si="830"/>
        <v>0</v>
      </c>
      <c r="AK829" s="13">
        <f t="shared" si="831"/>
        <v>0</v>
      </c>
      <c r="AM829" s="13">
        <f t="shared" si="832"/>
        <v>0</v>
      </c>
      <c r="AO829" s="11">
        <f t="shared" si="833"/>
        <v>0</v>
      </c>
      <c r="AQ829" s="11">
        <f t="shared" si="834"/>
        <v>0</v>
      </c>
      <c r="AS829" s="11">
        <f t="shared" si="835"/>
        <v>0</v>
      </c>
      <c r="AU829" s="11">
        <f t="shared" si="836"/>
        <v>0</v>
      </c>
      <c r="AW829" s="11">
        <f t="shared" si="837"/>
        <v>0</v>
      </c>
      <c r="AY829" s="11">
        <f t="shared" si="838"/>
        <v>0</v>
      </c>
      <c r="BA829" s="11">
        <f t="shared" si="839"/>
        <v>0</v>
      </c>
      <c r="BC829" s="11">
        <f t="shared" si="840"/>
        <v>0</v>
      </c>
      <c r="BE829" s="11">
        <f t="shared" si="841"/>
        <v>0</v>
      </c>
      <c r="BG829" s="11">
        <f t="shared" si="842"/>
        <v>0</v>
      </c>
      <c r="BN829" s="8">
        <f t="shared" si="787"/>
        <v>0</v>
      </c>
      <c r="BO829" s="8">
        <f t="shared" si="788"/>
        <v>0</v>
      </c>
      <c r="BP829" s="8">
        <f t="shared" si="808"/>
        <v>0</v>
      </c>
      <c r="BQ829" s="12">
        <f t="shared" si="809"/>
        <v>0</v>
      </c>
    </row>
    <row r="830" spans="1:69">
      <c r="A830" s="28">
        <v>1971</v>
      </c>
      <c r="B830" s="27" t="s">
        <v>136</v>
      </c>
      <c r="C830" s="24">
        <f t="shared" si="824"/>
        <v>814</v>
      </c>
      <c r="D830" s="7" t="e">
        <f t="shared" ca="1" si="768"/>
        <v>#N/A</v>
      </c>
      <c r="E830" s="26">
        <f t="array" aca="1" ref="E830" ca="1">AVERAGE(IF(INDIRECT(DatCol&amp;"$"&amp;TEXT(C830,"###")):INDIRECT(DatCol&amp;"$"&amp;TEXT(C830+57,"###"))&gt;0,INDIRECT(DatCol&amp;"$"&amp;TEXT(C830,"###")):INDIRECT(DatCol&amp;"$"&amp;TEXT(C830+57,"###"))))</f>
        <v>67.17647058823529</v>
      </c>
      <c r="F830" s="26" t="str">
        <f t="shared" si="822"/>
        <v>I</v>
      </c>
      <c r="G830" s="8"/>
      <c r="K830" s="9">
        <f t="shared" si="789"/>
        <v>0</v>
      </c>
      <c r="M830" s="11">
        <f t="shared" si="825"/>
        <v>0</v>
      </c>
      <c r="O830" s="11">
        <f t="shared" si="826"/>
        <v>0</v>
      </c>
      <c r="Q830" s="11">
        <f t="shared" si="827"/>
        <v>0</v>
      </c>
      <c r="Y830" s="11">
        <f t="shared" si="828"/>
        <v>0</v>
      </c>
      <c r="AG830" s="11">
        <f t="shared" si="829"/>
        <v>0</v>
      </c>
      <c r="AI830" s="11">
        <f t="shared" si="830"/>
        <v>0</v>
      </c>
      <c r="AK830" s="13">
        <f t="shared" si="831"/>
        <v>0</v>
      </c>
      <c r="AM830" s="13">
        <f t="shared" si="832"/>
        <v>0</v>
      </c>
      <c r="AO830" s="11">
        <f t="shared" si="833"/>
        <v>0</v>
      </c>
      <c r="AQ830" s="11">
        <f t="shared" si="834"/>
        <v>0</v>
      </c>
      <c r="AS830" s="11">
        <f t="shared" si="835"/>
        <v>0</v>
      </c>
      <c r="AU830" s="11">
        <f t="shared" si="836"/>
        <v>0</v>
      </c>
      <c r="AW830" s="11">
        <f t="shared" si="837"/>
        <v>0</v>
      </c>
      <c r="AY830" s="11">
        <f t="shared" si="838"/>
        <v>0</v>
      </c>
      <c r="BA830" s="11">
        <f t="shared" si="839"/>
        <v>0</v>
      </c>
      <c r="BC830" s="11">
        <f t="shared" si="840"/>
        <v>0</v>
      </c>
      <c r="BE830" s="11">
        <f t="shared" si="841"/>
        <v>0</v>
      </c>
      <c r="BG830" s="11">
        <f t="shared" si="842"/>
        <v>0</v>
      </c>
      <c r="BN830" s="8">
        <f t="shared" si="787"/>
        <v>0</v>
      </c>
      <c r="BO830" s="8">
        <f t="shared" si="788"/>
        <v>0</v>
      </c>
      <c r="BP830" s="8">
        <f t="shared" si="808"/>
        <v>0</v>
      </c>
      <c r="BQ830" s="12">
        <f t="shared" si="809"/>
        <v>0</v>
      </c>
    </row>
    <row r="831" spans="1:69">
      <c r="A831" s="28">
        <v>1972</v>
      </c>
      <c r="B831" s="27" t="s">
        <v>136</v>
      </c>
      <c r="C831" s="24">
        <f t="shared" si="824"/>
        <v>814</v>
      </c>
      <c r="D831" s="7" t="e">
        <f t="shared" ca="1" si="768"/>
        <v>#N/A</v>
      </c>
      <c r="E831" s="26">
        <f t="array" aca="1" ref="E831" ca="1">AVERAGE(IF(INDIRECT(DatCol&amp;"$"&amp;TEXT(C831,"###")):INDIRECT(DatCol&amp;"$"&amp;TEXT(C831+57,"###"))&gt;0,INDIRECT(DatCol&amp;"$"&amp;TEXT(C831,"###")):INDIRECT(DatCol&amp;"$"&amp;TEXT(C831+57,"###"))))</f>
        <v>67.17647058823529</v>
      </c>
      <c r="F831" s="26" t="str">
        <f t="shared" si="822"/>
        <v>I</v>
      </c>
      <c r="G831" s="8"/>
      <c r="K831" s="9">
        <f t="shared" si="789"/>
        <v>0</v>
      </c>
      <c r="M831" s="11">
        <f t="shared" si="825"/>
        <v>0</v>
      </c>
      <c r="O831" s="11">
        <f t="shared" si="826"/>
        <v>0</v>
      </c>
      <c r="Q831" s="11">
        <f t="shared" si="827"/>
        <v>0</v>
      </c>
      <c r="Y831" s="11">
        <f t="shared" si="828"/>
        <v>0</v>
      </c>
      <c r="AG831" s="11">
        <f t="shared" si="829"/>
        <v>0</v>
      </c>
      <c r="AI831" s="11">
        <f t="shared" si="830"/>
        <v>0</v>
      </c>
      <c r="AK831" s="13">
        <f t="shared" si="831"/>
        <v>0</v>
      </c>
      <c r="AM831" s="13">
        <f t="shared" si="832"/>
        <v>0</v>
      </c>
      <c r="AO831" s="11">
        <f t="shared" si="833"/>
        <v>0</v>
      </c>
      <c r="AQ831" s="11">
        <f t="shared" si="834"/>
        <v>0</v>
      </c>
      <c r="AS831" s="11">
        <f t="shared" si="835"/>
        <v>0</v>
      </c>
      <c r="AU831" s="11">
        <f t="shared" si="836"/>
        <v>0</v>
      </c>
      <c r="AW831" s="11">
        <f t="shared" si="837"/>
        <v>0</v>
      </c>
      <c r="AY831" s="11">
        <f t="shared" si="838"/>
        <v>0</v>
      </c>
      <c r="BA831" s="11">
        <f t="shared" si="839"/>
        <v>0</v>
      </c>
      <c r="BC831" s="11">
        <f t="shared" si="840"/>
        <v>0</v>
      </c>
      <c r="BE831" s="11">
        <f t="shared" si="841"/>
        <v>0</v>
      </c>
      <c r="BG831" s="11">
        <f t="shared" si="842"/>
        <v>0</v>
      </c>
      <c r="BN831" s="8">
        <f t="shared" si="787"/>
        <v>0</v>
      </c>
      <c r="BO831" s="8">
        <f t="shared" si="788"/>
        <v>0</v>
      </c>
      <c r="BP831" s="8">
        <f t="shared" si="808"/>
        <v>0</v>
      </c>
      <c r="BQ831" s="12">
        <f t="shared" si="809"/>
        <v>0</v>
      </c>
    </row>
    <row r="832" spans="1:69">
      <c r="A832" s="28">
        <v>1973</v>
      </c>
      <c r="B832" s="27" t="s">
        <v>136</v>
      </c>
      <c r="C832" s="24">
        <f t="shared" si="824"/>
        <v>814</v>
      </c>
      <c r="D832" s="7" t="e">
        <f t="shared" ca="1" si="768"/>
        <v>#N/A</v>
      </c>
      <c r="E832" s="26">
        <f t="array" aca="1" ref="E832" ca="1">AVERAGE(IF(INDIRECT(DatCol&amp;"$"&amp;TEXT(C832,"###")):INDIRECT(DatCol&amp;"$"&amp;TEXT(C832+57,"###"))&gt;0,INDIRECT(DatCol&amp;"$"&amp;TEXT(C832,"###")):INDIRECT(DatCol&amp;"$"&amp;TEXT(C832+57,"###"))))</f>
        <v>67.17647058823529</v>
      </c>
      <c r="F832" s="26" t="str">
        <f t="shared" si="822"/>
        <v>I</v>
      </c>
      <c r="G832" s="8"/>
      <c r="K832" s="9">
        <f t="shared" si="789"/>
        <v>0</v>
      </c>
      <c r="M832" s="11">
        <f t="shared" si="825"/>
        <v>0</v>
      </c>
      <c r="O832" s="11">
        <f t="shared" si="826"/>
        <v>0</v>
      </c>
      <c r="Q832" s="11">
        <f t="shared" si="827"/>
        <v>0</v>
      </c>
      <c r="Y832" s="11">
        <f t="shared" si="828"/>
        <v>0</v>
      </c>
      <c r="AG832" s="11">
        <f t="shared" si="829"/>
        <v>0</v>
      </c>
      <c r="AI832" s="11">
        <f t="shared" si="830"/>
        <v>0</v>
      </c>
      <c r="AK832" s="13">
        <f t="shared" si="831"/>
        <v>0</v>
      </c>
      <c r="AM832" s="13">
        <f t="shared" si="832"/>
        <v>0</v>
      </c>
      <c r="AO832" s="11">
        <f t="shared" si="833"/>
        <v>0</v>
      </c>
      <c r="AQ832" s="11">
        <f t="shared" si="834"/>
        <v>0</v>
      </c>
      <c r="AS832" s="11">
        <f t="shared" si="835"/>
        <v>0</v>
      </c>
      <c r="AU832" s="11">
        <f t="shared" si="836"/>
        <v>0</v>
      </c>
      <c r="AW832" s="11">
        <f t="shared" si="837"/>
        <v>0</v>
      </c>
      <c r="AY832" s="11">
        <f t="shared" si="838"/>
        <v>0</v>
      </c>
      <c r="BA832" s="11">
        <f t="shared" si="839"/>
        <v>0</v>
      </c>
      <c r="BC832" s="11">
        <f t="shared" si="840"/>
        <v>0</v>
      </c>
      <c r="BE832" s="11">
        <f t="shared" si="841"/>
        <v>0</v>
      </c>
      <c r="BG832" s="11">
        <f t="shared" si="842"/>
        <v>0</v>
      </c>
      <c r="BN832" s="8">
        <f t="shared" si="787"/>
        <v>0</v>
      </c>
      <c r="BO832" s="8">
        <f t="shared" si="788"/>
        <v>0</v>
      </c>
      <c r="BP832" s="8">
        <f t="shared" si="808"/>
        <v>0</v>
      </c>
      <c r="BQ832" s="12">
        <f t="shared" si="809"/>
        <v>0</v>
      </c>
    </row>
    <row r="833" spans="1:69">
      <c r="A833" s="28">
        <v>1974</v>
      </c>
      <c r="B833" s="27" t="s">
        <v>136</v>
      </c>
      <c r="C833" s="24">
        <f t="shared" si="824"/>
        <v>814</v>
      </c>
      <c r="D833" s="7" t="e">
        <f t="shared" ca="1" si="768"/>
        <v>#N/A</v>
      </c>
      <c r="E833" s="26">
        <f t="array" aca="1" ref="E833" ca="1">AVERAGE(IF(INDIRECT(DatCol&amp;"$"&amp;TEXT(C833,"###")):INDIRECT(DatCol&amp;"$"&amp;TEXT(C833+57,"###"))&gt;0,INDIRECT(DatCol&amp;"$"&amp;TEXT(C833,"###")):INDIRECT(DatCol&amp;"$"&amp;TEXT(C833+57,"###"))))</f>
        <v>67.17647058823529</v>
      </c>
      <c r="F833" s="26" t="str">
        <f t="shared" si="822"/>
        <v>I</v>
      </c>
      <c r="G833" s="8"/>
      <c r="K833" s="9">
        <f t="shared" si="789"/>
        <v>0</v>
      </c>
      <c r="M833" s="11">
        <f t="shared" si="825"/>
        <v>0</v>
      </c>
      <c r="O833" s="11">
        <f t="shared" si="826"/>
        <v>0</v>
      </c>
      <c r="Q833" s="11">
        <f t="shared" si="827"/>
        <v>0</v>
      </c>
      <c r="Y833" s="11">
        <f t="shared" si="828"/>
        <v>0</v>
      </c>
      <c r="AG833" s="11">
        <f t="shared" si="829"/>
        <v>0</v>
      </c>
      <c r="AI833" s="11">
        <f t="shared" si="830"/>
        <v>0</v>
      </c>
      <c r="AK833" s="13">
        <f t="shared" si="831"/>
        <v>0</v>
      </c>
      <c r="AM833" s="13">
        <f t="shared" si="832"/>
        <v>0</v>
      </c>
      <c r="AO833" s="11">
        <f t="shared" si="833"/>
        <v>0</v>
      </c>
      <c r="AQ833" s="11">
        <f t="shared" si="834"/>
        <v>0</v>
      </c>
      <c r="AS833" s="11">
        <f t="shared" si="835"/>
        <v>0</v>
      </c>
      <c r="AU833" s="11">
        <f t="shared" si="836"/>
        <v>0</v>
      </c>
      <c r="AW833" s="11">
        <f t="shared" si="837"/>
        <v>0</v>
      </c>
      <c r="AY833" s="11">
        <f t="shared" si="838"/>
        <v>0</v>
      </c>
      <c r="BA833" s="11">
        <f t="shared" si="839"/>
        <v>0</v>
      </c>
      <c r="BC833" s="11">
        <f t="shared" si="840"/>
        <v>0</v>
      </c>
      <c r="BE833" s="11">
        <f t="shared" si="841"/>
        <v>0</v>
      </c>
      <c r="BG833" s="11">
        <f t="shared" si="842"/>
        <v>0</v>
      </c>
      <c r="BN833" s="8">
        <f t="shared" si="787"/>
        <v>0</v>
      </c>
      <c r="BO833" s="8">
        <f t="shared" si="788"/>
        <v>0</v>
      </c>
      <c r="BP833" s="8">
        <f t="shared" si="808"/>
        <v>0</v>
      </c>
      <c r="BQ833" s="12">
        <f t="shared" si="809"/>
        <v>0</v>
      </c>
    </row>
    <row r="834" spans="1:69">
      <c r="A834" s="28">
        <v>1975</v>
      </c>
      <c r="B834" s="27" t="s">
        <v>136</v>
      </c>
      <c r="C834" s="24">
        <f t="shared" si="824"/>
        <v>814</v>
      </c>
      <c r="D834" s="7" t="e">
        <f t="shared" ref="D834:D897" ca="1" si="843">IF(AND((INDIRECT(DatCol&amp;TEXT(ROW(),"###"))&gt;0),((F834=RegionSelect)+(RegionSelect="A"))),INDIRECT(DatCol&amp;TEXT(ROW(),"###"))/E834,NA())</f>
        <v>#N/A</v>
      </c>
      <c r="E834" s="26">
        <f t="array" aca="1" ref="E834" ca="1">AVERAGE(IF(INDIRECT(DatCol&amp;"$"&amp;TEXT(C834,"###")):INDIRECT(DatCol&amp;"$"&amp;TEXT(C834+57,"###"))&gt;0,INDIRECT(DatCol&amp;"$"&amp;TEXT(C834,"###")):INDIRECT(DatCol&amp;"$"&amp;TEXT(C834+57,"###"))))</f>
        <v>67.17647058823529</v>
      </c>
      <c r="F834" s="26" t="str">
        <f t="shared" si="822"/>
        <v>I</v>
      </c>
      <c r="G834" s="8"/>
      <c r="K834" s="9">
        <f t="shared" si="789"/>
        <v>0</v>
      </c>
      <c r="M834" s="11">
        <f t="shared" si="825"/>
        <v>0</v>
      </c>
      <c r="O834" s="11">
        <f t="shared" si="826"/>
        <v>0</v>
      </c>
      <c r="Q834" s="11">
        <f t="shared" si="827"/>
        <v>0</v>
      </c>
      <c r="Y834" s="11">
        <f t="shared" si="828"/>
        <v>0</v>
      </c>
      <c r="AG834" s="11">
        <f t="shared" si="829"/>
        <v>0</v>
      </c>
      <c r="AI834" s="11">
        <f t="shared" si="830"/>
        <v>0</v>
      </c>
      <c r="AK834" s="13">
        <f t="shared" si="831"/>
        <v>0</v>
      </c>
      <c r="AM834" s="13">
        <f t="shared" si="832"/>
        <v>0</v>
      </c>
      <c r="AO834" s="11">
        <f t="shared" si="833"/>
        <v>0</v>
      </c>
      <c r="AQ834" s="11">
        <f t="shared" si="834"/>
        <v>0</v>
      </c>
      <c r="AS834" s="11">
        <f t="shared" si="835"/>
        <v>0</v>
      </c>
      <c r="AU834" s="11">
        <f t="shared" si="836"/>
        <v>0</v>
      </c>
      <c r="AW834" s="11">
        <f t="shared" si="837"/>
        <v>0</v>
      </c>
      <c r="AY834" s="11">
        <f t="shared" si="838"/>
        <v>0</v>
      </c>
      <c r="BA834" s="11">
        <f t="shared" si="839"/>
        <v>0</v>
      </c>
      <c r="BC834" s="11">
        <f t="shared" si="840"/>
        <v>0</v>
      </c>
      <c r="BE834" s="11">
        <f t="shared" si="841"/>
        <v>0</v>
      </c>
      <c r="BG834" s="11">
        <f t="shared" si="842"/>
        <v>0</v>
      </c>
      <c r="BN834" s="8">
        <f t="shared" si="787"/>
        <v>0</v>
      </c>
      <c r="BO834" s="8">
        <f t="shared" si="788"/>
        <v>0</v>
      </c>
      <c r="BP834" s="8">
        <f t="shared" si="808"/>
        <v>0</v>
      </c>
      <c r="BQ834" s="12">
        <f t="shared" si="809"/>
        <v>0</v>
      </c>
    </row>
    <row r="835" spans="1:69">
      <c r="A835" s="28">
        <v>1976</v>
      </c>
      <c r="B835" s="27" t="s">
        <v>136</v>
      </c>
      <c r="C835" s="24">
        <f t="shared" si="824"/>
        <v>814</v>
      </c>
      <c r="D835" s="7" t="e">
        <f t="shared" ca="1" si="843"/>
        <v>#N/A</v>
      </c>
      <c r="E835" s="26">
        <f t="array" aca="1" ref="E835" ca="1">AVERAGE(IF(INDIRECT(DatCol&amp;"$"&amp;TEXT(C835,"###")):INDIRECT(DatCol&amp;"$"&amp;TEXT(C835+57,"###"))&gt;0,INDIRECT(DatCol&amp;"$"&amp;TEXT(C835,"###")):INDIRECT(DatCol&amp;"$"&amp;TEXT(C835+57,"###"))))</f>
        <v>67.17647058823529</v>
      </c>
      <c r="F835" s="26" t="str">
        <f t="shared" si="822"/>
        <v>I</v>
      </c>
      <c r="G835" s="8"/>
      <c r="H835" s="8">
        <v>45</v>
      </c>
      <c r="I835" s="8">
        <v>163</v>
      </c>
      <c r="J835" s="8">
        <v>630</v>
      </c>
      <c r="K835" s="9">
        <f t="shared" si="789"/>
        <v>675</v>
      </c>
      <c r="L835" s="12">
        <v>1683</v>
      </c>
      <c r="M835" s="11">
        <f t="shared" si="825"/>
        <v>84150</v>
      </c>
      <c r="O835" s="11">
        <f t="shared" si="826"/>
        <v>0</v>
      </c>
      <c r="P835" s="12">
        <v>4660</v>
      </c>
      <c r="Q835" s="11">
        <f t="shared" si="827"/>
        <v>279600</v>
      </c>
      <c r="Y835" s="11">
        <f t="shared" si="828"/>
        <v>0</v>
      </c>
      <c r="AG835" s="11">
        <f t="shared" si="829"/>
        <v>0</v>
      </c>
      <c r="AI835" s="11">
        <f t="shared" si="830"/>
        <v>0</v>
      </c>
      <c r="AJ835" s="12">
        <v>4404</v>
      </c>
      <c r="AK835" s="13">
        <f t="shared" si="831"/>
        <v>39636</v>
      </c>
      <c r="AM835" s="13">
        <f t="shared" si="832"/>
        <v>0</v>
      </c>
      <c r="AO835" s="11">
        <f t="shared" si="833"/>
        <v>0</v>
      </c>
      <c r="AQ835" s="11">
        <f t="shared" si="834"/>
        <v>0</v>
      </c>
      <c r="AS835" s="11">
        <f t="shared" si="835"/>
        <v>0</v>
      </c>
      <c r="AU835" s="11">
        <f t="shared" si="836"/>
        <v>0</v>
      </c>
      <c r="AW835" s="11">
        <f t="shared" si="837"/>
        <v>0</v>
      </c>
      <c r="AY835" s="11">
        <f t="shared" si="838"/>
        <v>0</v>
      </c>
      <c r="BA835" s="11">
        <f t="shared" si="839"/>
        <v>0</v>
      </c>
      <c r="BC835" s="11">
        <f t="shared" si="840"/>
        <v>0</v>
      </c>
      <c r="BE835" s="11">
        <f t="shared" si="841"/>
        <v>0</v>
      </c>
      <c r="BG835" s="11">
        <f t="shared" si="842"/>
        <v>0</v>
      </c>
      <c r="BN835" s="8">
        <f t="shared" si="787"/>
        <v>10747</v>
      </c>
      <c r="BO835" s="8">
        <f t="shared" si="788"/>
        <v>403386</v>
      </c>
      <c r="BP835" s="8">
        <f t="shared" si="808"/>
        <v>0</v>
      </c>
      <c r="BQ835" s="12">
        <f t="shared" si="809"/>
        <v>0</v>
      </c>
    </row>
    <row r="836" spans="1:69">
      <c r="A836" s="28">
        <v>1977</v>
      </c>
      <c r="B836" s="27" t="s">
        <v>136</v>
      </c>
      <c r="C836" s="24">
        <f t="shared" si="824"/>
        <v>814</v>
      </c>
      <c r="D836" s="7" t="e">
        <f t="shared" ca="1" si="843"/>
        <v>#N/A</v>
      </c>
      <c r="E836" s="26">
        <f t="array" aca="1" ref="E836" ca="1">AVERAGE(IF(INDIRECT(DatCol&amp;"$"&amp;TEXT(C836,"###")):INDIRECT(DatCol&amp;"$"&amp;TEXT(C836+57,"###"))&gt;0,INDIRECT(DatCol&amp;"$"&amp;TEXT(C836,"###")):INDIRECT(DatCol&amp;"$"&amp;TEXT(C836+57,"###"))))</f>
        <v>67.17647058823529</v>
      </c>
      <c r="F836" s="26" t="str">
        <f t="shared" si="822"/>
        <v>I</v>
      </c>
      <c r="G836" s="8"/>
      <c r="K836" s="9">
        <f t="shared" si="789"/>
        <v>0</v>
      </c>
      <c r="M836" s="11">
        <f t="shared" si="825"/>
        <v>0</v>
      </c>
      <c r="O836" s="11">
        <f t="shared" si="826"/>
        <v>0</v>
      </c>
      <c r="Q836" s="11">
        <f t="shared" si="827"/>
        <v>0</v>
      </c>
      <c r="Y836" s="11">
        <f t="shared" si="828"/>
        <v>0</v>
      </c>
      <c r="AG836" s="11">
        <f t="shared" si="829"/>
        <v>0</v>
      </c>
      <c r="AI836" s="11">
        <f t="shared" si="830"/>
        <v>0</v>
      </c>
      <c r="AK836" s="13">
        <f t="shared" si="831"/>
        <v>0</v>
      </c>
      <c r="AM836" s="13">
        <f t="shared" si="832"/>
        <v>0</v>
      </c>
      <c r="AO836" s="11">
        <f t="shared" si="833"/>
        <v>0</v>
      </c>
      <c r="AQ836" s="11">
        <f t="shared" si="834"/>
        <v>0</v>
      </c>
      <c r="AS836" s="11">
        <f t="shared" si="835"/>
        <v>0</v>
      </c>
      <c r="AU836" s="11">
        <f t="shared" si="836"/>
        <v>0</v>
      </c>
      <c r="AW836" s="11">
        <f t="shared" si="837"/>
        <v>0</v>
      </c>
      <c r="AY836" s="11">
        <f t="shared" si="838"/>
        <v>0</v>
      </c>
      <c r="BA836" s="11">
        <f t="shared" si="839"/>
        <v>0</v>
      </c>
      <c r="BC836" s="11">
        <f t="shared" si="840"/>
        <v>0</v>
      </c>
      <c r="BE836" s="11">
        <f t="shared" si="841"/>
        <v>0</v>
      </c>
      <c r="BG836" s="11">
        <f t="shared" si="842"/>
        <v>0</v>
      </c>
      <c r="BN836" s="8">
        <f t="shared" si="787"/>
        <v>0</v>
      </c>
      <c r="BO836" s="8">
        <f t="shared" si="788"/>
        <v>0</v>
      </c>
      <c r="BP836" s="8">
        <f t="shared" si="808"/>
        <v>0</v>
      </c>
      <c r="BQ836" s="12">
        <f t="shared" si="809"/>
        <v>0</v>
      </c>
    </row>
    <row r="837" spans="1:69">
      <c r="A837" s="28">
        <v>1978</v>
      </c>
      <c r="B837" s="27" t="s">
        <v>136</v>
      </c>
      <c r="C837" s="24">
        <f t="shared" si="824"/>
        <v>814</v>
      </c>
      <c r="D837" s="7" t="e">
        <f t="shared" ca="1" si="843"/>
        <v>#N/A</v>
      </c>
      <c r="E837" s="26">
        <f t="array" aca="1" ref="E837" ca="1">AVERAGE(IF(INDIRECT(DatCol&amp;"$"&amp;TEXT(C837,"###")):INDIRECT(DatCol&amp;"$"&amp;TEXT(C837+57,"###"))&gt;0,INDIRECT(DatCol&amp;"$"&amp;TEXT(C837,"###")):INDIRECT(DatCol&amp;"$"&amp;TEXT(C837+57,"###"))))</f>
        <v>67.17647058823529</v>
      </c>
      <c r="F837" s="26" t="str">
        <f t="shared" si="822"/>
        <v>I</v>
      </c>
      <c r="G837" s="8"/>
      <c r="H837" s="8">
        <v>20</v>
      </c>
      <c r="I837" s="8">
        <v>112</v>
      </c>
      <c r="J837" s="8">
        <v>68</v>
      </c>
      <c r="K837" s="9">
        <f t="shared" si="789"/>
        <v>88</v>
      </c>
      <c r="M837" s="11">
        <f t="shared" ref="M837:M852" si="844">(L837*50)</f>
        <v>0</v>
      </c>
      <c r="N837" s="12">
        <v>71</v>
      </c>
      <c r="O837" s="11">
        <f t="shared" ref="O837:O852" si="845">(N837*50)</f>
        <v>3550</v>
      </c>
      <c r="P837" s="12">
        <v>164</v>
      </c>
      <c r="Q837" s="11">
        <f t="shared" ref="Q837:Q852" si="846">((P837*330)/5.5)</f>
        <v>9840</v>
      </c>
      <c r="Y837" s="11">
        <f t="shared" ref="Y837:Y852" si="847">((X837*330)/5.5)</f>
        <v>0</v>
      </c>
      <c r="AG837" s="11">
        <f t="shared" ref="AG837:AG852" si="848">(AF837*65)</f>
        <v>0</v>
      </c>
      <c r="AI837" s="11">
        <f t="shared" ref="AI837:AI852" si="849">(AH837*65)</f>
        <v>0</v>
      </c>
      <c r="AJ837" s="12">
        <v>8642</v>
      </c>
      <c r="AK837" s="13">
        <f t="shared" ref="AK837:AK852" si="850">(AJ837*9)</f>
        <v>77778</v>
      </c>
      <c r="AM837" s="13">
        <f t="shared" ref="AM837:AM852" si="851">(AL837*9)</f>
        <v>0</v>
      </c>
      <c r="AN837" s="12">
        <v>261</v>
      </c>
      <c r="AO837" s="11">
        <f t="shared" ref="AO837:AO852" si="852">(AN837*80)</f>
        <v>20880</v>
      </c>
      <c r="AP837" s="12">
        <v>18</v>
      </c>
      <c r="AQ837" s="11">
        <f t="shared" ref="AQ837:AQ852" si="853">(AP837*80)</f>
        <v>1440</v>
      </c>
      <c r="AS837" s="11">
        <f t="shared" ref="AS837:AS852" si="854">(AR837*50)</f>
        <v>0</v>
      </c>
      <c r="AU837" s="11">
        <f t="shared" ref="AU837:AU852" si="855">(AT837*50)</f>
        <v>0</v>
      </c>
      <c r="AW837" s="11">
        <f t="shared" ref="AW837:AW852" si="856">(AV837*60)</f>
        <v>0</v>
      </c>
      <c r="AY837" s="11">
        <f t="shared" ref="AY837:AY852" si="857">(AX837*60)</f>
        <v>0</v>
      </c>
      <c r="BA837" s="11">
        <f t="shared" ref="BA837:BA852" si="858">(AZ837*40)</f>
        <v>0</v>
      </c>
      <c r="BC837" s="11">
        <f t="shared" ref="BC837:BC852" si="859">(BB837*40)</f>
        <v>0</v>
      </c>
      <c r="BE837" s="11">
        <f t="shared" ref="BE837:BE852" si="860">(BD837*95)</f>
        <v>0</v>
      </c>
      <c r="BG837" s="11">
        <f t="shared" ref="BG837:BG852" si="861">(BF837*95)</f>
        <v>0</v>
      </c>
      <c r="BN837" s="8">
        <f t="shared" si="787"/>
        <v>9067</v>
      </c>
      <c r="BO837" s="8">
        <f t="shared" si="788"/>
        <v>108498</v>
      </c>
      <c r="BP837" s="8">
        <f t="shared" si="808"/>
        <v>89</v>
      </c>
      <c r="BQ837" s="12">
        <f t="shared" si="809"/>
        <v>4990</v>
      </c>
    </row>
    <row r="838" spans="1:69">
      <c r="A838" s="28">
        <v>1979</v>
      </c>
      <c r="B838" s="27" t="s">
        <v>136</v>
      </c>
      <c r="C838" s="24">
        <f t="shared" si="824"/>
        <v>814</v>
      </c>
      <c r="D838" s="7" t="e">
        <f t="shared" ca="1" si="843"/>
        <v>#N/A</v>
      </c>
      <c r="E838" s="26">
        <f t="array" aca="1" ref="E838" ca="1">AVERAGE(IF(INDIRECT(DatCol&amp;"$"&amp;TEXT(C838,"###")):INDIRECT(DatCol&amp;"$"&amp;TEXT(C838+57,"###"))&gt;0,INDIRECT(DatCol&amp;"$"&amp;TEXT(C838,"###")):INDIRECT(DatCol&amp;"$"&amp;TEXT(C838+57,"###"))))</f>
        <v>67.17647058823529</v>
      </c>
      <c r="F838" s="26" t="str">
        <f t="shared" si="822"/>
        <v>I</v>
      </c>
      <c r="G838" s="8"/>
      <c r="H838" s="8">
        <v>21</v>
      </c>
      <c r="I838" s="8">
        <v>46</v>
      </c>
      <c r="J838" s="8">
        <v>68</v>
      </c>
      <c r="K838" s="9">
        <f t="shared" si="789"/>
        <v>89</v>
      </c>
      <c r="M838" s="11">
        <f t="shared" si="844"/>
        <v>0</v>
      </c>
      <c r="N838" s="12">
        <v>97</v>
      </c>
      <c r="O838" s="11">
        <f t="shared" si="845"/>
        <v>4850</v>
      </c>
      <c r="P838" s="12">
        <v>181</v>
      </c>
      <c r="Q838" s="11">
        <f t="shared" si="846"/>
        <v>10860</v>
      </c>
      <c r="Y838" s="11">
        <f t="shared" si="847"/>
        <v>0</v>
      </c>
      <c r="AG838" s="11">
        <f t="shared" si="848"/>
        <v>0</v>
      </c>
      <c r="AI838" s="11">
        <f t="shared" si="849"/>
        <v>0</v>
      </c>
      <c r="AJ838" s="12">
        <v>834</v>
      </c>
      <c r="AK838" s="13">
        <f t="shared" si="850"/>
        <v>7506</v>
      </c>
      <c r="AL838" s="12">
        <v>12</v>
      </c>
      <c r="AM838" s="13">
        <f t="shared" si="851"/>
        <v>108</v>
      </c>
      <c r="AN838" s="12">
        <v>554</v>
      </c>
      <c r="AO838" s="11">
        <f t="shared" si="852"/>
        <v>44320</v>
      </c>
      <c r="AP838" s="12">
        <v>16</v>
      </c>
      <c r="AQ838" s="11">
        <f t="shared" si="853"/>
        <v>1280</v>
      </c>
      <c r="AS838" s="11">
        <f t="shared" si="854"/>
        <v>0</v>
      </c>
      <c r="AU838" s="11">
        <f t="shared" si="855"/>
        <v>0</v>
      </c>
      <c r="AW838" s="11">
        <f t="shared" si="856"/>
        <v>0</v>
      </c>
      <c r="AY838" s="11">
        <f t="shared" si="857"/>
        <v>0</v>
      </c>
      <c r="BA838" s="11">
        <f t="shared" si="858"/>
        <v>0</v>
      </c>
      <c r="BC838" s="11">
        <f t="shared" si="859"/>
        <v>0</v>
      </c>
      <c r="BE838" s="11">
        <f t="shared" si="860"/>
        <v>0</v>
      </c>
      <c r="BG838" s="11">
        <f t="shared" si="861"/>
        <v>0</v>
      </c>
      <c r="BN838" s="8">
        <f t="shared" si="787"/>
        <v>1569</v>
      </c>
      <c r="BO838" s="8">
        <f t="shared" si="788"/>
        <v>62686</v>
      </c>
      <c r="BP838" s="8">
        <f t="shared" si="808"/>
        <v>125</v>
      </c>
      <c r="BQ838" s="12">
        <f t="shared" si="809"/>
        <v>6238</v>
      </c>
    </row>
    <row r="839" spans="1:69">
      <c r="A839" s="28">
        <v>1980</v>
      </c>
      <c r="B839" s="27" t="s">
        <v>136</v>
      </c>
      <c r="C839" s="24">
        <f t="shared" si="824"/>
        <v>814</v>
      </c>
      <c r="D839" s="7" t="e">
        <f t="shared" ca="1" si="843"/>
        <v>#N/A</v>
      </c>
      <c r="E839" s="26">
        <f t="array" aca="1" ref="E839" ca="1">AVERAGE(IF(INDIRECT(DatCol&amp;"$"&amp;TEXT(C839,"###")):INDIRECT(DatCol&amp;"$"&amp;TEXT(C839+57,"###"))&gt;0,INDIRECT(DatCol&amp;"$"&amp;TEXT(C839,"###")):INDIRECT(DatCol&amp;"$"&amp;TEXT(C839+57,"###"))))</f>
        <v>67.17647058823529</v>
      </c>
      <c r="F839" s="26" t="str">
        <f t="shared" si="822"/>
        <v>I</v>
      </c>
      <c r="G839" s="8"/>
      <c r="H839" s="8">
        <v>18</v>
      </c>
      <c r="I839" s="8">
        <v>14</v>
      </c>
      <c r="J839" s="8">
        <v>93</v>
      </c>
      <c r="K839" s="9">
        <f t="shared" si="789"/>
        <v>111</v>
      </c>
      <c r="M839" s="11">
        <f t="shared" si="844"/>
        <v>0</v>
      </c>
      <c r="N839" s="12">
        <v>79</v>
      </c>
      <c r="O839" s="11">
        <f t="shared" si="845"/>
        <v>3950</v>
      </c>
      <c r="P839" s="12">
        <v>185</v>
      </c>
      <c r="Q839" s="11">
        <f t="shared" si="846"/>
        <v>11100</v>
      </c>
      <c r="Y839" s="11">
        <f t="shared" si="847"/>
        <v>0</v>
      </c>
      <c r="AG839" s="11">
        <f t="shared" si="848"/>
        <v>0</v>
      </c>
      <c r="AI839" s="11">
        <f t="shared" si="849"/>
        <v>0</v>
      </c>
      <c r="AJ839" s="12">
        <v>1540</v>
      </c>
      <c r="AK839" s="13">
        <f t="shared" si="850"/>
        <v>13860</v>
      </c>
      <c r="AM839" s="13">
        <f t="shared" si="851"/>
        <v>0</v>
      </c>
      <c r="AN839" s="12">
        <v>412</v>
      </c>
      <c r="AO839" s="11">
        <f t="shared" si="852"/>
        <v>32960</v>
      </c>
      <c r="AQ839" s="11">
        <f t="shared" si="853"/>
        <v>0</v>
      </c>
      <c r="AS839" s="11">
        <f t="shared" si="854"/>
        <v>0</v>
      </c>
      <c r="AU839" s="11">
        <f t="shared" si="855"/>
        <v>0</v>
      </c>
      <c r="AW839" s="11">
        <f t="shared" si="856"/>
        <v>0</v>
      </c>
      <c r="AY839" s="11">
        <f t="shared" si="857"/>
        <v>0</v>
      </c>
      <c r="BA839" s="11">
        <f t="shared" si="858"/>
        <v>0</v>
      </c>
      <c r="BC839" s="11">
        <f t="shared" si="859"/>
        <v>0</v>
      </c>
      <c r="BE839" s="11">
        <f t="shared" si="860"/>
        <v>0</v>
      </c>
      <c r="BG839" s="11">
        <f t="shared" si="861"/>
        <v>0</v>
      </c>
      <c r="BN839" s="8">
        <f t="shared" si="787"/>
        <v>2137</v>
      </c>
      <c r="BO839" s="8">
        <f t="shared" si="788"/>
        <v>57920</v>
      </c>
      <c r="BP839" s="8">
        <f t="shared" si="808"/>
        <v>79</v>
      </c>
      <c r="BQ839" s="12">
        <f t="shared" si="809"/>
        <v>3950</v>
      </c>
    </row>
    <row r="840" spans="1:69">
      <c r="A840" s="28">
        <v>1981</v>
      </c>
      <c r="B840" s="27" t="s">
        <v>136</v>
      </c>
      <c r="C840" s="24">
        <f t="shared" si="824"/>
        <v>814</v>
      </c>
      <c r="D840" s="7" t="e">
        <f t="shared" ca="1" si="843"/>
        <v>#N/A</v>
      </c>
      <c r="E840" s="26">
        <f t="array" aca="1" ref="E840" ca="1">AVERAGE(IF(INDIRECT(DatCol&amp;"$"&amp;TEXT(C840,"###")):INDIRECT(DatCol&amp;"$"&amp;TEXT(C840+57,"###"))&gt;0,INDIRECT(DatCol&amp;"$"&amp;TEXT(C840,"###")):INDIRECT(DatCol&amp;"$"&amp;TEXT(C840+57,"###"))))</f>
        <v>67.17647058823529</v>
      </c>
      <c r="F840" s="26" t="str">
        <f t="shared" si="822"/>
        <v>I</v>
      </c>
      <c r="G840" s="8"/>
      <c r="H840" s="8">
        <v>7</v>
      </c>
      <c r="I840" s="8">
        <v>68</v>
      </c>
      <c r="J840" s="8">
        <v>115</v>
      </c>
      <c r="K840" s="9">
        <f t="shared" si="789"/>
        <v>122</v>
      </c>
      <c r="M840" s="11">
        <f t="shared" si="844"/>
        <v>0</v>
      </c>
      <c r="N840" s="12">
        <v>66</v>
      </c>
      <c r="O840" s="11">
        <f t="shared" si="845"/>
        <v>3300</v>
      </c>
      <c r="P840" s="12">
        <v>149</v>
      </c>
      <c r="Q840" s="11">
        <f t="shared" si="846"/>
        <v>8940</v>
      </c>
      <c r="X840" s="12">
        <v>51</v>
      </c>
      <c r="Y840" s="11">
        <f t="shared" si="847"/>
        <v>3060</v>
      </c>
      <c r="AG840" s="11">
        <f t="shared" si="848"/>
        <v>0</v>
      </c>
      <c r="AI840" s="11">
        <f t="shared" si="849"/>
        <v>0</v>
      </c>
      <c r="AJ840" s="12">
        <v>4404</v>
      </c>
      <c r="AK840" s="13">
        <f t="shared" si="850"/>
        <v>39636</v>
      </c>
      <c r="AL840" s="12">
        <v>72</v>
      </c>
      <c r="AM840" s="13">
        <f t="shared" si="851"/>
        <v>648</v>
      </c>
      <c r="AN840" s="12">
        <v>278</v>
      </c>
      <c r="AO840" s="11">
        <f t="shared" si="852"/>
        <v>22240</v>
      </c>
      <c r="AP840" s="12">
        <v>31</v>
      </c>
      <c r="AQ840" s="11">
        <f t="shared" si="853"/>
        <v>2480</v>
      </c>
      <c r="AS840" s="11">
        <f t="shared" si="854"/>
        <v>0</v>
      </c>
      <c r="AU840" s="11">
        <f t="shared" si="855"/>
        <v>0</v>
      </c>
      <c r="AW840" s="11">
        <f t="shared" si="856"/>
        <v>0</v>
      </c>
      <c r="AY840" s="11">
        <f t="shared" si="857"/>
        <v>0</v>
      </c>
      <c r="BA840" s="11">
        <f t="shared" si="858"/>
        <v>0</v>
      </c>
      <c r="BC840" s="11">
        <f t="shared" si="859"/>
        <v>0</v>
      </c>
      <c r="BE840" s="11">
        <f t="shared" si="860"/>
        <v>0</v>
      </c>
      <c r="BG840" s="11">
        <f t="shared" si="861"/>
        <v>0</v>
      </c>
      <c r="BN840" s="8">
        <f t="shared" si="787"/>
        <v>4882</v>
      </c>
      <c r="BO840" s="8">
        <f t="shared" si="788"/>
        <v>73876</v>
      </c>
      <c r="BP840" s="8">
        <f t="shared" si="808"/>
        <v>220</v>
      </c>
      <c r="BQ840" s="12">
        <f t="shared" si="809"/>
        <v>9488</v>
      </c>
    </row>
    <row r="841" spans="1:69">
      <c r="A841" s="28">
        <v>1982</v>
      </c>
      <c r="B841" s="27" t="s">
        <v>136</v>
      </c>
      <c r="C841" s="24">
        <f t="shared" si="824"/>
        <v>814</v>
      </c>
      <c r="D841" s="7" t="e">
        <f t="shared" ca="1" si="843"/>
        <v>#N/A</v>
      </c>
      <c r="E841" s="26">
        <f t="array" aca="1" ref="E841" ca="1">AVERAGE(IF(INDIRECT(DatCol&amp;"$"&amp;TEXT(C841,"###")):INDIRECT(DatCol&amp;"$"&amp;TEXT(C841+57,"###"))&gt;0,INDIRECT(DatCol&amp;"$"&amp;TEXT(C841,"###")):INDIRECT(DatCol&amp;"$"&amp;TEXT(C841+57,"###"))))</f>
        <v>67.17647058823529</v>
      </c>
      <c r="F841" s="26" t="str">
        <f t="shared" si="822"/>
        <v>I</v>
      </c>
      <c r="G841" s="8"/>
      <c r="H841" s="8">
        <v>8</v>
      </c>
      <c r="I841" s="8">
        <v>77</v>
      </c>
      <c r="J841" s="8">
        <v>106</v>
      </c>
      <c r="K841" s="9">
        <f t="shared" si="789"/>
        <v>114</v>
      </c>
      <c r="M841" s="11">
        <f t="shared" si="844"/>
        <v>0</v>
      </c>
      <c r="N841" s="12">
        <v>89</v>
      </c>
      <c r="O841" s="11">
        <f t="shared" si="845"/>
        <v>4450</v>
      </c>
      <c r="P841" s="12">
        <v>114</v>
      </c>
      <c r="Q841" s="11">
        <f t="shared" si="846"/>
        <v>6840</v>
      </c>
      <c r="X841" s="12">
        <v>52</v>
      </c>
      <c r="Y841" s="11">
        <f t="shared" si="847"/>
        <v>3120</v>
      </c>
      <c r="AG841" s="11">
        <f t="shared" si="848"/>
        <v>0</v>
      </c>
      <c r="AI841" s="11">
        <f t="shared" si="849"/>
        <v>0</v>
      </c>
      <c r="AJ841" s="12">
        <v>9830</v>
      </c>
      <c r="AK841" s="13">
        <f t="shared" si="850"/>
        <v>88470</v>
      </c>
      <c r="AL841" s="12">
        <v>120</v>
      </c>
      <c r="AM841" s="13">
        <f t="shared" si="851"/>
        <v>1080</v>
      </c>
      <c r="AN841" s="12">
        <v>110</v>
      </c>
      <c r="AO841" s="11">
        <f t="shared" si="852"/>
        <v>8800</v>
      </c>
      <c r="AP841" s="12">
        <v>21</v>
      </c>
      <c r="AQ841" s="11">
        <f t="shared" si="853"/>
        <v>1680</v>
      </c>
      <c r="AS841" s="11">
        <f t="shared" si="854"/>
        <v>0</v>
      </c>
      <c r="AU841" s="11">
        <f t="shared" si="855"/>
        <v>0</v>
      </c>
      <c r="AW841" s="11">
        <f t="shared" si="856"/>
        <v>0</v>
      </c>
      <c r="AY841" s="11">
        <f t="shared" si="857"/>
        <v>0</v>
      </c>
      <c r="BA841" s="11">
        <f t="shared" si="858"/>
        <v>0</v>
      </c>
      <c r="BC841" s="11">
        <f t="shared" si="859"/>
        <v>0</v>
      </c>
      <c r="BE841" s="11">
        <f t="shared" si="860"/>
        <v>0</v>
      </c>
      <c r="BG841" s="11">
        <f t="shared" si="861"/>
        <v>0</v>
      </c>
      <c r="BN841" s="8">
        <f t="shared" si="787"/>
        <v>10106</v>
      </c>
      <c r="BO841" s="8">
        <f t="shared" si="788"/>
        <v>107230</v>
      </c>
      <c r="BP841" s="8">
        <f t="shared" si="808"/>
        <v>282</v>
      </c>
      <c r="BQ841" s="12">
        <f t="shared" si="809"/>
        <v>10330</v>
      </c>
    </row>
    <row r="842" spans="1:69">
      <c r="A842" s="28">
        <v>1983</v>
      </c>
      <c r="B842" s="27" t="s">
        <v>136</v>
      </c>
      <c r="C842" s="24">
        <f t="shared" si="824"/>
        <v>814</v>
      </c>
      <c r="D842" s="7" t="e">
        <f t="shared" ca="1" si="843"/>
        <v>#N/A</v>
      </c>
      <c r="E842" s="26">
        <f t="array" aca="1" ref="E842" ca="1">AVERAGE(IF(INDIRECT(DatCol&amp;"$"&amp;TEXT(C842,"###")):INDIRECT(DatCol&amp;"$"&amp;TEXT(C842+57,"###"))&gt;0,INDIRECT(DatCol&amp;"$"&amp;TEXT(C842,"###")):INDIRECT(DatCol&amp;"$"&amp;TEXT(C842+57,"###"))))</f>
        <v>67.17647058823529</v>
      </c>
      <c r="F842" s="26" t="str">
        <f t="shared" si="822"/>
        <v>I</v>
      </c>
      <c r="G842" s="8"/>
      <c r="H842" s="8">
        <v>8</v>
      </c>
      <c r="I842" s="8">
        <v>9</v>
      </c>
      <c r="J842" s="8">
        <v>106</v>
      </c>
      <c r="K842" s="9">
        <f t="shared" si="789"/>
        <v>114</v>
      </c>
      <c r="M842" s="11">
        <f t="shared" si="844"/>
        <v>0</v>
      </c>
      <c r="N842" s="12">
        <v>94</v>
      </c>
      <c r="O842" s="11">
        <f t="shared" si="845"/>
        <v>4700</v>
      </c>
      <c r="P842" s="12">
        <v>642</v>
      </c>
      <c r="Q842" s="11">
        <f t="shared" si="846"/>
        <v>38520</v>
      </c>
      <c r="X842" s="12">
        <v>76</v>
      </c>
      <c r="Y842" s="11">
        <f t="shared" si="847"/>
        <v>4560</v>
      </c>
      <c r="AG842" s="11">
        <f t="shared" si="848"/>
        <v>0</v>
      </c>
      <c r="AI842" s="11">
        <f t="shared" si="849"/>
        <v>0</v>
      </c>
      <c r="AJ842" s="12">
        <v>0</v>
      </c>
      <c r="AK842" s="13">
        <f t="shared" si="850"/>
        <v>0</v>
      </c>
      <c r="AL842" s="12">
        <v>0</v>
      </c>
      <c r="AM842" s="13">
        <f t="shared" si="851"/>
        <v>0</v>
      </c>
      <c r="AO842" s="11">
        <f t="shared" si="852"/>
        <v>0</v>
      </c>
      <c r="AQ842" s="11">
        <f t="shared" si="853"/>
        <v>0</v>
      </c>
      <c r="AS842" s="11">
        <f t="shared" si="854"/>
        <v>0</v>
      </c>
      <c r="AU842" s="11">
        <f t="shared" si="855"/>
        <v>0</v>
      </c>
      <c r="AW842" s="11">
        <f t="shared" si="856"/>
        <v>0</v>
      </c>
      <c r="AY842" s="11">
        <f t="shared" si="857"/>
        <v>0</v>
      </c>
      <c r="BA842" s="11">
        <f t="shared" si="858"/>
        <v>0</v>
      </c>
      <c r="BC842" s="11">
        <f t="shared" si="859"/>
        <v>0</v>
      </c>
      <c r="BE842" s="11">
        <f t="shared" si="860"/>
        <v>0</v>
      </c>
      <c r="BG842" s="11">
        <f t="shared" si="861"/>
        <v>0</v>
      </c>
      <c r="BN842" s="8">
        <f t="shared" si="787"/>
        <v>718</v>
      </c>
      <c r="BO842" s="8">
        <f t="shared" si="788"/>
        <v>43080</v>
      </c>
      <c r="BP842" s="8">
        <f t="shared" si="808"/>
        <v>170</v>
      </c>
      <c r="BQ842" s="12">
        <f t="shared" si="809"/>
        <v>9260</v>
      </c>
    </row>
    <row r="843" spans="1:69">
      <c r="A843" s="28">
        <v>1984</v>
      </c>
      <c r="B843" s="27" t="s">
        <v>136</v>
      </c>
      <c r="C843" s="24">
        <f t="shared" si="824"/>
        <v>814</v>
      </c>
      <c r="D843" s="7" t="e">
        <f t="shared" ca="1" si="843"/>
        <v>#N/A</v>
      </c>
      <c r="E843" s="26">
        <f t="array" aca="1" ref="E843" ca="1">AVERAGE(IF(INDIRECT(DatCol&amp;"$"&amp;TEXT(C843,"###")):INDIRECT(DatCol&amp;"$"&amp;TEXT(C843+57,"###"))&gt;0,INDIRECT(DatCol&amp;"$"&amp;TEXT(C843,"###")):INDIRECT(DatCol&amp;"$"&amp;TEXT(C843+57,"###"))))</f>
        <v>67.17647058823529</v>
      </c>
      <c r="F843" s="26" t="str">
        <f t="shared" si="822"/>
        <v>I</v>
      </c>
      <c r="G843" s="8"/>
      <c r="H843" s="8">
        <v>6</v>
      </c>
      <c r="I843" s="8">
        <v>5</v>
      </c>
      <c r="J843" s="8">
        <v>144</v>
      </c>
      <c r="K843" s="9">
        <f t="shared" si="789"/>
        <v>150</v>
      </c>
      <c r="L843" s="12">
        <v>73</v>
      </c>
      <c r="M843" s="11">
        <f t="shared" si="844"/>
        <v>3650</v>
      </c>
      <c r="O843" s="11">
        <f t="shared" si="845"/>
        <v>0</v>
      </c>
      <c r="P843" s="12">
        <v>421</v>
      </c>
      <c r="Q843" s="11">
        <f t="shared" si="846"/>
        <v>25260</v>
      </c>
      <c r="X843" s="12">
        <v>50</v>
      </c>
      <c r="Y843" s="11">
        <f t="shared" si="847"/>
        <v>3000</v>
      </c>
      <c r="AG843" s="11">
        <f t="shared" si="848"/>
        <v>0</v>
      </c>
      <c r="AI843" s="11">
        <f t="shared" si="849"/>
        <v>0</v>
      </c>
      <c r="AJ843" s="12">
        <v>2145</v>
      </c>
      <c r="AK843" s="13">
        <f t="shared" si="850"/>
        <v>19305</v>
      </c>
      <c r="AM843" s="13">
        <f t="shared" si="851"/>
        <v>0</v>
      </c>
      <c r="AO843" s="11">
        <f t="shared" si="852"/>
        <v>0</v>
      </c>
      <c r="AP843" s="12">
        <v>40</v>
      </c>
      <c r="AQ843" s="11">
        <f t="shared" si="853"/>
        <v>3200</v>
      </c>
      <c r="AS843" s="11">
        <f t="shared" si="854"/>
        <v>0</v>
      </c>
      <c r="AU843" s="11">
        <f t="shared" si="855"/>
        <v>0</v>
      </c>
      <c r="AW843" s="11">
        <f t="shared" si="856"/>
        <v>0</v>
      </c>
      <c r="AY843" s="11">
        <f t="shared" si="857"/>
        <v>0</v>
      </c>
      <c r="BA843" s="11">
        <f t="shared" si="858"/>
        <v>0</v>
      </c>
      <c r="BC843" s="11">
        <f t="shared" si="859"/>
        <v>0</v>
      </c>
      <c r="BE843" s="11">
        <f t="shared" si="860"/>
        <v>0</v>
      </c>
      <c r="BG843" s="11">
        <f t="shared" si="861"/>
        <v>0</v>
      </c>
      <c r="BN843" s="8">
        <f t="shared" si="787"/>
        <v>2689</v>
      </c>
      <c r="BO843" s="8">
        <f t="shared" si="788"/>
        <v>51215</v>
      </c>
      <c r="BP843" s="8">
        <f t="shared" si="808"/>
        <v>90</v>
      </c>
      <c r="BQ843" s="12">
        <f t="shared" si="809"/>
        <v>6200</v>
      </c>
    </row>
    <row r="844" spans="1:69">
      <c r="A844" s="28">
        <v>1985</v>
      </c>
      <c r="B844" s="27" t="s">
        <v>136</v>
      </c>
      <c r="C844" s="24">
        <f t="shared" si="824"/>
        <v>814</v>
      </c>
      <c r="D844" s="7" t="e">
        <f t="shared" ca="1" si="843"/>
        <v>#N/A</v>
      </c>
      <c r="E844" s="26">
        <f t="array" aca="1" ref="E844" ca="1">AVERAGE(IF(INDIRECT(DatCol&amp;"$"&amp;TEXT(C844,"###")):INDIRECT(DatCol&amp;"$"&amp;TEXT(C844+57,"###"))&gt;0,INDIRECT(DatCol&amp;"$"&amp;TEXT(C844,"###")):INDIRECT(DatCol&amp;"$"&amp;TEXT(C844+57,"###"))))</f>
        <v>67.17647058823529</v>
      </c>
      <c r="F844" s="26" t="str">
        <f t="shared" si="822"/>
        <v>I</v>
      </c>
      <c r="G844" s="8"/>
      <c r="H844" s="8">
        <v>0</v>
      </c>
      <c r="K844" s="9">
        <f t="shared" si="789"/>
        <v>0</v>
      </c>
      <c r="M844" s="11">
        <f t="shared" si="844"/>
        <v>0</v>
      </c>
      <c r="O844" s="11">
        <f t="shared" si="845"/>
        <v>0</v>
      </c>
      <c r="Q844" s="11">
        <f t="shared" si="846"/>
        <v>0</v>
      </c>
      <c r="Y844" s="11">
        <f t="shared" si="847"/>
        <v>0</v>
      </c>
      <c r="AG844" s="11">
        <f t="shared" si="848"/>
        <v>0</v>
      </c>
      <c r="AI844" s="11">
        <f t="shared" si="849"/>
        <v>0</v>
      </c>
      <c r="AK844" s="13">
        <f t="shared" si="850"/>
        <v>0</v>
      </c>
      <c r="AM844" s="13">
        <f t="shared" si="851"/>
        <v>0</v>
      </c>
      <c r="AO844" s="11">
        <f t="shared" si="852"/>
        <v>0</v>
      </c>
      <c r="AQ844" s="11">
        <f t="shared" si="853"/>
        <v>0</v>
      </c>
      <c r="AS844" s="11">
        <f t="shared" si="854"/>
        <v>0</v>
      </c>
      <c r="AU844" s="11">
        <f t="shared" si="855"/>
        <v>0</v>
      </c>
      <c r="AW844" s="11">
        <f t="shared" si="856"/>
        <v>0</v>
      </c>
      <c r="AY844" s="11">
        <f t="shared" si="857"/>
        <v>0</v>
      </c>
      <c r="BA844" s="11">
        <f t="shared" si="858"/>
        <v>0</v>
      </c>
      <c r="BC844" s="11">
        <f t="shared" si="859"/>
        <v>0</v>
      </c>
      <c r="BE844" s="11">
        <f t="shared" si="860"/>
        <v>0</v>
      </c>
      <c r="BG844" s="11">
        <f t="shared" si="861"/>
        <v>0</v>
      </c>
      <c r="BN844" s="8">
        <f t="shared" si="787"/>
        <v>0</v>
      </c>
      <c r="BO844" s="8">
        <f t="shared" si="788"/>
        <v>0</v>
      </c>
      <c r="BP844" s="8">
        <f t="shared" si="808"/>
        <v>0</v>
      </c>
      <c r="BQ844" s="12">
        <f t="shared" si="809"/>
        <v>0</v>
      </c>
    </row>
    <row r="845" spans="1:69">
      <c r="A845" s="28">
        <v>1986</v>
      </c>
      <c r="B845" s="27" t="s">
        <v>136</v>
      </c>
      <c r="C845" s="24">
        <f t="shared" si="824"/>
        <v>814</v>
      </c>
      <c r="D845" s="7" t="e">
        <f t="shared" ca="1" si="843"/>
        <v>#N/A</v>
      </c>
      <c r="E845" s="26">
        <f t="array" aca="1" ref="E845" ca="1">AVERAGE(IF(INDIRECT(DatCol&amp;"$"&amp;TEXT(C845,"###")):INDIRECT(DatCol&amp;"$"&amp;TEXT(C845+57,"###"))&gt;0,INDIRECT(DatCol&amp;"$"&amp;TEXT(C845,"###")):INDIRECT(DatCol&amp;"$"&amp;TEXT(C845+57,"###"))))</f>
        <v>67.17647058823529</v>
      </c>
      <c r="F845" s="26" t="str">
        <f t="shared" si="822"/>
        <v>I</v>
      </c>
      <c r="G845" s="8">
        <v>4</v>
      </c>
      <c r="H845" s="8">
        <v>5</v>
      </c>
      <c r="I845" s="8">
        <v>21</v>
      </c>
      <c r="J845" s="8">
        <v>38</v>
      </c>
      <c r="K845" s="9">
        <f t="shared" si="789"/>
        <v>47</v>
      </c>
      <c r="M845" s="11">
        <f t="shared" si="844"/>
        <v>0</v>
      </c>
      <c r="N845" s="12">
        <v>25</v>
      </c>
      <c r="O845" s="11">
        <f t="shared" si="845"/>
        <v>1250</v>
      </c>
      <c r="P845" s="12">
        <v>1385</v>
      </c>
      <c r="Q845" s="11">
        <f t="shared" si="846"/>
        <v>83100</v>
      </c>
      <c r="X845" s="12">
        <v>50</v>
      </c>
      <c r="Y845" s="11">
        <f t="shared" si="847"/>
        <v>3000</v>
      </c>
      <c r="AG845" s="11">
        <f t="shared" si="848"/>
        <v>0</v>
      </c>
      <c r="AI845" s="11">
        <f t="shared" si="849"/>
        <v>0</v>
      </c>
      <c r="AJ845" s="12">
        <v>2500</v>
      </c>
      <c r="AK845" s="13">
        <f t="shared" si="850"/>
        <v>22500</v>
      </c>
      <c r="AL845" s="12">
        <v>15</v>
      </c>
      <c r="AM845" s="13">
        <f t="shared" si="851"/>
        <v>135</v>
      </c>
      <c r="AO845" s="11">
        <f t="shared" si="852"/>
        <v>0</v>
      </c>
      <c r="AQ845" s="11">
        <f t="shared" si="853"/>
        <v>0</v>
      </c>
      <c r="AS845" s="11">
        <f t="shared" si="854"/>
        <v>0</v>
      </c>
      <c r="AU845" s="11">
        <f t="shared" si="855"/>
        <v>0</v>
      </c>
      <c r="AW845" s="11">
        <f t="shared" si="856"/>
        <v>0</v>
      </c>
      <c r="AY845" s="11">
        <f t="shared" si="857"/>
        <v>0</v>
      </c>
      <c r="BA845" s="11">
        <f t="shared" si="858"/>
        <v>0</v>
      </c>
      <c r="BC845" s="11">
        <f t="shared" si="859"/>
        <v>0</v>
      </c>
      <c r="BE845" s="11">
        <f t="shared" si="860"/>
        <v>0</v>
      </c>
      <c r="BG845" s="11">
        <f t="shared" si="861"/>
        <v>0</v>
      </c>
      <c r="BN845" s="8">
        <f t="shared" si="787"/>
        <v>3935</v>
      </c>
      <c r="BO845" s="8">
        <f t="shared" si="788"/>
        <v>108600</v>
      </c>
      <c r="BP845" s="8">
        <f t="shared" si="808"/>
        <v>90</v>
      </c>
      <c r="BQ845" s="12">
        <f t="shared" si="809"/>
        <v>4385</v>
      </c>
    </row>
    <row r="846" spans="1:69">
      <c r="A846" s="28">
        <v>1987</v>
      </c>
      <c r="B846" s="27" t="s">
        <v>136</v>
      </c>
      <c r="C846" s="24">
        <f t="shared" si="824"/>
        <v>814</v>
      </c>
      <c r="D846" s="7" t="e">
        <f t="shared" ca="1" si="843"/>
        <v>#N/A</v>
      </c>
      <c r="E846" s="26">
        <f t="array" aca="1" ref="E846" ca="1">AVERAGE(IF(INDIRECT(DatCol&amp;"$"&amp;TEXT(C846,"###")):INDIRECT(DatCol&amp;"$"&amp;TEXT(C846+57,"###"))&gt;0,INDIRECT(DatCol&amp;"$"&amp;TEXT(C846,"###")):INDIRECT(DatCol&amp;"$"&amp;TEXT(C846+57,"###"))))</f>
        <v>67.17647058823529</v>
      </c>
      <c r="F846" s="26" t="str">
        <f t="shared" si="822"/>
        <v>I</v>
      </c>
      <c r="G846" s="8">
        <v>32</v>
      </c>
      <c r="H846" s="8">
        <v>4</v>
      </c>
      <c r="I846" s="8">
        <v>4</v>
      </c>
      <c r="J846" s="8">
        <v>25</v>
      </c>
      <c r="K846" s="9">
        <f t="shared" si="789"/>
        <v>61</v>
      </c>
      <c r="M846" s="11">
        <f t="shared" si="844"/>
        <v>0</v>
      </c>
      <c r="O846" s="11">
        <f t="shared" si="845"/>
        <v>0</v>
      </c>
      <c r="Q846" s="11">
        <f t="shared" si="846"/>
        <v>0</v>
      </c>
      <c r="Y846" s="11">
        <f t="shared" si="847"/>
        <v>0</v>
      </c>
      <c r="AG846" s="11">
        <f t="shared" si="848"/>
        <v>0</v>
      </c>
      <c r="AI846" s="11">
        <f t="shared" si="849"/>
        <v>0</v>
      </c>
      <c r="AK846" s="13">
        <f t="shared" si="850"/>
        <v>0</v>
      </c>
      <c r="AM846" s="13">
        <f t="shared" si="851"/>
        <v>0</v>
      </c>
      <c r="AO846" s="11">
        <f t="shared" si="852"/>
        <v>0</v>
      </c>
      <c r="AQ846" s="11">
        <f t="shared" si="853"/>
        <v>0</v>
      </c>
      <c r="AS846" s="11">
        <f t="shared" si="854"/>
        <v>0</v>
      </c>
      <c r="AU846" s="11">
        <f t="shared" si="855"/>
        <v>0</v>
      </c>
      <c r="AW846" s="11">
        <f t="shared" si="856"/>
        <v>0</v>
      </c>
      <c r="AY846" s="11">
        <f t="shared" si="857"/>
        <v>0</v>
      </c>
      <c r="BA846" s="11">
        <f t="shared" si="858"/>
        <v>0</v>
      </c>
      <c r="BC846" s="11">
        <f t="shared" si="859"/>
        <v>0</v>
      </c>
      <c r="BE846" s="11">
        <f t="shared" si="860"/>
        <v>0</v>
      </c>
      <c r="BG846" s="11">
        <f t="shared" si="861"/>
        <v>0</v>
      </c>
      <c r="BN846" s="8">
        <f t="shared" si="787"/>
        <v>0</v>
      </c>
      <c r="BO846" s="8">
        <f t="shared" si="788"/>
        <v>0</v>
      </c>
      <c r="BP846" s="8">
        <f t="shared" si="808"/>
        <v>0</v>
      </c>
      <c r="BQ846" s="12">
        <f t="shared" si="809"/>
        <v>0</v>
      </c>
    </row>
    <row r="847" spans="1:69">
      <c r="A847" s="28">
        <v>1988</v>
      </c>
      <c r="B847" s="27" t="s">
        <v>136</v>
      </c>
      <c r="C847" s="24">
        <f t="shared" si="824"/>
        <v>814</v>
      </c>
      <c r="D847" s="7" t="e">
        <f t="shared" ca="1" si="843"/>
        <v>#N/A</v>
      </c>
      <c r="E847" s="26">
        <f t="array" aca="1" ref="E847" ca="1">AVERAGE(IF(INDIRECT(DatCol&amp;"$"&amp;TEXT(C847,"###")):INDIRECT(DatCol&amp;"$"&amp;TEXT(C847+57,"###"))&gt;0,INDIRECT(DatCol&amp;"$"&amp;TEXT(C847,"###")):INDIRECT(DatCol&amp;"$"&amp;TEXT(C847+57,"###"))))</f>
        <v>67.17647058823529</v>
      </c>
      <c r="F847" s="26" t="str">
        <f t="shared" si="822"/>
        <v>I</v>
      </c>
      <c r="G847" s="8">
        <v>23</v>
      </c>
      <c r="H847" s="8">
        <v>6</v>
      </c>
      <c r="I847" s="8">
        <v>3</v>
      </c>
      <c r="J847" s="8">
        <v>23</v>
      </c>
      <c r="K847" s="9">
        <f t="shared" si="789"/>
        <v>52</v>
      </c>
      <c r="M847" s="11">
        <f t="shared" si="844"/>
        <v>0</v>
      </c>
      <c r="O847" s="11">
        <f t="shared" si="845"/>
        <v>0</v>
      </c>
      <c r="P847" s="12">
        <v>200</v>
      </c>
      <c r="Q847" s="11">
        <f t="shared" si="846"/>
        <v>12000</v>
      </c>
      <c r="Y847" s="11">
        <f t="shared" si="847"/>
        <v>0</v>
      </c>
      <c r="AG847" s="11">
        <f t="shared" si="848"/>
        <v>0</v>
      </c>
      <c r="AI847" s="11">
        <f t="shared" si="849"/>
        <v>0</v>
      </c>
      <c r="AK847" s="13">
        <f t="shared" si="850"/>
        <v>0</v>
      </c>
      <c r="AM847" s="13">
        <f t="shared" si="851"/>
        <v>0</v>
      </c>
      <c r="AO847" s="11">
        <f t="shared" si="852"/>
        <v>0</v>
      </c>
      <c r="AQ847" s="11">
        <f t="shared" si="853"/>
        <v>0</v>
      </c>
      <c r="AS847" s="11">
        <f t="shared" si="854"/>
        <v>0</v>
      </c>
      <c r="AU847" s="11">
        <f t="shared" si="855"/>
        <v>0</v>
      </c>
      <c r="AW847" s="11">
        <f t="shared" si="856"/>
        <v>0</v>
      </c>
      <c r="AY847" s="11">
        <f t="shared" si="857"/>
        <v>0</v>
      </c>
      <c r="BA847" s="11">
        <f t="shared" si="858"/>
        <v>0</v>
      </c>
      <c r="BC847" s="11">
        <f t="shared" si="859"/>
        <v>0</v>
      </c>
      <c r="BE847" s="11">
        <f t="shared" si="860"/>
        <v>0</v>
      </c>
      <c r="BG847" s="11">
        <f t="shared" si="861"/>
        <v>0</v>
      </c>
      <c r="BN847" s="8">
        <f t="shared" ref="BN847:BN911" si="862">(L847+P847+R847+T847+V847+X847+Z847+AB847+AD847+AF847+AJ847+AN847+AR847+AV847+AZ847+BD847)</f>
        <v>200</v>
      </c>
      <c r="BO847" s="8">
        <f t="shared" si="788"/>
        <v>12000</v>
      </c>
      <c r="BP847" s="8">
        <f t="shared" si="808"/>
        <v>0</v>
      </c>
      <c r="BQ847" s="12">
        <f t="shared" si="809"/>
        <v>0</v>
      </c>
    </row>
    <row r="848" spans="1:69">
      <c r="A848" s="28">
        <v>1989</v>
      </c>
      <c r="B848" s="27" t="s">
        <v>136</v>
      </c>
      <c r="C848" s="24">
        <f t="shared" si="824"/>
        <v>814</v>
      </c>
      <c r="D848" s="7" t="e">
        <f t="shared" ca="1" si="843"/>
        <v>#N/A</v>
      </c>
      <c r="E848" s="26">
        <f t="array" aca="1" ref="E848" ca="1">AVERAGE(IF(INDIRECT(DatCol&amp;"$"&amp;TEXT(C848,"###")):INDIRECT(DatCol&amp;"$"&amp;TEXT(C848+57,"###"))&gt;0,INDIRECT(DatCol&amp;"$"&amp;TEXT(C848,"###")):INDIRECT(DatCol&amp;"$"&amp;TEXT(C848+57,"###"))))</f>
        <v>67.17647058823529</v>
      </c>
      <c r="F848" s="26" t="str">
        <f t="shared" si="822"/>
        <v>I</v>
      </c>
      <c r="G848" s="8"/>
      <c r="H848" s="8" t="s">
        <v>28</v>
      </c>
      <c r="K848" s="9">
        <f t="shared" si="789"/>
        <v>0</v>
      </c>
      <c r="M848" s="11">
        <f t="shared" si="844"/>
        <v>0</v>
      </c>
      <c r="O848" s="11">
        <f t="shared" si="845"/>
        <v>0</v>
      </c>
      <c r="Q848" s="11">
        <f t="shared" si="846"/>
        <v>0</v>
      </c>
      <c r="Y848" s="11">
        <f t="shared" si="847"/>
        <v>0</v>
      </c>
      <c r="AG848" s="11">
        <f t="shared" si="848"/>
        <v>0</v>
      </c>
      <c r="AI848" s="11">
        <f t="shared" si="849"/>
        <v>0</v>
      </c>
      <c r="AK848" s="13">
        <f t="shared" si="850"/>
        <v>0</v>
      </c>
      <c r="AM848" s="13">
        <f t="shared" si="851"/>
        <v>0</v>
      </c>
      <c r="AO848" s="11">
        <f t="shared" si="852"/>
        <v>0</v>
      </c>
      <c r="AQ848" s="11">
        <f t="shared" si="853"/>
        <v>0</v>
      </c>
      <c r="AS848" s="11">
        <f t="shared" si="854"/>
        <v>0</v>
      </c>
      <c r="AU848" s="11">
        <f t="shared" si="855"/>
        <v>0</v>
      </c>
      <c r="AW848" s="11">
        <f t="shared" si="856"/>
        <v>0</v>
      </c>
      <c r="AY848" s="11">
        <f t="shared" si="857"/>
        <v>0</v>
      </c>
      <c r="BA848" s="11">
        <f t="shared" si="858"/>
        <v>0</v>
      </c>
      <c r="BC848" s="11">
        <f t="shared" si="859"/>
        <v>0</v>
      </c>
      <c r="BE848" s="11">
        <f t="shared" si="860"/>
        <v>0</v>
      </c>
      <c r="BG848" s="11">
        <f t="shared" si="861"/>
        <v>0</v>
      </c>
      <c r="BN848" s="8">
        <f t="shared" si="862"/>
        <v>0</v>
      </c>
      <c r="BO848" s="8">
        <f t="shared" ref="BO848:BO912" si="863">(M848+Q848+S848+U848+W848+Y848+AA848+AC848+AG848+AK848+AO848+AS848+AW848+BA848+BE848)</f>
        <v>0</v>
      </c>
      <c r="BP848" s="8">
        <f t="shared" si="808"/>
        <v>0</v>
      </c>
      <c r="BQ848" s="12">
        <f t="shared" si="809"/>
        <v>0</v>
      </c>
    </row>
    <row r="849" spans="1:69">
      <c r="A849" s="28">
        <v>1990</v>
      </c>
      <c r="B849" s="27" t="s">
        <v>136</v>
      </c>
      <c r="C849" s="24">
        <f t="shared" si="824"/>
        <v>814</v>
      </c>
      <c r="D849" s="7" t="e">
        <f t="shared" ca="1" si="843"/>
        <v>#N/A</v>
      </c>
      <c r="E849" s="26">
        <f t="array" aca="1" ref="E849" ca="1">AVERAGE(IF(INDIRECT(DatCol&amp;"$"&amp;TEXT(C849,"###")):INDIRECT(DatCol&amp;"$"&amp;TEXT(C849+57,"###"))&gt;0,INDIRECT(DatCol&amp;"$"&amp;TEXT(C849,"###")):INDIRECT(DatCol&amp;"$"&amp;TEXT(C849+57,"###"))))</f>
        <v>67.17647058823529</v>
      </c>
      <c r="F849" s="26" t="str">
        <f t="shared" si="822"/>
        <v>I</v>
      </c>
      <c r="G849" s="8">
        <v>11</v>
      </c>
      <c r="H849" s="8">
        <v>2</v>
      </c>
      <c r="I849" s="8">
        <v>4</v>
      </c>
      <c r="J849" s="8">
        <v>32</v>
      </c>
      <c r="K849" s="9">
        <f t="shared" ref="K849:K913" si="864">G849+H849+J849</f>
        <v>45</v>
      </c>
      <c r="L849" s="12">
        <v>36</v>
      </c>
      <c r="M849" s="11">
        <f t="shared" si="844"/>
        <v>1800</v>
      </c>
      <c r="N849" s="12">
        <v>16</v>
      </c>
      <c r="O849" s="11">
        <f t="shared" si="845"/>
        <v>800</v>
      </c>
      <c r="P849" s="12">
        <v>324</v>
      </c>
      <c r="Q849" s="11">
        <f t="shared" si="846"/>
        <v>19440</v>
      </c>
      <c r="X849" s="12">
        <v>21</v>
      </c>
      <c r="Y849" s="11">
        <f t="shared" si="847"/>
        <v>1260</v>
      </c>
      <c r="AG849" s="11">
        <f t="shared" si="848"/>
        <v>0</v>
      </c>
      <c r="AI849" s="11">
        <f t="shared" si="849"/>
        <v>0</v>
      </c>
      <c r="AK849" s="13">
        <f t="shared" si="850"/>
        <v>0</v>
      </c>
      <c r="AM849" s="13">
        <f t="shared" si="851"/>
        <v>0</v>
      </c>
      <c r="AO849" s="11">
        <f t="shared" si="852"/>
        <v>0</v>
      </c>
      <c r="AQ849" s="11">
        <f t="shared" si="853"/>
        <v>0</v>
      </c>
      <c r="AS849" s="11">
        <f t="shared" si="854"/>
        <v>0</v>
      </c>
      <c r="AU849" s="11">
        <f t="shared" si="855"/>
        <v>0</v>
      </c>
      <c r="AW849" s="11">
        <f t="shared" si="856"/>
        <v>0</v>
      </c>
      <c r="AY849" s="11">
        <f t="shared" si="857"/>
        <v>0</v>
      </c>
      <c r="BA849" s="11">
        <f t="shared" si="858"/>
        <v>0</v>
      </c>
      <c r="BC849" s="11">
        <f t="shared" si="859"/>
        <v>0</v>
      </c>
      <c r="BE849" s="11">
        <f t="shared" si="860"/>
        <v>0</v>
      </c>
      <c r="BG849" s="11">
        <f t="shared" si="861"/>
        <v>0</v>
      </c>
      <c r="BN849" s="8">
        <f t="shared" si="862"/>
        <v>381</v>
      </c>
      <c r="BO849" s="8">
        <f t="shared" si="863"/>
        <v>22500</v>
      </c>
      <c r="BP849" s="8">
        <f t="shared" si="808"/>
        <v>37</v>
      </c>
      <c r="BQ849" s="12">
        <f t="shared" si="809"/>
        <v>2060</v>
      </c>
    </row>
    <row r="850" spans="1:69">
      <c r="A850" s="28">
        <v>1991</v>
      </c>
      <c r="B850" s="27" t="s">
        <v>136</v>
      </c>
      <c r="C850" s="24">
        <f t="shared" si="824"/>
        <v>814</v>
      </c>
      <c r="D850" s="7" t="e">
        <f t="shared" ca="1" si="843"/>
        <v>#N/A</v>
      </c>
      <c r="E850" s="26">
        <f t="array" aca="1" ref="E850" ca="1">AVERAGE(IF(INDIRECT(DatCol&amp;"$"&amp;TEXT(C850,"###")):INDIRECT(DatCol&amp;"$"&amp;TEXT(C850+57,"###"))&gt;0,INDIRECT(DatCol&amp;"$"&amp;TEXT(C850,"###")):INDIRECT(DatCol&amp;"$"&amp;TEXT(C850+57,"###"))))</f>
        <v>67.17647058823529</v>
      </c>
      <c r="F850" s="26" t="str">
        <f t="shared" si="822"/>
        <v>I</v>
      </c>
      <c r="G850" s="8"/>
      <c r="H850" s="8" t="s">
        <v>28</v>
      </c>
      <c r="K850" s="9">
        <f t="shared" si="864"/>
        <v>0</v>
      </c>
      <c r="M850" s="11">
        <f t="shared" si="844"/>
        <v>0</v>
      </c>
      <c r="O850" s="11">
        <f t="shared" si="845"/>
        <v>0</v>
      </c>
      <c r="Q850" s="11">
        <f t="shared" si="846"/>
        <v>0</v>
      </c>
      <c r="Y850" s="11">
        <f t="shared" si="847"/>
        <v>0</v>
      </c>
      <c r="AG850" s="11">
        <f t="shared" si="848"/>
        <v>0</v>
      </c>
      <c r="AI850" s="11">
        <f t="shared" si="849"/>
        <v>0</v>
      </c>
      <c r="AK850" s="13">
        <f t="shared" si="850"/>
        <v>0</v>
      </c>
      <c r="AM850" s="13">
        <f t="shared" si="851"/>
        <v>0</v>
      </c>
      <c r="AO850" s="11">
        <f t="shared" si="852"/>
        <v>0</v>
      </c>
      <c r="AQ850" s="11">
        <f t="shared" si="853"/>
        <v>0</v>
      </c>
      <c r="AS850" s="11">
        <f t="shared" si="854"/>
        <v>0</v>
      </c>
      <c r="AU850" s="11">
        <f t="shared" si="855"/>
        <v>0</v>
      </c>
      <c r="AW850" s="11">
        <f t="shared" si="856"/>
        <v>0</v>
      </c>
      <c r="AY850" s="11">
        <f t="shared" si="857"/>
        <v>0</v>
      </c>
      <c r="BA850" s="11">
        <f t="shared" si="858"/>
        <v>0</v>
      </c>
      <c r="BC850" s="11">
        <f t="shared" si="859"/>
        <v>0</v>
      </c>
      <c r="BE850" s="11">
        <f t="shared" si="860"/>
        <v>0</v>
      </c>
      <c r="BG850" s="11">
        <f t="shared" si="861"/>
        <v>0</v>
      </c>
      <c r="BN850" s="8">
        <f t="shared" si="862"/>
        <v>0</v>
      </c>
      <c r="BO850" s="8">
        <f t="shared" si="863"/>
        <v>0</v>
      </c>
      <c r="BP850" s="8">
        <f t="shared" si="808"/>
        <v>0</v>
      </c>
      <c r="BQ850" s="12">
        <f t="shared" si="809"/>
        <v>0</v>
      </c>
    </row>
    <row r="851" spans="1:69">
      <c r="A851" s="28">
        <v>1992</v>
      </c>
      <c r="B851" s="27" t="s">
        <v>136</v>
      </c>
      <c r="C851" s="24">
        <f t="shared" si="824"/>
        <v>814</v>
      </c>
      <c r="D851" s="7" t="e">
        <f t="shared" ca="1" si="843"/>
        <v>#N/A</v>
      </c>
      <c r="E851" s="26">
        <f t="array" aca="1" ref="E851" ca="1">AVERAGE(IF(INDIRECT(DatCol&amp;"$"&amp;TEXT(C851,"###")):INDIRECT(DatCol&amp;"$"&amp;TEXT(C851+57,"###"))&gt;0,INDIRECT(DatCol&amp;"$"&amp;TEXT(C851,"###")):INDIRECT(DatCol&amp;"$"&amp;TEXT(C851+57,"###"))))</f>
        <v>67.17647058823529</v>
      </c>
      <c r="F851" s="26" t="str">
        <f t="shared" si="822"/>
        <v>I</v>
      </c>
      <c r="G851" s="8">
        <v>8</v>
      </c>
      <c r="H851" s="8">
        <v>9</v>
      </c>
      <c r="I851" s="8">
        <v>3</v>
      </c>
      <c r="J851" s="8">
        <v>41</v>
      </c>
      <c r="K851" s="9">
        <f t="shared" si="864"/>
        <v>58</v>
      </c>
      <c r="L851" s="12">
        <v>32</v>
      </c>
      <c r="M851" s="11">
        <f t="shared" si="844"/>
        <v>1600</v>
      </c>
      <c r="N851" s="12">
        <v>20</v>
      </c>
      <c r="O851" s="11">
        <f t="shared" si="845"/>
        <v>1000</v>
      </c>
      <c r="P851" s="12">
        <v>60</v>
      </c>
      <c r="Q851" s="11">
        <f t="shared" si="846"/>
        <v>3600</v>
      </c>
      <c r="X851" s="12">
        <v>10</v>
      </c>
      <c r="Y851" s="11">
        <f t="shared" si="847"/>
        <v>600</v>
      </c>
      <c r="AG851" s="11">
        <f t="shared" si="848"/>
        <v>0</v>
      </c>
      <c r="AI851" s="11">
        <f t="shared" si="849"/>
        <v>0</v>
      </c>
      <c r="AK851" s="13">
        <f t="shared" si="850"/>
        <v>0</v>
      </c>
      <c r="AM851" s="13">
        <f t="shared" si="851"/>
        <v>0</v>
      </c>
      <c r="AO851" s="11">
        <f t="shared" si="852"/>
        <v>0</v>
      </c>
      <c r="AQ851" s="11">
        <f t="shared" si="853"/>
        <v>0</v>
      </c>
      <c r="AS851" s="11">
        <f t="shared" si="854"/>
        <v>0</v>
      </c>
      <c r="AU851" s="11">
        <f t="shared" si="855"/>
        <v>0</v>
      </c>
      <c r="AW851" s="11">
        <f t="shared" si="856"/>
        <v>0</v>
      </c>
      <c r="AY851" s="11">
        <f t="shared" si="857"/>
        <v>0</v>
      </c>
      <c r="BA851" s="11">
        <f t="shared" si="858"/>
        <v>0</v>
      </c>
      <c r="BC851" s="11">
        <f t="shared" si="859"/>
        <v>0</v>
      </c>
      <c r="BE851" s="11">
        <f t="shared" si="860"/>
        <v>0</v>
      </c>
      <c r="BG851" s="11">
        <f t="shared" si="861"/>
        <v>0</v>
      </c>
      <c r="BN851" s="8">
        <f t="shared" si="862"/>
        <v>102</v>
      </c>
      <c r="BO851" s="8">
        <f t="shared" si="863"/>
        <v>5800</v>
      </c>
      <c r="BP851" s="8">
        <f t="shared" si="808"/>
        <v>30</v>
      </c>
      <c r="BQ851" s="12">
        <f t="shared" si="809"/>
        <v>1600</v>
      </c>
    </row>
    <row r="852" spans="1:69">
      <c r="A852" s="28">
        <v>1993</v>
      </c>
      <c r="B852" s="27" t="s">
        <v>136</v>
      </c>
      <c r="C852" s="24">
        <f t="shared" si="824"/>
        <v>814</v>
      </c>
      <c r="D852" s="7" t="e">
        <f t="shared" ca="1" si="843"/>
        <v>#N/A</v>
      </c>
      <c r="E852" s="26">
        <f t="array" aca="1" ref="E852" ca="1">AVERAGE(IF(INDIRECT(DatCol&amp;"$"&amp;TEXT(C852,"###")):INDIRECT(DatCol&amp;"$"&amp;TEXT(C852+57,"###"))&gt;0,INDIRECT(DatCol&amp;"$"&amp;TEXT(C852,"###")):INDIRECT(DatCol&amp;"$"&amp;TEXT(C852+57,"###"))))</f>
        <v>67.17647058823529</v>
      </c>
      <c r="F852" s="26" t="str">
        <f t="shared" si="822"/>
        <v>I</v>
      </c>
      <c r="G852" s="8">
        <v>12</v>
      </c>
      <c r="H852" s="8">
        <v>4</v>
      </c>
      <c r="I852" s="8">
        <v>4</v>
      </c>
      <c r="J852" s="8">
        <v>64</v>
      </c>
      <c r="K852" s="9">
        <f t="shared" si="864"/>
        <v>80</v>
      </c>
      <c r="L852" s="12">
        <v>24</v>
      </c>
      <c r="M852" s="11">
        <f t="shared" si="844"/>
        <v>1200</v>
      </c>
      <c r="N852" s="12">
        <v>23</v>
      </c>
      <c r="O852" s="11">
        <f t="shared" si="845"/>
        <v>1150</v>
      </c>
      <c r="P852" s="12">
        <v>75</v>
      </c>
      <c r="Q852" s="11">
        <f t="shared" si="846"/>
        <v>4500</v>
      </c>
      <c r="X852" s="12">
        <v>15</v>
      </c>
      <c r="Y852" s="11">
        <f t="shared" si="847"/>
        <v>900</v>
      </c>
      <c r="AG852" s="11">
        <f t="shared" si="848"/>
        <v>0</v>
      </c>
      <c r="AI852" s="11">
        <f t="shared" si="849"/>
        <v>0</v>
      </c>
      <c r="AK852" s="13">
        <f t="shared" si="850"/>
        <v>0</v>
      </c>
      <c r="AM852" s="13">
        <f t="shared" si="851"/>
        <v>0</v>
      </c>
      <c r="AO852" s="11">
        <f t="shared" si="852"/>
        <v>0</v>
      </c>
      <c r="AQ852" s="11">
        <f t="shared" si="853"/>
        <v>0</v>
      </c>
      <c r="AS852" s="11">
        <f t="shared" si="854"/>
        <v>0</v>
      </c>
      <c r="AU852" s="11">
        <f t="shared" si="855"/>
        <v>0</v>
      </c>
      <c r="AW852" s="11">
        <f t="shared" si="856"/>
        <v>0</v>
      </c>
      <c r="AY852" s="11">
        <f t="shared" si="857"/>
        <v>0</v>
      </c>
      <c r="BA852" s="11">
        <f t="shared" si="858"/>
        <v>0</v>
      </c>
      <c r="BC852" s="11">
        <f t="shared" si="859"/>
        <v>0</v>
      </c>
      <c r="BE852" s="11">
        <f t="shared" si="860"/>
        <v>0</v>
      </c>
      <c r="BG852" s="11">
        <f t="shared" si="861"/>
        <v>0</v>
      </c>
      <c r="BN852" s="8">
        <f t="shared" si="862"/>
        <v>114</v>
      </c>
      <c r="BO852" s="8">
        <f t="shared" si="863"/>
        <v>6600</v>
      </c>
      <c r="BP852" s="8">
        <f t="shared" si="808"/>
        <v>38</v>
      </c>
      <c r="BQ852" s="12">
        <f t="shared" si="809"/>
        <v>2050</v>
      </c>
    </row>
    <row r="853" spans="1:69">
      <c r="A853" s="28">
        <v>1994</v>
      </c>
      <c r="B853" s="27" t="s">
        <v>136</v>
      </c>
      <c r="C853" s="24">
        <f t="shared" si="824"/>
        <v>814</v>
      </c>
      <c r="D853" s="7" t="e">
        <f t="shared" ca="1" si="843"/>
        <v>#N/A</v>
      </c>
      <c r="E853" s="26">
        <f t="array" aca="1" ref="E853" ca="1">AVERAGE(IF(INDIRECT(DatCol&amp;"$"&amp;TEXT(C853,"###")):INDIRECT(DatCol&amp;"$"&amp;TEXT(C853+57,"###"))&gt;0,INDIRECT(DatCol&amp;"$"&amp;TEXT(C853,"###")):INDIRECT(DatCol&amp;"$"&amp;TEXT(C853+57,"###"))))</f>
        <v>67.17647058823529</v>
      </c>
      <c r="F853" s="26" t="str">
        <f t="shared" si="822"/>
        <v>I</v>
      </c>
      <c r="G853" s="8"/>
      <c r="H853" s="8" t="s">
        <v>28</v>
      </c>
      <c r="K853" s="9">
        <f t="shared" si="864"/>
        <v>0</v>
      </c>
      <c r="M853" s="11">
        <f>(L853*50)</f>
        <v>0</v>
      </c>
      <c r="O853" s="11">
        <f t="shared" ref="O853:O883" si="865">(N853*50)</f>
        <v>0</v>
      </c>
      <c r="Q853" s="11">
        <f t="shared" ref="Q853:Q883" si="866">((P853*330)/5.5)</f>
        <v>0</v>
      </c>
      <c r="Y853" s="11">
        <f t="shared" ref="Y853:Y883" si="867">((X853*330)/5.5)</f>
        <v>0</v>
      </c>
      <c r="AG853" s="11">
        <f t="shared" ref="AG853:AG883" si="868">(AF853*65)</f>
        <v>0</v>
      </c>
      <c r="AI853" s="11">
        <f t="shared" ref="AI853:AI883" si="869">(AH853*65)</f>
        <v>0</v>
      </c>
      <c r="AK853" s="13">
        <f t="shared" ref="AK853:AK883" si="870">(AJ853*9)</f>
        <v>0</v>
      </c>
      <c r="AM853" s="13">
        <f t="shared" ref="AM853:AM883" si="871">(AL853*9)</f>
        <v>0</v>
      </c>
      <c r="AO853" s="11">
        <f t="shared" ref="AO853:AO883" si="872">(AN853*80)</f>
        <v>0</v>
      </c>
      <c r="AQ853" s="11">
        <f t="shared" ref="AQ853:AQ883" si="873">(AP853*80)</f>
        <v>0</v>
      </c>
      <c r="AS853" s="11">
        <f t="shared" ref="AS853:AS883" si="874">(AR853*50)</f>
        <v>0</v>
      </c>
      <c r="AU853" s="11">
        <f t="shared" ref="AU853:AU883" si="875">(AT853*50)</f>
        <v>0</v>
      </c>
      <c r="AW853" s="11">
        <f t="shared" ref="AW853:AW883" si="876">(AV853*60)</f>
        <v>0</v>
      </c>
      <c r="AY853" s="11">
        <f t="shared" ref="AY853:AY883" si="877">(AX853*60)</f>
        <v>0</v>
      </c>
      <c r="BA853" s="11">
        <f t="shared" ref="BA853:BA883" si="878">(AZ853*40)</f>
        <v>0</v>
      </c>
      <c r="BC853" s="11">
        <f t="shared" ref="BC853:BC883" si="879">(BB853*40)</f>
        <v>0</v>
      </c>
      <c r="BE853" s="11">
        <f t="shared" ref="BE853:BE883" si="880">(BD853*95)</f>
        <v>0</v>
      </c>
      <c r="BG853" s="11">
        <f t="shared" ref="BG853:BG883" si="881">(BF853*95)</f>
        <v>0</v>
      </c>
      <c r="BN853" s="8">
        <f t="shared" si="862"/>
        <v>0</v>
      </c>
      <c r="BO853" s="8">
        <f t="shared" si="863"/>
        <v>0</v>
      </c>
      <c r="BP853" s="8">
        <f t="shared" si="808"/>
        <v>0</v>
      </c>
      <c r="BQ853" s="12">
        <f t="shared" si="809"/>
        <v>0</v>
      </c>
    </row>
    <row r="854" spans="1:69">
      <c r="A854" s="28">
        <v>1995</v>
      </c>
      <c r="B854" s="27" t="s">
        <v>136</v>
      </c>
      <c r="C854" s="24">
        <f t="shared" si="824"/>
        <v>814</v>
      </c>
      <c r="D854" s="7" t="e">
        <f t="shared" ca="1" si="843"/>
        <v>#N/A</v>
      </c>
      <c r="E854" s="26">
        <f t="array" aca="1" ref="E854" ca="1">AVERAGE(IF(INDIRECT(DatCol&amp;"$"&amp;TEXT(C854,"###")):INDIRECT(DatCol&amp;"$"&amp;TEXT(C854+57,"###"))&gt;0,INDIRECT(DatCol&amp;"$"&amp;TEXT(C854,"###")):INDIRECT(DatCol&amp;"$"&amp;TEXT(C854+57,"###"))))</f>
        <v>67.17647058823529</v>
      </c>
      <c r="F854" s="26" t="str">
        <f t="shared" si="822"/>
        <v>I</v>
      </c>
      <c r="H854" s="9">
        <v>0</v>
      </c>
      <c r="I854" s="9">
        <v>4</v>
      </c>
      <c r="J854" s="9">
        <v>4</v>
      </c>
      <c r="K854" s="9">
        <f t="shared" si="864"/>
        <v>4</v>
      </c>
      <c r="L854" s="10">
        <v>0</v>
      </c>
      <c r="M854" s="11">
        <f>(L854*50)</f>
        <v>0</v>
      </c>
      <c r="N854" s="10">
        <v>3</v>
      </c>
      <c r="O854" s="11">
        <f t="shared" si="865"/>
        <v>150</v>
      </c>
      <c r="P854" s="10">
        <v>275</v>
      </c>
      <c r="Q854" s="11">
        <f t="shared" si="866"/>
        <v>16500</v>
      </c>
      <c r="X854" s="10">
        <v>39</v>
      </c>
      <c r="Y854" s="11">
        <f t="shared" si="867"/>
        <v>2340</v>
      </c>
      <c r="AF854" s="10">
        <v>0</v>
      </c>
      <c r="AG854" s="11">
        <f t="shared" si="868"/>
        <v>0</v>
      </c>
      <c r="AH854" s="10">
        <v>0</v>
      </c>
      <c r="AI854" s="11">
        <f t="shared" si="869"/>
        <v>0</v>
      </c>
      <c r="AJ854" s="10">
        <v>0</v>
      </c>
      <c r="AK854" s="13">
        <f t="shared" si="870"/>
        <v>0</v>
      </c>
      <c r="AL854" s="10">
        <v>0</v>
      </c>
      <c r="AM854" s="13">
        <f t="shared" si="871"/>
        <v>0</v>
      </c>
      <c r="AN854" s="10">
        <v>0</v>
      </c>
      <c r="AO854" s="11">
        <f t="shared" si="872"/>
        <v>0</v>
      </c>
      <c r="AP854" s="10">
        <v>0</v>
      </c>
      <c r="AQ854" s="11">
        <f t="shared" si="873"/>
        <v>0</v>
      </c>
      <c r="AR854" s="10">
        <v>0</v>
      </c>
      <c r="AS854" s="11">
        <f t="shared" si="874"/>
        <v>0</v>
      </c>
      <c r="AT854" s="10">
        <v>0</v>
      </c>
      <c r="AU854" s="11">
        <f t="shared" si="875"/>
        <v>0</v>
      </c>
      <c r="AV854" s="10">
        <v>0</v>
      </c>
      <c r="AW854" s="11">
        <f t="shared" si="876"/>
        <v>0</v>
      </c>
      <c r="AX854" s="10">
        <v>0</v>
      </c>
      <c r="AY854" s="11">
        <f t="shared" si="877"/>
        <v>0</v>
      </c>
      <c r="AZ854" s="10">
        <v>0</v>
      </c>
      <c r="BA854" s="11">
        <f t="shared" si="878"/>
        <v>0</v>
      </c>
      <c r="BB854" s="10">
        <v>0</v>
      </c>
      <c r="BC854" s="11">
        <f t="shared" si="879"/>
        <v>0</v>
      </c>
      <c r="BD854" s="10">
        <v>0</v>
      </c>
      <c r="BE854" s="11">
        <f t="shared" si="880"/>
        <v>0</v>
      </c>
      <c r="BF854" s="10">
        <v>0</v>
      </c>
      <c r="BG854" s="11">
        <f t="shared" si="881"/>
        <v>0</v>
      </c>
      <c r="BH854" s="11">
        <v>0</v>
      </c>
      <c r="BN854" s="8">
        <f t="shared" si="862"/>
        <v>314</v>
      </c>
      <c r="BO854" s="8">
        <f t="shared" si="863"/>
        <v>18840</v>
      </c>
      <c r="BP854" s="8">
        <f t="shared" si="808"/>
        <v>42</v>
      </c>
      <c r="BQ854" s="12">
        <f t="shared" si="809"/>
        <v>2490</v>
      </c>
    </row>
    <row r="855" spans="1:69">
      <c r="A855" s="28">
        <v>1996</v>
      </c>
      <c r="B855" s="27" t="s">
        <v>136</v>
      </c>
      <c r="C855" s="24">
        <f t="shared" si="824"/>
        <v>814</v>
      </c>
      <c r="D855" s="7" t="e">
        <f t="shared" ca="1" si="843"/>
        <v>#N/A</v>
      </c>
      <c r="E855" s="26">
        <f t="array" aca="1" ref="E855" ca="1">AVERAGE(IF(INDIRECT(DatCol&amp;"$"&amp;TEXT(C855,"###")):INDIRECT(DatCol&amp;"$"&amp;TEXT(C855+57,"###"))&gt;0,INDIRECT(DatCol&amp;"$"&amp;TEXT(C855,"###")):INDIRECT(DatCol&amp;"$"&amp;TEXT(C855+57,"###"))))</f>
        <v>67.17647058823529</v>
      </c>
      <c r="F855" s="26" t="str">
        <f t="shared" si="822"/>
        <v>I</v>
      </c>
      <c r="H855" s="9">
        <v>0</v>
      </c>
      <c r="I855" s="9">
        <v>2</v>
      </c>
      <c r="J855" s="9">
        <v>7</v>
      </c>
      <c r="K855" s="9">
        <f t="shared" si="864"/>
        <v>7</v>
      </c>
      <c r="L855" s="10">
        <v>0</v>
      </c>
      <c r="M855" s="11">
        <v>0</v>
      </c>
      <c r="N855" s="10">
        <v>0</v>
      </c>
      <c r="O855" s="11">
        <f t="shared" si="865"/>
        <v>0</v>
      </c>
      <c r="P855" s="10">
        <v>0</v>
      </c>
      <c r="Q855" s="11">
        <f t="shared" si="866"/>
        <v>0</v>
      </c>
      <c r="X855" s="10">
        <v>0</v>
      </c>
      <c r="Y855" s="11">
        <f t="shared" si="867"/>
        <v>0</v>
      </c>
      <c r="AF855" s="10">
        <v>0</v>
      </c>
      <c r="AG855" s="11">
        <f t="shared" si="868"/>
        <v>0</v>
      </c>
      <c r="AH855" s="10">
        <v>0</v>
      </c>
      <c r="AI855" s="11">
        <f t="shared" si="869"/>
        <v>0</v>
      </c>
      <c r="AJ855" s="10">
        <v>256</v>
      </c>
      <c r="AK855" s="13">
        <f t="shared" si="870"/>
        <v>2304</v>
      </c>
      <c r="AL855" s="10">
        <v>2</v>
      </c>
      <c r="AM855" s="13">
        <f t="shared" si="871"/>
        <v>18</v>
      </c>
      <c r="AN855" s="10">
        <v>0</v>
      </c>
      <c r="AO855" s="11">
        <f t="shared" si="872"/>
        <v>0</v>
      </c>
      <c r="AP855" s="10">
        <v>0</v>
      </c>
      <c r="AQ855" s="11">
        <f t="shared" si="873"/>
        <v>0</v>
      </c>
      <c r="AR855" s="10">
        <v>0</v>
      </c>
      <c r="AS855" s="11">
        <f t="shared" si="874"/>
        <v>0</v>
      </c>
      <c r="AT855" s="10">
        <v>0</v>
      </c>
      <c r="AU855" s="11">
        <f t="shared" si="875"/>
        <v>0</v>
      </c>
      <c r="AV855" s="10">
        <v>0</v>
      </c>
      <c r="AW855" s="11">
        <f t="shared" si="876"/>
        <v>0</v>
      </c>
      <c r="AX855" s="10">
        <v>0</v>
      </c>
      <c r="AY855" s="11">
        <f t="shared" si="877"/>
        <v>0</v>
      </c>
      <c r="AZ855" s="10">
        <v>0</v>
      </c>
      <c r="BA855" s="11">
        <f t="shared" si="878"/>
        <v>0</v>
      </c>
      <c r="BB855" s="10">
        <v>0</v>
      </c>
      <c r="BC855" s="11">
        <f t="shared" si="879"/>
        <v>0</v>
      </c>
      <c r="BD855" s="10">
        <v>0</v>
      </c>
      <c r="BE855" s="11">
        <f t="shared" si="880"/>
        <v>0</v>
      </c>
      <c r="BF855" s="10">
        <v>0</v>
      </c>
      <c r="BG855" s="11">
        <f t="shared" si="881"/>
        <v>0</v>
      </c>
      <c r="BH855" s="11">
        <v>0</v>
      </c>
      <c r="BN855" s="8">
        <f t="shared" si="862"/>
        <v>256</v>
      </c>
      <c r="BO855" s="8">
        <f t="shared" si="863"/>
        <v>2304</v>
      </c>
      <c r="BP855" s="8">
        <f t="shared" si="808"/>
        <v>2</v>
      </c>
      <c r="BQ855" s="12">
        <f t="shared" si="809"/>
        <v>18</v>
      </c>
    </row>
    <row r="856" spans="1:69">
      <c r="A856" s="28">
        <v>1997</v>
      </c>
      <c r="B856" s="27" t="s">
        <v>136</v>
      </c>
      <c r="C856" s="24">
        <f t="shared" si="824"/>
        <v>814</v>
      </c>
      <c r="D856" s="7" t="e">
        <f t="shared" ca="1" si="843"/>
        <v>#N/A</v>
      </c>
      <c r="E856" s="26">
        <f t="array" aca="1" ref="E856" ca="1">AVERAGE(IF(INDIRECT(DatCol&amp;"$"&amp;TEXT(C856,"###")):INDIRECT(DatCol&amp;"$"&amp;TEXT(C856+57,"###"))&gt;0,INDIRECT(DatCol&amp;"$"&amp;TEXT(C856,"###")):INDIRECT(DatCol&amp;"$"&amp;TEXT(C856+57,"###"))))</f>
        <v>67.17647058823529</v>
      </c>
      <c r="F856" s="26" t="str">
        <f t="shared" si="822"/>
        <v>I</v>
      </c>
      <c r="H856" s="9">
        <v>0</v>
      </c>
      <c r="I856" s="9">
        <v>6</v>
      </c>
      <c r="J856" s="9">
        <v>50</v>
      </c>
      <c r="K856" s="9">
        <f t="shared" si="864"/>
        <v>50</v>
      </c>
      <c r="L856" s="10">
        <v>0</v>
      </c>
      <c r="M856" s="11">
        <v>0</v>
      </c>
      <c r="N856" s="10">
        <v>12</v>
      </c>
      <c r="O856" s="11">
        <f t="shared" si="865"/>
        <v>600</v>
      </c>
      <c r="P856" s="10">
        <v>0</v>
      </c>
      <c r="Q856" s="11">
        <f t="shared" si="866"/>
        <v>0</v>
      </c>
      <c r="X856" s="10">
        <v>10</v>
      </c>
      <c r="Y856" s="11">
        <f t="shared" si="867"/>
        <v>600</v>
      </c>
      <c r="AF856" s="10">
        <v>0</v>
      </c>
      <c r="AG856" s="11">
        <f t="shared" si="868"/>
        <v>0</v>
      </c>
      <c r="AH856" s="10">
        <v>0</v>
      </c>
      <c r="AI856" s="11">
        <f t="shared" si="869"/>
        <v>0</v>
      </c>
      <c r="AJ856" s="10">
        <v>273</v>
      </c>
      <c r="AK856" s="13">
        <f t="shared" si="870"/>
        <v>2457</v>
      </c>
      <c r="AL856" s="10">
        <v>8</v>
      </c>
      <c r="AM856" s="13">
        <f t="shared" si="871"/>
        <v>72</v>
      </c>
      <c r="AN856" s="10">
        <v>0</v>
      </c>
      <c r="AO856" s="11">
        <f t="shared" si="872"/>
        <v>0</v>
      </c>
      <c r="AP856" s="10">
        <v>0</v>
      </c>
      <c r="AQ856" s="11">
        <f t="shared" si="873"/>
        <v>0</v>
      </c>
      <c r="AR856" s="10">
        <v>0</v>
      </c>
      <c r="AS856" s="11">
        <f t="shared" si="874"/>
        <v>0</v>
      </c>
      <c r="AT856" s="10">
        <v>0</v>
      </c>
      <c r="AU856" s="11">
        <f t="shared" si="875"/>
        <v>0</v>
      </c>
      <c r="AV856" s="10">
        <v>0</v>
      </c>
      <c r="AW856" s="11">
        <f t="shared" si="876"/>
        <v>0</v>
      </c>
      <c r="AX856" s="10">
        <v>0</v>
      </c>
      <c r="AY856" s="11">
        <f t="shared" si="877"/>
        <v>0</v>
      </c>
      <c r="AZ856" s="10">
        <v>0</v>
      </c>
      <c r="BA856" s="11">
        <f t="shared" si="878"/>
        <v>0</v>
      </c>
      <c r="BB856" s="10">
        <v>0</v>
      </c>
      <c r="BC856" s="11">
        <f t="shared" si="879"/>
        <v>0</v>
      </c>
      <c r="BD856" s="10">
        <v>0</v>
      </c>
      <c r="BE856" s="11">
        <f t="shared" si="880"/>
        <v>0</v>
      </c>
      <c r="BF856" s="10">
        <v>0</v>
      </c>
      <c r="BG856" s="11">
        <f t="shared" si="881"/>
        <v>0</v>
      </c>
      <c r="BH856" s="11">
        <v>0</v>
      </c>
      <c r="BN856" s="8">
        <f t="shared" si="862"/>
        <v>283</v>
      </c>
      <c r="BO856" s="8">
        <f t="shared" si="863"/>
        <v>3057</v>
      </c>
      <c r="BP856" s="8">
        <f t="shared" si="808"/>
        <v>30</v>
      </c>
      <c r="BQ856" s="12">
        <f t="shared" si="809"/>
        <v>1272</v>
      </c>
    </row>
    <row r="857" spans="1:69">
      <c r="A857" s="28">
        <v>1998</v>
      </c>
      <c r="B857" s="27" t="s">
        <v>136</v>
      </c>
      <c r="C857" s="24">
        <f t="shared" si="824"/>
        <v>814</v>
      </c>
      <c r="D857" s="7" t="e">
        <f t="shared" ca="1" si="843"/>
        <v>#N/A</v>
      </c>
      <c r="E857" s="26">
        <f t="array" aca="1" ref="E857" ca="1">AVERAGE(IF(INDIRECT(DatCol&amp;"$"&amp;TEXT(C857,"###")):INDIRECT(DatCol&amp;"$"&amp;TEXT(C857+57,"###"))&gt;0,INDIRECT(DatCol&amp;"$"&amp;TEXT(C857,"###")):INDIRECT(DatCol&amp;"$"&amp;TEXT(C857+57,"###"))))</f>
        <v>67.17647058823529</v>
      </c>
      <c r="F857" s="26" t="str">
        <f t="shared" si="822"/>
        <v>I</v>
      </c>
      <c r="G857" s="9">
        <v>15</v>
      </c>
      <c r="H857" s="9">
        <v>1</v>
      </c>
      <c r="I857" s="9">
        <v>30</v>
      </c>
      <c r="J857" s="9">
        <v>30</v>
      </c>
      <c r="K857" s="9">
        <f t="shared" si="864"/>
        <v>46</v>
      </c>
      <c r="L857" s="10">
        <v>0</v>
      </c>
      <c r="M857" s="11">
        <v>0</v>
      </c>
      <c r="N857" s="10">
        <f>O857/50</f>
        <v>240</v>
      </c>
      <c r="O857" s="11">
        <v>12000</v>
      </c>
      <c r="P857" s="10">
        <v>0</v>
      </c>
      <c r="Q857" s="11">
        <v>0</v>
      </c>
      <c r="R857" s="10">
        <f>S857/60</f>
        <v>15.833333333333334</v>
      </c>
      <c r="S857" s="11">
        <v>950</v>
      </c>
      <c r="T857" s="10">
        <f>U857/60</f>
        <v>22.5</v>
      </c>
      <c r="U857" s="11">
        <v>1350</v>
      </c>
      <c r="V857" s="10">
        <f>W857/60</f>
        <v>25</v>
      </c>
      <c r="W857" s="11">
        <v>1500</v>
      </c>
      <c r="X857" s="10">
        <f>Y857/60</f>
        <v>200</v>
      </c>
      <c r="Y857" s="11">
        <v>12000</v>
      </c>
      <c r="Z857" s="10">
        <v>0</v>
      </c>
      <c r="AA857" s="11">
        <v>0</v>
      </c>
      <c r="AB857" s="10">
        <v>0</v>
      </c>
      <c r="AC857" s="11">
        <v>0</v>
      </c>
      <c r="AD857" s="10">
        <v>0</v>
      </c>
      <c r="AE857" s="11">
        <v>0</v>
      </c>
      <c r="AF857" s="10">
        <v>0</v>
      </c>
      <c r="AG857" s="11">
        <v>0</v>
      </c>
      <c r="AH857" s="10">
        <v>0</v>
      </c>
      <c r="AI857" s="11">
        <v>0</v>
      </c>
      <c r="AJ857" s="10">
        <f>AK857/9</f>
        <v>5072.2222222222226</v>
      </c>
      <c r="AK857" s="13">
        <v>45650</v>
      </c>
      <c r="AL857" s="10">
        <v>4.5999999999999996</v>
      </c>
      <c r="AM857" s="13">
        <f>AL857*9</f>
        <v>41.4</v>
      </c>
      <c r="AN857" s="10">
        <v>0</v>
      </c>
      <c r="AO857" s="11">
        <v>0</v>
      </c>
      <c r="AP857" s="10">
        <v>0</v>
      </c>
      <c r="AQ857" s="11">
        <v>0</v>
      </c>
      <c r="AR857" s="10">
        <v>0</v>
      </c>
      <c r="AS857" s="11">
        <v>0</v>
      </c>
      <c r="AT857" s="10">
        <v>0</v>
      </c>
      <c r="AU857" s="11">
        <v>0</v>
      </c>
      <c r="AV857" s="10">
        <v>0</v>
      </c>
      <c r="AW857" s="11">
        <v>0</v>
      </c>
      <c r="AX857" s="10">
        <v>0</v>
      </c>
      <c r="AY857" s="11">
        <v>0</v>
      </c>
      <c r="AZ857" s="10">
        <v>0</v>
      </c>
      <c r="BA857" s="11">
        <v>0</v>
      </c>
      <c r="BB857" s="10">
        <v>0</v>
      </c>
      <c r="BC857" s="11">
        <v>0</v>
      </c>
      <c r="BD857" s="10">
        <v>0</v>
      </c>
      <c r="BE857" s="11">
        <v>0</v>
      </c>
      <c r="BF857" s="10">
        <v>0</v>
      </c>
      <c r="BG857" s="11">
        <v>0</v>
      </c>
      <c r="BH857" s="11">
        <v>0</v>
      </c>
      <c r="BI857" s="11">
        <v>0</v>
      </c>
      <c r="BN857" s="8">
        <f t="shared" si="862"/>
        <v>5335.5555555555557</v>
      </c>
      <c r="BO857" s="8">
        <f t="shared" si="863"/>
        <v>61450</v>
      </c>
      <c r="BP857" s="8">
        <f t="shared" si="808"/>
        <v>444.6</v>
      </c>
      <c r="BQ857" s="12">
        <f t="shared" si="809"/>
        <v>24041.4</v>
      </c>
    </row>
    <row r="858" spans="1:69">
      <c r="A858" s="28">
        <v>1999</v>
      </c>
      <c r="B858" s="27" t="s">
        <v>136</v>
      </c>
      <c r="C858" s="24">
        <f t="shared" si="824"/>
        <v>814</v>
      </c>
      <c r="D858" s="7" t="e">
        <f t="shared" ca="1" si="843"/>
        <v>#N/A</v>
      </c>
      <c r="E858" s="26">
        <f t="array" aca="1" ref="E858" ca="1">AVERAGE(IF(INDIRECT(DatCol&amp;"$"&amp;TEXT(C858,"###")):INDIRECT(DatCol&amp;"$"&amp;TEXT(C858+57,"###"))&gt;0,INDIRECT(DatCol&amp;"$"&amp;TEXT(C858,"###")):INDIRECT(DatCol&amp;"$"&amp;TEXT(C858+57,"###"))))</f>
        <v>67.17647058823529</v>
      </c>
      <c r="F858" s="26" t="str">
        <f t="shared" si="822"/>
        <v>I</v>
      </c>
      <c r="G858" s="9">
        <v>10</v>
      </c>
      <c r="H858" s="9">
        <v>0</v>
      </c>
      <c r="I858" s="9">
        <v>34</v>
      </c>
      <c r="J858" s="9">
        <v>46</v>
      </c>
      <c r="K858" s="9">
        <f t="shared" si="864"/>
        <v>56</v>
      </c>
      <c r="L858" s="10">
        <v>0</v>
      </c>
      <c r="M858" s="11">
        <v>0</v>
      </c>
      <c r="N858" s="10">
        <f>O858/50</f>
        <v>159</v>
      </c>
      <c r="O858" s="11">
        <v>7950</v>
      </c>
      <c r="P858" s="10">
        <v>0</v>
      </c>
      <c r="Q858" s="11">
        <v>0</v>
      </c>
      <c r="R858" s="10">
        <v>0</v>
      </c>
      <c r="S858" s="11">
        <v>0</v>
      </c>
      <c r="T858" s="10">
        <v>0</v>
      </c>
      <c r="U858" s="11">
        <v>0</v>
      </c>
      <c r="V858" s="10">
        <v>0</v>
      </c>
      <c r="W858" s="11">
        <v>0</v>
      </c>
      <c r="X858" s="10">
        <f>Y858/60</f>
        <v>159</v>
      </c>
      <c r="Y858" s="11">
        <v>9540</v>
      </c>
      <c r="Z858" s="10">
        <v>0</v>
      </c>
      <c r="AA858" s="11">
        <v>0</v>
      </c>
      <c r="AB858" s="10">
        <v>0</v>
      </c>
      <c r="AC858" s="11">
        <v>0</v>
      </c>
      <c r="AD858" s="10">
        <v>0</v>
      </c>
      <c r="AE858" s="11">
        <v>0</v>
      </c>
      <c r="AF858" s="10">
        <v>0</v>
      </c>
      <c r="AG858" s="11">
        <v>0</v>
      </c>
      <c r="AH858" s="10">
        <v>0</v>
      </c>
      <c r="AI858" s="11">
        <v>0</v>
      </c>
      <c r="AJ858" s="10">
        <f>AK858/9</f>
        <v>6044.4444444444443</v>
      </c>
      <c r="AK858" s="13">
        <v>54400</v>
      </c>
      <c r="AL858" s="10">
        <v>0</v>
      </c>
      <c r="AM858" s="13">
        <v>0</v>
      </c>
      <c r="AN858" s="10">
        <v>0</v>
      </c>
      <c r="AO858" s="11">
        <v>0</v>
      </c>
      <c r="AP858" s="10">
        <v>0</v>
      </c>
      <c r="AQ858" s="11">
        <v>0</v>
      </c>
      <c r="AR858" s="10">
        <v>0</v>
      </c>
      <c r="AS858" s="11">
        <v>0</v>
      </c>
      <c r="AT858" s="10">
        <v>0</v>
      </c>
      <c r="AU858" s="11">
        <v>0</v>
      </c>
      <c r="AV858" s="10">
        <v>0</v>
      </c>
      <c r="AW858" s="11">
        <v>0</v>
      </c>
      <c r="AX858" s="10">
        <v>0</v>
      </c>
      <c r="AY858" s="11">
        <v>0</v>
      </c>
      <c r="AZ858" s="10">
        <v>0</v>
      </c>
      <c r="BA858" s="11">
        <v>0</v>
      </c>
      <c r="BB858" s="10">
        <v>0</v>
      </c>
      <c r="BC858" s="11">
        <v>0</v>
      </c>
      <c r="BD858" s="10">
        <v>0</v>
      </c>
      <c r="BE858" s="11">
        <v>0</v>
      </c>
      <c r="BF858" s="10">
        <v>0</v>
      </c>
      <c r="BG858" s="11">
        <v>0</v>
      </c>
      <c r="BH858" s="11">
        <v>0</v>
      </c>
      <c r="BI858" s="11">
        <v>0</v>
      </c>
      <c r="BN858" s="8">
        <f t="shared" si="862"/>
        <v>6203.4444444444443</v>
      </c>
      <c r="BO858" s="8">
        <f t="shared" si="863"/>
        <v>63940</v>
      </c>
      <c r="BP858" s="8">
        <f t="shared" ref="BP858:BP922" si="882">(N858+X858+Z858+AB858+AD858+AH858+AL858+AP858+AT858+AX858+BB858+BF858)</f>
        <v>318</v>
      </c>
      <c r="BQ858" s="12">
        <f t="shared" ref="BQ858:BQ922" si="883">(O858+Y858+AA858+AC858+AE858+AI858+AM858+AQ858+AU858+AY858+BC858+BG858)</f>
        <v>17490</v>
      </c>
    </row>
    <row r="859" spans="1:69">
      <c r="A859" s="28">
        <v>2000</v>
      </c>
      <c r="B859" s="27" t="s">
        <v>136</v>
      </c>
      <c r="C859" s="24">
        <f t="shared" si="824"/>
        <v>814</v>
      </c>
      <c r="D859" s="7" t="e">
        <f t="shared" ca="1" si="843"/>
        <v>#N/A</v>
      </c>
      <c r="E859" s="26">
        <f t="array" aca="1" ref="E859" ca="1">AVERAGE(IF(INDIRECT(DatCol&amp;"$"&amp;TEXT(C859,"###")):INDIRECT(DatCol&amp;"$"&amp;TEXT(C859+57,"###"))&gt;0,INDIRECT(DatCol&amp;"$"&amp;TEXT(C859,"###")):INDIRECT(DatCol&amp;"$"&amp;TEXT(C859+57,"###"))))</f>
        <v>67.17647058823529</v>
      </c>
      <c r="F859" s="26" t="str">
        <f t="shared" si="822"/>
        <v>I</v>
      </c>
      <c r="G859" s="9">
        <v>0</v>
      </c>
      <c r="H859" s="9">
        <v>0</v>
      </c>
      <c r="I859" s="9">
        <v>10</v>
      </c>
      <c r="J859" s="9">
        <v>57</v>
      </c>
      <c r="K859" s="9">
        <f t="shared" si="864"/>
        <v>57</v>
      </c>
      <c r="L859" s="10">
        <v>0</v>
      </c>
      <c r="M859" s="11">
        <v>0</v>
      </c>
      <c r="N859" s="10">
        <f>O859/50</f>
        <v>60</v>
      </c>
      <c r="O859" s="11">
        <v>3000</v>
      </c>
      <c r="P859" s="10">
        <v>0</v>
      </c>
      <c r="Q859" s="11">
        <v>0</v>
      </c>
      <c r="R859" s="10">
        <f>S859/75</f>
        <v>21.333333333333332</v>
      </c>
      <c r="S859" s="11">
        <v>1600</v>
      </c>
      <c r="T859" s="10">
        <f>U859/75</f>
        <v>42.666666666666664</v>
      </c>
      <c r="U859" s="11">
        <v>3200</v>
      </c>
      <c r="V859" s="10">
        <f>W859/75</f>
        <v>85.333333333333329</v>
      </c>
      <c r="W859" s="11">
        <v>6400</v>
      </c>
      <c r="X859" s="10">
        <f>Y859/75</f>
        <v>16</v>
      </c>
      <c r="Y859" s="11">
        <v>1200</v>
      </c>
      <c r="Z859" s="10">
        <v>0</v>
      </c>
      <c r="AA859" s="11">
        <v>0</v>
      </c>
      <c r="AB859" s="10">
        <v>0</v>
      </c>
      <c r="AC859" s="11">
        <v>0</v>
      </c>
      <c r="AD859" s="10">
        <v>0</v>
      </c>
      <c r="AE859" s="11">
        <v>0</v>
      </c>
      <c r="AF859" s="10">
        <v>0</v>
      </c>
      <c r="AG859" s="11">
        <v>0</v>
      </c>
      <c r="AH859" s="10">
        <v>0</v>
      </c>
      <c r="AI859" s="11">
        <v>0</v>
      </c>
      <c r="AJ859" s="10">
        <v>0</v>
      </c>
      <c r="AK859" s="13">
        <v>0</v>
      </c>
      <c r="AL859" s="10">
        <v>0</v>
      </c>
      <c r="AM859" s="13">
        <v>0</v>
      </c>
      <c r="AN859" s="10">
        <v>0</v>
      </c>
      <c r="AO859" s="11">
        <v>0</v>
      </c>
      <c r="AP859" s="10">
        <v>0</v>
      </c>
      <c r="AQ859" s="11">
        <v>0</v>
      </c>
      <c r="AR859" s="10">
        <v>0</v>
      </c>
      <c r="AS859" s="11">
        <v>0</v>
      </c>
      <c r="AT859" s="10">
        <v>0</v>
      </c>
      <c r="AU859" s="11">
        <v>0</v>
      </c>
      <c r="AV859" s="10">
        <v>0</v>
      </c>
      <c r="AW859" s="11">
        <v>0</v>
      </c>
      <c r="AX859" s="10">
        <v>0</v>
      </c>
      <c r="AY859" s="11">
        <v>0</v>
      </c>
      <c r="AZ859" s="10">
        <v>0</v>
      </c>
      <c r="BA859" s="11">
        <v>0</v>
      </c>
      <c r="BB859" s="10">
        <v>0</v>
      </c>
      <c r="BC859" s="11">
        <v>0</v>
      </c>
      <c r="BD859" s="10">
        <v>0</v>
      </c>
      <c r="BE859" s="11">
        <v>0</v>
      </c>
      <c r="BF859" s="10">
        <v>0</v>
      </c>
      <c r="BG859" s="11">
        <v>0</v>
      </c>
      <c r="BN859" s="8">
        <f t="shared" si="862"/>
        <v>165.33333333333331</v>
      </c>
      <c r="BO859" s="8">
        <f t="shared" si="863"/>
        <v>12400</v>
      </c>
      <c r="BP859" s="8">
        <f t="shared" si="882"/>
        <v>76</v>
      </c>
      <c r="BQ859" s="12">
        <f t="shared" si="883"/>
        <v>4200</v>
      </c>
    </row>
    <row r="860" spans="1:69">
      <c r="A860" s="28">
        <v>2001</v>
      </c>
      <c r="B860" s="27" t="s">
        <v>136</v>
      </c>
      <c r="C860" s="24">
        <f t="shared" si="824"/>
        <v>814</v>
      </c>
      <c r="D860" s="7" t="e">
        <f t="shared" ca="1" si="843"/>
        <v>#N/A</v>
      </c>
      <c r="E860" s="26">
        <f t="array" aca="1" ref="E860" ca="1">AVERAGE(IF(INDIRECT(DatCol&amp;"$"&amp;TEXT(C860,"###")):INDIRECT(DatCol&amp;"$"&amp;TEXT(C860+57,"###"))&gt;0,INDIRECT(DatCol&amp;"$"&amp;TEXT(C860,"###")):INDIRECT(DatCol&amp;"$"&amp;TEXT(C860+57,"###"))))</f>
        <v>67.17647058823529</v>
      </c>
      <c r="F860" s="26" t="str">
        <f t="shared" si="822"/>
        <v>I</v>
      </c>
      <c r="G860" s="9">
        <v>0</v>
      </c>
      <c r="H860" s="9">
        <v>0</v>
      </c>
      <c r="I860" s="9">
        <v>8</v>
      </c>
      <c r="J860" s="9">
        <v>48</v>
      </c>
      <c r="K860" s="9">
        <f t="shared" si="864"/>
        <v>48</v>
      </c>
      <c r="L860" s="10">
        <v>0</v>
      </c>
      <c r="M860" s="11">
        <v>0</v>
      </c>
      <c r="N860" s="10">
        <f>O860/50</f>
        <v>40</v>
      </c>
      <c r="O860" s="11">
        <v>2000</v>
      </c>
      <c r="P860" s="10">
        <v>0</v>
      </c>
      <c r="Q860" s="11">
        <v>0</v>
      </c>
      <c r="R860" s="10">
        <v>0</v>
      </c>
      <c r="S860" s="11">
        <v>0</v>
      </c>
      <c r="T860" s="10">
        <v>0</v>
      </c>
      <c r="U860" s="11">
        <v>0</v>
      </c>
      <c r="V860" s="10">
        <v>0</v>
      </c>
      <c r="W860" s="11">
        <v>0</v>
      </c>
      <c r="X860" s="10">
        <v>0</v>
      </c>
      <c r="Y860" s="11">
        <v>0</v>
      </c>
      <c r="Z860" s="10">
        <v>0</v>
      </c>
      <c r="AA860" s="11">
        <v>0</v>
      </c>
      <c r="AB860" s="10">
        <v>0</v>
      </c>
      <c r="AC860" s="11">
        <v>0</v>
      </c>
      <c r="AD860" s="10">
        <v>0</v>
      </c>
      <c r="AE860" s="11">
        <v>0</v>
      </c>
      <c r="AF860" s="10">
        <v>0</v>
      </c>
      <c r="AG860" s="11">
        <v>0</v>
      </c>
      <c r="AH860" s="10">
        <v>0</v>
      </c>
      <c r="AI860" s="11">
        <v>0</v>
      </c>
      <c r="AJ860" s="10">
        <f>AK860/9</f>
        <v>501.33333333333331</v>
      </c>
      <c r="AK860" s="13">
        <v>4512</v>
      </c>
      <c r="AL860" s="10">
        <v>0</v>
      </c>
      <c r="AM860" s="13">
        <v>0</v>
      </c>
      <c r="AN860" s="10">
        <v>0</v>
      </c>
      <c r="AO860" s="11">
        <v>0</v>
      </c>
      <c r="AP860" s="10">
        <v>0</v>
      </c>
      <c r="AQ860" s="11">
        <v>0</v>
      </c>
      <c r="AR860" s="10">
        <v>0</v>
      </c>
      <c r="AS860" s="11">
        <v>0</v>
      </c>
      <c r="AT860" s="10">
        <v>0</v>
      </c>
      <c r="AU860" s="11">
        <v>0</v>
      </c>
      <c r="AV860" s="10">
        <v>0</v>
      </c>
      <c r="AW860" s="11">
        <v>0</v>
      </c>
      <c r="AX860" s="10">
        <v>0</v>
      </c>
      <c r="AY860" s="11">
        <v>0</v>
      </c>
      <c r="AZ860" s="10">
        <v>0</v>
      </c>
      <c r="BA860" s="11">
        <v>0</v>
      </c>
      <c r="BB860" s="10">
        <v>0</v>
      </c>
      <c r="BC860" s="11">
        <v>0</v>
      </c>
      <c r="BD860" s="10">
        <v>0</v>
      </c>
      <c r="BE860" s="11">
        <v>0</v>
      </c>
      <c r="BF860" s="10">
        <v>0</v>
      </c>
      <c r="BG860" s="11">
        <v>0</v>
      </c>
      <c r="BN860" s="8">
        <f t="shared" si="862"/>
        <v>501.33333333333331</v>
      </c>
      <c r="BO860" s="8">
        <f t="shared" si="863"/>
        <v>4512</v>
      </c>
      <c r="BP860" s="8">
        <f t="shared" si="882"/>
        <v>40</v>
      </c>
      <c r="BQ860" s="12">
        <f t="shared" si="883"/>
        <v>2000</v>
      </c>
    </row>
    <row r="861" spans="1:69">
      <c r="A861" s="28">
        <v>2002</v>
      </c>
      <c r="B861" s="27" t="s">
        <v>136</v>
      </c>
      <c r="C861" s="24">
        <f t="shared" si="824"/>
        <v>814</v>
      </c>
      <c r="D861" s="7" t="e">
        <f t="shared" ca="1" si="843"/>
        <v>#N/A</v>
      </c>
      <c r="E861" s="26">
        <f t="array" aca="1" ref="E861" ca="1">AVERAGE(IF(INDIRECT(DatCol&amp;"$"&amp;TEXT(C861,"###")):INDIRECT(DatCol&amp;"$"&amp;TEXT(C861+57,"###"))&gt;0,INDIRECT(DatCol&amp;"$"&amp;TEXT(C861,"###")):INDIRECT(DatCol&amp;"$"&amp;TEXT(C861+57,"###"))))</f>
        <v>67.17647058823529</v>
      </c>
      <c r="F861" s="26" t="str">
        <f t="shared" si="822"/>
        <v>I</v>
      </c>
      <c r="G861" s="9">
        <v>0</v>
      </c>
      <c r="H861" s="9">
        <v>3</v>
      </c>
      <c r="I861" s="9">
        <v>18</v>
      </c>
      <c r="J861" s="9">
        <v>51</v>
      </c>
      <c r="K861" s="9">
        <f t="shared" si="864"/>
        <v>54</v>
      </c>
      <c r="L861" s="10">
        <v>0</v>
      </c>
      <c r="M861" s="11">
        <v>0</v>
      </c>
      <c r="N861" s="10">
        <f>O861/50</f>
        <v>48</v>
      </c>
      <c r="O861" s="11">
        <v>2400</v>
      </c>
      <c r="P861" s="10">
        <v>0</v>
      </c>
      <c r="Q861" s="11">
        <v>0</v>
      </c>
      <c r="R861" s="10">
        <v>0</v>
      </c>
      <c r="S861" s="11">
        <v>0</v>
      </c>
      <c r="T861" s="10">
        <v>0</v>
      </c>
      <c r="U861" s="11">
        <v>0</v>
      </c>
      <c r="V861" s="10">
        <v>0</v>
      </c>
      <c r="W861" s="11">
        <v>0</v>
      </c>
      <c r="X861" s="10">
        <f>Y861/75</f>
        <v>36</v>
      </c>
      <c r="Y861" s="11">
        <f>30*90</f>
        <v>2700</v>
      </c>
      <c r="Z861" s="10">
        <v>0</v>
      </c>
      <c r="AA861" s="11">
        <v>0</v>
      </c>
      <c r="AB861" s="10">
        <v>0</v>
      </c>
      <c r="AC861" s="11">
        <v>0</v>
      </c>
      <c r="AD861" s="10">
        <v>0</v>
      </c>
      <c r="AE861" s="11">
        <v>0</v>
      </c>
      <c r="AF861" s="10">
        <v>0</v>
      </c>
      <c r="AG861" s="11">
        <v>0</v>
      </c>
      <c r="AH861" s="10">
        <v>0</v>
      </c>
      <c r="AI861" s="11">
        <v>0</v>
      </c>
      <c r="AJ861" s="10">
        <f>AK861/9</f>
        <v>391.77777777777777</v>
      </c>
      <c r="AK861" s="13">
        <f>35260/10</f>
        <v>3526</v>
      </c>
      <c r="AL861" s="10">
        <v>0</v>
      </c>
      <c r="AM861" s="13">
        <v>0</v>
      </c>
      <c r="AN861" s="10">
        <v>0</v>
      </c>
      <c r="AW861" s="11">
        <v>0</v>
      </c>
      <c r="BN861" s="8">
        <f t="shared" si="862"/>
        <v>427.77777777777777</v>
      </c>
      <c r="BO861" s="8">
        <f t="shared" si="863"/>
        <v>6226</v>
      </c>
      <c r="BP861" s="8">
        <f t="shared" si="882"/>
        <v>84</v>
      </c>
      <c r="BQ861" s="12">
        <f t="shared" si="883"/>
        <v>5100</v>
      </c>
    </row>
    <row r="862" spans="1:69">
      <c r="A862" s="28">
        <v>2003</v>
      </c>
      <c r="B862" s="27" t="s">
        <v>136</v>
      </c>
      <c r="C862" s="24">
        <f t="shared" si="824"/>
        <v>814</v>
      </c>
      <c r="D862" s="7" t="e">
        <f t="shared" ca="1" si="843"/>
        <v>#N/A</v>
      </c>
      <c r="E862" s="26">
        <f t="array" aca="1" ref="E862" ca="1">AVERAGE(IF(INDIRECT(DatCol&amp;"$"&amp;TEXT(C862,"###")):INDIRECT(DatCol&amp;"$"&amp;TEXT(C862+57,"###"))&gt;0,INDIRECT(DatCol&amp;"$"&amp;TEXT(C862,"###")):INDIRECT(DatCol&amp;"$"&amp;TEXT(C862+57,"###"))))</f>
        <v>67.17647058823529</v>
      </c>
      <c r="F862" s="26" t="str">
        <f t="shared" si="822"/>
        <v>I</v>
      </c>
      <c r="H862" s="9">
        <v>0</v>
      </c>
      <c r="I862" s="9">
        <v>2</v>
      </c>
      <c r="J862" s="9">
        <v>50</v>
      </c>
      <c r="K862" s="9">
        <f t="shared" si="864"/>
        <v>50</v>
      </c>
      <c r="L862" s="10">
        <v>0</v>
      </c>
      <c r="M862" s="11">
        <v>0</v>
      </c>
      <c r="N862" s="10">
        <v>0</v>
      </c>
      <c r="O862" s="11">
        <v>0</v>
      </c>
      <c r="P862" s="10">
        <v>0</v>
      </c>
      <c r="Q862" s="11">
        <v>0</v>
      </c>
      <c r="R862" s="10">
        <v>0</v>
      </c>
      <c r="S862" s="11">
        <v>0</v>
      </c>
      <c r="T862" s="10">
        <v>0</v>
      </c>
      <c r="U862" s="11">
        <v>0</v>
      </c>
      <c r="V862" s="10">
        <v>0</v>
      </c>
      <c r="W862" s="11">
        <v>0</v>
      </c>
      <c r="X862" s="10">
        <f>Y862/75</f>
        <v>93.413333333333327</v>
      </c>
      <c r="Y862" s="11">
        <v>7006</v>
      </c>
      <c r="Z862" s="10">
        <v>0</v>
      </c>
      <c r="AA862" s="11">
        <v>0</v>
      </c>
      <c r="AB862" s="10">
        <v>0</v>
      </c>
      <c r="AC862" s="11">
        <v>0</v>
      </c>
      <c r="AD862" s="10">
        <v>0</v>
      </c>
      <c r="AE862" s="11">
        <v>0</v>
      </c>
      <c r="AF862" s="10">
        <v>0</v>
      </c>
      <c r="AG862" s="11">
        <v>0</v>
      </c>
      <c r="AH862" s="10">
        <v>0</v>
      </c>
      <c r="AI862" s="11">
        <v>0</v>
      </c>
      <c r="AJ862" s="10">
        <f>AK862/9</f>
        <v>888.88888888888891</v>
      </c>
      <c r="AK862" s="13">
        <v>8000</v>
      </c>
      <c r="AL862" s="10">
        <v>0</v>
      </c>
      <c r="AM862" s="13">
        <v>0</v>
      </c>
      <c r="AN862" s="10">
        <v>0</v>
      </c>
      <c r="AO862" s="11">
        <v>0</v>
      </c>
      <c r="AP862" s="10">
        <v>0</v>
      </c>
      <c r="AQ862" s="11">
        <v>0</v>
      </c>
      <c r="AR862" s="10">
        <v>0</v>
      </c>
      <c r="AS862" s="11">
        <v>0</v>
      </c>
      <c r="AT862" s="10">
        <v>0</v>
      </c>
      <c r="AU862" s="11">
        <v>0</v>
      </c>
      <c r="AV862" s="10">
        <v>0</v>
      </c>
      <c r="AW862" s="11">
        <v>0</v>
      </c>
      <c r="BN862" s="8">
        <f t="shared" si="862"/>
        <v>982.30222222222221</v>
      </c>
      <c r="BO862" s="8">
        <f t="shared" si="863"/>
        <v>15006</v>
      </c>
      <c r="BP862" s="8">
        <f t="shared" si="882"/>
        <v>93.413333333333327</v>
      </c>
      <c r="BQ862" s="12">
        <f t="shared" si="883"/>
        <v>7006</v>
      </c>
    </row>
    <row r="863" spans="1:69">
      <c r="A863" s="28">
        <v>2004</v>
      </c>
      <c r="B863" s="27" t="s">
        <v>136</v>
      </c>
      <c r="C863" s="24">
        <f t="shared" si="824"/>
        <v>814</v>
      </c>
      <c r="D863" s="7" t="e">
        <f t="shared" ca="1" si="843"/>
        <v>#N/A</v>
      </c>
      <c r="E863" s="26">
        <f t="array" aca="1" ref="E863" ca="1">AVERAGE(IF(INDIRECT(DatCol&amp;"$"&amp;TEXT(C863,"###")):INDIRECT(DatCol&amp;"$"&amp;TEXT(C863+57,"###"))&gt;0,INDIRECT(DatCol&amp;"$"&amp;TEXT(C863,"###")):INDIRECT(DatCol&amp;"$"&amp;TEXT(C863+57,"###"))))</f>
        <v>67.17647058823529</v>
      </c>
      <c r="F863" s="26" t="str">
        <f t="shared" si="822"/>
        <v>I</v>
      </c>
      <c r="H863" s="9">
        <v>0</v>
      </c>
      <c r="I863" s="9">
        <v>2</v>
      </c>
      <c r="J863" s="9">
        <v>48</v>
      </c>
      <c r="K863" s="9">
        <f t="shared" si="864"/>
        <v>48</v>
      </c>
      <c r="L863" s="10">
        <v>0</v>
      </c>
      <c r="M863" s="11">
        <v>0</v>
      </c>
      <c r="N863" s="10">
        <v>0</v>
      </c>
      <c r="O863" s="11">
        <v>0</v>
      </c>
      <c r="P863" s="10">
        <v>0</v>
      </c>
      <c r="Q863" s="11">
        <v>0</v>
      </c>
      <c r="R863" s="10">
        <v>0</v>
      </c>
      <c r="S863" s="11">
        <v>0</v>
      </c>
      <c r="T863" s="10">
        <v>0</v>
      </c>
      <c r="U863" s="11">
        <v>0</v>
      </c>
      <c r="V863" s="10">
        <v>0</v>
      </c>
      <c r="W863" s="11">
        <v>0</v>
      </c>
      <c r="X863" s="10">
        <f>Y863/75</f>
        <v>93.333333333333329</v>
      </c>
      <c r="Y863" s="11">
        <v>7000</v>
      </c>
      <c r="AK863" s="13"/>
      <c r="AM863" s="13"/>
      <c r="BN863" s="8">
        <f t="shared" si="862"/>
        <v>93.333333333333329</v>
      </c>
      <c r="BO863" s="8">
        <f t="shared" si="863"/>
        <v>7000</v>
      </c>
      <c r="BP863" s="8">
        <f t="shared" si="882"/>
        <v>93.333333333333329</v>
      </c>
      <c r="BQ863" s="12">
        <f t="shared" si="883"/>
        <v>7000</v>
      </c>
    </row>
    <row r="864" spans="1:69">
      <c r="A864" s="28">
        <v>2005</v>
      </c>
      <c r="B864" s="27" t="s">
        <v>136</v>
      </c>
      <c r="C864" s="24">
        <f t="shared" si="824"/>
        <v>814</v>
      </c>
      <c r="D864" s="7" t="e">
        <f t="shared" ca="1" si="843"/>
        <v>#N/A</v>
      </c>
      <c r="E864" s="26">
        <f t="array" aca="1" ref="E864" ca="1">AVERAGE(IF(INDIRECT(DatCol&amp;"$"&amp;TEXT(C864,"###")):INDIRECT(DatCol&amp;"$"&amp;TEXT(C864+57,"###"))&gt;0,INDIRECT(DatCol&amp;"$"&amp;TEXT(C864,"###")):INDIRECT(DatCol&amp;"$"&amp;TEXT(C864+57,"###"))))</f>
        <v>67.17647058823529</v>
      </c>
      <c r="F864" s="26" t="str">
        <f t="shared" si="822"/>
        <v>I</v>
      </c>
      <c r="K864" s="9">
        <f t="shared" si="864"/>
        <v>0</v>
      </c>
      <c r="AK864" s="13"/>
      <c r="AM864" s="13"/>
      <c r="BN864" s="8">
        <f t="shared" si="862"/>
        <v>0</v>
      </c>
      <c r="BO864" s="8">
        <f t="shared" si="863"/>
        <v>0</v>
      </c>
      <c r="BP864" s="8">
        <f t="shared" si="882"/>
        <v>0</v>
      </c>
      <c r="BQ864" s="12">
        <f t="shared" si="883"/>
        <v>0</v>
      </c>
    </row>
    <row r="865" spans="1:69">
      <c r="A865" s="28">
        <v>2006</v>
      </c>
      <c r="B865" s="27" t="s">
        <v>136</v>
      </c>
      <c r="C865" s="24">
        <f t="shared" si="824"/>
        <v>814</v>
      </c>
      <c r="D865" s="7" t="e">
        <f t="shared" ca="1" si="843"/>
        <v>#N/A</v>
      </c>
      <c r="E865" s="26">
        <f t="array" aca="1" ref="E865" ca="1">AVERAGE(IF(INDIRECT(DatCol&amp;"$"&amp;TEXT(C865,"###")):INDIRECT(DatCol&amp;"$"&amp;TEXT(C865+57,"###"))&gt;0,INDIRECT(DatCol&amp;"$"&amp;TEXT(C865,"###")):INDIRECT(DatCol&amp;"$"&amp;TEXT(C865+57,"###"))))</f>
        <v>67.17647058823529</v>
      </c>
      <c r="F865" s="26" t="str">
        <f t="shared" si="822"/>
        <v>I</v>
      </c>
      <c r="K865" s="9">
        <f t="shared" si="864"/>
        <v>0</v>
      </c>
      <c r="AK865" s="13"/>
      <c r="AM865" s="13"/>
      <c r="BN865" s="8">
        <f t="shared" si="862"/>
        <v>0</v>
      </c>
      <c r="BO865" s="8">
        <f t="shared" si="863"/>
        <v>0</v>
      </c>
      <c r="BP865" s="8">
        <f t="shared" si="882"/>
        <v>0</v>
      </c>
      <c r="BQ865" s="12">
        <f t="shared" si="883"/>
        <v>0</v>
      </c>
    </row>
    <row r="866" spans="1:69">
      <c r="A866" s="28">
        <v>2007</v>
      </c>
      <c r="B866" s="27" t="s">
        <v>136</v>
      </c>
      <c r="C866" s="24">
        <f t="shared" si="824"/>
        <v>814</v>
      </c>
      <c r="D866" s="7" t="e">
        <f t="shared" ca="1" si="843"/>
        <v>#N/A</v>
      </c>
      <c r="E866" s="26">
        <f t="array" aca="1" ref="E866" ca="1">AVERAGE(IF(INDIRECT(DatCol&amp;"$"&amp;TEXT(C866,"###")):INDIRECT(DatCol&amp;"$"&amp;TEXT(C866+57,"###"))&gt;0,INDIRECT(DatCol&amp;"$"&amp;TEXT(C866,"###")):INDIRECT(DatCol&amp;"$"&amp;TEXT(C866+57,"###"))))</f>
        <v>67.17647058823529</v>
      </c>
      <c r="F866" s="26" t="str">
        <f t="shared" si="822"/>
        <v>I</v>
      </c>
      <c r="K866" s="9">
        <f t="shared" si="864"/>
        <v>0</v>
      </c>
      <c r="AK866" s="13"/>
      <c r="AM866" s="13"/>
      <c r="BN866" s="8">
        <f t="shared" si="862"/>
        <v>0</v>
      </c>
      <c r="BO866" s="8">
        <f t="shared" si="863"/>
        <v>0</v>
      </c>
      <c r="BP866" s="8">
        <f t="shared" si="882"/>
        <v>0</v>
      </c>
      <c r="BQ866" s="12">
        <f t="shared" si="883"/>
        <v>0</v>
      </c>
    </row>
    <row r="867" spans="1:69">
      <c r="A867" s="28">
        <v>2008</v>
      </c>
      <c r="B867" s="27" t="s">
        <v>136</v>
      </c>
      <c r="C867" s="24">
        <f t="shared" si="824"/>
        <v>814</v>
      </c>
      <c r="D867" s="7" t="e">
        <f t="shared" ca="1" si="843"/>
        <v>#N/A</v>
      </c>
      <c r="E867" s="26">
        <f t="array" aca="1" ref="E867" ca="1">AVERAGE(IF(INDIRECT(DatCol&amp;"$"&amp;TEXT(C867,"###")):INDIRECT(DatCol&amp;"$"&amp;TEXT(C867+57,"###"))&gt;0,INDIRECT(DatCol&amp;"$"&amp;TEXT(C867,"###")):INDIRECT(DatCol&amp;"$"&amp;TEXT(C867+57,"###"))))</f>
        <v>67.17647058823529</v>
      </c>
      <c r="F867" s="26" t="str">
        <f t="shared" si="822"/>
        <v>I</v>
      </c>
      <c r="K867" s="9">
        <f t="shared" si="864"/>
        <v>0</v>
      </c>
      <c r="AK867" s="13"/>
      <c r="AM867" s="13"/>
      <c r="BN867" s="8">
        <f t="shared" si="862"/>
        <v>0</v>
      </c>
      <c r="BO867" s="8">
        <f t="shared" si="863"/>
        <v>0</v>
      </c>
      <c r="BP867" s="8">
        <f t="shared" si="882"/>
        <v>0</v>
      </c>
      <c r="BQ867" s="12">
        <f t="shared" si="883"/>
        <v>0</v>
      </c>
    </row>
    <row r="868" spans="1:69">
      <c r="A868" s="28">
        <v>2009</v>
      </c>
      <c r="B868" s="27" t="s">
        <v>136</v>
      </c>
      <c r="C868" s="24">
        <f t="shared" si="824"/>
        <v>814</v>
      </c>
      <c r="D868" s="7" t="e">
        <f t="shared" ca="1" si="843"/>
        <v>#N/A</v>
      </c>
      <c r="E868" s="26">
        <f t="array" aca="1" ref="E868" ca="1">AVERAGE(IF(INDIRECT(DatCol&amp;"$"&amp;TEXT(C868,"###")):INDIRECT(DatCol&amp;"$"&amp;TEXT(C868+57,"###"))&gt;0,INDIRECT(DatCol&amp;"$"&amp;TEXT(C868,"###")):INDIRECT(DatCol&amp;"$"&amp;TEXT(C868+57,"###"))))</f>
        <v>67.17647058823529</v>
      </c>
      <c r="F868" s="26" t="str">
        <f t="shared" si="822"/>
        <v>I</v>
      </c>
      <c r="K868" s="9">
        <f t="shared" si="864"/>
        <v>0</v>
      </c>
      <c r="AK868" s="13"/>
      <c r="AM868" s="13"/>
      <c r="BN868" s="8">
        <f t="shared" si="862"/>
        <v>0</v>
      </c>
      <c r="BO868" s="8">
        <f t="shared" si="863"/>
        <v>0</v>
      </c>
      <c r="BP868" s="8">
        <f t="shared" si="882"/>
        <v>0</v>
      </c>
      <c r="BQ868" s="12">
        <f t="shared" si="883"/>
        <v>0</v>
      </c>
    </row>
    <row r="869" spans="1:69">
      <c r="A869" s="28">
        <v>2010</v>
      </c>
      <c r="B869" s="27" t="s">
        <v>136</v>
      </c>
      <c r="C869" s="24">
        <f t="shared" si="824"/>
        <v>814</v>
      </c>
      <c r="D869" s="7" t="e">
        <f t="shared" ca="1" si="843"/>
        <v>#N/A</v>
      </c>
      <c r="E869" s="26">
        <f t="array" aca="1" ref="E869" ca="1">AVERAGE(IF(INDIRECT(DatCol&amp;"$"&amp;TEXT(C869,"###")):INDIRECT(DatCol&amp;"$"&amp;TEXT(C869+57,"###"))&gt;0,INDIRECT(DatCol&amp;"$"&amp;TEXT(C869,"###")):INDIRECT(DatCol&amp;"$"&amp;TEXT(C869+57,"###"))))</f>
        <v>67.17647058823529</v>
      </c>
      <c r="F869" s="26" t="str">
        <f t="shared" ref="F869:F871" si="884">VLOOKUP(B869,town_region,2,FALSE)</f>
        <v>I</v>
      </c>
      <c r="AK869" s="13"/>
      <c r="AM869" s="13"/>
      <c r="BN869" s="8"/>
      <c r="BO869" s="8"/>
      <c r="BP869" s="8"/>
      <c r="BQ869" s="12"/>
    </row>
    <row r="870" spans="1:69">
      <c r="A870" s="28">
        <v>2011</v>
      </c>
      <c r="B870" s="27" t="s">
        <v>136</v>
      </c>
      <c r="C870" s="24">
        <f t="shared" si="824"/>
        <v>814</v>
      </c>
      <c r="D870" s="7" t="e">
        <f t="shared" ca="1" si="843"/>
        <v>#N/A</v>
      </c>
      <c r="E870" s="26">
        <f t="array" aca="1" ref="E870" ca="1">AVERAGE(IF(INDIRECT(DatCol&amp;"$"&amp;TEXT(C870,"###")):INDIRECT(DatCol&amp;"$"&amp;TEXT(C870+57,"###"))&gt;0,INDIRECT(DatCol&amp;"$"&amp;TEXT(C870,"###")):INDIRECT(DatCol&amp;"$"&amp;TEXT(C870+57,"###"))))</f>
        <v>67.17647058823529</v>
      </c>
      <c r="F870" s="26" t="str">
        <f t="shared" si="884"/>
        <v>I</v>
      </c>
      <c r="AK870" s="13"/>
      <c r="AM870" s="13"/>
      <c r="BN870" s="8"/>
      <c r="BO870" s="8"/>
      <c r="BP870" s="8"/>
      <c r="BQ870" s="12"/>
    </row>
    <row r="871" spans="1:69">
      <c r="A871" s="28">
        <v>2012</v>
      </c>
      <c r="B871" s="27" t="s">
        <v>136</v>
      </c>
      <c r="C871" s="24">
        <f t="shared" si="824"/>
        <v>814</v>
      </c>
      <c r="D871" s="7" t="e">
        <f t="shared" ca="1" si="843"/>
        <v>#N/A</v>
      </c>
      <c r="E871" s="26">
        <f t="array" aca="1" ref="E871" ca="1">AVERAGE(IF(INDIRECT(DatCol&amp;"$"&amp;TEXT(C871,"###")):INDIRECT(DatCol&amp;"$"&amp;TEXT(C871+57,"###"))&gt;0,INDIRECT(DatCol&amp;"$"&amp;TEXT(C871,"###")):INDIRECT(DatCol&amp;"$"&amp;TEXT(C871+57,"###"))))</f>
        <v>67.17647058823529</v>
      </c>
      <c r="F871" s="26" t="str">
        <f t="shared" si="884"/>
        <v>I</v>
      </c>
      <c r="AK871" s="13"/>
      <c r="AM871" s="13"/>
      <c r="BN871" s="8"/>
      <c r="BO871" s="8"/>
      <c r="BP871" s="8"/>
      <c r="BQ871" s="12"/>
    </row>
    <row r="872" spans="1:69">
      <c r="A872" s="28">
        <v>1955</v>
      </c>
      <c r="B872" s="27" t="s">
        <v>59</v>
      </c>
      <c r="C872" s="24">
        <f>ROW()</f>
        <v>872</v>
      </c>
      <c r="D872" s="7" t="e">
        <f t="shared" ca="1" si="843"/>
        <v>#N/A</v>
      </c>
      <c r="E872" s="26">
        <f t="array" aca="1" ref="E872" ca="1">AVERAGE(IF(INDIRECT(DatCol&amp;"$"&amp;TEXT(C872,"###")):INDIRECT(DatCol&amp;"$"&amp;TEXT(C872+57,"###"))&gt;0,INDIRECT(DatCol&amp;"$"&amp;TEXT(C872,"###")):INDIRECT(DatCol&amp;"$"&amp;TEXT(C872+57,"###"))))</f>
        <v>625.75567567567577</v>
      </c>
      <c r="F872" s="26" t="str">
        <f t="shared" si="822"/>
        <v>N</v>
      </c>
      <c r="G872" s="8"/>
      <c r="K872" s="9">
        <f t="shared" si="864"/>
        <v>0</v>
      </c>
      <c r="M872" s="11">
        <f t="shared" ref="M872:M883" si="885">(L872*50)</f>
        <v>0</v>
      </c>
      <c r="O872" s="11">
        <f t="shared" si="865"/>
        <v>0</v>
      </c>
      <c r="Q872" s="11">
        <f t="shared" si="866"/>
        <v>0</v>
      </c>
      <c r="Y872" s="11">
        <f t="shared" si="867"/>
        <v>0</v>
      </c>
      <c r="AG872" s="11">
        <f t="shared" si="868"/>
        <v>0</v>
      </c>
      <c r="AI872" s="11">
        <f t="shared" si="869"/>
        <v>0</v>
      </c>
      <c r="AK872" s="13">
        <f t="shared" si="870"/>
        <v>0</v>
      </c>
      <c r="AM872" s="13">
        <f t="shared" si="871"/>
        <v>0</v>
      </c>
      <c r="AO872" s="11">
        <f t="shared" si="872"/>
        <v>0</v>
      </c>
      <c r="AQ872" s="11">
        <f t="shared" si="873"/>
        <v>0</v>
      </c>
      <c r="AS872" s="11">
        <f t="shared" si="874"/>
        <v>0</v>
      </c>
      <c r="AU872" s="11">
        <f t="shared" si="875"/>
        <v>0</v>
      </c>
      <c r="AW872" s="11">
        <f t="shared" si="876"/>
        <v>0</v>
      </c>
      <c r="AY872" s="11">
        <f t="shared" si="877"/>
        <v>0</v>
      </c>
      <c r="BA872" s="11">
        <f t="shared" si="878"/>
        <v>0</v>
      </c>
      <c r="BC872" s="11">
        <f t="shared" si="879"/>
        <v>0</v>
      </c>
      <c r="BE872" s="11">
        <f t="shared" si="880"/>
        <v>0</v>
      </c>
      <c r="BG872" s="11">
        <f t="shared" si="881"/>
        <v>0</v>
      </c>
      <c r="BN872" s="8">
        <f t="shared" si="862"/>
        <v>0</v>
      </c>
      <c r="BO872" s="8">
        <f t="shared" si="863"/>
        <v>0</v>
      </c>
      <c r="BP872" s="8">
        <f t="shared" si="882"/>
        <v>0</v>
      </c>
      <c r="BQ872" s="12">
        <f t="shared" si="883"/>
        <v>0</v>
      </c>
    </row>
    <row r="873" spans="1:69">
      <c r="A873" s="28">
        <v>1956</v>
      </c>
      <c r="B873" s="27" t="s">
        <v>59</v>
      </c>
      <c r="C873" s="24">
        <f t="shared" ref="C873:C929" si="886">C872</f>
        <v>872</v>
      </c>
      <c r="D873" s="7" t="e">
        <f t="shared" ca="1" si="843"/>
        <v>#N/A</v>
      </c>
      <c r="E873" s="26">
        <f t="array" aca="1" ref="E873" ca="1">AVERAGE(IF(INDIRECT(DatCol&amp;"$"&amp;TEXT(C873,"###")):INDIRECT(DatCol&amp;"$"&amp;TEXT(C873+57,"###"))&gt;0,INDIRECT(DatCol&amp;"$"&amp;TEXT(C873,"###")):INDIRECT(DatCol&amp;"$"&amp;TEXT(C873+57,"###"))))</f>
        <v>625.75567567567577</v>
      </c>
      <c r="F873" s="26" t="str">
        <f t="shared" si="822"/>
        <v>N</v>
      </c>
      <c r="G873" s="8"/>
      <c r="K873" s="9">
        <f t="shared" si="864"/>
        <v>0</v>
      </c>
      <c r="M873" s="11">
        <f t="shared" si="885"/>
        <v>0</v>
      </c>
      <c r="O873" s="11">
        <f t="shared" si="865"/>
        <v>0</v>
      </c>
      <c r="Q873" s="11">
        <f t="shared" si="866"/>
        <v>0</v>
      </c>
      <c r="Y873" s="11">
        <f t="shared" si="867"/>
        <v>0</v>
      </c>
      <c r="AG873" s="11">
        <f t="shared" si="868"/>
        <v>0</v>
      </c>
      <c r="AI873" s="11">
        <f t="shared" si="869"/>
        <v>0</v>
      </c>
      <c r="AK873" s="13">
        <f t="shared" si="870"/>
        <v>0</v>
      </c>
      <c r="AM873" s="13">
        <f t="shared" si="871"/>
        <v>0</v>
      </c>
      <c r="AO873" s="11">
        <f t="shared" si="872"/>
        <v>0</v>
      </c>
      <c r="AQ873" s="11">
        <f t="shared" si="873"/>
        <v>0</v>
      </c>
      <c r="AS873" s="11">
        <f t="shared" si="874"/>
        <v>0</v>
      </c>
      <c r="AU873" s="11">
        <f t="shared" si="875"/>
        <v>0</v>
      </c>
      <c r="AW873" s="11">
        <f t="shared" si="876"/>
        <v>0</v>
      </c>
      <c r="AY873" s="11">
        <f t="shared" si="877"/>
        <v>0</v>
      </c>
      <c r="BA873" s="11">
        <f t="shared" si="878"/>
        <v>0</v>
      </c>
      <c r="BC873" s="11">
        <f t="shared" si="879"/>
        <v>0</v>
      </c>
      <c r="BE873" s="11">
        <f t="shared" si="880"/>
        <v>0</v>
      </c>
      <c r="BG873" s="11">
        <f t="shared" si="881"/>
        <v>0</v>
      </c>
      <c r="BN873" s="8">
        <f t="shared" si="862"/>
        <v>0</v>
      </c>
      <c r="BO873" s="8">
        <f t="shared" si="863"/>
        <v>0</v>
      </c>
      <c r="BP873" s="8">
        <f t="shared" si="882"/>
        <v>0</v>
      </c>
      <c r="BQ873" s="12">
        <f t="shared" si="883"/>
        <v>0</v>
      </c>
    </row>
    <row r="874" spans="1:69">
      <c r="A874" s="28">
        <v>1957</v>
      </c>
      <c r="B874" s="27" t="s">
        <v>59</v>
      </c>
      <c r="C874" s="24">
        <f t="shared" si="886"/>
        <v>872</v>
      </c>
      <c r="D874" s="7" t="e">
        <f t="shared" ca="1" si="843"/>
        <v>#N/A</v>
      </c>
      <c r="E874" s="26">
        <f t="array" aca="1" ref="E874" ca="1">AVERAGE(IF(INDIRECT(DatCol&amp;"$"&amp;TEXT(C874,"###")):INDIRECT(DatCol&amp;"$"&amp;TEXT(C874+57,"###"))&gt;0,INDIRECT(DatCol&amp;"$"&amp;TEXT(C874,"###")):INDIRECT(DatCol&amp;"$"&amp;TEXT(C874+57,"###"))))</f>
        <v>625.75567567567577</v>
      </c>
      <c r="F874" s="26" t="str">
        <f t="shared" si="822"/>
        <v>N</v>
      </c>
      <c r="G874" s="8"/>
      <c r="K874" s="9">
        <f t="shared" si="864"/>
        <v>0</v>
      </c>
      <c r="M874" s="11">
        <f t="shared" si="885"/>
        <v>0</v>
      </c>
      <c r="O874" s="11">
        <f t="shared" si="865"/>
        <v>0</v>
      </c>
      <c r="Q874" s="11">
        <f t="shared" si="866"/>
        <v>0</v>
      </c>
      <c r="Y874" s="11">
        <f t="shared" si="867"/>
        <v>0</v>
      </c>
      <c r="AG874" s="11">
        <f t="shared" si="868"/>
        <v>0</v>
      </c>
      <c r="AI874" s="11">
        <f t="shared" si="869"/>
        <v>0</v>
      </c>
      <c r="AK874" s="13">
        <f t="shared" si="870"/>
        <v>0</v>
      </c>
      <c r="AM874" s="13">
        <f t="shared" si="871"/>
        <v>0</v>
      </c>
      <c r="AO874" s="11">
        <f t="shared" si="872"/>
        <v>0</v>
      </c>
      <c r="AQ874" s="11">
        <f t="shared" si="873"/>
        <v>0</v>
      </c>
      <c r="AS874" s="11">
        <f t="shared" si="874"/>
        <v>0</v>
      </c>
      <c r="AU874" s="11">
        <f t="shared" si="875"/>
        <v>0</v>
      </c>
      <c r="AW874" s="11">
        <f t="shared" si="876"/>
        <v>0</v>
      </c>
      <c r="AY874" s="11">
        <f t="shared" si="877"/>
        <v>0</v>
      </c>
      <c r="BA874" s="11">
        <f t="shared" si="878"/>
        <v>0</v>
      </c>
      <c r="BC874" s="11">
        <f t="shared" si="879"/>
        <v>0</v>
      </c>
      <c r="BE874" s="11">
        <f t="shared" si="880"/>
        <v>0</v>
      </c>
      <c r="BG874" s="11">
        <f t="shared" si="881"/>
        <v>0</v>
      </c>
      <c r="BN874" s="8">
        <f t="shared" si="862"/>
        <v>0</v>
      </c>
      <c r="BO874" s="8">
        <f t="shared" si="863"/>
        <v>0</v>
      </c>
      <c r="BP874" s="8">
        <f t="shared" si="882"/>
        <v>0</v>
      </c>
      <c r="BQ874" s="12">
        <f t="shared" si="883"/>
        <v>0</v>
      </c>
    </row>
    <row r="875" spans="1:69">
      <c r="A875" s="28">
        <v>1958</v>
      </c>
      <c r="B875" s="27" t="s">
        <v>59</v>
      </c>
      <c r="C875" s="24">
        <f t="shared" si="886"/>
        <v>872</v>
      </c>
      <c r="D875" s="7" t="e">
        <f t="shared" ca="1" si="843"/>
        <v>#N/A</v>
      </c>
      <c r="E875" s="26">
        <f t="array" aca="1" ref="E875" ca="1">AVERAGE(IF(INDIRECT(DatCol&amp;"$"&amp;TEXT(C875,"###")):INDIRECT(DatCol&amp;"$"&amp;TEXT(C875+57,"###"))&gt;0,INDIRECT(DatCol&amp;"$"&amp;TEXT(C875,"###")):INDIRECT(DatCol&amp;"$"&amp;TEXT(C875+57,"###"))))</f>
        <v>625.75567567567577</v>
      </c>
      <c r="F875" s="26" t="str">
        <f t="shared" si="822"/>
        <v>N</v>
      </c>
      <c r="G875" s="8"/>
      <c r="K875" s="9">
        <f t="shared" si="864"/>
        <v>0</v>
      </c>
      <c r="M875" s="11">
        <f t="shared" si="885"/>
        <v>0</v>
      </c>
      <c r="O875" s="11">
        <f t="shared" si="865"/>
        <v>0</v>
      </c>
      <c r="Q875" s="11">
        <f t="shared" si="866"/>
        <v>0</v>
      </c>
      <c r="Y875" s="11">
        <f t="shared" si="867"/>
        <v>0</v>
      </c>
      <c r="AG875" s="11">
        <f t="shared" si="868"/>
        <v>0</v>
      </c>
      <c r="AI875" s="11">
        <f t="shared" si="869"/>
        <v>0</v>
      </c>
      <c r="AK875" s="13">
        <f t="shared" si="870"/>
        <v>0</v>
      </c>
      <c r="AM875" s="13">
        <f t="shared" si="871"/>
        <v>0</v>
      </c>
      <c r="AO875" s="11">
        <f t="shared" si="872"/>
        <v>0</v>
      </c>
      <c r="AQ875" s="11">
        <f t="shared" si="873"/>
        <v>0</v>
      </c>
      <c r="AS875" s="11">
        <f t="shared" si="874"/>
        <v>0</v>
      </c>
      <c r="AU875" s="11">
        <f t="shared" si="875"/>
        <v>0</v>
      </c>
      <c r="AW875" s="11">
        <f t="shared" si="876"/>
        <v>0</v>
      </c>
      <c r="AY875" s="11">
        <f t="shared" si="877"/>
        <v>0</v>
      </c>
      <c r="BA875" s="11">
        <f t="shared" si="878"/>
        <v>0</v>
      </c>
      <c r="BC875" s="11">
        <f t="shared" si="879"/>
        <v>0</v>
      </c>
      <c r="BE875" s="11">
        <f t="shared" si="880"/>
        <v>0</v>
      </c>
      <c r="BG875" s="11">
        <f t="shared" si="881"/>
        <v>0</v>
      </c>
      <c r="BN875" s="8">
        <f t="shared" si="862"/>
        <v>0</v>
      </c>
      <c r="BO875" s="8">
        <f t="shared" si="863"/>
        <v>0</v>
      </c>
      <c r="BP875" s="8">
        <f t="shared" si="882"/>
        <v>0</v>
      </c>
      <c r="BQ875" s="12">
        <f t="shared" si="883"/>
        <v>0</v>
      </c>
    </row>
    <row r="876" spans="1:69">
      <c r="A876" s="28">
        <v>1959</v>
      </c>
      <c r="B876" s="27" t="s">
        <v>59</v>
      </c>
      <c r="C876" s="24">
        <f t="shared" si="886"/>
        <v>872</v>
      </c>
      <c r="D876" s="7" t="e">
        <f t="shared" ca="1" si="843"/>
        <v>#N/A</v>
      </c>
      <c r="E876" s="26">
        <f t="array" aca="1" ref="E876" ca="1">AVERAGE(IF(INDIRECT(DatCol&amp;"$"&amp;TEXT(C876,"###")):INDIRECT(DatCol&amp;"$"&amp;TEXT(C876+57,"###"))&gt;0,INDIRECT(DatCol&amp;"$"&amp;TEXT(C876,"###")):INDIRECT(DatCol&amp;"$"&amp;TEXT(C876+57,"###"))))</f>
        <v>625.75567567567577</v>
      </c>
      <c r="F876" s="26" t="str">
        <f t="shared" si="822"/>
        <v>N</v>
      </c>
      <c r="G876" s="8"/>
      <c r="K876" s="9">
        <f t="shared" si="864"/>
        <v>0</v>
      </c>
      <c r="M876" s="11">
        <f t="shared" si="885"/>
        <v>0</v>
      </c>
      <c r="O876" s="11">
        <f t="shared" si="865"/>
        <v>0</v>
      </c>
      <c r="Q876" s="11">
        <f t="shared" si="866"/>
        <v>0</v>
      </c>
      <c r="Y876" s="11">
        <f t="shared" si="867"/>
        <v>0</v>
      </c>
      <c r="AG876" s="11">
        <f t="shared" si="868"/>
        <v>0</v>
      </c>
      <c r="AI876" s="11">
        <f t="shared" si="869"/>
        <v>0</v>
      </c>
      <c r="AK876" s="13">
        <f t="shared" si="870"/>
        <v>0</v>
      </c>
      <c r="AM876" s="13">
        <f t="shared" si="871"/>
        <v>0</v>
      </c>
      <c r="AO876" s="11">
        <f t="shared" si="872"/>
        <v>0</v>
      </c>
      <c r="AQ876" s="11">
        <f t="shared" si="873"/>
        <v>0</v>
      </c>
      <c r="AS876" s="11">
        <f t="shared" si="874"/>
        <v>0</v>
      </c>
      <c r="AU876" s="11">
        <f t="shared" si="875"/>
        <v>0</v>
      </c>
      <c r="AW876" s="11">
        <f t="shared" si="876"/>
        <v>0</v>
      </c>
      <c r="AY876" s="11">
        <f t="shared" si="877"/>
        <v>0</v>
      </c>
      <c r="BA876" s="11">
        <f t="shared" si="878"/>
        <v>0</v>
      </c>
      <c r="BC876" s="11">
        <f t="shared" si="879"/>
        <v>0</v>
      </c>
      <c r="BE876" s="11">
        <f t="shared" si="880"/>
        <v>0</v>
      </c>
      <c r="BG876" s="11">
        <f t="shared" si="881"/>
        <v>0</v>
      </c>
      <c r="BN876" s="8">
        <f t="shared" si="862"/>
        <v>0</v>
      </c>
      <c r="BO876" s="8">
        <f t="shared" si="863"/>
        <v>0</v>
      </c>
      <c r="BP876" s="8">
        <f t="shared" si="882"/>
        <v>0</v>
      </c>
      <c r="BQ876" s="12">
        <f t="shared" si="883"/>
        <v>0</v>
      </c>
    </row>
    <row r="877" spans="1:69">
      <c r="A877" s="28">
        <v>1960</v>
      </c>
      <c r="B877" s="27" t="s">
        <v>59</v>
      </c>
      <c r="C877" s="24">
        <f t="shared" si="886"/>
        <v>872</v>
      </c>
      <c r="D877" s="7" t="e">
        <f t="shared" ca="1" si="843"/>
        <v>#N/A</v>
      </c>
      <c r="E877" s="26">
        <f t="array" aca="1" ref="E877" ca="1">AVERAGE(IF(INDIRECT(DatCol&amp;"$"&amp;TEXT(C877,"###")):INDIRECT(DatCol&amp;"$"&amp;TEXT(C877+57,"###"))&gt;0,INDIRECT(DatCol&amp;"$"&amp;TEXT(C877,"###")):INDIRECT(DatCol&amp;"$"&amp;TEXT(C877+57,"###"))))</f>
        <v>625.75567567567577</v>
      </c>
      <c r="F877" s="26" t="str">
        <f t="shared" si="822"/>
        <v>N</v>
      </c>
      <c r="G877" s="8"/>
      <c r="K877" s="9">
        <f t="shared" si="864"/>
        <v>0</v>
      </c>
      <c r="M877" s="11">
        <f t="shared" si="885"/>
        <v>0</v>
      </c>
      <c r="O877" s="11">
        <f t="shared" si="865"/>
        <v>0</v>
      </c>
      <c r="Q877" s="11">
        <f t="shared" si="866"/>
        <v>0</v>
      </c>
      <c r="Y877" s="11">
        <f t="shared" si="867"/>
        <v>0</v>
      </c>
      <c r="AG877" s="11">
        <f t="shared" si="868"/>
        <v>0</v>
      </c>
      <c r="AI877" s="11">
        <f t="shared" si="869"/>
        <v>0</v>
      </c>
      <c r="AK877" s="13">
        <f t="shared" si="870"/>
        <v>0</v>
      </c>
      <c r="AM877" s="13">
        <f t="shared" si="871"/>
        <v>0</v>
      </c>
      <c r="AO877" s="11">
        <f t="shared" si="872"/>
        <v>0</v>
      </c>
      <c r="AQ877" s="11">
        <f t="shared" si="873"/>
        <v>0</v>
      </c>
      <c r="AS877" s="11">
        <f t="shared" si="874"/>
        <v>0</v>
      </c>
      <c r="AU877" s="11">
        <f t="shared" si="875"/>
        <v>0</v>
      </c>
      <c r="AW877" s="11">
        <f t="shared" si="876"/>
        <v>0</v>
      </c>
      <c r="AY877" s="11">
        <f t="shared" si="877"/>
        <v>0</v>
      </c>
      <c r="BA877" s="11">
        <f t="shared" si="878"/>
        <v>0</v>
      </c>
      <c r="BC877" s="11">
        <f t="shared" si="879"/>
        <v>0</v>
      </c>
      <c r="BE877" s="11">
        <f t="shared" si="880"/>
        <v>0</v>
      </c>
      <c r="BG877" s="11">
        <f t="shared" si="881"/>
        <v>0</v>
      </c>
      <c r="BN877" s="8">
        <f t="shared" si="862"/>
        <v>0</v>
      </c>
      <c r="BO877" s="8">
        <f t="shared" si="863"/>
        <v>0</v>
      </c>
      <c r="BP877" s="8">
        <f t="shared" si="882"/>
        <v>0</v>
      </c>
      <c r="BQ877" s="12">
        <f t="shared" si="883"/>
        <v>0</v>
      </c>
    </row>
    <row r="878" spans="1:69">
      <c r="A878" s="28">
        <v>1961</v>
      </c>
      <c r="B878" s="27" t="s">
        <v>59</v>
      </c>
      <c r="C878" s="24">
        <f t="shared" si="886"/>
        <v>872</v>
      </c>
      <c r="D878" s="7" t="e">
        <f t="shared" ca="1" si="843"/>
        <v>#N/A</v>
      </c>
      <c r="E878" s="26">
        <f t="array" aca="1" ref="E878" ca="1">AVERAGE(IF(INDIRECT(DatCol&amp;"$"&amp;TEXT(C878,"###")):INDIRECT(DatCol&amp;"$"&amp;TEXT(C878+57,"###"))&gt;0,INDIRECT(DatCol&amp;"$"&amp;TEXT(C878,"###")):INDIRECT(DatCol&amp;"$"&amp;TEXT(C878+57,"###"))))</f>
        <v>625.75567567567577</v>
      </c>
      <c r="F878" s="26" t="str">
        <f t="shared" si="822"/>
        <v>N</v>
      </c>
      <c r="G878" s="8"/>
      <c r="K878" s="9">
        <f t="shared" si="864"/>
        <v>0</v>
      </c>
      <c r="M878" s="11">
        <f t="shared" si="885"/>
        <v>0</v>
      </c>
      <c r="O878" s="11">
        <f t="shared" si="865"/>
        <v>0</v>
      </c>
      <c r="Q878" s="11">
        <f t="shared" si="866"/>
        <v>0</v>
      </c>
      <c r="Y878" s="11">
        <f t="shared" si="867"/>
        <v>0</v>
      </c>
      <c r="AG878" s="11">
        <f t="shared" si="868"/>
        <v>0</v>
      </c>
      <c r="AI878" s="11">
        <f t="shared" si="869"/>
        <v>0</v>
      </c>
      <c r="AK878" s="13">
        <f t="shared" si="870"/>
        <v>0</v>
      </c>
      <c r="AM878" s="13">
        <f t="shared" si="871"/>
        <v>0</v>
      </c>
      <c r="AO878" s="11">
        <f t="shared" si="872"/>
        <v>0</v>
      </c>
      <c r="AQ878" s="11">
        <f t="shared" si="873"/>
        <v>0</v>
      </c>
      <c r="AS878" s="11">
        <f t="shared" si="874"/>
        <v>0</v>
      </c>
      <c r="AU878" s="11">
        <f t="shared" si="875"/>
        <v>0</v>
      </c>
      <c r="AW878" s="11">
        <f t="shared" si="876"/>
        <v>0</v>
      </c>
      <c r="AY878" s="11">
        <f t="shared" si="877"/>
        <v>0</v>
      </c>
      <c r="BA878" s="11">
        <f t="shared" si="878"/>
        <v>0</v>
      </c>
      <c r="BC878" s="11">
        <f t="shared" si="879"/>
        <v>0</v>
      </c>
      <c r="BE878" s="11">
        <f t="shared" si="880"/>
        <v>0</v>
      </c>
      <c r="BG878" s="11">
        <f t="shared" si="881"/>
        <v>0</v>
      </c>
      <c r="BN878" s="8">
        <f t="shared" si="862"/>
        <v>0</v>
      </c>
      <c r="BO878" s="8">
        <f t="shared" si="863"/>
        <v>0</v>
      </c>
      <c r="BP878" s="8">
        <f t="shared" si="882"/>
        <v>0</v>
      </c>
      <c r="BQ878" s="12">
        <f t="shared" si="883"/>
        <v>0</v>
      </c>
    </row>
    <row r="879" spans="1:69">
      <c r="A879" s="28">
        <v>1962</v>
      </c>
      <c r="B879" s="27" t="s">
        <v>59</v>
      </c>
      <c r="C879" s="24">
        <f t="shared" si="886"/>
        <v>872</v>
      </c>
      <c r="D879" s="7" t="e">
        <f t="shared" ca="1" si="843"/>
        <v>#N/A</v>
      </c>
      <c r="E879" s="26">
        <f t="array" aca="1" ref="E879" ca="1">AVERAGE(IF(INDIRECT(DatCol&amp;"$"&amp;TEXT(C879,"###")):INDIRECT(DatCol&amp;"$"&amp;TEXT(C879+57,"###"))&gt;0,INDIRECT(DatCol&amp;"$"&amp;TEXT(C879,"###")):INDIRECT(DatCol&amp;"$"&amp;TEXT(C879+57,"###"))))</f>
        <v>625.75567567567577</v>
      </c>
      <c r="F879" s="26" t="str">
        <f t="shared" ref="F879:F945" si="887">VLOOKUP(B879,town_region,2,FALSE)</f>
        <v>N</v>
      </c>
      <c r="G879" s="8"/>
      <c r="K879" s="9">
        <f t="shared" si="864"/>
        <v>0</v>
      </c>
      <c r="M879" s="11">
        <f t="shared" si="885"/>
        <v>0</v>
      </c>
      <c r="O879" s="11">
        <f t="shared" si="865"/>
        <v>0</v>
      </c>
      <c r="Q879" s="11">
        <f t="shared" si="866"/>
        <v>0</v>
      </c>
      <c r="Y879" s="11">
        <f t="shared" si="867"/>
        <v>0</v>
      </c>
      <c r="AG879" s="11">
        <f t="shared" si="868"/>
        <v>0</v>
      </c>
      <c r="AI879" s="11">
        <f t="shared" si="869"/>
        <v>0</v>
      </c>
      <c r="AK879" s="13">
        <f t="shared" si="870"/>
        <v>0</v>
      </c>
      <c r="AM879" s="13">
        <f t="shared" si="871"/>
        <v>0</v>
      </c>
      <c r="AO879" s="11">
        <f t="shared" si="872"/>
        <v>0</v>
      </c>
      <c r="AQ879" s="11">
        <f t="shared" si="873"/>
        <v>0</v>
      </c>
      <c r="AS879" s="11">
        <f t="shared" si="874"/>
        <v>0</v>
      </c>
      <c r="AU879" s="11">
        <f t="shared" si="875"/>
        <v>0</v>
      </c>
      <c r="AW879" s="11">
        <f t="shared" si="876"/>
        <v>0</v>
      </c>
      <c r="AY879" s="11">
        <f t="shared" si="877"/>
        <v>0</v>
      </c>
      <c r="BA879" s="11">
        <f t="shared" si="878"/>
        <v>0</v>
      </c>
      <c r="BC879" s="11">
        <f t="shared" si="879"/>
        <v>0</v>
      </c>
      <c r="BE879" s="11">
        <f t="shared" si="880"/>
        <v>0</v>
      </c>
      <c r="BG879" s="11">
        <f t="shared" si="881"/>
        <v>0</v>
      </c>
      <c r="BN879" s="8">
        <f t="shared" si="862"/>
        <v>0</v>
      </c>
      <c r="BO879" s="8">
        <f t="shared" si="863"/>
        <v>0</v>
      </c>
      <c r="BP879" s="8">
        <f t="shared" si="882"/>
        <v>0</v>
      </c>
      <c r="BQ879" s="12">
        <f t="shared" si="883"/>
        <v>0</v>
      </c>
    </row>
    <row r="880" spans="1:69">
      <c r="A880" s="28">
        <v>1963</v>
      </c>
      <c r="B880" s="27" t="s">
        <v>59</v>
      </c>
      <c r="C880" s="24">
        <f t="shared" si="886"/>
        <v>872</v>
      </c>
      <c r="D880" s="7" t="e">
        <f t="shared" ca="1" si="843"/>
        <v>#N/A</v>
      </c>
      <c r="E880" s="26">
        <f t="array" aca="1" ref="E880" ca="1">AVERAGE(IF(INDIRECT(DatCol&amp;"$"&amp;TEXT(C880,"###")):INDIRECT(DatCol&amp;"$"&amp;TEXT(C880+57,"###"))&gt;0,INDIRECT(DatCol&amp;"$"&amp;TEXT(C880,"###")):INDIRECT(DatCol&amp;"$"&amp;TEXT(C880+57,"###"))))</f>
        <v>625.75567567567577</v>
      </c>
      <c r="F880" s="26" t="str">
        <f t="shared" si="887"/>
        <v>N</v>
      </c>
      <c r="G880" s="8"/>
      <c r="K880" s="9">
        <f t="shared" si="864"/>
        <v>0</v>
      </c>
      <c r="M880" s="11">
        <f t="shared" si="885"/>
        <v>0</v>
      </c>
      <c r="O880" s="11">
        <f t="shared" si="865"/>
        <v>0</v>
      </c>
      <c r="Q880" s="11">
        <f t="shared" si="866"/>
        <v>0</v>
      </c>
      <c r="Y880" s="11">
        <f t="shared" si="867"/>
        <v>0</v>
      </c>
      <c r="AG880" s="11">
        <f t="shared" si="868"/>
        <v>0</v>
      </c>
      <c r="AI880" s="11">
        <f t="shared" si="869"/>
        <v>0</v>
      </c>
      <c r="AK880" s="13">
        <f t="shared" si="870"/>
        <v>0</v>
      </c>
      <c r="AM880" s="13">
        <f t="shared" si="871"/>
        <v>0</v>
      </c>
      <c r="AO880" s="11">
        <f t="shared" si="872"/>
        <v>0</v>
      </c>
      <c r="AQ880" s="11">
        <f t="shared" si="873"/>
        <v>0</v>
      </c>
      <c r="AS880" s="11">
        <f t="shared" si="874"/>
        <v>0</v>
      </c>
      <c r="AU880" s="11">
        <f t="shared" si="875"/>
        <v>0</v>
      </c>
      <c r="AW880" s="11">
        <f t="shared" si="876"/>
        <v>0</v>
      </c>
      <c r="AY880" s="11">
        <f t="shared" si="877"/>
        <v>0</v>
      </c>
      <c r="BA880" s="11">
        <f t="shared" si="878"/>
        <v>0</v>
      </c>
      <c r="BC880" s="11">
        <f t="shared" si="879"/>
        <v>0</v>
      </c>
      <c r="BE880" s="11">
        <f t="shared" si="880"/>
        <v>0</v>
      </c>
      <c r="BG880" s="11">
        <f t="shared" si="881"/>
        <v>0</v>
      </c>
      <c r="BN880" s="8">
        <f t="shared" si="862"/>
        <v>0</v>
      </c>
      <c r="BO880" s="8">
        <f t="shared" si="863"/>
        <v>0</v>
      </c>
      <c r="BP880" s="8">
        <f t="shared" si="882"/>
        <v>0</v>
      </c>
      <c r="BQ880" s="12">
        <f t="shared" si="883"/>
        <v>0</v>
      </c>
    </row>
    <row r="881" spans="1:69">
      <c r="A881" s="28">
        <v>1964</v>
      </c>
      <c r="B881" s="27" t="s">
        <v>59</v>
      </c>
      <c r="C881" s="24">
        <f t="shared" si="886"/>
        <v>872</v>
      </c>
      <c r="D881" s="7" t="e">
        <f t="shared" ca="1" si="843"/>
        <v>#N/A</v>
      </c>
      <c r="E881" s="26">
        <f t="array" aca="1" ref="E881" ca="1">AVERAGE(IF(INDIRECT(DatCol&amp;"$"&amp;TEXT(C881,"###")):INDIRECT(DatCol&amp;"$"&amp;TEXT(C881+57,"###"))&gt;0,INDIRECT(DatCol&amp;"$"&amp;TEXT(C881,"###")):INDIRECT(DatCol&amp;"$"&amp;TEXT(C881+57,"###"))))</f>
        <v>625.75567567567577</v>
      </c>
      <c r="F881" s="26" t="str">
        <f t="shared" si="887"/>
        <v>N</v>
      </c>
      <c r="G881" s="8"/>
      <c r="K881" s="9">
        <f t="shared" si="864"/>
        <v>0</v>
      </c>
      <c r="M881" s="11">
        <f t="shared" si="885"/>
        <v>0</v>
      </c>
      <c r="O881" s="11">
        <f t="shared" si="865"/>
        <v>0</v>
      </c>
      <c r="Q881" s="11">
        <f t="shared" si="866"/>
        <v>0</v>
      </c>
      <c r="Y881" s="11">
        <f t="shared" si="867"/>
        <v>0</v>
      </c>
      <c r="AG881" s="11">
        <f t="shared" si="868"/>
        <v>0</v>
      </c>
      <c r="AI881" s="11">
        <f t="shared" si="869"/>
        <v>0</v>
      </c>
      <c r="AK881" s="13">
        <f t="shared" si="870"/>
        <v>0</v>
      </c>
      <c r="AM881" s="13">
        <f t="shared" si="871"/>
        <v>0</v>
      </c>
      <c r="AO881" s="11">
        <f t="shared" si="872"/>
        <v>0</v>
      </c>
      <c r="AQ881" s="11">
        <f t="shared" si="873"/>
        <v>0</v>
      </c>
      <c r="AS881" s="11">
        <f t="shared" si="874"/>
        <v>0</v>
      </c>
      <c r="AU881" s="11">
        <f t="shared" si="875"/>
        <v>0</v>
      </c>
      <c r="AW881" s="11">
        <f t="shared" si="876"/>
        <v>0</v>
      </c>
      <c r="AY881" s="11">
        <f t="shared" si="877"/>
        <v>0</v>
      </c>
      <c r="BA881" s="11">
        <f t="shared" si="878"/>
        <v>0</v>
      </c>
      <c r="BC881" s="11">
        <f t="shared" si="879"/>
        <v>0</v>
      </c>
      <c r="BE881" s="11">
        <f t="shared" si="880"/>
        <v>0</v>
      </c>
      <c r="BG881" s="11">
        <f t="shared" si="881"/>
        <v>0</v>
      </c>
      <c r="BN881" s="8">
        <f t="shared" si="862"/>
        <v>0</v>
      </c>
      <c r="BO881" s="8">
        <f t="shared" si="863"/>
        <v>0</v>
      </c>
      <c r="BP881" s="8">
        <f t="shared" si="882"/>
        <v>0</v>
      </c>
      <c r="BQ881" s="12">
        <f t="shared" si="883"/>
        <v>0</v>
      </c>
    </row>
    <row r="882" spans="1:69">
      <c r="A882" s="28">
        <v>1965</v>
      </c>
      <c r="B882" s="27" t="s">
        <v>59</v>
      </c>
      <c r="C882" s="24">
        <f t="shared" si="886"/>
        <v>872</v>
      </c>
      <c r="D882" s="7" t="e">
        <f t="shared" ca="1" si="843"/>
        <v>#N/A</v>
      </c>
      <c r="E882" s="26">
        <f t="array" aca="1" ref="E882" ca="1">AVERAGE(IF(INDIRECT(DatCol&amp;"$"&amp;TEXT(C882,"###")):INDIRECT(DatCol&amp;"$"&amp;TEXT(C882+57,"###"))&gt;0,INDIRECT(DatCol&amp;"$"&amp;TEXT(C882,"###")):INDIRECT(DatCol&amp;"$"&amp;TEXT(C882+57,"###"))))</f>
        <v>625.75567567567577</v>
      </c>
      <c r="F882" s="26" t="str">
        <f t="shared" si="887"/>
        <v>N</v>
      </c>
      <c r="G882" s="8"/>
      <c r="K882" s="9">
        <f t="shared" si="864"/>
        <v>0</v>
      </c>
      <c r="M882" s="11">
        <f t="shared" si="885"/>
        <v>0</v>
      </c>
      <c r="O882" s="11">
        <f t="shared" si="865"/>
        <v>0</v>
      </c>
      <c r="Q882" s="11">
        <f t="shared" si="866"/>
        <v>0</v>
      </c>
      <c r="Y882" s="11">
        <f t="shared" si="867"/>
        <v>0</v>
      </c>
      <c r="AG882" s="11">
        <f t="shared" si="868"/>
        <v>0</v>
      </c>
      <c r="AI882" s="11">
        <f t="shared" si="869"/>
        <v>0</v>
      </c>
      <c r="AK882" s="13">
        <f t="shared" si="870"/>
        <v>0</v>
      </c>
      <c r="AM882" s="13">
        <f t="shared" si="871"/>
        <v>0</v>
      </c>
      <c r="AO882" s="11">
        <f t="shared" si="872"/>
        <v>0</v>
      </c>
      <c r="AQ882" s="11">
        <f t="shared" si="873"/>
        <v>0</v>
      </c>
      <c r="AS882" s="11">
        <f t="shared" si="874"/>
        <v>0</v>
      </c>
      <c r="AU882" s="11">
        <f t="shared" si="875"/>
        <v>0</v>
      </c>
      <c r="AW882" s="11">
        <f t="shared" si="876"/>
        <v>0</v>
      </c>
      <c r="AY882" s="11">
        <f t="shared" si="877"/>
        <v>0</v>
      </c>
      <c r="BA882" s="11">
        <f t="shared" si="878"/>
        <v>0</v>
      </c>
      <c r="BC882" s="11">
        <f t="shared" si="879"/>
        <v>0</v>
      </c>
      <c r="BE882" s="11">
        <f t="shared" si="880"/>
        <v>0</v>
      </c>
      <c r="BG882" s="11">
        <f t="shared" si="881"/>
        <v>0</v>
      </c>
      <c r="BN882" s="8">
        <f t="shared" si="862"/>
        <v>0</v>
      </c>
      <c r="BO882" s="8">
        <f t="shared" si="863"/>
        <v>0</v>
      </c>
      <c r="BP882" s="8">
        <f t="shared" si="882"/>
        <v>0</v>
      </c>
      <c r="BQ882" s="12">
        <f t="shared" si="883"/>
        <v>0</v>
      </c>
    </row>
    <row r="883" spans="1:69">
      <c r="A883" s="28">
        <v>1966</v>
      </c>
      <c r="B883" s="27" t="s">
        <v>59</v>
      </c>
      <c r="C883" s="24">
        <f t="shared" si="886"/>
        <v>872</v>
      </c>
      <c r="D883" s="7" t="e">
        <f t="shared" ca="1" si="843"/>
        <v>#N/A</v>
      </c>
      <c r="E883" s="26">
        <f t="array" aca="1" ref="E883" ca="1">AVERAGE(IF(INDIRECT(DatCol&amp;"$"&amp;TEXT(C883,"###")):INDIRECT(DatCol&amp;"$"&amp;TEXT(C883+57,"###"))&gt;0,INDIRECT(DatCol&amp;"$"&amp;TEXT(C883,"###")):INDIRECT(DatCol&amp;"$"&amp;TEXT(C883+57,"###"))))</f>
        <v>625.75567567567577</v>
      </c>
      <c r="F883" s="26" t="str">
        <f t="shared" si="887"/>
        <v>N</v>
      </c>
      <c r="G883" s="8"/>
      <c r="K883" s="9">
        <f t="shared" si="864"/>
        <v>0</v>
      </c>
      <c r="M883" s="11">
        <f t="shared" si="885"/>
        <v>0</v>
      </c>
      <c r="O883" s="11">
        <f t="shared" si="865"/>
        <v>0</v>
      </c>
      <c r="Q883" s="11">
        <f t="shared" si="866"/>
        <v>0</v>
      </c>
      <c r="Y883" s="11">
        <f t="shared" si="867"/>
        <v>0</v>
      </c>
      <c r="AG883" s="11">
        <f t="shared" si="868"/>
        <v>0</v>
      </c>
      <c r="AI883" s="11">
        <f t="shared" si="869"/>
        <v>0</v>
      </c>
      <c r="AK883" s="13">
        <f t="shared" si="870"/>
        <v>0</v>
      </c>
      <c r="AM883" s="13">
        <f t="shared" si="871"/>
        <v>0</v>
      </c>
      <c r="AO883" s="11">
        <f t="shared" si="872"/>
        <v>0</v>
      </c>
      <c r="AQ883" s="11">
        <f t="shared" si="873"/>
        <v>0</v>
      </c>
      <c r="AS883" s="11">
        <f t="shared" si="874"/>
        <v>0</v>
      </c>
      <c r="AU883" s="11">
        <f t="shared" si="875"/>
        <v>0</v>
      </c>
      <c r="AW883" s="11">
        <f t="shared" si="876"/>
        <v>0</v>
      </c>
      <c r="AY883" s="11">
        <f t="shared" si="877"/>
        <v>0</v>
      </c>
      <c r="BA883" s="11">
        <f t="shared" si="878"/>
        <v>0</v>
      </c>
      <c r="BC883" s="11">
        <f t="shared" si="879"/>
        <v>0</v>
      </c>
      <c r="BE883" s="11">
        <f t="shared" si="880"/>
        <v>0</v>
      </c>
      <c r="BG883" s="11">
        <f t="shared" si="881"/>
        <v>0</v>
      </c>
      <c r="BN883" s="8">
        <f t="shared" si="862"/>
        <v>0</v>
      </c>
      <c r="BO883" s="8">
        <f t="shared" si="863"/>
        <v>0</v>
      </c>
      <c r="BP883" s="8">
        <f t="shared" si="882"/>
        <v>0</v>
      </c>
      <c r="BQ883" s="12">
        <f t="shared" si="883"/>
        <v>0</v>
      </c>
    </row>
    <row r="884" spans="1:69">
      <c r="A884" s="28">
        <v>1967</v>
      </c>
      <c r="B884" s="27" t="s">
        <v>59</v>
      </c>
      <c r="C884" s="24">
        <f t="shared" si="886"/>
        <v>872</v>
      </c>
      <c r="D884" s="7" t="e">
        <f t="shared" ca="1" si="843"/>
        <v>#N/A</v>
      </c>
      <c r="E884" s="26">
        <f t="array" aca="1" ref="E884" ca="1">AVERAGE(IF(INDIRECT(DatCol&amp;"$"&amp;TEXT(C884,"###")):INDIRECT(DatCol&amp;"$"&amp;TEXT(C884+57,"###"))&gt;0,INDIRECT(DatCol&amp;"$"&amp;TEXT(C884,"###")):INDIRECT(DatCol&amp;"$"&amp;TEXT(C884+57,"###"))))</f>
        <v>625.75567567567577</v>
      </c>
      <c r="F884" s="26" t="str">
        <f t="shared" si="887"/>
        <v>N</v>
      </c>
      <c r="G884" s="8"/>
      <c r="K884" s="9">
        <f t="shared" si="864"/>
        <v>0</v>
      </c>
      <c r="M884" s="11">
        <f t="shared" ref="M884:M899" si="888">(L884*50)</f>
        <v>0</v>
      </c>
      <c r="O884" s="11">
        <f t="shared" ref="O884:O899" si="889">(N884*50)</f>
        <v>0</v>
      </c>
      <c r="Q884" s="11">
        <f t="shared" ref="Q884:Q899" si="890">((P884*330)/5.5)</f>
        <v>0</v>
      </c>
      <c r="Y884" s="11">
        <f t="shared" ref="Y884:Y899" si="891">((X884*330)/5.5)</f>
        <v>0</v>
      </c>
      <c r="AG884" s="11">
        <f t="shared" ref="AG884:AG899" si="892">(AF884*65)</f>
        <v>0</v>
      </c>
      <c r="AI884" s="11">
        <f t="shared" ref="AI884:AI899" si="893">(AH884*65)</f>
        <v>0</v>
      </c>
      <c r="AK884" s="13">
        <f t="shared" ref="AK884:AK899" si="894">(AJ884*9)</f>
        <v>0</v>
      </c>
      <c r="AM884" s="13">
        <f t="shared" ref="AM884:AM899" si="895">(AL884*9)</f>
        <v>0</v>
      </c>
      <c r="AO884" s="11">
        <f t="shared" ref="AO884:AO899" si="896">(AN884*80)</f>
        <v>0</v>
      </c>
      <c r="AQ884" s="11">
        <f t="shared" ref="AQ884:AQ899" si="897">(AP884*80)</f>
        <v>0</v>
      </c>
      <c r="AS884" s="11">
        <f t="shared" ref="AS884:AS899" si="898">(AR884*50)</f>
        <v>0</v>
      </c>
      <c r="AU884" s="11">
        <f t="shared" ref="AU884:AU899" si="899">(AT884*50)</f>
        <v>0</v>
      </c>
      <c r="AW884" s="11">
        <f t="shared" ref="AW884:AW899" si="900">(AV884*60)</f>
        <v>0</v>
      </c>
      <c r="AY884" s="11">
        <f t="shared" ref="AY884:AY899" si="901">(AX884*60)</f>
        <v>0</v>
      </c>
      <c r="BA884" s="11">
        <f t="shared" ref="BA884:BA899" si="902">(AZ884*40)</f>
        <v>0</v>
      </c>
      <c r="BC884" s="11">
        <f t="shared" ref="BC884:BC899" si="903">(BB884*40)</f>
        <v>0</v>
      </c>
      <c r="BE884" s="11">
        <f t="shared" ref="BE884:BE899" si="904">(BD884*95)</f>
        <v>0</v>
      </c>
      <c r="BG884" s="11">
        <f t="shared" ref="BG884:BG899" si="905">(BF884*95)</f>
        <v>0</v>
      </c>
      <c r="BN884" s="8">
        <f t="shared" si="862"/>
        <v>0</v>
      </c>
      <c r="BO884" s="8">
        <f t="shared" si="863"/>
        <v>0</v>
      </c>
      <c r="BP884" s="8">
        <f t="shared" si="882"/>
        <v>0</v>
      </c>
      <c r="BQ884" s="12">
        <f t="shared" si="883"/>
        <v>0</v>
      </c>
    </row>
    <row r="885" spans="1:69">
      <c r="A885" s="28">
        <v>1968</v>
      </c>
      <c r="B885" s="27" t="s">
        <v>59</v>
      </c>
      <c r="C885" s="24">
        <f t="shared" si="886"/>
        <v>872</v>
      </c>
      <c r="D885" s="7" t="e">
        <f t="shared" ca="1" si="843"/>
        <v>#N/A</v>
      </c>
      <c r="E885" s="26">
        <f t="array" aca="1" ref="E885" ca="1">AVERAGE(IF(INDIRECT(DatCol&amp;"$"&amp;TEXT(C885,"###")):INDIRECT(DatCol&amp;"$"&amp;TEXT(C885+57,"###"))&gt;0,INDIRECT(DatCol&amp;"$"&amp;TEXT(C885,"###")):INDIRECT(DatCol&amp;"$"&amp;TEXT(C885+57,"###"))))</f>
        <v>625.75567567567577</v>
      </c>
      <c r="F885" s="26" t="str">
        <f t="shared" si="887"/>
        <v>N</v>
      </c>
      <c r="G885" s="8"/>
      <c r="K885" s="9">
        <f t="shared" si="864"/>
        <v>0</v>
      </c>
      <c r="M885" s="11">
        <f t="shared" si="888"/>
        <v>0</v>
      </c>
      <c r="O885" s="11">
        <f t="shared" si="889"/>
        <v>0</v>
      </c>
      <c r="Q885" s="11">
        <f t="shared" si="890"/>
        <v>0</v>
      </c>
      <c r="Y885" s="11">
        <f t="shared" si="891"/>
        <v>0</v>
      </c>
      <c r="AG885" s="11">
        <f t="shared" si="892"/>
        <v>0</v>
      </c>
      <c r="AI885" s="11">
        <f t="shared" si="893"/>
        <v>0</v>
      </c>
      <c r="AK885" s="13">
        <f t="shared" si="894"/>
        <v>0</v>
      </c>
      <c r="AM885" s="13">
        <f t="shared" si="895"/>
        <v>0</v>
      </c>
      <c r="AO885" s="11">
        <f t="shared" si="896"/>
        <v>0</v>
      </c>
      <c r="AQ885" s="11">
        <f t="shared" si="897"/>
        <v>0</v>
      </c>
      <c r="AS885" s="11">
        <f t="shared" si="898"/>
        <v>0</v>
      </c>
      <c r="AU885" s="11">
        <f t="shared" si="899"/>
        <v>0</v>
      </c>
      <c r="AW885" s="11">
        <f t="shared" si="900"/>
        <v>0</v>
      </c>
      <c r="AY885" s="11">
        <f t="shared" si="901"/>
        <v>0</v>
      </c>
      <c r="BA885" s="11">
        <f t="shared" si="902"/>
        <v>0</v>
      </c>
      <c r="BC885" s="11">
        <f t="shared" si="903"/>
        <v>0</v>
      </c>
      <c r="BE885" s="11">
        <f t="shared" si="904"/>
        <v>0</v>
      </c>
      <c r="BG885" s="11">
        <f t="shared" si="905"/>
        <v>0</v>
      </c>
      <c r="BN885" s="8">
        <f t="shared" si="862"/>
        <v>0</v>
      </c>
      <c r="BO885" s="8">
        <f t="shared" si="863"/>
        <v>0</v>
      </c>
      <c r="BP885" s="8">
        <f t="shared" si="882"/>
        <v>0</v>
      </c>
      <c r="BQ885" s="12">
        <f t="shared" si="883"/>
        <v>0</v>
      </c>
    </row>
    <row r="886" spans="1:69">
      <c r="A886" s="28">
        <v>1969</v>
      </c>
      <c r="B886" s="27" t="s">
        <v>59</v>
      </c>
      <c r="C886" s="24">
        <f t="shared" si="886"/>
        <v>872</v>
      </c>
      <c r="D886" s="7" t="e">
        <f t="shared" ca="1" si="843"/>
        <v>#N/A</v>
      </c>
      <c r="E886" s="26">
        <f t="array" aca="1" ref="E886" ca="1">AVERAGE(IF(INDIRECT(DatCol&amp;"$"&amp;TEXT(C886,"###")):INDIRECT(DatCol&amp;"$"&amp;TEXT(C886+57,"###"))&gt;0,INDIRECT(DatCol&amp;"$"&amp;TEXT(C886,"###")):INDIRECT(DatCol&amp;"$"&amp;TEXT(C886+57,"###"))))</f>
        <v>625.75567567567577</v>
      </c>
      <c r="F886" s="26" t="str">
        <f t="shared" si="887"/>
        <v>N</v>
      </c>
      <c r="G886" s="8"/>
      <c r="H886" s="8">
        <v>30</v>
      </c>
      <c r="I886" s="8">
        <v>41</v>
      </c>
      <c r="J886" s="8">
        <v>708</v>
      </c>
      <c r="K886" s="9">
        <f t="shared" si="864"/>
        <v>738</v>
      </c>
      <c r="L886" s="12">
        <v>12000</v>
      </c>
      <c r="M886" s="11">
        <f t="shared" si="888"/>
        <v>600000</v>
      </c>
      <c r="N886" s="12">
        <v>700</v>
      </c>
      <c r="O886" s="11">
        <f t="shared" si="889"/>
        <v>35000</v>
      </c>
      <c r="Q886" s="11">
        <f t="shared" si="890"/>
        <v>0</v>
      </c>
      <c r="Y886" s="11">
        <f t="shared" si="891"/>
        <v>0</v>
      </c>
      <c r="AG886" s="11">
        <f t="shared" si="892"/>
        <v>0</v>
      </c>
      <c r="AI886" s="11">
        <f t="shared" si="893"/>
        <v>0</v>
      </c>
      <c r="AK886" s="13">
        <f t="shared" si="894"/>
        <v>0</v>
      </c>
      <c r="AM886" s="13">
        <f t="shared" si="895"/>
        <v>0</v>
      </c>
      <c r="AO886" s="11">
        <f t="shared" si="896"/>
        <v>0</v>
      </c>
      <c r="AP886" s="12">
        <v>30</v>
      </c>
      <c r="AQ886" s="11">
        <f t="shared" si="897"/>
        <v>2400</v>
      </c>
      <c r="AS886" s="11">
        <f t="shared" si="898"/>
        <v>0</v>
      </c>
      <c r="AU886" s="11">
        <f t="shared" si="899"/>
        <v>0</v>
      </c>
      <c r="AW886" s="11">
        <f t="shared" si="900"/>
        <v>0</v>
      </c>
      <c r="AY886" s="11">
        <f t="shared" si="901"/>
        <v>0</v>
      </c>
      <c r="BA886" s="11">
        <f t="shared" si="902"/>
        <v>0</v>
      </c>
      <c r="BC886" s="11">
        <f t="shared" si="903"/>
        <v>0</v>
      </c>
      <c r="BE886" s="11">
        <f t="shared" si="904"/>
        <v>0</v>
      </c>
      <c r="BG886" s="11">
        <f t="shared" si="905"/>
        <v>0</v>
      </c>
      <c r="BN886" s="8">
        <f t="shared" si="862"/>
        <v>12000</v>
      </c>
      <c r="BO886" s="8">
        <f t="shared" si="863"/>
        <v>600000</v>
      </c>
      <c r="BP886" s="8">
        <f t="shared" si="882"/>
        <v>730</v>
      </c>
      <c r="BQ886" s="12">
        <f t="shared" si="883"/>
        <v>37400</v>
      </c>
    </row>
    <row r="887" spans="1:69">
      <c r="A887" s="28">
        <v>1970</v>
      </c>
      <c r="B887" s="27" t="s">
        <v>59</v>
      </c>
      <c r="C887" s="24">
        <f t="shared" si="886"/>
        <v>872</v>
      </c>
      <c r="D887" s="7" t="e">
        <f t="shared" ca="1" si="843"/>
        <v>#N/A</v>
      </c>
      <c r="E887" s="26">
        <f t="array" aca="1" ref="E887" ca="1">AVERAGE(IF(INDIRECT(DatCol&amp;"$"&amp;TEXT(C887,"###")):INDIRECT(DatCol&amp;"$"&amp;TEXT(C887+57,"###"))&gt;0,INDIRECT(DatCol&amp;"$"&amp;TEXT(C887,"###")):INDIRECT(DatCol&amp;"$"&amp;TEXT(C887+57,"###"))))</f>
        <v>625.75567567567577</v>
      </c>
      <c r="F887" s="26" t="str">
        <f t="shared" si="887"/>
        <v>N</v>
      </c>
      <c r="G887" s="8"/>
      <c r="H887" s="8">
        <v>29</v>
      </c>
      <c r="I887" s="8">
        <v>50</v>
      </c>
      <c r="J887" s="8">
        <v>619</v>
      </c>
      <c r="K887" s="9">
        <f t="shared" si="864"/>
        <v>648</v>
      </c>
      <c r="L887" s="12">
        <v>13000</v>
      </c>
      <c r="M887" s="11">
        <f t="shared" si="888"/>
        <v>650000</v>
      </c>
      <c r="N887" s="12">
        <v>650</v>
      </c>
      <c r="O887" s="11">
        <f t="shared" si="889"/>
        <v>32500</v>
      </c>
      <c r="Q887" s="11">
        <f t="shared" si="890"/>
        <v>0</v>
      </c>
      <c r="Y887" s="11">
        <f t="shared" si="891"/>
        <v>0</v>
      </c>
      <c r="AG887" s="11">
        <f t="shared" si="892"/>
        <v>0</v>
      </c>
      <c r="AI887" s="11">
        <f t="shared" si="893"/>
        <v>0</v>
      </c>
      <c r="AK887" s="13">
        <f t="shared" si="894"/>
        <v>0</v>
      </c>
      <c r="AM887" s="13">
        <f t="shared" si="895"/>
        <v>0</v>
      </c>
      <c r="AO887" s="11">
        <f t="shared" si="896"/>
        <v>0</v>
      </c>
      <c r="AP887" s="12">
        <v>10</v>
      </c>
      <c r="AQ887" s="11">
        <f t="shared" si="897"/>
        <v>800</v>
      </c>
      <c r="AS887" s="11">
        <f t="shared" si="898"/>
        <v>0</v>
      </c>
      <c r="AU887" s="11">
        <f t="shared" si="899"/>
        <v>0</v>
      </c>
      <c r="AW887" s="11">
        <f t="shared" si="900"/>
        <v>0</v>
      </c>
      <c r="AY887" s="11">
        <f t="shared" si="901"/>
        <v>0</v>
      </c>
      <c r="BA887" s="11">
        <f t="shared" si="902"/>
        <v>0</v>
      </c>
      <c r="BC887" s="11">
        <f t="shared" si="903"/>
        <v>0</v>
      </c>
      <c r="BE887" s="11">
        <f t="shared" si="904"/>
        <v>0</v>
      </c>
      <c r="BG887" s="11">
        <f t="shared" si="905"/>
        <v>0</v>
      </c>
      <c r="BN887" s="8">
        <f t="shared" si="862"/>
        <v>13000</v>
      </c>
      <c r="BO887" s="8">
        <f t="shared" si="863"/>
        <v>650000</v>
      </c>
      <c r="BP887" s="8">
        <f t="shared" si="882"/>
        <v>660</v>
      </c>
      <c r="BQ887" s="12">
        <f t="shared" si="883"/>
        <v>33300</v>
      </c>
    </row>
    <row r="888" spans="1:69">
      <c r="A888" s="28">
        <v>1971</v>
      </c>
      <c r="B888" s="27" t="s">
        <v>59</v>
      </c>
      <c r="C888" s="24">
        <f t="shared" si="886"/>
        <v>872</v>
      </c>
      <c r="D888" s="7" t="e">
        <f t="shared" ca="1" si="843"/>
        <v>#N/A</v>
      </c>
      <c r="E888" s="26">
        <f t="array" aca="1" ref="E888" ca="1">AVERAGE(IF(INDIRECT(DatCol&amp;"$"&amp;TEXT(C888,"###")):INDIRECT(DatCol&amp;"$"&amp;TEXT(C888+57,"###"))&gt;0,INDIRECT(DatCol&amp;"$"&amp;TEXT(C888,"###")):INDIRECT(DatCol&amp;"$"&amp;TEXT(C888+57,"###"))))</f>
        <v>625.75567567567577</v>
      </c>
      <c r="F888" s="26" t="str">
        <f t="shared" si="887"/>
        <v>N</v>
      </c>
      <c r="G888" s="8"/>
      <c r="H888" s="8">
        <v>56</v>
      </c>
      <c r="I888" s="8">
        <v>43</v>
      </c>
      <c r="J888" s="8">
        <v>597</v>
      </c>
      <c r="K888" s="9">
        <f t="shared" si="864"/>
        <v>653</v>
      </c>
      <c r="L888" s="12">
        <v>12000</v>
      </c>
      <c r="M888" s="11">
        <f t="shared" si="888"/>
        <v>600000</v>
      </c>
      <c r="N888" s="12">
        <v>600</v>
      </c>
      <c r="O888" s="11">
        <f t="shared" si="889"/>
        <v>30000</v>
      </c>
      <c r="Q888" s="11">
        <f t="shared" si="890"/>
        <v>0</v>
      </c>
      <c r="Y888" s="11">
        <f t="shared" si="891"/>
        <v>0</v>
      </c>
      <c r="AG888" s="11">
        <f t="shared" si="892"/>
        <v>0</v>
      </c>
      <c r="AI888" s="11">
        <f t="shared" si="893"/>
        <v>0</v>
      </c>
      <c r="AK888" s="13">
        <f t="shared" si="894"/>
        <v>0</v>
      </c>
      <c r="AM888" s="13">
        <f t="shared" si="895"/>
        <v>0</v>
      </c>
      <c r="AO888" s="11">
        <f t="shared" si="896"/>
        <v>0</v>
      </c>
      <c r="AP888" s="12">
        <v>100</v>
      </c>
      <c r="AQ888" s="11">
        <f t="shared" si="897"/>
        <v>8000</v>
      </c>
      <c r="AS888" s="11">
        <f t="shared" si="898"/>
        <v>0</v>
      </c>
      <c r="AU888" s="11">
        <f t="shared" si="899"/>
        <v>0</v>
      </c>
      <c r="AW888" s="11">
        <f t="shared" si="900"/>
        <v>0</v>
      </c>
      <c r="AY888" s="11">
        <f t="shared" si="901"/>
        <v>0</v>
      </c>
      <c r="BA888" s="11">
        <f t="shared" si="902"/>
        <v>0</v>
      </c>
      <c r="BC888" s="11">
        <f t="shared" si="903"/>
        <v>0</v>
      </c>
      <c r="BE888" s="11">
        <f t="shared" si="904"/>
        <v>0</v>
      </c>
      <c r="BG888" s="11">
        <f t="shared" si="905"/>
        <v>0</v>
      </c>
      <c r="BN888" s="8">
        <f t="shared" si="862"/>
        <v>12000</v>
      </c>
      <c r="BO888" s="8">
        <f t="shared" si="863"/>
        <v>600000</v>
      </c>
      <c r="BP888" s="8">
        <f t="shared" si="882"/>
        <v>700</v>
      </c>
      <c r="BQ888" s="12">
        <f t="shared" si="883"/>
        <v>38000</v>
      </c>
    </row>
    <row r="889" spans="1:69">
      <c r="A889" s="28">
        <v>1972</v>
      </c>
      <c r="B889" s="27" t="s">
        <v>59</v>
      </c>
      <c r="C889" s="24">
        <f t="shared" si="886"/>
        <v>872</v>
      </c>
      <c r="D889" s="7" t="e">
        <f t="shared" ca="1" si="843"/>
        <v>#N/A</v>
      </c>
      <c r="E889" s="26">
        <f t="array" aca="1" ref="E889" ca="1">AVERAGE(IF(INDIRECT(DatCol&amp;"$"&amp;TEXT(C889,"###")):INDIRECT(DatCol&amp;"$"&amp;TEXT(C889+57,"###"))&gt;0,INDIRECT(DatCol&amp;"$"&amp;TEXT(C889,"###")):INDIRECT(DatCol&amp;"$"&amp;TEXT(C889+57,"###"))))</f>
        <v>625.75567567567577</v>
      </c>
      <c r="F889" s="26" t="str">
        <f t="shared" si="887"/>
        <v>N</v>
      </c>
      <c r="G889" s="8"/>
      <c r="H889" s="8">
        <v>258</v>
      </c>
      <c r="I889" s="8">
        <v>75</v>
      </c>
      <c r="J889" s="8">
        <v>1076</v>
      </c>
      <c r="K889" s="9">
        <f t="shared" si="864"/>
        <v>1334</v>
      </c>
      <c r="L889" s="12">
        <v>8000</v>
      </c>
      <c r="M889" s="11">
        <f t="shared" si="888"/>
        <v>400000</v>
      </c>
      <c r="N889" s="12">
        <v>750</v>
      </c>
      <c r="O889" s="11">
        <f t="shared" si="889"/>
        <v>37500</v>
      </c>
      <c r="Q889" s="11">
        <f t="shared" si="890"/>
        <v>0</v>
      </c>
      <c r="Y889" s="11">
        <f t="shared" si="891"/>
        <v>0</v>
      </c>
      <c r="AG889" s="11">
        <f t="shared" si="892"/>
        <v>0</v>
      </c>
      <c r="AI889" s="11">
        <f t="shared" si="893"/>
        <v>0</v>
      </c>
      <c r="AK889" s="13">
        <f t="shared" si="894"/>
        <v>0</v>
      </c>
      <c r="AM889" s="13">
        <f t="shared" si="895"/>
        <v>0</v>
      </c>
      <c r="AO889" s="11">
        <f t="shared" si="896"/>
        <v>0</v>
      </c>
      <c r="AP889" s="12">
        <v>70</v>
      </c>
      <c r="AQ889" s="11">
        <f t="shared" si="897"/>
        <v>5600</v>
      </c>
      <c r="AS889" s="11">
        <f t="shared" si="898"/>
        <v>0</v>
      </c>
      <c r="AU889" s="11">
        <f t="shared" si="899"/>
        <v>0</v>
      </c>
      <c r="AW889" s="11">
        <f t="shared" si="900"/>
        <v>0</v>
      </c>
      <c r="AY889" s="11">
        <f t="shared" si="901"/>
        <v>0</v>
      </c>
      <c r="BA889" s="11">
        <f t="shared" si="902"/>
        <v>0</v>
      </c>
      <c r="BC889" s="11">
        <f t="shared" si="903"/>
        <v>0</v>
      </c>
      <c r="BE889" s="11">
        <f t="shared" si="904"/>
        <v>0</v>
      </c>
      <c r="BG889" s="11">
        <f t="shared" si="905"/>
        <v>0</v>
      </c>
      <c r="BN889" s="8">
        <f t="shared" si="862"/>
        <v>8000</v>
      </c>
      <c r="BO889" s="8">
        <f t="shared" si="863"/>
        <v>400000</v>
      </c>
      <c r="BP889" s="8">
        <f t="shared" si="882"/>
        <v>820</v>
      </c>
      <c r="BQ889" s="12">
        <f t="shared" si="883"/>
        <v>43100</v>
      </c>
    </row>
    <row r="890" spans="1:69">
      <c r="A890" s="28">
        <v>1973</v>
      </c>
      <c r="B890" s="27" t="s">
        <v>59</v>
      </c>
      <c r="C890" s="24">
        <f t="shared" si="886"/>
        <v>872</v>
      </c>
      <c r="D890" s="7" t="e">
        <f t="shared" ca="1" si="843"/>
        <v>#N/A</v>
      </c>
      <c r="E890" s="26">
        <f t="array" aca="1" ref="E890" ca="1">AVERAGE(IF(INDIRECT(DatCol&amp;"$"&amp;TEXT(C890,"###")):INDIRECT(DatCol&amp;"$"&amp;TEXT(C890+57,"###"))&gt;0,INDIRECT(DatCol&amp;"$"&amp;TEXT(C890,"###")):INDIRECT(DatCol&amp;"$"&amp;TEXT(C890+57,"###"))))</f>
        <v>625.75567567567577</v>
      </c>
      <c r="F890" s="26" t="str">
        <f t="shared" si="887"/>
        <v>N</v>
      </c>
      <c r="G890" s="8"/>
      <c r="H890" s="8">
        <v>218</v>
      </c>
      <c r="I890" s="8">
        <v>121</v>
      </c>
      <c r="J890" s="8">
        <v>1339</v>
      </c>
      <c r="K890" s="9">
        <f t="shared" si="864"/>
        <v>1557</v>
      </c>
      <c r="L890" s="12">
        <v>11000</v>
      </c>
      <c r="M890" s="11">
        <f t="shared" si="888"/>
        <v>550000</v>
      </c>
      <c r="N890" s="12">
        <v>2000</v>
      </c>
      <c r="O890" s="11">
        <f t="shared" si="889"/>
        <v>100000</v>
      </c>
      <c r="Q890" s="11">
        <f t="shared" si="890"/>
        <v>0</v>
      </c>
      <c r="Y890" s="11">
        <f t="shared" si="891"/>
        <v>0</v>
      </c>
      <c r="AG890" s="11">
        <f t="shared" si="892"/>
        <v>0</v>
      </c>
      <c r="AI890" s="11">
        <f t="shared" si="893"/>
        <v>0</v>
      </c>
      <c r="AK890" s="13">
        <f t="shared" si="894"/>
        <v>0</v>
      </c>
      <c r="AM890" s="13">
        <f t="shared" si="895"/>
        <v>0</v>
      </c>
      <c r="AO890" s="11">
        <f t="shared" si="896"/>
        <v>0</v>
      </c>
      <c r="AQ890" s="11">
        <f t="shared" si="897"/>
        <v>0</v>
      </c>
      <c r="AR890" s="12">
        <v>300</v>
      </c>
      <c r="AS890" s="11">
        <f t="shared" si="898"/>
        <v>15000</v>
      </c>
      <c r="AU890" s="11">
        <f t="shared" si="899"/>
        <v>0</v>
      </c>
      <c r="AW890" s="11">
        <f t="shared" si="900"/>
        <v>0</v>
      </c>
      <c r="AY890" s="11">
        <f t="shared" si="901"/>
        <v>0</v>
      </c>
      <c r="BA890" s="11">
        <f t="shared" si="902"/>
        <v>0</v>
      </c>
      <c r="BC890" s="11">
        <f t="shared" si="903"/>
        <v>0</v>
      </c>
      <c r="BE890" s="11">
        <f t="shared" si="904"/>
        <v>0</v>
      </c>
      <c r="BG890" s="11">
        <f t="shared" si="905"/>
        <v>0</v>
      </c>
      <c r="BN890" s="8">
        <f t="shared" si="862"/>
        <v>11300</v>
      </c>
      <c r="BO890" s="8">
        <f t="shared" si="863"/>
        <v>565000</v>
      </c>
      <c r="BP890" s="8">
        <f t="shared" si="882"/>
        <v>2000</v>
      </c>
      <c r="BQ890" s="12">
        <f t="shared" si="883"/>
        <v>100000</v>
      </c>
    </row>
    <row r="891" spans="1:69">
      <c r="A891" s="28">
        <v>1974</v>
      </c>
      <c r="B891" s="27" t="s">
        <v>59</v>
      </c>
      <c r="C891" s="24">
        <f t="shared" si="886"/>
        <v>872</v>
      </c>
      <c r="D891" s="7" t="e">
        <f t="shared" ca="1" si="843"/>
        <v>#N/A</v>
      </c>
      <c r="E891" s="26">
        <f t="array" aca="1" ref="E891" ca="1">AVERAGE(IF(INDIRECT(DatCol&amp;"$"&amp;TEXT(C891,"###")):INDIRECT(DatCol&amp;"$"&amp;TEXT(C891+57,"###"))&gt;0,INDIRECT(DatCol&amp;"$"&amp;TEXT(C891,"###")):INDIRECT(DatCol&amp;"$"&amp;TEXT(C891+57,"###"))))</f>
        <v>625.75567567567577</v>
      </c>
      <c r="F891" s="26" t="str">
        <f t="shared" si="887"/>
        <v>N</v>
      </c>
      <c r="G891" s="8"/>
      <c r="H891" s="8">
        <v>339</v>
      </c>
      <c r="I891" s="8">
        <v>129</v>
      </c>
      <c r="J891" s="8">
        <v>1440</v>
      </c>
      <c r="K891" s="9">
        <f t="shared" si="864"/>
        <v>1779</v>
      </c>
      <c r="L891" s="12">
        <v>11000</v>
      </c>
      <c r="M891" s="11">
        <f t="shared" si="888"/>
        <v>550000</v>
      </c>
      <c r="N891" s="12">
        <v>2300</v>
      </c>
      <c r="O891" s="11">
        <f t="shared" si="889"/>
        <v>115000</v>
      </c>
      <c r="Q891" s="11">
        <f t="shared" si="890"/>
        <v>0</v>
      </c>
      <c r="Y891" s="11">
        <f t="shared" si="891"/>
        <v>0</v>
      </c>
      <c r="AG891" s="11">
        <f t="shared" si="892"/>
        <v>0</v>
      </c>
      <c r="AI891" s="11">
        <f t="shared" si="893"/>
        <v>0</v>
      </c>
      <c r="AK891" s="13">
        <f t="shared" si="894"/>
        <v>0</v>
      </c>
      <c r="AM891" s="13">
        <f t="shared" si="895"/>
        <v>0</v>
      </c>
      <c r="AO891" s="11">
        <f t="shared" si="896"/>
        <v>0</v>
      </c>
      <c r="AQ891" s="11">
        <f t="shared" si="897"/>
        <v>0</v>
      </c>
      <c r="AR891" s="12">
        <v>10</v>
      </c>
      <c r="AS891" s="11">
        <f t="shared" si="898"/>
        <v>500</v>
      </c>
      <c r="AU891" s="11">
        <f t="shared" si="899"/>
        <v>0</v>
      </c>
      <c r="AW891" s="11">
        <f t="shared" si="900"/>
        <v>0</v>
      </c>
      <c r="AY891" s="11">
        <f t="shared" si="901"/>
        <v>0</v>
      </c>
      <c r="BA891" s="11">
        <f t="shared" si="902"/>
        <v>0</v>
      </c>
      <c r="BC891" s="11">
        <f t="shared" si="903"/>
        <v>0</v>
      </c>
      <c r="BE891" s="11">
        <f t="shared" si="904"/>
        <v>0</v>
      </c>
      <c r="BG891" s="11">
        <f t="shared" si="905"/>
        <v>0</v>
      </c>
      <c r="BN891" s="8">
        <f t="shared" si="862"/>
        <v>11010</v>
      </c>
      <c r="BO891" s="8">
        <f t="shared" si="863"/>
        <v>550500</v>
      </c>
      <c r="BP891" s="8">
        <f t="shared" si="882"/>
        <v>2300</v>
      </c>
      <c r="BQ891" s="12">
        <f t="shared" si="883"/>
        <v>115000</v>
      </c>
    </row>
    <row r="892" spans="1:69">
      <c r="A892" s="28">
        <v>1975</v>
      </c>
      <c r="B892" s="27" t="s">
        <v>59</v>
      </c>
      <c r="C892" s="24">
        <f t="shared" si="886"/>
        <v>872</v>
      </c>
      <c r="D892" s="7" t="e">
        <f t="shared" ca="1" si="843"/>
        <v>#N/A</v>
      </c>
      <c r="E892" s="26">
        <f t="array" aca="1" ref="E892" ca="1">AVERAGE(IF(INDIRECT(DatCol&amp;"$"&amp;TEXT(C892,"###")):INDIRECT(DatCol&amp;"$"&amp;TEXT(C892+57,"###"))&gt;0,INDIRECT(DatCol&amp;"$"&amp;TEXT(C892,"###")):INDIRECT(DatCol&amp;"$"&amp;TEXT(C892+57,"###"))))</f>
        <v>625.75567567567577</v>
      </c>
      <c r="F892" s="26" t="str">
        <f t="shared" si="887"/>
        <v>N</v>
      </c>
      <c r="G892" s="8"/>
      <c r="K892" s="9">
        <f t="shared" si="864"/>
        <v>0</v>
      </c>
      <c r="M892" s="11">
        <f t="shared" si="888"/>
        <v>0</v>
      </c>
      <c r="O892" s="11">
        <f t="shared" si="889"/>
        <v>0</v>
      </c>
      <c r="Q892" s="11">
        <f t="shared" si="890"/>
        <v>0</v>
      </c>
      <c r="Y892" s="11">
        <f t="shared" si="891"/>
        <v>0</v>
      </c>
      <c r="AG892" s="11">
        <f t="shared" si="892"/>
        <v>0</v>
      </c>
      <c r="AI892" s="11">
        <f t="shared" si="893"/>
        <v>0</v>
      </c>
      <c r="AK892" s="13">
        <f t="shared" si="894"/>
        <v>0</v>
      </c>
      <c r="AM892" s="13">
        <f t="shared" si="895"/>
        <v>0</v>
      </c>
      <c r="AO892" s="11">
        <f t="shared" si="896"/>
        <v>0</v>
      </c>
      <c r="AQ892" s="11">
        <f t="shared" si="897"/>
        <v>0</v>
      </c>
      <c r="AS892" s="11">
        <f t="shared" si="898"/>
        <v>0</v>
      </c>
      <c r="AU892" s="11">
        <f t="shared" si="899"/>
        <v>0</v>
      </c>
      <c r="AW892" s="11">
        <f t="shared" si="900"/>
        <v>0</v>
      </c>
      <c r="AY892" s="11">
        <f t="shared" si="901"/>
        <v>0</v>
      </c>
      <c r="BA892" s="11">
        <f t="shared" si="902"/>
        <v>0</v>
      </c>
      <c r="BC892" s="11">
        <f t="shared" si="903"/>
        <v>0</v>
      </c>
      <c r="BE892" s="11">
        <f t="shared" si="904"/>
        <v>0</v>
      </c>
      <c r="BG892" s="11">
        <f t="shared" si="905"/>
        <v>0</v>
      </c>
      <c r="BN892" s="8">
        <f t="shared" si="862"/>
        <v>0</v>
      </c>
      <c r="BO892" s="8">
        <f t="shared" si="863"/>
        <v>0</v>
      </c>
      <c r="BP892" s="8">
        <f t="shared" si="882"/>
        <v>0</v>
      </c>
      <c r="BQ892" s="12">
        <f t="shared" si="883"/>
        <v>0</v>
      </c>
    </row>
    <row r="893" spans="1:69">
      <c r="A893" s="28">
        <v>1976</v>
      </c>
      <c r="B893" s="27" t="s">
        <v>59</v>
      </c>
      <c r="C893" s="24">
        <f t="shared" si="886"/>
        <v>872</v>
      </c>
      <c r="D893" s="7" t="e">
        <f t="shared" ca="1" si="843"/>
        <v>#N/A</v>
      </c>
      <c r="E893" s="26">
        <f t="array" aca="1" ref="E893" ca="1">AVERAGE(IF(INDIRECT(DatCol&amp;"$"&amp;TEXT(C893,"###")):INDIRECT(DatCol&amp;"$"&amp;TEXT(C893+57,"###"))&gt;0,INDIRECT(DatCol&amp;"$"&amp;TEXT(C893,"###")):INDIRECT(DatCol&amp;"$"&amp;TEXT(C893+57,"###"))))</f>
        <v>625.75567567567577</v>
      </c>
      <c r="F893" s="26" t="str">
        <f t="shared" si="887"/>
        <v>N</v>
      </c>
      <c r="G893" s="8"/>
      <c r="H893" s="8">
        <v>257</v>
      </c>
      <c r="I893" s="8">
        <v>87</v>
      </c>
      <c r="J893" s="8">
        <v>1350</v>
      </c>
      <c r="K893" s="9">
        <f t="shared" si="864"/>
        <v>1607</v>
      </c>
      <c r="L893" s="12">
        <v>6000</v>
      </c>
      <c r="M893" s="11">
        <f t="shared" si="888"/>
        <v>300000</v>
      </c>
      <c r="N893" s="12">
        <v>1300</v>
      </c>
      <c r="O893" s="11">
        <f t="shared" si="889"/>
        <v>65000</v>
      </c>
      <c r="Q893" s="11">
        <f t="shared" si="890"/>
        <v>0</v>
      </c>
      <c r="Y893" s="11">
        <f t="shared" si="891"/>
        <v>0</v>
      </c>
      <c r="AG893" s="11">
        <f t="shared" si="892"/>
        <v>0</v>
      </c>
      <c r="AI893" s="11">
        <f t="shared" si="893"/>
        <v>0</v>
      </c>
      <c r="AK893" s="13">
        <f t="shared" si="894"/>
        <v>0</v>
      </c>
      <c r="AM893" s="13">
        <f t="shared" si="895"/>
        <v>0</v>
      </c>
      <c r="AO893" s="11">
        <f t="shared" si="896"/>
        <v>0</v>
      </c>
      <c r="AQ893" s="11">
        <f t="shared" si="897"/>
        <v>0</v>
      </c>
      <c r="AS893" s="11">
        <f t="shared" si="898"/>
        <v>0</v>
      </c>
      <c r="AU893" s="11">
        <f t="shared" si="899"/>
        <v>0</v>
      </c>
      <c r="AW893" s="11">
        <f t="shared" si="900"/>
        <v>0</v>
      </c>
      <c r="AY893" s="11">
        <f t="shared" si="901"/>
        <v>0</v>
      </c>
      <c r="BA893" s="11">
        <f t="shared" si="902"/>
        <v>0</v>
      </c>
      <c r="BC893" s="11">
        <f t="shared" si="903"/>
        <v>0</v>
      </c>
      <c r="BE893" s="11">
        <f t="shared" si="904"/>
        <v>0</v>
      </c>
      <c r="BG893" s="11">
        <f t="shared" si="905"/>
        <v>0</v>
      </c>
      <c r="BN893" s="8">
        <f t="shared" si="862"/>
        <v>6000</v>
      </c>
      <c r="BO893" s="8">
        <f t="shared" si="863"/>
        <v>300000</v>
      </c>
      <c r="BP893" s="8">
        <f t="shared" si="882"/>
        <v>1300</v>
      </c>
      <c r="BQ893" s="12">
        <f t="shared" si="883"/>
        <v>65000</v>
      </c>
    </row>
    <row r="894" spans="1:69">
      <c r="A894" s="28">
        <v>1977</v>
      </c>
      <c r="B894" s="27" t="s">
        <v>59</v>
      </c>
      <c r="C894" s="24">
        <f t="shared" si="886"/>
        <v>872</v>
      </c>
      <c r="D894" s="7" t="e">
        <f t="shared" ca="1" si="843"/>
        <v>#N/A</v>
      </c>
      <c r="E894" s="26">
        <f t="array" aca="1" ref="E894" ca="1">AVERAGE(IF(INDIRECT(DatCol&amp;"$"&amp;TEXT(C894,"###")):INDIRECT(DatCol&amp;"$"&amp;TEXT(C894+57,"###"))&gt;0,INDIRECT(DatCol&amp;"$"&amp;TEXT(C894,"###")):INDIRECT(DatCol&amp;"$"&amp;TEXT(C894+57,"###"))))</f>
        <v>625.75567567567577</v>
      </c>
      <c r="F894" s="26" t="str">
        <f t="shared" si="887"/>
        <v>N</v>
      </c>
      <c r="G894" s="8"/>
      <c r="H894" s="8">
        <v>219</v>
      </c>
      <c r="I894" s="8">
        <v>46</v>
      </c>
      <c r="J894" s="8">
        <v>1075</v>
      </c>
      <c r="K894" s="9">
        <f t="shared" si="864"/>
        <v>1294</v>
      </c>
      <c r="L894" s="12">
        <v>1950</v>
      </c>
      <c r="M894" s="11">
        <f t="shared" si="888"/>
        <v>97500</v>
      </c>
      <c r="N894" s="12">
        <v>600</v>
      </c>
      <c r="O894" s="11">
        <f t="shared" si="889"/>
        <v>30000</v>
      </c>
      <c r="Q894" s="11">
        <f t="shared" si="890"/>
        <v>0</v>
      </c>
      <c r="Y894" s="11">
        <f t="shared" si="891"/>
        <v>0</v>
      </c>
      <c r="AG894" s="11">
        <f t="shared" si="892"/>
        <v>0</v>
      </c>
      <c r="AI894" s="11">
        <f t="shared" si="893"/>
        <v>0</v>
      </c>
      <c r="AK894" s="13">
        <f t="shared" si="894"/>
        <v>0</v>
      </c>
      <c r="AM894" s="13">
        <f t="shared" si="895"/>
        <v>0</v>
      </c>
      <c r="AO894" s="11">
        <f t="shared" si="896"/>
        <v>0</v>
      </c>
      <c r="AQ894" s="11">
        <f t="shared" si="897"/>
        <v>0</v>
      </c>
      <c r="AS894" s="11">
        <f t="shared" si="898"/>
        <v>0</v>
      </c>
      <c r="AU894" s="11">
        <f t="shared" si="899"/>
        <v>0</v>
      </c>
      <c r="AW894" s="11">
        <f t="shared" si="900"/>
        <v>0</v>
      </c>
      <c r="AY894" s="11">
        <f t="shared" si="901"/>
        <v>0</v>
      </c>
      <c r="BA894" s="11">
        <f t="shared" si="902"/>
        <v>0</v>
      </c>
      <c r="BC894" s="11">
        <f t="shared" si="903"/>
        <v>0</v>
      </c>
      <c r="BE894" s="11">
        <f t="shared" si="904"/>
        <v>0</v>
      </c>
      <c r="BG894" s="11">
        <f t="shared" si="905"/>
        <v>0</v>
      </c>
      <c r="BN894" s="8">
        <f t="shared" si="862"/>
        <v>1950</v>
      </c>
      <c r="BO894" s="8">
        <f t="shared" si="863"/>
        <v>97500</v>
      </c>
      <c r="BP894" s="8">
        <f t="shared" si="882"/>
        <v>600</v>
      </c>
      <c r="BQ894" s="12">
        <f t="shared" si="883"/>
        <v>30000</v>
      </c>
    </row>
    <row r="895" spans="1:69">
      <c r="A895" s="28">
        <v>1978</v>
      </c>
      <c r="B895" s="27" t="s">
        <v>59</v>
      </c>
      <c r="C895" s="24">
        <f t="shared" si="886"/>
        <v>872</v>
      </c>
      <c r="D895" s="7" t="e">
        <f t="shared" ca="1" si="843"/>
        <v>#N/A</v>
      </c>
      <c r="E895" s="26">
        <f t="array" aca="1" ref="E895" ca="1">AVERAGE(IF(INDIRECT(DatCol&amp;"$"&amp;TEXT(C895,"###")):INDIRECT(DatCol&amp;"$"&amp;TEXT(C895+57,"###"))&gt;0,INDIRECT(DatCol&amp;"$"&amp;TEXT(C895,"###")):INDIRECT(DatCol&amp;"$"&amp;TEXT(C895+57,"###"))))</f>
        <v>625.75567567567577</v>
      </c>
      <c r="F895" s="26" t="str">
        <f t="shared" si="887"/>
        <v>N</v>
      </c>
      <c r="G895" s="8"/>
      <c r="H895" s="8">
        <v>73</v>
      </c>
      <c r="I895" s="8">
        <v>41</v>
      </c>
      <c r="J895" s="8">
        <v>900</v>
      </c>
      <c r="K895" s="9">
        <f t="shared" si="864"/>
        <v>973</v>
      </c>
      <c r="L895" s="12">
        <v>1000</v>
      </c>
      <c r="M895" s="11">
        <f t="shared" si="888"/>
        <v>50000</v>
      </c>
      <c r="N895" s="12">
        <v>150</v>
      </c>
      <c r="O895" s="11">
        <f t="shared" si="889"/>
        <v>7500</v>
      </c>
      <c r="Q895" s="11">
        <f t="shared" si="890"/>
        <v>0</v>
      </c>
      <c r="Y895" s="11">
        <f t="shared" si="891"/>
        <v>0</v>
      </c>
      <c r="AG895" s="11">
        <f t="shared" si="892"/>
        <v>0</v>
      </c>
      <c r="AI895" s="11">
        <f t="shared" si="893"/>
        <v>0</v>
      </c>
      <c r="AK895" s="13">
        <f t="shared" si="894"/>
        <v>0</v>
      </c>
      <c r="AM895" s="13">
        <f t="shared" si="895"/>
        <v>0</v>
      </c>
      <c r="AO895" s="11">
        <f t="shared" si="896"/>
        <v>0</v>
      </c>
      <c r="AQ895" s="11">
        <f t="shared" si="897"/>
        <v>0</v>
      </c>
      <c r="AS895" s="11">
        <f t="shared" si="898"/>
        <v>0</v>
      </c>
      <c r="AU895" s="11">
        <f t="shared" si="899"/>
        <v>0</v>
      </c>
      <c r="AW895" s="11">
        <f t="shared" si="900"/>
        <v>0</v>
      </c>
      <c r="AY895" s="11">
        <f t="shared" si="901"/>
        <v>0</v>
      </c>
      <c r="BA895" s="11">
        <f t="shared" si="902"/>
        <v>0</v>
      </c>
      <c r="BC895" s="11">
        <f t="shared" si="903"/>
        <v>0</v>
      </c>
      <c r="BE895" s="11">
        <f t="shared" si="904"/>
        <v>0</v>
      </c>
      <c r="BG895" s="11">
        <f t="shared" si="905"/>
        <v>0</v>
      </c>
      <c r="BN895" s="8">
        <f t="shared" si="862"/>
        <v>1000</v>
      </c>
      <c r="BO895" s="8">
        <f t="shared" si="863"/>
        <v>50000</v>
      </c>
      <c r="BP895" s="8">
        <f t="shared" si="882"/>
        <v>150</v>
      </c>
      <c r="BQ895" s="12">
        <f t="shared" si="883"/>
        <v>7500</v>
      </c>
    </row>
    <row r="896" spans="1:69">
      <c r="A896" s="28">
        <v>1979</v>
      </c>
      <c r="B896" s="27" t="s">
        <v>59</v>
      </c>
      <c r="C896" s="24">
        <f t="shared" si="886"/>
        <v>872</v>
      </c>
      <c r="D896" s="7" t="e">
        <f t="shared" ca="1" si="843"/>
        <v>#N/A</v>
      </c>
      <c r="E896" s="26">
        <f t="array" aca="1" ref="E896" ca="1">AVERAGE(IF(INDIRECT(DatCol&amp;"$"&amp;TEXT(C896,"###")):INDIRECT(DatCol&amp;"$"&amp;TEXT(C896+57,"###"))&gt;0,INDIRECT(DatCol&amp;"$"&amp;TEXT(C896,"###")):INDIRECT(DatCol&amp;"$"&amp;TEXT(C896+57,"###"))))</f>
        <v>625.75567567567577</v>
      </c>
      <c r="F896" s="26" t="str">
        <f t="shared" si="887"/>
        <v>N</v>
      </c>
      <c r="G896" s="8"/>
      <c r="H896" s="8">
        <v>42</v>
      </c>
      <c r="I896" s="8">
        <v>60</v>
      </c>
      <c r="J896" s="8">
        <v>585</v>
      </c>
      <c r="K896" s="9">
        <f t="shared" si="864"/>
        <v>627</v>
      </c>
      <c r="L896" s="12">
        <v>6000</v>
      </c>
      <c r="M896" s="11">
        <f t="shared" si="888"/>
        <v>300000</v>
      </c>
      <c r="N896" s="12">
        <v>596</v>
      </c>
      <c r="O896" s="11">
        <f t="shared" si="889"/>
        <v>29800</v>
      </c>
      <c r="Q896" s="11">
        <f t="shared" si="890"/>
        <v>0</v>
      </c>
      <c r="Y896" s="11">
        <f t="shared" si="891"/>
        <v>0</v>
      </c>
      <c r="AG896" s="11">
        <f t="shared" si="892"/>
        <v>0</v>
      </c>
      <c r="AI896" s="11">
        <f t="shared" si="893"/>
        <v>0</v>
      </c>
      <c r="AK896" s="13">
        <f t="shared" si="894"/>
        <v>0</v>
      </c>
      <c r="AM896" s="13">
        <f t="shared" si="895"/>
        <v>0</v>
      </c>
      <c r="AO896" s="11">
        <f t="shared" si="896"/>
        <v>0</v>
      </c>
      <c r="AQ896" s="11">
        <f t="shared" si="897"/>
        <v>0</v>
      </c>
      <c r="AS896" s="11">
        <f t="shared" si="898"/>
        <v>0</v>
      </c>
      <c r="AU896" s="11">
        <f t="shared" si="899"/>
        <v>0</v>
      </c>
      <c r="AW896" s="11">
        <f t="shared" si="900"/>
        <v>0</v>
      </c>
      <c r="AY896" s="11">
        <f t="shared" si="901"/>
        <v>0</v>
      </c>
      <c r="BA896" s="11">
        <f t="shared" si="902"/>
        <v>0</v>
      </c>
      <c r="BC896" s="11">
        <f t="shared" si="903"/>
        <v>0</v>
      </c>
      <c r="BE896" s="11">
        <f t="shared" si="904"/>
        <v>0</v>
      </c>
      <c r="BG896" s="11">
        <f t="shared" si="905"/>
        <v>0</v>
      </c>
      <c r="BN896" s="8">
        <f t="shared" si="862"/>
        <v>6000</v>
      </c>
      <c r="BO896" s="8">
        <f t="shared" si="863"/>
        <v>300000</v>
      </c>
      <c r="BP896" s="8">
        <f t="shared" si="882"/>
        <v>596</v>
      </c>
      <c r="BQ896" s="12">
        <f t="shared" si="883"/>
        <v>29800</v>
      </c>
    </row>
    <row r="897" spans="1:69">
      <c r="A897" s="28">
        <v>1980</v>
      </c>
      <c r="B897" s="27" t="s">
        <v>59</v>
      </c>
      <c r="C897" s="24">
        <f t="shared" si="886"/>
        <v>872</v>
      </c>
      <c r="D897" s="7" t="e">
        <f t="shared" ca="1" si="843"/>
        <v>#N/A</v>
      </c>
      <c r="E897" s="26">
        <f t="array" aca="1" ref="E897" ca="1">AVERAGE(IF(INDIRECT(DatCol&amp;"$"&amp;TEXT(C897,"###")):INDIRECT(DatCol&amp;"$"&amp;TEXT(C897+57,"###"))&gt;0,INDIRECT(DatCol&amp;"$"&amp;TEXT(C897,"###")):INDIRECT(DatCol&amp;"$"&amp;TEXT(C897+57,"###"))))</f>
        <v>625.75567567567577</v>
      </c>
      <c r="F897" s="26" t="str">
        <f t="shared" si="887"/>
        <v>N</v>
      </c>
      <c r="G897" s="8"/>
      <c r="H897" s="8">
        <v>100</v>
      </c>
      <c r="I897" s="8">
        <v>177</v>
      </c>
      <c r="J897" s="8">
        <v>800</v>
      </c>
      <c r="K897" s="9">
        <f t="shared" si="864"/>
        <v>900</v>
      </c>
      <c r="L897" s="12">
        <v>20000</v>
      </c>
      <c r="M897" s="11">
        <f t="shared" si="888"/>
        <v>1000000</v>
      </c>
      <c r="N897" s="12">
        <v>800</v>
      </c>
      <c r="O897" s="11">
        <f t="shared" si="889"/>
        <v>40000</v>
      </c>
      <c r="Q897" s="11">
        <f t="shared" si="890"/>
        <v>0</v>
      </c>
      <c r="Y897" s="11">
        <f t="shared" si="891"/>
        <v>0</v>
      </c>
      <c r="AG897" s="11">
        <f t="shared" si="892"/>
        <v>0</v>
      </c>
      <c r="AI897" s="11">
        <f t="shared" si="893"/>
        <v>0</v>
      </c>
      <c r="AK897" s="13">
        <f t="shared" si="894"/>
        <v>0</v>
      </c>
      <c r="AM897" s="13">
        <f t="shared" si="895"/>
        <v>0</v>
      </c>
      <c r="AO897" s="11">
        <f t="shared" si="896"/>
        <v>0</v>
      </c>
      <c r="AQ897" s="11">
        <f t="shared" si="897"/>
        <v>0</v>
      </c>
      <c r="AS897" s="11">
        <f t="shared" si="898"/>
        <v>0</v>
      </c>
      <c r="AU897" s="11">
        <f t="shared" si="899"/>
        <v>0</v>
      </c>
      <c r="AW897" s="11">
        <f t="shared" si="900"/>
        <v>0</v>
      </c>
      <c r="AY897" s="11">
        <f t="shared" si="901"/>
        <v>0</v>
      </c>
      <c r="BA897" s="11">
        <f t="shared" si="902"/>
        <v>0</v>
      </c>
      <c r="BC897" s="11">
        <f t="shared" si="903"/>
        <v>0</v>
      </c>
      <c r="BE897" s="11">
        <f t="shared" si="904"/>
        <v>0</v>
      </c>
      <c r="BG897" s="11">
        <f t="shared" si="905"/>
        <v>0</v>
      </c>
      <c r="BN897" s="8">
        <f t="shared" si="862"/>
        <v>20000</v>
      </c>
      <c r="BO897" s="8">
        <f t="shared" si="863"/>
        <v>1000000</v>
      </c>
      <c r="BP897" s="8">
        <f t="shared" si="882"/>
        <v>800</v>
      </c>
      <c r="BQ897" s="12">
        <f t="shared" si="883"/>
        <v>40000</v>
      </c>
    </row>
    <row r="898" spans="1:69">
      <c r="A898" s="28">
        <v>1981</v>
      </c>
      <c r="B898" s="27" t="s">
        <v>59</v>
      </c>
      <c r="C898" s="24">
        <f t="shared" si="886"/>
        <v>872</v>
      </c>
      <c r="D898" s="7" t="e">
        <f t="shared" ref="D898:D961" ca="1" si="906">IF(AND((INDIRECT(DatCol&amp;TEXT(ROW(),"###"))&gt;0),((F898=RegionSelect)+(RegionSelect="A"))),INDIRECT(DatCol&amp;TEXT(ROW(),"###"))/E898,NA())</f>
        <v>#N/A</v>
      </c>
      <c r="E898" s="26">
        <f t="array" aca="1" ref="E898" ca="1">AVERAGE(IF(INDIRECT(DatCol&amp;"$"&amp;TEXT(C898,"###")):INDIRECT(DatCol&amp;"$"&amp;TEXT(C898+57,"###"))&gt;0,INDIRECT(DatCol&amp;"$"&amp;TEXT(C898,"###")):INDIRECT(DatCol&amp;"$"&amp;TEXT(C898+57,"###"))))</f>
        <v>625.75567567567577</v>
      </c>
      <c r="F898" s="26" t="str">
        <f t="shared" si="887"/>
        <v>N</v>
      </c>
      <c r="G898" s="8"/>
      <c r="H898" s="8">
        <v>159</v>
      </c>
      <c r="I898" s="8">
        <v>259</v>
      </c>
      <c r="J898" s="8">
        <v>936</v>
      </c>
      <c r="K898" s="9">
        <f t="shared" si="864"/>
        <v>1095</v>
      </c>
      <c r="L898" s="12">
        <v>20000</v>
      </c>
      <c r="M898" s="11">
        <f t="shared" si="888"/>
        <v>1000000</v>
      </c>
      <c r="N898" s="12">
        <v>1000</v>
      </c>
      <c r="O898" s="11">
        <f t="shared" si="889"/>
        <v>50000</v>
      </c>
      <c r="Q898" s="11">
        <f t="shared" si="890"/>
        <v>0</v>
      </c>
      <c r="Y898" s="11">
        <f t="shared" si="891"/>
        <v>0</v>
      </c>
      <c r="AG898" s="11">
        <f t="shared" si="892"/>
        <v>0</v>
      </c>
      <c r="AI898" s="11">
        <f t="shared" si="893"/>
        <v>0</v>
      </c>
      <c r="AK898" s="13">
        <f t="shared" si="894"/>
        <v>0</v>
      </c>
      <c r="AM898" s="13">
        <f t="shared" si="895"/>
        <v>0</v>
      </c>
      <c r="AO898" s="11">
        <f t="shared" si="896"/>
        <v>0</v>
      </c>
      <c r="AQ898" s="11">
        <f t="shared" si="897"/>
        <v>0</v>
      </c>
      <c r="AS898" s="11">
        <f t="shared" si="898"/>
        <v>0</v>
      </c>
      <c r="AT898" s="12">
        <v>10</v>
      </c>
      <c r="AU898" s="11">
        <f t="shared" si="899"/>
        <v>500</v>
      </c>
      <c r="AW898" s="11">
        <f t="shared" si="900"/>
        <v>0</v>
      </c>
      <c r="AY898" s="11">
        <f t="shared" si="901"/>
        <v>0</v>
      </c>
      <c r="BA898" s="11">
        <f t="shared" si="902"/>
        <v>0</v>
      </c>
      <c r="BC898" s="11">
        <f t="shared" si="903"/>
        <v>0</v>
      </c>
      <c r="BE898" s="11">
        <f t="shared" si="904"/>
        <v>0</v>
      </c>
      <c r="BF898" s="12">
        <v>200</v>
      </c>
      <c r="BG898" s="11">
        <f t="shared" si="905"/>
        <v>19000</v>
      </c>
      <c r="BN898" s="8">
        <f t="shared" si="862"/>
        <v>20000</v>
      </c>
      <c r="BO898" s="8">
        <f t="shared" si="863"/>
        <v>1000000</v>
      </c>
      <c r="BP898" s="8">
        <f t="shared" si="882"/>
        <v>1210</v>
      </c>
      <c r="BQ898" s="12">
        <f t="shared" si="883"/>
        <v>69500</v>
      </c>
    </row>
    <row r="899" spans="1:69">
      <c r="A899" s="28">
        <v>1982</v>
      </c>
      <c r="B899" s="27" t="s">
        <v>59</v>
      </c>
      <c r="C899" s="24">
        <f t="shared" si="886"/>
        <v>872</v>
      </c>
      <c r="D899" s="7" t="e">
        <f t="shared" ca="1" si="906"/>
        <v>#N/A</v>
      </c>
      <c r="E899" s="26">
        <f t="array" aca="1" ref="E899" ca="1">AVERAGE(IF(INDIRECT(DatCol&amp;"$"&amp;TEXT(C899,"###")):INDIRECT(DatCol&amp;"$"&amp;TEXT(C899+57,"###"))&gt;0,INDIRECT(DatCol&amp;"$"&amp;TEXT(C899,"###")):INDIRECT(DatCol&amp;"$"&amp;TEXT(C899+57,"###"))))</f>
        <v>625.75567567567577</v>
      </c>
      <c r="F899" s="26" t="str">
        <f t="shared" si="887"/>
        <v>N</v>
      </c>
      <c r="G899" s="8"/>
      <c r="H899" s="8">
        <v>60</v>
      </c>
      <c r="I899" s="8">
        <v>184</v>
      </c>
      <c r="J899" s="8">
        <v>615</v>
      </c>
      <c r="K899" s="9">
        <f t="shared" si="864"/>
        <v>675</v>
      </c>
      <c r="L899" s="12">
        <v>17000</v>
      </c>
      <c r="M899" s="11">
        <f t="shared" si="888"/>
        <v>850000</v>
      </c>
      <c r="N899" s="12">
        <v>744</v>
      </c>
      <c r="O899" s="11">
        <f t="shared" si="889"/>
        <v>37200</v>
      </c>
      <c r="Q899" s="11">
        <f t="shared" si="890"/>
        <v>0</v>
      </c>
      <c r="Y899" s="11">
        <f t="shared" si="891"/>
        <v>0</v>
      </c>
      <c r="AG899" s="11">
        <f t="shared" si="892"/>
        <v>0</v>
      </c>
      <c r="AI899" s="11">
        <f t="shared" si="893"/>
        <v>0</v>
      </c>
      <c r="AK899" s="13">
        <f t="shared" si="894"/>
        <v>0</v>
      </c>
      <c r="AM899" s="13">
        <f t="shared" si="895"/>
        <v>0</v>
      </c>
      <c r="AO899" s="11">
        <f t="shared" si="896"/>
        <v>0</v>
      </c>
      <c r="AQ899" s="11">
        <f t="shared" si="897"/>
        <v>0</v>
      </c>
      <c r="AR899" s="12">
        <v>1000</v>
      </c>
      <c r="AS899" s="11">
        <f t="shared" si="898"/>
        <v>50000</v>
      </c>
      <c r="AT899" s="12">
        <v>200</v>
      </c>
      <c r="AU899" s="11">
        <f t="shared" si="899"/>
        <v>10000</v>
      </c>
      <c r="AW899" s="11">
        <f t="shared" si="900"/>
        <v>0</v>
      </c>
      <c r="AY899" s="11">
        <f t="shared" si="901"/>
        <v>0</v>
      </c>
      <c r="AZ899" s="12" t="s">
        <v>21</v>
      </c>
      <c r="BA899" s="11">
        <f t="shared" si="902"/>
        <v>0</v>
      </c>
      <c r="BC899" s="11">
        <f t="shared" si="903"/>
        <v>0</v>
      </c>
      <c r="BE899" s="11">
        <f t="shared" si="904"/>
        <v>0</v>
      </c>
      <c r="BG899" s="11">
        <f t="shared" si="905"/>
        <v>0</v>
      </c>
      <c r="BN899" s="8">
        <f t="shared" si="862"/>
        <v>18000</v>
      </c>
      <c r="BO899" s="8">
        <f t="shared" si="863"/>
        <v>900000</v>
      </c>
      <c r="BP899" s="8">
        <f t="shared" si="882"/>
        <v>944</v>
      </c>
      <c r="BQ899" s="12">
        <f t="shared" si="883"/>
        <v>47200</v>
      </c>
    </row>
    <row r="900" spans="1:69">
      <c r="A900" s="28">
        <v>1983</v>
      </c>
      <c r="B900" s="27" t="s">
        <v>59</v>
      </c>
      <c r="C900" s="24">
        <f t="shared" si="886"/>
        <v>872</v>
      </c>
      <c r="D900" s="7" t="e">
        <f t="shared" ca="1" si="906"/>
        <v>#N/A</v>
      </c>
      <c r="E900" s="26">
        <f t="array" aca="1" ref="E900" ca="1">AVERAGE(IF(INDIRECT(DatCol&amp;"$"&amp;TEXT(C900,"###")):INDIRECT(DatCol&amp;"$"&amp;TEXT(C900+57,"###"))&gt;0,INDIRECT(DatCol&amp;"$"&amp;TEXT(C900,"###")):INDIRECT(DatCol&amp;"$"&amp;TEXT(C900+57,"###"))))</f>
        <v>625.75567567567577</v>
      </c>
      <c r="F900" s="26" t="str">
        <f t="shared" si="887"/>
        <v>N</v>
      </c>
      <c r="G900" s="8"/>
      <c r="H900" s="8">
        <v>139</v>
      </c>
      <c r="I900" s="8">
        <v>159</v>
      </c>
      <c r="J900" s="8">
        <v>547</v>
      </c>
      <c r="K900" s="9">
        <f t="shared" si="864"/>
        <v>686</v>
      </c>
      <c r="L900" s="12">
        <v>3200</v>
      </c>
      <c r="M900" s="11">
        <f t="shared" ref="M900:M930" si="907">(L900*50)</f>
        <v>160000</v>
      </c>
      <c r="N900" s="12">
        <v>300</v>
      </c>
      <c r="O900" s="11">
        <f t="shared" ref="O900:O930" si="908">(N900*50)</f>
        <v>15000</v>
      </c>
      <c r="Q900" s="11">
        <f t="shared" ref="Q900:Q930" si="909">((P900*330)/5.5)</f>
        <v>0</v>
      </c>
      <c r="Y900" s="11">
        <f t="shared" ref="Y900:Y930" si="910">((X900*330)/5.5)</f>
        <v>0</v>
      </c>
      <c r="AG900" s="11">
        <f t="shared" ref="AG900:AG930" si="911">(AF900*65)</f>
        <v>0</v>
      </c>
      <c r="AI900" s="11">
        <f t="shared" ref="AI900:AI930" si="912">(AH900*65)</f>
        <v>0</v>
      </c>
      <c r="AK900" s="13">
        <f t="shared" ref="AK900:AK930" si="913">(AJ900*9)</f>
        <v>0</v>
      </c>
      <c r="AM900" s="13">
        <f t="shared" ref="AM900:AM930" si="914">(AL900*9)</f>
        <v>0</v>
      </c>
      <c r="AO900" s="11">
        <f t="shared" ref="AO900:AO930" si="915">(AN900*80)</f>
        <v>0</v>
      </c>
      <c r="AP900" s="12">
        <v>15</v>
      </c>
      <c r="AQ900" s="11">
        <f t="shared" ref="AQ900:AQ930" si="916">(AP900*80)</f>
        <v>1200</v>
      </c>
      <c r="AS900" s="11">
        <f t="shared" ref="AS900:AS930" si="917">(AR900*50)</f>
        <v>0</v>
      </c>
      <c r="AU900" s="11">
        <f t="shared" ref="AU900:AU930" si="918">(AT900*50)</f>
        <v>0</v>
      </c>
      <c r="AW900" s="11">
        <f t="shared" ref="AW900:AW930" si="919">(AV900*60)</f>
        <v>0</v>
      </c>
      <c r="AY900" s="11">
        <f t="shared" ref="AY900:AY930" si="920">(AX900*60)</f>
        <v>0</v>
      </c>
      <c r="AZ900" s="12">
        <v>10</v>
      </c>
      <c r="BA900" s="11">
        <f t="shared" ref="BA900:BA930" si="921">(AZ900*40)</f>
        <v>400</v>
      </c>
      <c r="BB900" s="12" t="s">
        <v>21</v>
      </c>
      <c r="BC900" s="11">
        <f t="shared" ref="BC900:BC930" si="922">(BB900*40)</f>
        <v>0</v>
      </c>
      <c r="BE900" s="11">
        <f t="shared" ref="BE900:BE930" si="923">(BD900*95)</f>
        <v>0</v>
      </c>
      <c r="BG900" s="11">
        <f t="shared" ref="BG900:BG930" si="924">(BF900*95)</f>
        <v>0</v>
      </c>
      <c r="BN900" s="8">
        <f t="shared" si="862"/>
        <v>3210</v>
      </c>
      <c r="BO900" s="8">
        <f t="shared" si="863"/>
        <v>160400</v>
      </c>
      <c r="BP900" s="8">
        <f t="shared" si="882"/>
        <v>315</v>
      </c>
      <c r="BQ900" s="12">
        <f t="shared" si="883"/>
        <v>16200</v>
      </c>
    </row>
    <row r="901" spans="1:69">
      <c r="A901" s="28">
        <v>1984</v>
      </c>
      <c r="B901" s="27" t="s">
        <v>59</v>
      </c>
      <c r="C901" s="24">
        <f t="shared" si="886"/>
        <v>872</v>
      </c>
      <c r="D901" s="7" t="e">
        <f t="shared" ca="1" si="906"/>
        <v>#N/A</v>
      </c>
      <c r="E901" s="26">
        <f t="array" aca="1" ref="E901" ca="1">AVERAGE(IF(INDIRECT(DatCol&amp;"$"&amp;TEXT(C901,"###")):INDIRECT(DatCol&amp;"$"&amp;TEXT(C901+57,"###"))&gt;0,INDIRECT(DatCol&amp;"$"&amp;TEXT(C901,"###")):INDIRECT(DatCol&amp;"$"&amp;TEXT(C901+57,"###"))))</f>
        <v>625.75567567567577</v>
      </c>
      <c r="F901" s="26" t="str">
        <f t="shared" si="887"/>
        <v>N</v>
      </c>
      <c r="G901" s="8"/>
      <c r="H901" s="8">
        <v>59</v>
      </c>
      <c r="I901" s="8">
        <v>129</v>
      </c>
      <c r="J901" s="8">
        <v>557</v>
      </c>
      <c r="K901" s="9">
        <f t="shared" si="864"/>
        <v>616</v>
      </c>
      <c r="L901" s="12">
        <v>2800</v>
      </c>
      <c r="M901" s="11">
        <f t="shared" si="907"/>
        <v>140000</v>
      </c>
      <c r="N901" s="12">
        <v>400</v>
      </c>
      <c r="O901" s="11">
        <f t="shared" si="908"/>
        <v>20000</v>
      </c>
      <c r="Q901" s="11">
        <f t="shared" si="909"/>
        <v>0</v>
      </c>
      <c r="Y901" s="11">
        <f t="shared" si="910"/>
        <v>0</v>
      </c>
      <c r="AG901" s="11">
        <f t="shared" si="911"/>
        <v>0</v>
      </c>
      <c r="AI901" s="11">
        <f t="shared" si="912"/>
        <v>0</v>
      </c>
      <c r="AK901" s="13">
        <f t="shared" si="913"/>
        <v>0</v>
      </c>
      <c r="AM901" s="13">
        <f t="shared" si="914"/>
        <v>0</v>
      </c>
      <c r="AO901" s="11">
        <f t="shared" si="915"/>
        <v>0</v>
      </c>
      <c r="AQ901" s="11">
        <f t="shared" si="916"/>
        <v>0</v>
      </c>
      <c r="AS901" s="11">
        <f t="shared" si="917"/>
        <v>0</v>
      </c>
      <c r="AT901" s="12">
        <v>20</v>
      </c>
      <c r="AU901" s="11">
        <f t="shared" si="918"/>
        <v>1000</v>
      </c>
      <c r="AW901" s="11">
        <f t="shared" si="919"/>
        <v>0</v>
      </c>
      <c r="AY901" s="11">
        <f t="shared" si="920"/>
        <v>0</v>
      </c>
      <c r="BA901" s="11">
        <f t="shared" si="921"/>
        <v>0</v>
      </c>
      <c r="BB901" s="12">
        <v>10</v>
      </c>
      <c r="BC901" s="11">
        <f t="shared" si="922"/>
        <v>400</v>
      </c>
      <c r="BE901" s="11">
        <f t="shared" si="923"/>
        <v>0</v>
      </c>
      <c r="BG901" s="11">
        <f t="shared" si="924"/>
        <v>0</v>
      </c>
      <c r="BN901" s="8">
        <f t="shared" si="862"/>
        <v>2800</v>
      </c>
      <c r="BO901" s="8">
        <f t="shared" si="863"/>
        <v>140000</v>
      </c>
      <c r="BP901" s="8">
        <f t="shared" si="882"/>
        <v>430</v>
      </c>
      <c r="BQ901" s="12">
        <f t="shared" si="883"/>
        <v>21400</v>
      </c>
    </row>
    <row r="902" spans="1:69">
      <c r="A902" s="28">
        <v>1985</v>
      </c>
      <c r="B902" s="27" t="s">
        <v>59</v>
      </c>
      <c r="C902" s="24">
        <f t="shared" si="886"/>
        <v>872</v>
      </c>
      <c r="D902" s="7" t="e">
        <f t="shared" ca="1" si="906"/>
        <v>#N/A</v>
      </c>
      <c r="E902" s="26">
        <f t="array" aca="1" ref="E902" ca="1">AVERAGE(IF(INDIRECT(DatCol&amp;"$"&amp;TEXT(C902,"###")):INDIRECT(DatCol&amp;"$"&amp;TEXT(C902+57,"###"))&gt;0,INDIRECT(DatCol&amp;"$"&amp;TEXT(C902,"###")):INDIRECT(DatCol&amp;"$"&amp;TEXT(C902+57,"###"))))</f>
        <v>625.75567567567577</v>
      </c>
      <c r="F902" s="26" t="str">
        <f t="shared" si="887"/>
        <v>N</v>
      </c>
      <c r="G902" s="8">
        <v>8</v>
      </c>
      <c r="H902" s="8">
        <v>52</v>
      </c>
      <c r="I902" s="8">
        <v>96</v>
      </c>
      <c r="J902" s="8">
        <v>402</v>
      </c>
      <c r="K902" s="9">
        <f t="shared" si="864"/>
        <v>462</v>
      </c>
      <c r="L902" s="12">
        <v>4000</v>
      </c>
      <c r="M902" s="11">
        <f t="shared" si="907"/>
        <v>200000</v>
      </c>
      <c r="N902" s="12">
        <v>400</v>
      </c>
      <c r="O902" s="11">
        <f t="shared" si="908"/>
        <v>20000</v>
      </c>
      <c r="Q902" s="11">
        <f t="shared" si="909"/>
        <v>0</v>
      </c>
      <c r="Y902" s="11">
        <f t="shared" si="910"/>
        <v>0</v>
      </c>
      <c r="AG902" s="11">
        <f t="shared" si="911"/>
        <v>0</v>
      </c>
      <c r="AI902" s="11">
        <f t="shared" si="912"/>
        <v>0</v>
      </c>
      <c r="AK902" s="13">
        <f t="shared" si="913"/>
        <v>0</v>
      </c>
      <c r="AM902" s="13">
        <f t="shared" si="914"/>
        <v>0</v>
      </c>
      <c r="AO902" s="11">
        <f t="shared" si="915"/>
        <v>0</v>
      </c>
      <c r="AP902" s="12">
        <v>300</v>
      </c>
      <c r="AQ902" s="11">
        <f t="shared" si="916"/>
        <v>24000</v>
      </c>
      <c r="AS902" s="11">
        <f t="shared" si="917"/>
        <v>0</v>
      </c>
      <c r="AT902" s="12">
        <v>30</v>
      </c>
      <c r="AU902" s="11">
        <f t="shared" si="918"/>
        <v>1500</v>
      </c>
      <c r="AW902" s="11">
        <f t="shared" si="919"/>
        <v>0</v>
      </c>
      <c r="AY902" s="11">
        <f t="shared" si="920"/>
        <v>0</v>
      </c>
      <c r="BA902" s="11">
        <f t="shared" si="921"/>
        <v>0</v>
      </c>
      <c r="BB902" s="12">
        <v>10</v>
      </c>
      <c r="BC902" s="11">
        <f t="shared" si="922"/>
        <v>400</v>
      </c>
      <c r="BE902" s="11">
        <f t="shared" si="923"/>
        <v>0</v>
      </c>
      <c r="BG902" s="11">
        <f t="shared" si="924"/>
        <v>0</v>
      </c>
      <c r="BN902" s="8">
        <f t="shared" si="862"/>
        <v>4000</v>
      </c>
      <c r="BO902" s="8">
        <f t="shared" si="863"/>
        <v>200000</v>
      </c>
      <c r="BP902" s="8">
        <f t="shared" si="882"/>
        <v>740</v>
      </c>
      <c r="BQ902" s="12">
        <f t="shared" si="883"/>
        <v>45900</v>
      </c>
    </row>
    <row r="903" spans="1:69">
      <c r="A903" s="28">
        <v>1986</v>
      </c>
      <c r="B903" s="27" t="s">
        <v>59</v>
      </c>
      <c r="C903" s="24">
        <f t="shared" si="886"/>
        <v>872</v>
      </c>
      <c r="D903" s="7" t="e">
        <f t="shared" ca="1" si="906"/>
        <v>#N/A</v>
      </c>
      <c r="E903" s="26">
        <f t="array" aca="1" ref="E903" ca="1">AVERAGE(IF(INDIRECT(DatCol&amp;"$"&amp;TEXT(C903,"###")):INDIRECT(DatCol&amp;"$"&amp;TEXT(C903+57,"###"))&gt;0,INDIRECT(DatCol&amp;"$"&amp;TEXT(C903,"###")):INDIRECT(DatCol&amp;"$"&amp;TEXT(C903+57,"###"))))</f>
        <v>625.75567567567577</v>
      </c>
      <c r="F903" s="26" t="str">
        <f t="shared" si="887"/>
        <v>N</v>
      </c>
      <c r="G903" s="8">
        <v>57</v>
      </c>
      <c r="H903" s="8">
        <v>5</v>
      </c>
      <c r="I903" s="8">
        <v>59</v>
      </c>
      <c r="J903" s="8">
        <v>340</v>
      </c>
      <c r="K903" s="9">
        <f t="shared" si="864"/>
        <v>402</v>
      </c>
      <c r="L903" s="12">
        <v>3000</v>
      </c>
      <c r="M903" s="11">
        <f t="shared" si="907"/>
        <v>150000</v>
      </c>
      <c r="N903" s="12">
        <v>400</v>
      </c>
      <c r="O903" s="11">
        <f t="shared" si="908"/>
        <v>20000</v>
      </c>
      <c r="Q903" s="11">
        <f t="shared" si="909"/>
        <v>0</v>
      </c>
      <c r="Y903" s="11">
        <f t="shared" si="910"/>
        <v>0</v>
      </c>
      <c r="AG903" s="11">
        <f t="shared" si="911"/>
        <v>0</v>
      </c>
      <c r="AI903" s="11">
        <f t="shared" si="912"/>
        <v>0</v>
      </c>
      <c r="AK903" s="13">
        <f t="shared" si="913"/>
        <v>0</v>
      </c>
      <c r="AM903" s="13">
        <f t="shared" si="914"/>
        <v>0</v>
      </c>
      <c r="AO903" s="11">
        <f t="shared" si="915"/>
        <v>0</v>
      </c>
      <c r="AP903" s="12">
        <v>300</v>
      </c>
      <c r="AQ903" s="11">
        <f t="shared" si="916"/>
        <v>24000</v>
      </c>
      <c r="AS903" s="11">
        <f t="shared" si="917"/>
        <v>0</v>
      </c>
      <c r="AT903" s="12">
        <v>20</v>
      </c>
      <c r="AU903" s="11">
        <f t="shared" si="918"/>
        <v>1000</v>
      </c>
      <c r="AW903" s="11">
        <f t="shared" si="919"/>
        <v>0</v>
      </c>
      <c r="AY903" s="11">
        <f t="shared" si="920"/>
        <v>0</v>
      </c>
      <c r="BA903" s="11">
        <f t="shared" si="921"/>
        <v>0</v>
      </c>
      <c r="BB903" s="12">
        <v>10</v>
      </c>
      <c r="BC903" s="11">
        <f t="shared" si="922"/>
        <v>400</v>
      </c>
      <c r="BE903" s="11">
        <f t="shared" si="923"/>
        <v>0</v>
      </c>
      <c r="BG903" s="11">
        <f t="shared" si="924"/>
        <v>0</v>
      </c>
      <c r="BN903" s="8">
        <f t="shared" si="862"/>
        <v>3000</v>
      </c>
      <c r="BO903" s="8">
        <f t="shared" si="863"/>
        <v>150000</v>
      </c>
      <c r="BP903" s="8">
        <f t="shared" si="882"/>
        <v>730</v>
      </c>
      <c r="BQ903" s="12">
        <f t="shared" si="883"/>
        <v>45400</v>
      </c>
    </row>
    <row r="904" spans="1:69">
      <c r="A904" s="28">
        <v>1987</v>
      </c>
      <c r="B904" s="27" t="s">
        <v>59</v>
      </c>
      <c r="C904" s="24">
        <f t="shared" si="886"/>
        <v>872</v>
      </c>
      <c r="D904" s="7" t="e">
        <f t="shared" ca="1" si="906"/>
        <v>#N/A</v>
      </c>
      <c r="E904" s="26">
        <f t="array" aca="1" ref="E904" ca="1">AVERAGE(IF(INDIRECT(DatCol&amp;"$"&amp;TEXT(C904,"###")):INDIRECT(DatCol&amp;"$"&amp;TEXT(C904+57,"###"))&gt;0,INDIRECT(DatCol&amp;"$"&amp;TEXT(C904,"###")):INDIRECT(DatCol&amp;"$"&amp;TEXT(C904+57,"###"))))</f>
        <v>625.75567567567577</v>
      </c>
      <c r="F904" s="26" t="str">
        <f t="shared" si="887"/>
        <v>N</v>
      </c>
      <c r="G904" s="8">
        <v>60</v>
      </c>
      <c r="H904" s="8">
        <v>29</v>
      </c>
      <c r="I904" s="8">
        <v>60</v>
      </c>
      <c r="J904" s="8">
        <v>359</v>
      </c>
      <c r="K904" s="9">
        <f t="shared" si="864"/>
        <v>448</v>
      </c>
      <c r="L904" s="12">
        <v>1500</v>
      </c>
      <c r="M904" s="11">
        <f t="shared" si="907"/>
        <v>75000</v>
      </c>
      <c r="N904" s="12">
        <v>300</v>
      </c>
      <c r="O904" s="11">
        <f t="shared" si="908"/>
        <v>15000</v>
      </c>
      <c r="Q904" s="11">
        <f t="shared" si="909"/>
        <v>0</v>
      </c>
      <c r="Y904" s="11">
        <f t="shared" si="910"/>
        <v>0</v>
      </c>
      <c r="AG904" s="11">
        <f t="shared" si="911"/>
        <v>0</v>
      </c>
      <c r="AI904" s="11">
        <f t="shared" si="912"/>
        <v>0</v>
      </c>
      <c r="AK904" s="13">
        <f t="shared" si="913"/>
        <v>0</v>
      </c>
      <c r="AM904" s="13">
        <f t="shared" si="914"/>
        <v>0</v>
      </c>
      <c r="AO904" s="11">
        <f t="shared" si="915"/>
        <v>0</v>
      </c>
      <c r="AQ904" s="11">
        <f t="shared" si="916"/>
        <v>0</v>
      </c>
      <c r="AS904" s="11">
        <f t="shared" si="917"/>
        <v>0</v>
      </c>
      <c r="AU904" s="11">
        <f t="shared" si="918"/>
        <v>0</v>
      </c>
      <c r="AW904" s="11">
        <f t="shared" si="919"/>
        <v>0</v>
      </c>
      <c r="AY904" s="11">
        <f t="shared" si="920"/>
        <v>0</v>
      </c>
      <c r="BA904" s="11">
        <f t="shared" si="921"/>
        <v>0</v>
      </c>
      <c r="BC904" s="11">
        <f t="shared" si="922"/>
        <v>0</v>
      </c>
      <c r="BE904" s="11">
        <f t="shared" si="923"/>
        <v>0</v>
      </c>
      <c r="BG904" s="11">
        <f t="shared" si="924"/>
        <v>0</v>
      </c>
      <c r="BN904" s="8">
        <f t="shared" si="862"/>
        <v>1500</v>
      </c>
      <c r="BO904" s="8">
        <f t="shared" si="863"/>
        <v>75000</v>
      </c>
      <c r="BP904" s="8">
        <f t="shared" si="882"/>
        <v>300</v>
      </c>
      <c r="BQ904" s="12">
        <f t="shared" si="883"/>
        <v>15000</v>
      </c>
    </row>
    <row r="905" spans="1:69">
      <c r="A905" s="28">
        <v>1988</v>
      </c>
      <c r="B905" s="27" t="s">
        <v>59</v>
      </c>
      <c r="C905" s="24">
        <f t="shared" si="886"/>
        <v>872</v>
      </c>
      <c r="D905" s="7" t="e">
        <f t="shared" ca="1" si="906"/>
        <v>#N/A</v>
      </c>
      <c r="E905" s="26">
        <f t="array" aca="1" ref="E905" ca="1">AVERAGE(IF(INDIRECT(DatCol&amp;"$"&amp;TEXT(C905,"###")):INDIRECT(DatCol&amp;"$"&amp;TEXT(C905+57,"###"))&gt;0,INDIRECT(DatCol&amp;"$"&amp;TEXT(C905,"###")):INDIRECT(DatCol&amp;"$"&amp;TEXT(C905+57,"###"))))</f>
        <v>625.75567567567577</v>
      </c>
      <c r="F905" s="26" t="str">
        <f t="shared" si="887"/>
        <v>N</v>
      </c>
      <c r="G905" s="8">
        <v>64</v>
      </c>
      <c r="H905" s="8">
        <v>25</v>
      </c>
      <c r="I905" s="8">
        <v>33</v>
      </c>
      <c r="J905" s="8">
        <v>329</v>
      </c>
      <c r="K905" s="9">
        <f t="shared" si="864"/>
        <v>418</v>
      </c>
      <c r="L905" s="12">
        <v>1400</v>
      </c>
      <c r="M905" s="11">
        <f t="shared" si="907"/>
        <v>70000</v>
      </c>
      <c r="N905" s="12">
        <v>200</v>
      </c>
      <c r="O905" s="11">
        <f t="shared" si="908"/>
        <v>10000</v>
      </c>
      <c r="Q905" s="11">
        <f t="shared" si="909"/>
        <v>0</v>
      </c>
      <c r="Y905" s="11">
        <f t="shared" si="910"/>
        <v>0</v>
      </c>
      <c r="AG905" s="11">
        <f t="shared" si="911"/>
        <v>0</v>
      </c>
      <c r="AI905" s="11">
        <f t="shared" si="912"/>
        <v>0</v>
      </c>
      <c r="AK905" s="13">
        <f t="shared" si="913"/>
        <v>0</v>
      </c>
      <c r="AM905" s="13">
        <f t="shared" si="914"/>
        <v>0</v>
      </c>
      <c r="AO905" s="11">
        <f t="shared" si="915"/>
        <v>0</v>
      </c>
      <c r="AP905" s="12">
        <v>150</v>
      </c>
      <c r="AQ905" s="11">
        <f t="shared" si="916"/>
        <v>12000</v>
      </c>
      <c r="AS905" s="11">
        <f t="shared" si="917"/>
        <v>0</v>
      </c>
      <c r="AT905" s="12">
        <v>50</v>
      </c>
      <c r="AU905" s="11">
        <f t="shared" si="918"/>
        <v>2500</v>
      </c>
      <c r="AW905" s="11">
        <f t="shared" si="919"/>
        <v>0</v>
      </c>
      <c r="AY905" s="11">
        <f t="shared" si="920"/>
        <v>0</v>
      </c>
      <c r="BA905" s="11">
        <f t="shared" si="921"/>
        <v>0</v>
      </c>
      <c r="BC905" s="11">
        <f t="shared" si="922"/>
        <v>0</v>
      </c>
      <c r="BE905" s="11">
        <f t="shared" si="923"/>
        <v>0</v>
      </c>
      <c r="BF905" s="12">
        <v>10</v>
      </c>
      <c r="BG905" s="11">
        <f t="shared" si="924"/>
        <v>950</v>
      </c>
      <c r="BN905" s="8">
        <f t="shared" si="862"/>
        <v>1400</v>
      </c>
      <c r="BO905" s="8">
        <f t="shared" si="863"/>
        <v>70000</v>
      </c>
      <c r="BP905" s="8">
        <f t="shared" si="882"/>
        <v>410</v>
      </c>
      <c r="BQ905" s="12">
        <f t="shared" si="883"/>
        <v>25450</v>
      </c>
    </row>
    <row r="906" spans="1:69">
      <c r="A906" s="28">
        <v>1989</v>
      </c>
      <c r="B906" s="27" t="s">
        <v>59</v>
      </c>
      <c r="C906" s="24">
        <f t="shared" si="886"/>
        <v>872</v>
      </c>
      <c r="D906" s="7" t="e">
        <f t="shared" ca="1" si="906"/>
        <v>#N/A</v>
      </c>
      <c r="E906" s="26">
        <f t="array" aca="1" ref="E906" ca="1">AVERAGE(IF(INDIRECT(DatCol&amp;"$"&amp;TEXT(C906,"###")):INDIRECT(DatCol&amp;"$"&amp;TEXT(C906+57,"###"))&gt;0,INDIRECT(DatCol&amp;"$"&amp;TEXT(C906,"###")):INDIRECT(DatCol&amp;"$"&amp;TEXT(C906+57,"###"))))</f>
        <v>625.75567567567577</v>
      </c>
      <c r="F906" s="26" t="str">
        <f t="shared" si="887"/>
        <v>N</v>
      </c>
      <c r="G906" s="8">
        <v>70</v>
      </c>
      <c r="H906" s="8">
        <v>18</v>
      </c>
      <c r="I906" s="8">
        <v>32</v>
      </c>
      <c r="J906" s="8">
        <v>216</v>
      </c>
      <c r="K906" s="9">
        <f t="shared" si="864"/>
        <v>304</v>
      </c>
      <c r="L906" s="12">
        <v>0</v>
      </c>
      <c r="M906" s="11">
        <f t="shared" si="907"/>
        <v>0</v>
      </c>
      <c r="N906" s="12">
        <v>200</v>
      </c>
      <c r="O906" s="11">
        <f t="shared" si="908"/>
        <v>10000</v>
      </c>
      <c r="P906" s="12">
        <v>0</v>
      </c>
      <c r="Q906" s="11">
        <f t="shared" si="909"/>
        <v>0</v>
      </c>
      <c r="X906" s="12">
        <v>0</v>
      </c>
      <c r="Y906" s="11">
        <f t="shared" si="910"/>
        <v>0</v>
      </c>
      <c r="AF906" s="12">
        <v>0</v>
      </c>
      <c r="AG906" s="11">
        <f t="shared" si="911"/>
        <v>0</v>
      </c>
      <c r="AH906" s="12">
        <v>0</v>
      </c>
      <c r="AI906" s="11">
        <f t="shared" si="912"/>
        <v>0</v>
      </c>
      <c r="AJ906" s="12">
        <v>0</v>
      </c>
      <c r="AK906" s="13">
        <f t="shared" si="913"/>
        <v>0</v>
      </c>
      <c r="AL906" s="12">
        <v>0</v>
      </c>
      <c r="AM906" s="13">
        <f t="shared" si="914"/>
        <v>0</v>
      </c>
      <c r="AN906" s="12">
        <v>0</v>
      </c>
      <c r="AO906" s="11">
        <f t="shared" si="915"/>
        <v>0</v>
      </c>
      <c r="AP906" s="12">
        <v>100</v>
      </c>
      <c r="AQ906" s="11">
        <f t="shared" si="916"/>
        <v>8000</v>
      </c>
      <c r="AR906" s="12">
        <v>1500</v>
      </c>
      <c r="AS906" s="11">
        <f t="shared" si="917"/>
        <v>75000</v>
      </c>
      <c r="AT906" s="12">
        <v>100</v>
      </c>
      <c r="AU906" s="11">
        <f t="shared" si="918"/>
        <v>5000</v>
      </c>
      <c r="AV906" s="12">
        <v>0</v>
      </c>
      <c r="AW906" s="11">
        <f t="shared" si="919"/>
        <v>0</v>
      </c>
      <c r="AX906" s="12">
        <v>0</v>
      </c>
      <c r="AY906" s="11">
        <f t="shared" si="920"/>
        <v>0</v>
      </c>
      <c r="AZ906" s="12">
        <v>0</v>
      </c>
      <c r="BA906" s="11">
        <f t="shared" si="921"/>
        <v>0</v>
      </c>
      <c r="BB906" s="12">
        <v>10</v>
      </c>
      <c r="BC906" s="11">
        <f t="shared" si="922"/>
        <v>400</v>
      </c>
      <c r="BD906" s="12">
        <v>0</v>
      </c>
      <c r="BE906" s="11">
        <f t="shared" si="923"/>
        <v>0</v>
      </c>
      <c r="BF906" s="12">
        <v>0</v>
      </c>
      <c r="BG906" s="11">
        <f t="shared" si="924"/>
        <v>0</v>
      </c>
      <c r="BN906" s="8">
        <f t="shared" si="862"/>
        <v>1500</v>
      </c>
      <c r="BO906" s="8">
        <f t="shared" si="863"/>
        <v>75000</v>
      </c>
      <c r="BP906" s="8">
        <f t="shared" si="882"/>
        <v>410</v>
      </c>
      <c r="BQ906" s="12">
        <f t="shared" si="883"/>
        <v>23400</v>
      </c>
    </row>
    <row r="907" spans="1:69">
      <c r="A907" s="28">
        <v>1990</v>
      </c>
      <c r="B907" s="27" t="s">
        <v>59</v>
      </c>
      <c r="C907" s="24">
        <f t="shared" si="886"/>
        <v>872</v>
      </c>
      <c r="D907" s="7" t="e">
        <f t="shared" ca="1" si="906"/>
        <v>#N/A</v>
      </c>
      <c r="E907" s="26">
        <f t="array" aca="1" ref="E907" ca="1">AVERAGE(IF(INDIRECT(DatCol&amp;"$"&amp;TEXT(C907,"###")):INDIRECT(DatCol&amp;"$"&amp;TEXT(C907+57,"###"))&gt;0,INDIRECT(DatCol&amp;"$"&amp;TEXT(C907,"###")):INDIRECT(DatCol&amp;"$"&amp;TEXT(C907+57,"###"))))</f>
        <v>625.75567567567577</v>
      </c>
      <c r="F907" s="26" t="str">
        <f t="shared" si="887"/>
        <v>N</v>
      </c>
      <c r="G907" s="8">
        <v>76</v>
      </c>
      <c r="H907" s="8">
        <v>47</v>
      </c>
      <c r="I907" s="8">
        <v>50</v>
      </c>
      <c r="J907" s="8">
        <v>429</v>
      </c>
      <c r="K907" s="9">
        <f t="shared" si="864"/>
        <v>552</v>
      </c>
      <c r="L907" s="12">
        <v>2000</v>
      </c>
      <c r="M907" s="11">
        <f t="shared" si="907"/>
        <v>100000</v>
      </c>
      <c r="N907" s="12">
        <v>500</v>
      </c>
      <c r="O907" s="11">
        <f t="shared" si="908"/>
        <v>25000</v>
      </c>
      <c r="P907" s="12">
        <v>0</v>
      </c>
      <c r="Q907" s="11">
        <f t="shared" si="909"/>
        <v>0</v>
      </c>
      <c r="X907" s="12">
        <v>0</v>
      </c>
      <c r="Y907" s="11">
        <f t="shared" si="910"/>
        <v>0</v>
      </c>
      <c r="AF907" s="12">
        <v>0</v>
      </c>
      <c r="AG907" s="11">
        <f t="shared" si="911"/>
        <v>0</v>
      </c>
      <c r="AH907" s="12">
        <v>0</v>
      </c>
      <c r="AI907" s="11">
        <f t="shared" si="912"/>
        <v>0</v>
      </c>
      <c r="AJ907" s="12">
        <v>0</v>
      </c>
      <c r="AK907" s="13">
        <f t="shared" si="913"/>
        <v>0</v>
      </c>
      <c r="AL907" s="12">
        <v>0</v>
      </c>
      <c r="AM907" s="13">
        <f t="shared" si="914"/>
        <v>0</v>
      </c>
      <c r="AN907" s="12">
        <v>0</v>
      </c>
      <c r="AO907" s="11">
        <f t="shared" si="915"/>
        <v>0</v>
      </c>
      <c r="AP907" s="12">
        <v>200</v>
      </c>
      <c r="AQ907" s="11">
        <f t="shared" si="916"/>
        <v>16000</v>
      </c>
      <c r="AR907" s="12">
        <v>20</v>
      </c>
      <c r="AS907" s="11">
        <f t="shared" si="917"/>
        <v>1000</v>
      </c>
      <c r="AT907" s="12">
        <v>200</v>
      </c>
      <c r="AU907" s="11">
        <f t="shared" si="918"/>
        <v>10000</v>
      </c>
      <c r="AV907" s="12">
        <v>0</v>
      </c>
      <c r="AW907" s="11">
        <f t="shared" si="919"/>
        <v>0</v>
      </c>
      <c r="AX907" s="12">
        <v>0</v>
      </c>
      <c r="AY907" s="11">
        <f t="shared" si="920"/>
        <v>0</v>
      </c>
      <c r="AZ907" s="12">
        <v>10</v>
      </c>
      <c r="BA907" s="11">
        <f t="shared" si="921"/>
        <v>400</v>
      </c>
      <c r="BB907" s="12">
        <v>20</v>
      </c>
      <c r="BC907" s="11">
        <f t="shared" si="922"/>
        <v>800</v>
      </c>
      <c r="BD907" s="12">
        <v>0</v>
      </c>
      <c r="BE907" s="11">
        <f t="shared" si="923"/>
        <v>0</v>
      </c>
      <c r="BG907" s="11">
        <f t="shared" si="924"/>
        <v>0</v>
      </c>
      <c r="BN907" s="8">
        <f t="shared" si="862"/>
        <v>2030</v>
      </c>
      <c r="BO907" s="8">
        <f t="shared" si="863"/>
        <v>101400</v>
      </c>
      <c r="BP907" s="8">
        <f t="shared" si="882"/>
        <v>920</v>
      </c>
      <c r="BQ907" s="12">
        <f t="shared" si="883"/>
        <v>51800</v>
      </c>
    </row>
    <row r="908" spans="1:69">
      <c r="A908" s="28">
        <v>1991</v>
      </c>
      <c r="B908" s="27" t="s">
        <v>59</v>
      </c>
      <c r="C908" s="24">
        <f t="shared" si="886"/>
        <v>872</v>
      </c>
      <c r="D908" s="7" t="e">
        <f t="shared" ca="1" si="906"/>
        <v>#N/A</v>
      </c>
      <c r="E908" s="26">
        <f t="array" aca="1" ref="E908" ca="1">AVERAGE(IF(INDIRECT(DatCol&amp;"$"&amp;TEXT(C908,"###")):INDIRECT(DatCol&amp;"$"&amp;TEXT(C908+57,"###"))&gt;0,INDIRECT(DatCol&amp;"$"&amp;TEXT(C908,"###")):INDIRECT(DatCol&amp;"$"&amp;TEXT(C908+57,"###"))))</f>
        <v>625.75567567567577</v>
      </c>
      <c r="F908" s="26" t="str">
        <f t="shared" si="887"/>
        <v>N</v>
      </c>
      <c r="G908" s="8">
        <v>72</v>
      </c>
      <c r="H908" s="8">
        <v>40</v>
      </c>
      <c r="I908" s="8">
        <v>96</v>
      </c>
      <c r="J908" s="8">
        <v>394</v>
      </c>
      <c r="K908" s="9">
        <f t="shared" si="864"/>
        <v>506</v>
      </c>
      <c r="L908" s="12">
        <v>3000</v>
      </c>
      <c r="M908" s="11">
        <f t="shared" si="907"/>
        <v>150000</v>
      </c>
      <c r="N908" s="12">
        <v>200</v>
      </c>
      <c r="O908" s="11">
        <f t="shared" si="908"/>
        <v>10000</v>
      </c>
      <c r="P908" s="12">
        <v>0</v>
      </c>
      <c r="Q908" s="11">
        <f t="shared" si="909"/>
        <v>0</v>
      </c>
      <c r="X908" s="12">
        <v>0</v>
      </c>
      <c r="Y908" s="11">
        <f t="shared" si="910"/>
        <v>0</v>
      </c>
      <c r="AF908" s="12">
        <v>0</v>
      </c>
      <c r="AG908" s="11">
        <f t="shared" si="911"/>
        <v>0</v>
      </c>
      <c r="AH908" s="12">
        <v>0</v>
      </c>
      <c r="AI908" s="11">
        <f t="shared" si="912"/>
        <v>0</v>
      </c>
      <c r="AJ908" s="12">
        <v>0</v>
      </c>
      <c r="AK908" s="13">
        <f t="shared" si="913"/>
        <v>0</v>
      </c>
      <c r="AL908" s="12">
        <v>0</v>
      </c>
      <c r="AM908" s="13">
        <f t="shared" si="914"/>
        <v>0</v>
      </c>
      <c r="AN908" s="12">
        <v>0</v>
      </c>
      <c r="AO908" s="11">
        <f t="shared" si="915"/>
        <v>0</v>
      </c>
      <c r="AP908" s="12">
        <v>200</v>
      </c>
      <c r="AQ908" s="11">
        <f t="shared" si="916"/>
        <v>16000</v>
      </c>
      <c r="AR908" s="12">
        <v>10</v>
      </c>
      <c r="AS908" s="11">
        <f t="shared" si="917"/>
        <v>500</v>
      </c>
      <c r="AT908" s="12">
        <v>20</v>
      </c>
      <c r="AU908" s="11">
        <f t="shared" si="918"/>
        <v>1000</v>
      </c>
      <c r="AV908" s="12">
        <v>0</v>
      </c>
      <c r="AW908" s="11">
        <f t="shared" si="919"/>
        <v>0</v>
      </c>
      <c r="AX908" s="12">
        <v>0</v>
      </c>
      <c r="AY908" s="11">
        <f t="shared" si="920"/>
        <v>0</v>
      </c>
      <c r="AZ908" s="12">
        <v>5</v>
      </c>
      <c r="BA908" s="11">
        <f t="shared" si="921"/>
        <v>200</v>
      </c>
      <c r="BB908" s="12">
        <v>10</v>
      </c>
      <c r="BC908" s="11">
        <f t="shared" si="922"/>
        <v>400</v>
      </c>
      <c r="BE908" s="11">
        <f t="shared" si="923"/>
        <v>0</v>
      </c>
      <c r="BG908" s="11">
        <f t="shared" si="924"/>
        <v>0</v>
      </c>
      <c r="BN908" s="8">
        <f t="shared" si="862"/>
        <v>3015</v>
      </c>
      <c r="BO908" s="8">
        <f t="shared" si="863"/>
        <v>150700</v>
      </c>
      <c r="BP908" s="8">
        <f t="shared" si="882"/>
        <v>430</v>
      </c>
      <c r="BQ908" s="12">
        <f t="shared" si="883"/>
        <v>27400</v>
      </c>
    </row>
    <row r="909" spans="1:69">
      <c r="A909" s="28">
        <v>1992</v>
      </c>
      <c r="B909" s="27" t="s">
        <v>59</v>
      </c>
      <c r="C909" s="24">
        <f t="shared" si="886"/>
        <v>872</v>
      </c>
      <c r="D909" s="7" t="e">
        <f t="shared" ca="1" si="906"/>
        <v>#N/A</v>
      </c>
      <c r="E909" s="26">
        <f t="array" aca="1" ref="E909" ca="1">AVERAGE(IF(INDIRECT(DatCol&amp;"$"&amp;TEXT(C909,"###")):INDIRECT(DatCol&amp;"$"&amp;TEXT(C909+57,"###"))&gt;0,INDIRECT(DatCol&amp;"$"&amp;TEXT(C909,"###")):INDIRECT(DatCol&amp;"$"&amp;TEXT(C909+57,"###"))))</f>
        <v>625.75567567567577</v>
      </c>
      <c r="F909" s="26" t="str">
        <f t="shared" si="887"/>
        <v>N</v>
      </c>
      <c r="G909" s="8">
        <v>67</v>
      </c>
      <c r="H909" s="8">
        <v>33</v>
      </c>
      <c r="I909" s="8">
        <v>96</v>
      </c>
      <c r="J909" s="8">
        <v>263</v>
      </c>
      <c r="K909" s="9">
        <f t="shared" si="864"/>
        <v>363</v>
      </c>
      <c r="L909" s="12">
        <v>4000</v>
      </c>
      <c r="M909" s="11">
        <f t="shared" si="907"/>
        <v>200000</v>
      </c>
      <c r="N909" s="12">
        <v>400</v>
      </c>
      <c r="O909" s="11">
        <f t="shared" si="908"/>
        <v>20000</v>
      </c>
      <c r="P909" s="12">
        <v>0</v>
      </c>
      <c r="Q909" s="11">
        <f t="shared" si="909"/>
        <v>0</v>
      </c>
      <c r="X909" s="12">
        <v>0</v>
      </c>
      <c r="Y909" s="11">
        <f t="shared" si="910"/>
        <v>0</v>
      </c>
      <c r="AF909" s="12">
        <v>0</v>
      </c>
      <c r="AG909" s="11">
        <f t="shared" si="911"/>
        <v>0</v>
      </c>
      <c r="AH909" s="12">
        <v>0</v>
      </c>
      <c r="AI909" s="11">
        <f t="shared" si="912"/>
        <v>0</v>
      </c>
      <c r="AJ909" s="12">
        <v>0</v>
      </c>
      <c r="AK909" s="13">
        <f t="shared" si="913"/>
        <v>0</v>
      </c>
      <c r="AL909" s="12">
        <v>0</v>
      </c>
      <c r="AM909" s="13">
        <f t="shared" si="914"/>
        <v>0</v>
      </c>
      <c r="AN909" s="12">
        <v>200</v>
      </c>
      <c r="AO909" s="11">
        <f t="shared" si="915"/>
        <v>16000</v>
      </c>
      <c r="AP909" s="12">
        <v>0</v>
      </c>
      <c r="AQ909" s="11">
        <f t="shared" si="916"/>
        <v>0</v>
      </c>
      <c r="AR909" s="12">
        <v>100</v>
      </c>
      <c r="AS909" s="11">
        <f t="shared" si="917"/>
        <v>5000</v>
      </c>
      <c r="AT909" s="12">
        <v>0</v>
      </c>
      <c r="AU909" s="11">
        <f t="shared" si="918"/>
        <v>0</v>
      </c>
      <c r="AV909" s="12">
        <v>0</v>
      </c>
      <c r="AW909" s="11">
        <f t="shared" si="919"/>
        <v>0</v>
      </c>
      <c r="AX909" s="12">
        <v>0</v>
      </c>
      <c r="AY909" s="11">
        <f t="shared" si="920"/>
        <v>0</v>
      </c>
      <c r="AZ909" s="12">
        <v>20</v>
      </c>
      <c r="BA909" s="11">
        <f t="shared" si="921"/>
        <v>800</v>
      </c>
      <c r="BB909" s="12">
        <v>200</v>
      </c>
      <c r="BC909" s="11">
        <f t="shared" si="922"/>
        <v>8000</v>
      </c>
      <c r="BE909" s="11">
        <f t="shared" si="923"/>
        <v>0</v>
      </c>
      <c r="BG909" s="11">
        <f t="shared" si="924"/>
        <v>0</v>
      </c>
      <c r="BH909" s="13">
        <v>50</v>
      </c>
      <c r="BN909" s="8">
        <f t="shared" si="862"/>
        <v>4320</v>
      </c>
      <c r="BO909" s="8">
        <f t="shared" si="863"/>
        <v>221800</v>
      </c>
      <c r="BP909" s="8">
        <f t="shared" si="882"/>
        <v>600</v>
      </c>
      <c r="BQ909" s="12">
        <f t="shared" si="883"/>
        <v>28000</v>
      </c>
    </row>
    <row r="910" spans="1:69">
      <c r="A910" s="28">
        <v>1993</v>
      </c>
      <c r="B910" s="27" t="s">
        <v>59</v>
      </c>
      <c r="C910" s="24">
        <f t="shared" si="886"/>
        <v>872</v>
      </c>
      <c r="D910" s="7" t="e">
        <f t="shared" ca="1" si="906"/>
        <v>#N/A</v>
      </c>
      <c r="E910" s="26">
        <f t="array" aca="1" ref="E910" ca="1">AVERAGE(IF(INDIRECT(DatCol&amp;"$"&amp;TEXT(C910,"###")):INDIRECT(DatCol&amp;"$"&amp;TEXT(C910+57,"###"))&gt;0,INDIRECT(DatCol&amp;"$"&amp;TEXT(C910,"###")):INDIRECT(DatCol&amp;"$"&amp;TEXT(C910+57,"###"))))</f>
        <v>625.75567567567577</v>
      </c>
      <c r="F910" s="26" t="str">
        <f t="shared" si="887"/>
        <v>N</v>
      </c>
      <c r="G910" s="8">
        <v>77</v>
      </c>
      <c r="H910" s="8">
        <v>22</v>
      </c>
      <c r="I910" s="8">
        <v>145</v>
      </c>
      <c r="J910" s="8">
        <v>342</v>
      </c>
      <c r="K910" s="9">
        <f t="shared" si="864"/>
        <v>441</v>
      </c>
      <c r="L910" s="12">
        <v>3338</v>
      </c>
      <c r="M910" s="11">
        <f t="shared" si="907"/>
        <v>166900</v>
      </c>
      <c r="N910" s="12">
        <v>300</v>
      </c>
      <c r="O910" s="11">
        <f t="shared" si="908"/>
        <v>15000</v>
      </c>
      <c r="P910" s="12">
        <v>0</v>
      </c>
      <c r="Q910" s="11">
        <f t="shared" si="909"/>
        <v>0</v>
      </c>
      <c r="X910" s="12">
        <v>0</v>
      </c>
      <c r="Y910" s="11">
        <f t="shared" si="910"/>
        <v>0</v>
      </c>
      <c r="AF910" s="12">
        <v>0</v>
      </c>
      <c r="AG910" s="11">
        <f t="shared" si="911"/>
        <v>0</v>
      </c>
      <c r="AH910" s="12">
        <v>0</v>
      </c>
      <c r="AI910" s="11">
        <f t="shared" si="912"/>
        <v>0</v>
      </c>
      <c r="AJ910" s="12">
        <v>0</v>
      </c>
      <c r="AK910" s="13">
        <f t="shared" si="913"/>
        <v>0</v>
      </c>
      <c r="AL910" s="12">
        <v>0</v>
      </c>
      <c r="AM910" s="13">
        <f t="shared" si="914"/>
        <v>0</v>
      </c>
      <c r="AN910" s="12">
        <v>0</v>
      </c>
      <c r="AO910" s="11">
        <f t="shared" si="915"/>
        <v>0</v>
      </c>
      <c r="AP910" s="12">
        <v>300</v>
      </c>
      <c r="AQ910" s="11">
        <f t="shared" si="916"/>
        <v>24000</v>
      </c>
      <c r="AR910" s="12">
        <v>0</v>
      </c>
      <c r="AS910" s="11">
        <f t="shared" si="917"/>
        <v>0</v>
      </c>
      <c r="AT910" s="12">
        <v>50</v>
      </c>
      <c r="AU910" s="11">
        <f t="shared" si="918"/>
        <v>2500</v>
      </c>
      <c r="AV910" s="12">
        <v>250</v>
      </c>
      <c r="AW910" s="11">
        <f t="shared" si="919"/>
        <v>15000</v>
      </c>
      <c r="AX910" s="12">
        <v>0</v>
      </c>
      <c r="AY910" s="11">
        <f t="shared" si="920"/>
        <v>0</v>
      </c>
      <c r="AZ910" s="12">
        <v>0</v>
      </c>
      <c r="BA910" s="11">
        <f t="shared" si="921"/>
        <v>0</v>
      </c>
      <c r="BB910" s="12">
        <v>30</v>
      </c>
      <c r="BC910" s="11">
        <f t="shared" si="922"/>
        <v>1200</v>
      </c>
      <c r="BE910" s="11">
        <f t="shared" si="923"/>
        <v>0</v>
      </c>
      <c r="BG910" s="11">
        <f t="shared" si="924"/>
        <v>0</v>
      </c>
      <c r="BN910" s="8">
        <f t="shared" si="862"/>
        <v>3588</v>
      </c>
      <c r="BO910" s="8">
        <f t="shared" si="863"/>
        <v>181900</v>
      </c>
      <c r="BP910" s="8">
        <f t="shared" si="882"/>
        <v>680</v>
      </c>
      <c r="BQ910" s="12">
        <f t="shared" si="883"/>
        <v>42700</v>
      </c>
    </row>
    <row r="911" spans="1:69">
      <c r="A911" s="28">
        <v>1994</v>
      </c>
      <c r="B911" s="27" t="s">
        <v>59</v>
      </c>
      <c r="C911" s="24">
        <f t="shared" si="886"/>
        <v>872</v>
      </c>
      <c r="D911" s="7" t="e">
        <f t="shared" ca="1" si="906"/>
        <v>#N/A</v>
      </c>
      <c r="E911" s="26">
        <f t="array" aca="1" ref="E911" ca="1">AVERAGE(IF(INDIRECT(DatCol&amp;"$"&amp;TEXT(C911,"###")):INDIRECT(DatCol&amp;"$"&amp;TEXT(C911+57,"###"))&gt;0,INDIRECT(DatCol&amp;"$"&amp;TEXT(C911,"###")):INDIRECT(DatCol&amp;"$"&amp;TEXT(C911+57,"###"))))</f>
        <v>625.75567567567577</v>
      </c>
      <c r="F911" s="26" t="str">
        <f t="shared" si="887"/>
        <v>N</v>
      </c>
      <c r="G911" s="8">
        <v>62</v>
      </c>
      <c r="H911" s="8">
        <v>21</v>
      </c>
      <c r="I911" s="8">
        <v>76</v>
      </c>
      <c r="J911" s="8">
        <v>249</v>
      </c>
      <c r="K911" s="9">
        <f t="shared" si="864"/>
        <v>332</v>
      </c>
      <c r="L911" s="12">
        <v>8000</v>
      </c>
      <c r="M911" s="11">
        <f t="shared" si="907"/>
        <v>400000</v>
      </c>
      <c r="N911" s="12">
        <v>500</v>
      </c>
      <c r="O911" s="11">
        <f t="shared" si="908"/>
        <v>25000</v>
      </c>
      <c r="P911" s="12">
        <v>0</v>
      </c>
      <c r="Q911" s="11">
        <f t="shared" si="909"/>
        <v>0</v>
      </c>
      <c r="X911" s="12">
        <v>0</v>
      </c>
      <c r="Y911" s="11">
        <f t="shared" si="910"/>
        <v>0</v>
      </c>
      <c r="AF911" s="12">
        <v>0</v>
      </c>
      <c r="AG911" s="11">
        <f t="shared" si="911"/>
        <v>0</v>
      </c>
      <c r="AH911" s="12">
        <v>0</v>
      </c>
      <c r="AI911" s="11">
        <f t="shared" si="912"/>
        <v>0</v>
      </c>
      <c r="AJ911" s="12">
        <v>0</v>
      </c>
      <c r="AK911" s="13">
        <f t="shared" si="913"/>
        <v>0</v>
      </c>
      <c r="AL911" s="12">
        <v>0</v>
      </c>
      <c r="AM911" s="13">
        <f t="shared" si="914"/>
        <v>0</v>
      </c>
      <c r="AN911" s="12">
        <v>0</v>
      </c>
      <c r="AO911" s="11">
        <f t="shared" si="915"/>
        <v>0</v>
      </c>
      <c r="AP911" s="12">
        <v>300</v>
      </c>
      <c r="AQ911" s="11">
        <f t="shared" si="916"/>
        <v>24000</v>
      </c>
      <c r="AR911" s="12">
        <v>0</v>
      </c>
      <c r="AS911" s="11">
        <f t="shared" si="917"/>
        <v>0</v>
      </c>
      <c r="AT911" s="12">
        <v>50</v>
      </c>
      <c r="AU911" s="11">
        <f t="shared" si="918"/>
        <v>2500</v>
      </c>
      <c r="AV911" s="12">
        <v>0</v>
      </c>
      <c r="AW911" s="11">
        <f t="shared" si="919"/>
        <v>0</v>
      </c>
      <c r="AX911" s="12">
        <v>0</v>
      </c>
      <c r="AY911" s="11">
        <f t="shared" si="920"/>
        <v>0</v>
      </c>
      <c r="AZ911" s="12">
        <v>300</v>
      </c>
      <c r="BA911" s="11">
        <f t="shared" si="921"/>
        <v>12000</v>
      </c>
      <c r="BB911" s="12">
        <v>25</v>
      </c>
      <c r="BC911" s="11">
        <f t="shared" si="922"/>
        <v>1000</v>
      </c>
      <c r="BE911" s="11">
        <f t="shared" si="923"/>
        <v>0</v>
      </c>
      <c r="BG911" s="11">
        <f t="shared" si="924"/>
        <v>0</v>
      </c>
      <c r="BN911" s="8">
        <f t="shared" si="862"/>
        <v>8300</v>
      </c>
      <c r="BO911" s="8">
        <f t="shared" si="863"/>
        <v>412000</v>
      </c>
      <c r="BP911" s="8">
        <f t="shared" si="882"/>
        <v>875</v>
      </c>
      <c r="BQ911" s="12">
        <f t="shared" si="883"/>
        <v>52500</v>
      </c>
    </row>
    <row r="912" spans="1:69">
      <c r="A912" s="28">
        <v>1995</v>
      </c>
      <c r="B912" s="27" t="s">
        <v>59</v>
      </c>
      <c r="C912" s="24">
        <f t="shared" si="886"/>
        <v>872</v>
      </c>
      <c r="D912" s="7" t="e">
        <f t="shared" ca="1" si="906"/>
        <v>#N/A</v>
      </c>
      <c r="E912" s="26">
        <f t="array" aca="1" ref="E912" ca="1">AVERAGE(IF(INDIRECT(DatCol&amp;"$"&amp;TEXT(C912,"###")):INDIRECT(DatCol&amp;"$"&amp;TEXT(C912+57,"###"))&gt;0,INDIRECT(DatCol&amp;"$"&amp;TEXT(C912,"###")):INDIRECT(DatCol&amp;"$"&amp;TEXT(C912+57,"###"))))</f>
        <v>625.75567567567577</v>
      </c>
      <c r="F912" s="26" t="str">
        <f t="shared" si="887"/>
        <v>N</v>
      </c>
      <c r="G912" s="9">
        <v>70</v>
      </c>
      <c r="H912" s="9">
        <v>21</v>
      </c>
      <c r="I912" s="9">
        <f>88+4+1</f>
        <v>93</v>
      </c>
      <c r="J912" s="9">
        <v>412</v>
      </c>
      <c r="K912" s="9">
        <f t="shared" si="864"/>
        <v>503</v>
      </c>
      <c r="L912" s="10">
        <v>8100</v>
      </c>
      <c r="M912" s="11">
        <f t="shared" si="907"/>
        <v>405000</v>
      </c>
      <c r="N912" s="10">
        <v>800</v>
      </c>
      <c r="O912" s="11">
        <f t="shared" si="908"/>
        <v>40000</v>
      </c>
      <c r="P912" s="10">
        <v>0</v>
      </c>
      <c r="Q912" s="11">
        <f t="shared" si="909"/>
        <v>0</v>
      </c>
      <c r="X912" s="10">
        <v>0</v>
      </c>
      <c r="Y912" s="11">
        <f t="shared" si="910"/>
        <v>0</v>
      </c>
      <c r="AF912" s="10">
        <v>0</v>
      </c>
      <c r="AG912" s="11">
        <f t="shared" si="911"/>
        <v>0</v>
      </c>
      <c r="AH912" s="10">
        <v>0</v>
      </c>
      <c r="AI912" s="11">
        <f t="shared" si="912"/>
        <v>0</v>
      </c>
      <c r="AJ912" s="10">
        <v>0</v>
      </c>
      <c r="AK912" s="13">
        <f t="shared" si="913"/>
        <v>0</v>
      </c>
      <c r="AL912" s="10">
        <v>0</v>
      </c>
      <c r="AM912" s="13">
        <f t="shared" si="914"/>
        <v>0</v>
      </c>
      <c r="AN912" s="10">
        <v>0</v>
      </c>
      <c r="AO912" s="11">
        <f t="shared" si="915"/>
        <v>0</v>
      </c>
      <c r="AP912" s="10">
        <v>400</v>
      </c>
      <c r="AQ912" s="11">
        <f t="shared" si="916"/>
        <v>32000</v>
      </c>
      <c r="AR912" s="10">
        <v>0</v>
      </c>
      <c r="AS912" s="11">
        <f t="shared" si="917"/>
        <v>0</v>
      </c>
      <c r="AT912" s="10">
        <v>70</v>
      </c>
      <c r="AU912" s="11">
        <f t="shared" si="918"/>
        <v>3500</v>
      </c>
      <c r="AV912" s="10">
        <v>0</v>
      </c>
      <c r="AW912" s="11">
        <f t="shared" si="919"/>
        <v>0</v>
      </c>
      <c r="AX912" s="10">
        <v>0</v>
      </c>
      <c r="AY912" s="11">
        <f t="shared" si="920"/>
        <v>0</v>
      </c>
      <c r="AZ912" s="10">
        <v>300</v>
      </c>
      <c r="BA912" s="11">
        <f t="shared" si="921"/>
        <v>12000</v>
      </c>
      <c r="BB912" s="10">
        <v>25</v>
      </c>
      <c r="BC912" s="11">
        <f t="shared" si="922"/>
        <v>1000</v>
      </c>
      <c r="BE912" s="11">
        <f t="shared" si="923"/>
        <v>0</v>
      </c>
      <c r="BG912" s="11">
        <f t="shared" si="924"/>
        <v>0</v>
      </c>
      <c r="BN912" s="8">
        <f t="shared" ref="BN912:BN976" si="925">(L912+P912+R912+T912+V912+X912+Z912+AB912+AD912+AF912+AJ912+AN912+AR912+AV912+AZ912+BD912)</f>
        <v>8400</v>
      </c>
      <c r="BO912" s="8">
        <f t="shared" si="863"/>
        <v>417000</v>
      </c>
      <c r="BP912" s="8">
        <f t="shared" si="882"/>
        <v>1295</v>
      </c>
      <c r="BQ912" s="12">
        <f t="shared" si="883"/>
        <v>76500</v>
      </c>
    </row>
    <row r="913" spans="1:69">
      <c r="A913" s="28">
        <v>1996</v>
      </c>
      <c r="B913" s="27" t="s">
        <v>59</v>
      </c>
      <c r="C913" s="24">
        <f t="shared" si="886"/>
        <v>872</v>
      </c>
      <c r="D913" s="7" t="e">
        <f t="shared" ca="1" si="906"/>
        <v>#N/A</v>
      </c>
      <c r="E913" s="26">
        <f t="array" aca="1" ref="E913" ca="1">AVERAGE(IF(INDIRECT(DatCol&amp;"$"&amp;TEXT(C913,"###")):INDIRECT(DatCol&amp;"$"&amp;TEXT(C913+57,"###"))&gt;0,INDIRECT(DatCol&amp;"$"&amp;TEXT(C913,"###")):INDIRECT(DatCol&amp;"$"&amp;TEXT(C913+57,"###"))))</f>
        <v>625.75567567567577</v>
      </c>
      <c r="F913" s="26" t="str">
        <f t="shared" si="887"/>
        <v>N</v>
      </c>
      <c r="G913" s="9">
        <v>111</v>
      </c>
      <c r="H913" s="9">
        <v>39</v>
      </c>
      <c r="I913" s="9">
        <v>108</v>
      </c>
      <c r="J913" s="9">
        <v>472</v>
      </c>
      <c r="K913" s="9">
        <f t="shared" si="864"/>
        <v>622</v>
      </c>
      <c r="L913" s="10">
        <v>10000</v>
      </c>
      <c r="M913" s="11">
        <f t="shared" si="907"/>
        <v>500000</v>
      </c>
      <c r="N913" s="10">
        <v>900</v>
      </c>
      <c r="O913" s="11">
        <f t="shared" si="908"/>
        <v>45000</v>
      </c>
      <c r="P913" s="10">
        <v>0</v>
      </c>
      <c r="Q913" s="11">
        <f t="shared" si="909"/>
        <v>0</v>
      </c>
      <c r="X913" s="10">
        <v>0</v>
      </c>
      <c r="Y913" s="11">
        <f t="shared" si="910"/>
        <v>0</v>
      </c>
      <c r="AF913" s="10">
        <v>0</v>
      </c>
      <c r="AG913" s="11">
        <f t="shared" si="911"/>
        <v>0</v>
      </c>
      <c r="AH913" s="10">
        <v>0</v>
      </c>
      <c r="AI913" s="11">
        <f t="shared" si="912"/>
        <v>0</v>
      </c>
      <c r="AJ913" s="10">
        <v>0</v>
      </c>
      <c r="AK913" s="13">
        <f t="shared" si="913"/>
        <v>0</v>
      </c>
      <c r="AL913" s="10">
        <v>0</v>
      </c>
      <c r="AM913" s="13">
        <f t="shared" si="914"/>
        <v>0</v>
      </c>
      <c r="AN913" s="10">
        <v>500</v>
      </c>
      <c r="AO913" s="11">
        <f t="shared" si="915"/>
        <v>40000</v>
      </c>
      <c r="AP913" s="10">
        <v>0</v>
      </c>
      <c r="AQ913" s="11">
        <f t="shared" si="916"/>
        <v>0</v>
      </c>
      <c r="AR913" s="10">
        <v>0</v>
      </c>
      <c r="AS913" s="11">
        <f t="shared" si="917"/>
        <v>0</v>
      </c>
      <c r="AT913" s="10">
        <v>100</v>
      </c>
      <c r="AU913" s="11">
        <f t="shared" si="918"/>
        <v>5000</v>
      </c>
      <c r="AV913" s="10">
        <v>0</v>
      </c>
      <c r="AW913" s="11">
        <f t="shared" si="919"/>
        <v>0</v>
      </c>
      <c r="AX913" s="10">
        <v>0</v>
      </c>
      <c r="AY913" s="11">
        <f t="shared" si="920"/>
        <v>0</v>
      </c>
      <c r="AZ913" s="10">
        <v>500</v>
      </c>
      <c r="BA913" s="11">
        <f t="shared" si="921"/>
        <v>20000</v>
      </c>
      <c r="BB913" s="10">
        <v>30</v>
      </c>
      <c r="BC913" s="11">
        <f t="shared" si="922"/>
        <v>1200</v>
      </c>
      <c r="BE913" s="11">
        <f t="shared" si="923"/>
        <v>0</v>
      </c>
      <c r="BG913" s="11">
        <f t="shared" si="924"/>
        <v>0</v>
      </c>
      <c r="BH913" s="11">
        <v>100</v>
      </c>
      <c r="BN913" s="8">
        <f t="shared" si="925"/>
        <v>11000</v>
      </c>
      <c r="BO913" s="8">
        <f t="shared" ref="BO913:BO977" si="926">(M913+Q913+S913+U913+W913+Y913+AA913+AC913+AG913+AK913+AO913+AS913+AW913+BA913+BE913)</f>
        <v>560000</v>
      </c>
      <c r="BP913" s="8">
        <f t="shared" si="882"/>
        <v>1030</v>
      </c>
      <c r="BQ913" s="12">
        <f t="shared" si="883"/>
        <v>51200</v>
      </c>
    </row>
    <row r="914" spans="1:69">
      <c r="A914" s="28">
        <v>1997</v>
      </c>
      <c r="B914" s="27" t="s">
        <v>59</v>
      </c>
      <c r="C914" s="24">
        <f t="shared" si="886"/>
        <v>872</v>
      </c>
      <c r="D914" s="7" t="e">
        <f t="shared" ca="1" si="906"/>
        <v>#N/A</v>
      </c>
      <c r="E914" s="26">
        <f t="array" aca="1" ref="E914" ca="1">AVERAGE(IF(INDIRECT(DatCol&amp;"$"&amp;TEXT(C914,"###")):INDIRECT(DatCol&amp;"$"&amp;TEXT(C914+57,"###"))&gt;0,INDIRECT(DatCol&amp;"$"&amp;TEXT(C914,"###")):INDIRECT(DatCol&amp;"$"&amp;TEXT(C914+57,"###"))))</f>
        <v>625.75567567567577</v>
      </c>
      <c r="F914" s="26" t="str">
        <f t="shared" si="887"/>
        <v>N</v>
      </c>
      <c r="G914" s="9">
        <v>57</v>
      </c>
      <c r="H914" s="9">
        <v>35</v>
      </c>
      <c r="I914" s="9">
        <v>114</v>
      </c>
      <c r="J914" s="9">
        <v>595</v>
      </c>
      <c r="K914" s="9">
        <f t="shared" ref="K914:K978" si="927">G914+H914+J914</f>
        <v>687</v>
      </c>
      <c r="L914" s="10">
        <f>1242000/50</f>
        <v>24840</v>
      </c>
      <c r="M914" s="11">
        <f t="shared" si="907"/>
        <v>1242000</v>
      </c>
      <c r="N914" s="10">
        <f>53952/50</f>
        <v>1079.04</v>
      </c>
      <c r="O914" s="11">
        <f t="shared" si="908"/>
        <v>53952</v>
      </c>
      <c r="P914" s="10">
        <v>0</v>
      </c>
      <c r="Q914" s="11">
        <f t="shared" si="909"/>
        <v>0</v>
      </c>
      <c r="X914" s="10">
        <v>0</v>
      </c>
      <c r="Y914" s="11">
        <f t="shared" si="910"/>
        <v>0</v>
      </c>
      <c r="AF914" s="10">
        <v>0</v>
      </c>
      <c r="AG914" s="11">
        <f t="shared" si="911"/>
        <v>0</v>
      </c>
      <c r="AH914" s="10">
        <v>0</v>
      </c>
      <c r="AI914" s="11">
        <f t="shared" si="912"/>
        <v>0</v>
      </c>
      <c r="AJ914" s="10">
        <v>0</v>
      </c>
      <c r="AK914" s="13">
        <f t="shared" si="913"/>
        <v>0</v>
      </c>
      <c r="AL914" s="10">
        <v>0</v>
      </c>
      <c r="AM914" s="13">
        <f t="shared" si="914"/>
        <v>0</v>
      </c>
      <c r="AN914" s="10">
        <v>0</v>
      </c>
      <c r="AO914" s="11">
        <f t="shared" si="915"/>
        <v>0</v>
      </c>
      <c r="AP914" s="10">
        <f>17350/80</f>
        <v>216.875</v>
      </c>
      <c r="AQ914" s="11">
        <f t="shared" si="916"/>
        <v>17350</v>
      </c>
      <c r="AR914" s="10">
        <f>200/50</f>
        <v>4</v>
      </c>
      <c r="AS914" s="11">
        <f t="shared" si="917"/>
        <v>200</v>
      </c>
      <c r="AT914" s="10">
        <f>300/50</f>
        <v>6</v>
      </c>
      <c r="AU914" s="11">
        <f t="shared" si="918"/>
        <v>300</v>
      </c>
      <c r="AV914" s="10">
        <v>0</v>
      </c>
      <c r="AW914" s="11">
        <f t="shared" si="919"/>
        <v>0</v>
      </c>
      <c r="AX914" s="10">
        <v>0</v>
      </c>
      <c r="AY914" s="11">
        <f t="shared" si="920"/>
        <v>0</v>
      </c>
      <c r="AZ914" s="10">
        <f>3000/40</f>
        <v>75</v>
      </c>
      <c r="BA914" s="11">
        <f t="shared" si="921"/>
        <v>3000</v>
      </c>
      <c r="BB914" s="10">
        <f>300/40</f>
        <v>7.5</v>
      </c>
      <c r="BC914" s="11">
        <f t="shared" si="922"/>
        <v>300</v>
      </c>
      <c r="BE914" s="11">
        <f t="shared" si="923"/>
        <v>0</v>
      </c>
      <c r="BG914" s="11">
        <f t="shared" si="924"/>
        <v>0</v>
      </c>
      <c r="BH914" s="11">
        <v>100</v>
      </c>
      <c r="BN914" s="8">
        <f t="shared" si="925"/>
        <v>24919</v>
      </c>
      <c r="BO914" s="8">
        <f t="shared" si="926"/>
        <v>1245200</v>
      </c>
      <c r="BP914" s="8">
        <f t="shared" si="882"/>
        <v>1309.415</v>
      </c>
      <c r="BQ914" s="12">
        <f t="shared" si="883"/>
        <v>71902</v>
      </c>
    </row>
    <row r="915" spans="1:69">
      <c r="A915" s="28">
        <v>1998</v>
      </c>
      <c r="B915" s="27" t="s">
        <v>59</v>
      </c>
      <c r="C915" s="24">
        <f t="shared" si="886"/>
        <v>872</v>
      </c>
      <c r="D915" s="7" t="e">
        <f t="shared" ca="1" si="906"/>
        <v>#N/A</v>
      </c>
      <c r="E915" s="26">
        <f t="array" aca="1" ref="E915" ca="1">AVERAGE(IF(INDIRECT(DatCol&amp;"$"&amp;TEXT(C915,"###")):INDIRECT(DatCol&amp;"$"&amp;TEXT(C915+57,"###"))&gt;0,INDIRECT(DatCol&amp;"$"&amp;TEXT(C915,"###")):INDIRECT(DatCol&amp;"$"&amp;TEXT(C915+57,"###"))))</f>
        <v>625.75567567567577</v>
      </c>
      <c r="F915" s="26" t="str">
        <f t="shared" si="887"/>
        <v>N</v>
      </c>
      <c r="G915" s="9">
        <v>91</v>
      </c>
      <c r="H915" s="9">
        <v>46</v>
      </c>
      <c r="I915" s="9">
        <v>134</v>
      </c>
      <c r="J915" s="9">
        <v>467</v>
      </c>
      <c r="K915" s="9">
        <f t="shared" si="927"/>
        <v>604</v>
      </c>
      <c r="L915" s="10">
        <f>M915/50</f>
        <v>3260</v>
      </c>
      <c r="M915" s="11">
        <v>163000</v>
      </c>
      <c r="N915" s="10">
        <f>O915/50</f>
        <v>574.20000000000005</v>
      </c>
      <c r="O915" s="11">
        <v>28710</v>
      </c>
      <c r="P915" s="10">
        <v>0</v>
      </c>
      <c r="Q915" s="11">
        <v>0</v>
      </c>
      <c r="R915" s="10">
        <v>0</v>
      </c>
      <c r="S915" s="11">
        <v>0</v>
      </c>
      <c r="T915" s="10">
        <v>0</v>
      </c>
      <c r="U915" s="11">
        <v>0</v>
      </c>
      <c r="V915" s="10">
        <v>0</v>
      </c>
      <c r="W915" s="11">
        <v>0</v>
      </c>
      <c r="X915" s="10">
        <v>0</v>
      </c>
      <c r="Y915" s="11">
        <v>0</v>
      </c>
      <c r="Z915" s="10">
        <v>0</v>
      </c>
      <c r="AA915" s="11">
        <v>0</v>
      </c>
      <c r="AB915" s="10">
        <v>0</v>
      </c>
      <c r="AC915" s="11">
        <v>0</v>
      </c>
      <c r="AD915" s="10">
        <v>0</v>
      </c>
      <c r="AE915" s="11">
        <v>0</v>
      </c>
      <c r="AF915" s="10">
        <v>0</v>
      </c>
      <c r="AG915" s="11">
        <v>0</v>
      </c>
      <c r="AH915" s="10">
        <v>0</v>
      </c>
      <c r="AI915" s="11">
        <v>0</v>
      </c>
      <c r="AJ915" s="10">
        <v>0</v>
      </c>
      <c r="AK915" s="13">
        <v>0</v>
      </c>
      <c r="AL915" s="10">
        <v>0</v>
      </c>
      <c r="AM915" s="13">
        <v>0</v>
      </c>
      <c r="AN915" s="10">
        <v>0</v>
      </c>
      <c r="AO915" s="11">
        <v>0</v>
      </c>
      <c r="AP915" s="10">
        <f>AQ915/80</f>
        <v>89.712500000000006</v>
      </c>
      <c r="AQ915" s="11">
        <v>7177</v>
      </c>
      <c r="AR915" s="10">
        <f>AS915/55</f>
        <v>1.3090909090909091</v>
      </c>
      <c r="AS915" s="11">
        <f>120*0.6</f>
        <v>72</v>
      </c>
      <c r="AT915" s="10">
        <v>6</v>
      </c>
      <c r="AU915" s="11">
        <v>300</v>
      </c>
      <c r="AV915" s="10">
        <v>0</v>
      </c>
      <c r="AW915" s="11">
        <v>0</v>
      </c>
      <c r="AX915" s="10">
        <v>0</v>
      </c>
      <c r="AY915" s="11">
        <v>0</v>
      </c>
      <c r="AZ915" s="10">
        <f>BA915/40</f>
        <v>25</v>
      </c>
      <c r="BA915" s="11">
        <v>1000</v>
      </c>
      <c r="BB915" s="10">
        <f>BC915/40</f>
        <v>5</v>
      </c>
      <c r="BC915" s="11">
        <v>200</v>
      </c>
      <c r="BD915" s="10">
        <v>0</v>
      </c>
      <c r="BE915" s="11">
        <v>0</v>
      </c>
      <c r="BF915" s="10">
        <v>0</v>
      </c>
      <c r="BG915" s="11">
        <v>0</v>
      </c>
      <c r="BN915" s="8">
        <f t="shared" si="925"/>
        <v>3286.3090909090911</v>
      </c>
      <c r="BO915" s="8">
        <f t="shared" si="926"/>
        <v>164072</v>
      </c>
      <c r="BP915" s="8">
        <f t="shared" si="882"/>
        <v>674.91250000000002</v>
      </c>
      <c r="BQ915" s="12">
        <f t="shared" si="883"/>
        <v>36387</v>
      </c>
    </row>
    <row r="916" spans="1:69">
      <c r="A916" s="28">
        <v>1999</v>
      </c>
      <c r="B916" s="27" t="s">
        <v>59</v>
      </c>
      <c r="C916" s="24">
        <f t="shared" si="886"/>
        <v>872</v>
      </c>
      <c r="D916" s="7" t="e">
        <f t="shared" ca="1" si="906"/>
        <v>#N/A</v>
      </c>
      <c r="E916" s="26">
        <f t="array" aca="1" ref="E916" ca="1">AVERAGE(IF(INDIRECT(DatCol&amp;"$"&amp;TEXT(C916,"###")):INDIRECT(DatCol&amp;"$"&amp;TEXT(C916+57,"###"))&gt;0,INDIRECT(DatCol&amp;"$"&amp;TEXT(C916,"###")):INDIRECT(DatCol&amp;"$"&amp;TEXT(C916+57,"###"))))</f>
        <v>625.75567567567577</v>
      </c>
      <c r="F916" s="26" t="str">
        <f t="shared" si="887"/>
        <v>N</v>
      </c>
      <c r="G916" s="9">
        <v>87</v>
      </c>
      <c r="H916" s="9">
        <v>40</v>
      </c>
      <c r="I916" s="9">
        <v>110</v>
      </c>
      <c r="J916" s="9">
        <v>580</v>
      </c>
      <c r="K916" s="9">
        <f t="shared" si="927"/>
        <v>707</v>
      </c>
      <c r="L916" s="10">
        <f>M916/50</f>
        <v>4380.3999999999996</v>
      </c>
      <c r="M916" s="11">
        <v>219020</v>
      </c>
      <c r="N916" s="10">
        <f>O916/50</f>
        <v>186</v>
      </c>
      <c r="O916" s="11">
        <v>9300</v>
      </c>
      <c r="P916" s="10">
        <v>0</v>
      </c>
      <c r="Q916" s="11">
        <v>0</v>
      </c>
      <c r="R916" s="10">
        <v>0</v>
      </c>
      <c r="S916" s="11">
        <v>0</v>
      </c>
      <c r="T916" s="10">
        <v>0</v>
      </c>
      <c r="U916" s="11">
        <v>0</v>
      </c>
      <c r="V916" s="10">
        <v>0</v>
      </c>
      <c r="W916" s="11">
        <v>0</v>
      </c>
      <c r="X916" s="10">
        <v>0</v>
      </c>
      <c r="Y916" s="11">
        <v>0</v>
      </c>
      <c r="Z916" s="10">
        <v>0</v>
      </c>
      <c r="AA916" s="11">
        <v>0</v>
      </c>
      <c r="AB916" s="10">
        <v>0</v>
      </c>
      <c r="AC916" s="11">
        <v>0</v>
      </c>
      <c r="AD916" s="10">
        <v>0</v>
      </c>
      <c r="AE916" s="11">
        <v>0</v>
      </c>
      <c r="AF916" s="10">
        <v>0</v>
      </c>
      <c r="AG916" s="11">
        <v>0</v>
      </c>
      <c r="AH916" s="10">
        <v>0</v>
      </c>
      <c r="AI916" s="11">
        <v>0</v>
      </c>
      <c r="AJ916" s="10">
        <v>0</v>
      </c>
      <c r="AK916" s="13">
        <v>0</v>
      </c>
      <c r="AL916" s="10">
        <v>0</v>
      </c>
      <c r="AM916" s="13">
        <v>0</v>
      </c>
      <c r="AN916" s="10">
        <v>0</v>
      </c>
      <c r="AO916" s="11">
        <v>0</v>
      </c>
      <c r="AP916" s="10">
        <f>AQ916/80</f>
        <v>37.5</v>
      </c>
      <c r="AQ916" s="11">
        <v>3000</v>
      </c>
      <c r="AR916" s="10">
        <v>0</v>
      </c>
      <c r="AS916" s="11">
        <v>0</v>
      </c>
      <c r="AT916" s="10">
        <v>6</v>
      </c>
      <c r="AU916" s="11">
        <v>300</v>
      </c>
      <c r="AV916" s="10">
        <v>0</v>
      </c>
      <c r="AW916" s="11">
        <v>0</v>
      </c>
      <c r="AX916" s="10">
        <v>0</v>
      </c>
      <c r="AY916" s="11">
        <v>0</v>
      </c>
      <c r="AZ916" s="10">
        <v>25</v>
      </c>
      <c r="BA916" s="11">
        <v>1000</v>
      </c>
      <c r="BB916" s="10">
        <f>BC916/40</f>
        <v>7.5</v>
      </c>
      <c r="BC916" s="11">
        <v>300</v>
      </c>
      <c r="BD916" s="10">
        <v>0</v>
      </c>
      <c r="BE916" s="11">
        <v>0</v>
      </c>
      <c r="BF916" s="10">
        <v>0</v>
      </c>
      <c r="BG916" s="11">
        <v>0</v>
      </c>
      <c r="BH916" s="11">
        <v>0</v>
      </c>
      <c r="BI916" s="11">
        <v>0</v>
      </c>
      <c r="BN916" s="8">
        <f t="shared" si="925"/>
        <v>4405.3999999999996</v>
      </c>
      <c r="BO916" s="8">
        <f t="shared" si="926"/>
        <v>220020</v>
      </c>
      <c r="BP916" s="8">
        <f t="shared" si="882"/>
        <v>237</v>
      </c>
      <c r="BQ916" s="12">
        <f t="shared" si="883"/>
        <v>12900</v>
      </c>
    </row>
    <row r="917" spans="1:69">
      <c r="A917" s="28">
        <v>2000</v>
      </c>
      <c r="B917" s="27" t="s">
        <v>59</v>
      </c>
      <c r="C917" s="24">
        <f t="shared" si="886"/>
        <v>872</v>
      </c>
      <c r="D917" s="7" t="e">
        <f t="shared" ca="1" si="906"/>
        <v>#N/A</v>
      </c>
      <c r="E917" s="26">
        <f t="array" aca="1" ref="E917" ca="1">AVERAGE(IF(INDIRECT(DatCol&amp;"$"&amp;TEXT(C917,"###")):INDIRECT(DatCol&amp;"$"&amp;TEXT(C917+57,"###"))&gt;0,INDIRECT(DatCol&amp;"$"&amp;TEXT(C917,"###")):INDIRECT(DatCol&amp;"$"&amp;TEXT(C917+57,"###"))))</f>
        <v>625.75567567567577</v>
      </c>
      <c r="F917" s="26" t="str">
        <f t="shared" si="887"/>
        <v>N</v>
      </c>
      <c r="G917" s="9">
        <v>98</v>
      </c>
      <c r="H917" s="9">
        <v>39</v>
      </c>
      <c r="I917" s="9">
        <v>112</v>
      </c>
      <c r="J917" s="9">
        <v>439</v>
      </c>
      <c r="K917" s="9">
        <f t="shared" si="927"/>
        <v>576</v>
      </c>
      <c r="L917" s="10">
        <f>M917/50</f>
        <v>7304.02</v>
      </c>
      <c r="M917" s="11">
        <v>365201</v>
      </c>
      <c r="N917" s="10">
        <f>O917/50</f>
        <v>140</v>
      </c>
      <c r="O917" s="11">
        <v>7000</v>
      </c>
      <c r="P917" s="10">
        <v>0</v>
      </c>
      <c r="Q917" s="11">
        <v>0</v>
      </c>
      <c r="R917" s="10">
        <v>0</v>
      </c>
      <c r="S917" s="11">
        <v>0</v>
      </c>
      <c r="T917" s="10">
        <v>0</v>
      </c>
      <c r="U917" s="11">
        <v>0</v>
      </c>
      <c r="V917" s="10">
        <v>0</v>
      </c>
      <c r="W917" s="11">
        <v>0</v>
      </c>
      <c r="X917" s="10">
        <v>0</v>
      </c>
      <c r="Y917" s="11">
        <v>0</v>
      </c>
      <c r="Z917" s="10">
        <v>0</v>
      </c>
      <c r="AA917" s="11">
        <v>0</v>
      </c>
      <c r="AB917" s="10">
        <v>0</v>
      </c>
      <c r="AC917" s="11">
        <v>0</v>
      </c>
      <c r="AD917" s="10">
        <v>0</v>
      </c>
      <c r="AE917" s="11">
        <v>0</v>
      </c>
      <c r="AF917" s="10">
        <v>0</v>
      </c>
      <c r="AG917" s="11">
        <v>0</v>
      </c>
      <c r="AH917" s="10">
        <v>0</v>
      </c>
      <c r="AI917" s="11">
        <v>0</v>
      </c>
      <c r="AJ917" s="10">
        <v>0</v>
      </c>
      <c r="AK917" s="13">
        <v>0</v>
      </c>
      <c r="AL917" s="10">
        <v>0</v>
      </c>
      <c r="AM917" s="13">
        <v>0</v>
      </c>
      <c r="AN917" s="10">
        <v>0</v>
      </c>
      <c r="AO917" s="11">
        <v>0</v>
      </c>
      <c r="AP917" s="10">
        <f>AQ917/80</f>
        <v>12.5</v>
      </c>
      <c r="AQ917" s="11">
        <v>1000</v>
      </c>
      <c r="AR917" s="10">
        <f>AS917/55</f>
        <v>18.181818181818183</v>
      </c>
      <c r="AS917" s="11">
        <v>1000</v>
      </c>
      <c r="AT917" s="10">
        <v>6</v>
      </c>
      <c r="AU917" s="11">
        <v>300</v>
      </c>
      <c r="AV917" s="10">
        <v>0</v>
      </c>
      <c r="AW917" s="11">
        <v>0</v>
      </c>
      <c r="AX917" s="10">
        <v>0</v>
      </c>
      <c r="AY917" s="11">
        <v>0</v>
      </c>
      <c r="AZ917" s="10">
        <v>25</v>
      </c>
      <c r="BA917" s="11">
        <v>1000</v>
      </c>
      <c r="BB917" s="10">
        <v>7.5</v>
      </c>
      <c r="BC917" s="11">
        <v>300</v>
      </c>
      <c r="BD917" s="10">
        <v>0</v>
      </c>
      <c r="BE917" s="11">
        <v>0</v>
      </c>
      <c r="BF917" s="10">
        <v>0</v>
      </c>
      <c r="BG917" s="11">
        <v>0</v>
      </c>
      <c r="BH917" s="11">
        <v>0</v>
      </c>
      <c r="BI917" s="11">
        <v>0</v>
      </c>
      <c r="BJ917" s="10">
        <v>0</v>
      </c>
      <c r="BK917" s="11">
        <v>0</v>
      </c>
      <c r="BL917" s="10">
        <v>0</v>
      </c>
      <c r="BM917" s="11">
        <v>0</v>
      </c>
      <c r="BN917" s="8">
        <f t="shared" si="925"/>
        <v>7347.2018181818185</v>
      </c>
      <c r="BO917" s="8">
        <f t="shared" si="926"/>
        <v>367201</v>
      </c>
      <c r="BP917" s="8">
        <f t="shared" si="882"/>
        <v>166</v>
      </c>
      <c r="BQ917" s="12">
        <f t="shared" si="883"/>
        <v>8600</v>
      </c>
    </row>
    <row r="918" spans="1:69">
      <c r="A918" s="28">
        <v>2001</v>
      </c>
      <c r="B918" s="27" t="s">
        <v>59</v>
      </c>
      <c r="C918" s="24">
        <f t="shared" si="886"/>
        <v>872</v>
      </c>
      <c r="D918" s="7" t="e">
        <f t="shared" ca="1" si="906"/>
        <v>#N/A</v>
      </c>
      <c r="E918" s="26">
        <f t="array" aca="1" ref="E918" ca="1">AVERAGE(IF(INDIRECT(DatCol&amp;"$"&amp;TEXT(C918,"###")):INDIRECT(DatCol&amp;"$"&amp;TEXT(C918+57,"###"))&gt;0,INDIRECT(DatCol&amp;"$"&amp;TEXT(C918,"###")):INDIRECT(DatCol&amp;"$"&amp;TEXT(C918+57,"###"))))</f>
        <v>625.75567567567577</v>
      </c>
      <c r="F918" s="26" t="str">
        <f t="shared" si="887"/>
        <v>N</v>
      </c>
      <c r="H918" s="9">
        <v>36</v>
      </c>
      <c r="I918" s="9">
        <v>89</v>
      </c>
      <c r="J918" s="9">
        <v>471</v>
      </c>
      <c r="K918" s="9">
        <f t="shared" si="927"/>
        <v>507</v>
      </c>
      <c r="L918" s="10">
        <f>M918/50</f>
        <v>6164.98</v>
      </c>
      <c r="M918" s="11">
        <v>308249</v>
      </c>
      <c r="P918" s="10">
        <v>0</v>
      </c>
      <c r="Q918" s="11">
        <v>0</v>
      </c>
      <c r="R918" s="10">
        <v>0</v>
      </c>
      <c r="S918" s="11">
        <v>0</v>
      </c>
      <c r="T918" s="10">
        <v>0</v>
      </c>
      <c r="U918" s="11">
        <v>0</v>
      </c>
      <c r="V918" s="10">
        <v>0</v>
      </c>
      <c r="W918" s="11">
        <v>0</v>
      </c>
      <c r="X918" s="10">
        <v>0</v>
      </c>
      <c r="Y918" s="11">
        <v>0</v>
      </c>
      <c r="Z918" s="10">
        <v>0</v>
      </c>
      <c r="AA918" s="11">
        <v>0</v>
      </c>
      <c r="AB918" s="10">
        <v>0</v>
      </c>
      <c r="AC918" s="11">
        <v>0</v>
      </c>
      <c r="AD918" s="10">
        <v>0</v>
      </c>
      <c r="AE918" s="11">
        <v>0</v>
      </c>
      <c r="AF918" s="10">
        <v>0</v>
      </c>
      <c r="AG918" s="11">
        <v>0</v>
      </c>
      <c r="AH918" s="10">
        <v>0</v>
      </c>
      <c r="AI918" s="11">
        <v>0</v>
      </c>
      <c r="AJ918" s="10">
        <v>0</v>
      </c>
      <c r="AK918" s="13">
        <v>0</v>
      </c>
      <c r="AL918" s="10">
        <v>0</v>
      </c>
      <c r="AM918" s="13">
        <v>0</v>
      </c>
      <c r="AN918" s="10">
        <v>0</v>
      </c>
      <c r="AO918" s="11">
        <v>0</v>
      </c>
      <c r="AP918" s="10">
        <v>12.5</v>
      </c>
      <c r="AQ918" s="11">
        <v>1000</v>
      </c>
      <c r="AR918" s="10">
        <v>18.2</v>
      </c>
      <c r="AS918" s="11">
        <v>1000</v>
      </c>
      <c r="AT918" s="10">
        <v>6</v>
      </c>
      <c r="AU918" s="11">
        <v>300</v>
      </c>
      <c r="AV918" s="10">
        <v>0</v>
      </c>
      <c r="AW918" s="11">
        <v>0</v>
      </c>
      <c r="AX918" s="10">
        <v>0</v>
      </c>
      <c r="AY918" s="11">
        <v>0</v>
      </c>
      <c r="AZ918" s="10">
        <v>25</v>
      </c>
      <c r="BA918" s="11">
        <v>1000</v>
      </c>
      <c r="BB918" s="10">
        <v>7.5</v>
      </c>
      <c r="BC918" s="11">
        <v>300</v>
      </c>
      <c r="BD918" s="10">
        <v>0</v>
      </c>
      <c r="BE918" s="11">
        <v>0</v>
      </c>
      <c r="BF918" s="10">
        <v>0</v>
      </c>
      <c r="BG918" s="11">
        <v>0</v>
      </c>
      <c r="BH918" s="11">
        <v>0</v>
      </c>
      <c r="BI918" s="11">
        <v>0</v>
      </c>
      <c r="BJ918" s="10">
        <v>0</v>
      </c>
      <c r="BN918" s="8">
        <f t="shared" si="925"/>
        <v>6208.1799999999994</v>
      </c>
      <c r="BO918" s="8">
        <f t="shared" si="926"/>
        <v>310249</v>
      </c>
      <c r="BP918" s="8">
        <f t="shared" si="882"/>
        <v>26</v>
      </c>
      <c r="BQ918" s="12">
        <f t="shared" si="883"/>
        <v>1600</v>
      </c>
    </row>
    <row r="919" spans="1:69">
      <c r="A919" s="28">
        <v>2002</v>
      </c>
      <c r="B919" s="27" t="s">
        <v>59</v>
      </c>
      <c r="C919" s="24">
        <f t="shared" si="886"/>
        <v>872</v>
      </c>
      <c r="D919" s="7" t="e">
        <f t="shared" ca="1" si="906"/>
        <v>#N/A</v>
      </c>
      <c r="E919" s="26">
        <f t="array" aca="1" ref="E919" ca="1">AVERAGE(IF(INDIRECT(DatCol&amp;"$"&amp;TEXT(C919,"###")):INDIRECT(DatCol&amp;"$"&amp;TEXT(C919+57,"###"))&gt;0,INDIRECT(DatCol&amp;"$"&amp;TEXT(C919,"###")):INDIRECT(DatCol&amp;"$"&amp;TEXT(C919+57,"###"))))</f>
        <v>625.75567567567577</v>
      </c>
      <c r="F919" s="26" t="str">
        <f t="shared" si="887"/>
        <v>N</v>
      </c>
      <c r="H919" s="9">
        <v>31</v>
      </c>
      <c r="I919" s="9">
        <v>82</v>
      </c>
      <c r="J919" s="9">
        <v>347</v>
      </c>
      <c r="K919" s="9">
        <f t="shared" si="927"/>
        <v>378</v>
      </c>
      <c r="L919" s="10">
        <f>M919/50</f>
        <v>2352.5</v>
      </c>
      <c r="M919" s="11">
        <v>117625</v>
      </c>
      <c r="N919" s="10">
        <f>O919/50</f>
        <v>44</v>
      </c>
      <c r="O919" s="11">
        <v>2200</v>
      </c>
      <c r="P919" s="10">
        <v>0</v>
      </c>
      <c r="Q919" s="11">
        <v>0</v>
      </c>
      <c r="R919" s="10">
        <v>0</v>
      </c>
      <c r="S919" s="11">
        <v>0</v>
      </c>
      <c r="T919" s="10">
        <v>0</v>
      </c>
      <c r="U919" s="11">
        <v>0</v>
      </c>
      <c r="V919" s="10">
        <v>0</v>
      </c>
      <c r="W919" s="11">
        <v>0</v>
      </c>
      <c r="X919" s="10">
        <v>0</v>
      </c>
      <c r="Y919" s="11">
        <v>0</v>
      </c>
      <c r="Z919" s="10">
        <v>0</v>
      </c>
      <c r="AA919" s="11">
        <v>0</v>
      </c>
      <c r="AB919" s="10">
        <v>0</v>
      </c>
      <c r="AC919" s="11">
        <v>0</v>
      </c>
      <c r="AD919" s="10">
        <v>0</v>
      </c>
      <c r="AE919" s="11">
        <v>0</v>
      </c>
      <c r="AF919" s="10">
        <v>0</v>
      </c>
      <c r="AG919" s="11">
        <v>0</v>
      </c>
      <c r="AH919" s="10">
        <v>0</v>
      </c>
      <c r="AI919" s="11">
        <v>0</v>
      </c>
      <c r="AJ919" s="10">
        <v>0</v>
      </c>
      <c r="AK919" s="13">
        <v>0</v>
      </c>
      <c r="AL919" s="10">
        <v>0</v>
      </c>
      <c r="AM919" s="13">
        <v>0</v>
      </c>
      <c r="AN919" s="10">
        <v>0</v>
      </c>
      <c r="AO919" s="11">
        <v>0</v>
      </c>
      <c r="AP919" s="10">
        <f>AQ919/80</f>
        <v>10</v>
      </c>
      <c r="AQ919" s="11">
        <v>800</v>
      </c>
      <c r="AR919" s="10">
        <f>AS919/55</f>
        <v>18.181818181818183</v>
      </c>
      <c r="AS919" s="11">
        <v>1000</v>
      </c>
      <c r="AT919" s="10">
        <v>6</v>
      </c>
      <c r="AU919" s="11">
        <v>300</v>
      </c>
      <c r="AV919" s="10">
        <v>0</v>
      </c>
      <c r="AW919" s="11">
        <v>0</v>
      </c>
      <c r="AX919" s="10">
        <v>0</v>
      </c>
      <c r="AY919" s="11">
        <v>0</v>
      </c>
      <c r="AZ919" s="10">
        <f>BA919/40</f>
        <v>25</v>
      </c>
      <c r="BA919" s="11">
        <v>1000</v>
      </c>
      <c r="BB919" s="10">
        <v>7.5</v>
      </c>
      <c r="BC919" s="11">
        <v>300</v>
      </c>
      <c r="BD919" s="10">
        <v>0</v>
      </c>
      <c r="BE919" s="11">
        <v>0</v>
      </c>
      <c r="BF919" s="10">
        <v>0</v>
      </c>
      <c r="BG919" s="11">
        <v>0</v>
      </c>
      <c r="BH919" s="11">
        <v>100</v>
      </c>
      <c r="BI919" s="11">
        <v>0</v>
      </c>
      <c r="BN919" s="8">
        <f t="shared" si="925"/>
        <v>2395.681818181818</v>
      </c>
      <c r="BO919" s="8">
        <f t="shared" si="926"/>
        <v>119625</v>
      </c>
      <c r="BP919" s="8">
        <f t="shared" si="882"/>
        <v>67.5</v>
      </c>
      <c r="BQ919" s="12">
        <f t="shared" si="883"/>
        <v>3600</v>
      </c>
    </row>
    <row r="920" spans="1:69">
      <c r="A920" s="28">
        <v>2003</v>
      </c>
      <c r="B920" s="27" t="s">
        <v>59</v>
      </c>
      <c r="C920" s="24">
        <f t="shared" si="886"/>
        <v>872</v>
      </c>
      <c r="D920" s="7" t="e">
        <f t="shared" ca="1" si="906"/>
        <v>#N/A</v>
      </c>
      <c r="E920" s="26">
        <f t="array" aca="1" ref="E920" ca="1">AVERAGE(IF(INDIRECT(DatCol&amp;"$"&amp;TEXT(C920,"###")):INDIRECT(DatCol&amp;"$"&amp;TEXT(C920+57,"###"))&gt;0,INDIRECT(DatCol&amp;"$"&amp;TEXT(C920,"###")):INDIRECT(DatCol&amp;"$"&amp;TEXT(C920+57,"###"))))</f>
        <v>625.75567567567577</v>
      </c>
      <c r="F920" s="26" t="str">
        <f t="shared" si="887"/>
        <v>N</v>
      </c>
      <c r="H920" s="9">
        <v>28</v>
      </c>
      <c r="I920" s="9">
        <v>56</v>
      </c>
      <c r="J920" s="9">
        <f>74+258</f>
        <v>332</v>
      </c>
      <c r="K920" s="9">
        <f t="shared" si="927"/>
        <v>360</v>
      </c>
      <c r="L920" s="10">
        <v>5000</v>
      </c>
      <c r="M920" s="11">
        <f>L920*50</f>
        <v>250000</v>
      </c>
      <c r="N920" s="10">
        <v>500</v>
      </c>
      <c r="O920" s="11">
        <f>N920*50</f>
        <v>25000</v>
      </c>
      <c r="P920" s="10">
        <v>0</v>
      </c>
      <c r="Q920" s="11">
        <v>0</v>
      </c>
      <c r="R920" s="10">
        <v>0</v>
      </c>
      <c r="S920" s="11">
        <v>0</v>
      </c>
      <c r="T920" s="10">
        <v>0</v>
      </c>
      <c r="U920" s="11">
        <v>0</v>
      </c>
      <c r="V920" s="10">
        <v>0</v>
      </c>
      <c r="W920" s="11">
        <v>0</v>
      </c>
      <c r="X920" s="10">
        <v>0</v>
      </c>
      <c r="Y920" s="11">
        <v>0</v>
      </c>
      <c r="Z920" s="10">
        <v>0</v>
      </c>
      <c r="AA920" s="11">
        <v>0</v>
      </c>
      <c r="AB920" s="10">
        <v>0</v>
      </c>
      <c r="AC920" s="11">
        <v>0</v>
      </c>
      <c r="AD920" s="10">
        <v>0</v>
      </c>
      <c r="AE920" s="11">
        <v>0</v>
      </c>
      <c r="AF920" s="10">
        <v>0</v>
      </c>
      <c r="AG920" s="11">
        <v>0</v>
      </c>
      <c r="AH920" s="10">
        <v>0</v>
      </c>
      <c r="AI920" s="11">
        <v>0</v>
      </c>
      <c r="AJ920" s="10">
        <v>0</v>
      </c>
      <c r="AK920" s="13">
        <v>0</v>
      </c>
      <c r="AL920" s="10">
        <v>0</v>
      </c>
      <c r="AM920" s="13">
        <v>0</v>
      </c>
      <c r="AN920" s="10">
        <v>0</v>
      </c>
      <c r="AO920" s="11">
        <v>0</v>
      </c>
      <c r="AP920" s="10">
        <v>300</v>
      </c>
      <c r="AQ920" s="11">
        <f>AP920*80</f>
        <v>24000</v>
      </c>
      <c r="AR920" s="10">
        <v>0</v>
      </c>
      <c r="AS920" s="11">
        <v>0</v>
      </c>
      <c r="AT920" s="10">
        <v>50</v>
      </c>
      <c r="AU920" s="11">
        <f>AT920*50</f>
        <v>2500</v>
      </c>
      <c r="AV920" s="10">
        <v>0</v>
      </c>
      <c r="AW920" s="11">
        <v>0</v>
      </c>
      <c r="AX920" s="10">
        <v>0</v>
      </c>
      <c r="AY920" s="11">
        <v>0</v>
      </c>
      <c r="AZ920" s="10">
        <v>300</v>
      </c>
      <c r="BA920" s="11">
        <f>AZ920*40</f>
        <v>12000</v>
      </c>
      <c r="BB920" s="10">
        <v>25</v>
      </c>
      <c r="BC920" s="11">
        <f>BB920*40</f>
        <v>1000</v>
      </c>
      <c r="BN920" s="8">
        <f t="shared" si="925"/>
        <v>5300</v>
      </c>
      <c r="BO920" s="8">
        <f t="shared" si="926"/>
        <v>262000</v>
      </c>
      <c r="BP920" s="8">
        <f t="shared" si="882"/>
        <v>875</v>
      </c>
      <c r="BQ920" s="12">
        <f t="shared" si="883"/>
        <v>52500</v>
      </c>
    </row>
    <row r="921" spans="1:69">
      <c r="A921" s="28">
        <v>2004</v>
      </c>
      <c r="B921" s="27" t="s">
        <v>59</v>
      </c>
      <c r="C921" s="24">
        <f t="shared" si="886"/>
        <v>872</v>
      </c>
      <c r="D921" s="7" t="e">
        <f t="shared" ca="1" si="906"/>
        <v>#N/A</v>
      </c>
      <c r="E921" s="26">
        <f t="array" aca="1" ref="E921" ca="1">AVERAGE(IF(INDIRECT(DatCol&amp;"$"&amp;TEXT(C921,"###")):INDIRECT(DatCol&amp;"$"&amp;TEXT(C921+57,"###"))&gt;0,INDIRECT(DatCol&amp;"$"&amp;TEXT(C921,"###")):INDIRECT(DatCol&amp;"$"&amp;TEXT(C921+57,"###"))))</f>
        <v>625.75567567567577</v>
      </c>
      <c r="F921" s="26" t="str">
        <f t="shared" si="887"/>
        <v>N</v>
      </c>
      <c r="H921" s="9">
        <v>48</v>
      </c>
      <c r="I921" s="9">
        <v>71</v>
      </c>
      <c r="J921" s="9">
        <f>64+274</f>
        <v>338</v>
      </c>
      <c r="K921" s="9">
        <f t="shared" si="927"/>
        <v>386</v>
      </c>
      <c r="L921" s="10">
        <v>6500</v>
      </c>
      <c r="M921" s="11">
        <f>L921*50</f>
        <v>325000</v>
      </c>
      <c r="N921" s="10">
        <v>600</v>
      </c>
      <c r="O921" s="11">
        <f>N921*50</f>
        <v>30000</v>
      </c>
      <c r="P921" s="10">
        <v>0</v>
      </c>
      <c r="Q921" s="11">
        <v>0</v>
      </c>
      <c r="R921" s="10">
        <v>0</v>
      </c>
      <c r="S921" s="11">
        <v>0</v>
      </c>
      <c r="T921" s="10">
        <v>0</v>
      </c>
      <c r="U921" s="11">
        <v>0</v>
      </c>
      <c r="V921" s="10">
        <v>0</v>
      </c>
      <c r="W921" s="11">
        <v>0</v>
      </c>
      <c r="X921" s="10">
        <v>0</v>
      </c>
      <c r="Y921" s="11">
        <v>0</v>
      </c>
      <c r="Z921" s="10">
        <v>0</v>
      </c>
      <c r="AA921" s="11">
        <v>0</v>
      </c>
      <c r="AB921" s="10">
        <v>0</v>
      </c>
      <c r="AC921" s="11">
        <v>0</v>
      </c>
      <c r="AD921" s="10">
        <v>0</v>
      </c>
      <c r="AE921" s="11">
        <v>0</v>
      </c>
      <c r="AF921" s="10">
        <v>0</v>
      </c>
      <c r="AG921" s="11">
        <v>0</v>
      </c>
      <c r="AH921" s="10">
        <v>0</v>
      </c>
      <c r="AI921" s="11">
        <v>0</v>
      </c>
      <c r="AJ921" s="10">
        <v>0</v>
      </c>
      <c r="AK921" s="13">
        <v>0</v>
      </c>
      <c r="AL921" s="10">
        <v>0</v>
      </c>
      <c r="AM921" s="13">
        <v>0</v>
      </c>
      <c r="AN921" s="10">
        <v>0</v>
      </c>
      <c r="AO921" s="11">
        <v>0</v>
      </c>
      <c r="AP921" s="10">
        <v>300</v>
      </c>
      <c r="AQ921" s="11">
        <v>24000</v>
      </c>
      <c r="AR921" s="10">
        <v>0</v>
      </c>
      <c r="AS921" s="11">
        <v>0</v>
      </c>
      <c r="AT921" s="10">
        <v>50</v>
      </c>
      <c r="AU921" s="11">
        <v>2500</v>
      </c>
      <c r="AV921" s="10">
        <v>0</v>
      </c>
      <c r="AW921" s="11">
        <v>0</v>
      </c>
      <c r="AX921" s="10">
        <v>0</v>
      </c>
      <c r="AY921" s="11">
        <v>0</v>
      </c>
      <c r="AZ921" s="10">
        <v>300</v>
      </c>
      <c r="BA921" s="11">
        <v>12000</v>
      </c>
      <c r="BB921" s="10">
        <v>25</v>
      </c>
      <c r="BC921" s="11">
        <v>1000</v>
      </c>
      <c r="BN921" s="8">
        <f t="shared" si="925"/>
        <v>6800</v>
      </c>
      <c r="BO921" s="8">
        <f t="shared" si="926"/>
        <v>337000</v>
      </c>
      <c r="BP921" s="8">
        <f t="shared" si="882"/>
        <v>975</v>
      </c>
      <c r="BQ921" s="12">
        <f t="shared" si="883"/>
        <v>57500</v>
      </c>
    </row>
    <row r="922" spans="1:69">
      <c r="A922" s="28">
        <v>2005</v>
      </c>
      <c r="B922" s="27" t="s">
        <v>59</v>
      </c>
      <c r="C922" s="24">
        <f t="shared" si="886"/>
        <v>872</v>
      </c>
      <c r="D922" s="7" t="e">
        <f t="shared" ca="1" si="906"/>
        <v>#N/A</v>
      </c>
      <c r="E922" s="26">
        <f t="array" aca="1" ref="E922" ca="1">AVERAGE(IF(INDIRECT(DatCol&amp;"$"&amp;TEXT(C922,"###")):INDIRECT(DatCol&amp;"$"&amp;TEXT(C922+57,"###"))&gt;0,INDIRECT(DatCol&amp;"$"&amp;TEXT(C922,"###")):INDIRECT(DatCol&amp;"$"&amp;TEXT(C922+57,"###"))))</f>
        <v>625.75567567567577</v>
      </c>
      <c r="F922" s="26" t="str">
        <f t="shared" si="887"/>
        <v>N</v>
      </c>
      <c r="H922" s="9">
        <v>31</v>
      </c>
      <c r="I922" s="9">
        <v>91</v>
      </c>
      <c r="J922" s="9">
        <v>230</v>
      </c>
      <c r="K922" s="9">
        <f t="shared" si="927"/>
        <v>261</v>
      </c>
      <c r="L922" s="10">
        <f>M922/50</f>
        <v>9700</v>
      </c>
      <c r="M922" s="11">
        <v>485000</v>
      </c>
      <c r="N922" s="10">
        <f>O922/50</f>
        <v>600</v>
      </c>
      <c r="O922" s="11">
        <v>30000</v>
      </c>
      <c r="P922" s="10">
        <v>0</v>
      </c>
      <c r="Q922" s="11">
        <v>0</v>
      </c>
      <c r="R922" s="10">
        <v>0</v>
      </c>
      <c r="S922" s="11">
        <v>0</v>
      </c>
      <c r="T922" s="10">
        <v>0</v>
      </c>
      <c r="U922" s="11">
        <v>0</v>
      </c>
      <c r="V922" s="10">
        <v>0</v>
      </c>
      <c r="W922" s="11">
        <v>0</v>
      </c>
      <c r="X922" s="10">
        <v>0</v>
      </c>
      <c r="Y922" s="11">
        <v>0</v>
      </c>
      <c r="Z922" s="10">
        <v>0</v>
      </c>
      <c r="AA922" s="11">
        <v>0</v>
      </c>
      <c r="AB922" s="10">
        <v>0</v>
      </c>
      <c r="AC922" s="11">
        <v>0</v>
      </c>
      <c r="AD922" s="10">
        <v>0</v>
      </c>
      <c r="AE922" s="11">
        <v>0</v>
      </c>
      <c r="AF922" s="10">
        <v>0</v>
      </c>
      <c r="AG922" s="11">
        <v>0</v>
      </c>
      <c r="AH922" s="10">
        <v>0</v>
      </c>
      <c r="AI922" s="11">
        <v>0</v>
      </c>
      <c r="AJ922" s="10">
        <v>0</v>
      </c>
      <c r="AK922" s="13">
        <v>0</v>
      </c>
      <c r="AL922" s="10">
        <v>0</v>
      </c>
      <c r="AM922" s="13">
        <v>0</v>
      </c>
      <c r="AN922" s="10">
        <v>0</v>
      </c>
      <c r="AO922" s="11">
        <v>0</v>
      </c>
      <c r="AP922" s="10">
        <f>AQ922/80</f>
        <v>75</v>
      </c>
      <c r="AQ922" s="11">
        <v>6000</v>
      </c>
      <c r="AR922" s="10">
        <v>0</v>
      </c>
      <c r="AS922" s="11">
        <v>0</v>
      </c>
      <c r="AT922" s="10">
        <f>AU922/50</f>
        <v>64</v>
      </c>
      <c r="AU922" s="11">
        <v>3200</v>
      </c>
      <c r="AV922" s="10">
        <v>0</v>
      </c>
      <c r="AW922" s="11">
        <v>0</v>
      </c>
      <c r="AX922" s="10">
        <v>0</v>
      </c>
      <c r="AY922" s="11">
        <v>0</v>
      </c>
      <c r="AZ922" s="10">
        <f>BA922/40</f>
        <v>400</v>
      </c>
      <c r="BA922" s="11">
        <v>16000</v>
      </c>
      <c r="BB922" s="10">
        <f>BC922/40</f>
        <v>30</v>
      </c>
      <c r="BC922" s="11">
        <v>1200</v>
      </c>
      <c r="BN922" s="8">
        <f t="shared" si="925"/>
        <v>10100</v>
      </c>
      <c r="BO922" s="8">
        <f t="shared" si="926"/>
        <v>501000</v>
      </c>
      <c r="BP922" s="8">
        <f t="shared" si="882"/>
        <v>769</v>
      </c>
      <c r="BQ922" s="12">
        <f t="shared" si="883"/>
        <v>40400</v>
      </c>
    </row>
    <row r="923" spans="1:69">
      <c r="A923" s="28">
        <v>2006</v>
      </c>
      <c r="B923" s="27" t="s">
        <v>59</v>
      </c>
      <c r="C923" s="24">
        <f t="shared" si="886"/>
        <v>872</v>
      </c>
      <c r="D923" s="7" t="e">
        <f t="shared" ca="1" si="906"/>
        <v>#N/A</v>
      </c>
      <c r="E923" s="26">
        <f t="array" aca="1" ref="E923" ca="1">AVERAGE(IF(INDIRECT(DatCol&amp;"$"&amp;TEXT(C923,"###")):INDIRECT(DatCol&amp;"$"&amp;TEXT(C923+57,"###"))&gt;0,INDIRECT(DatCol&amp;"$"&amp;TEXT(C923,"###")):INDIRECT(DatCol&amp;"$"&amp;TEXT(C923+57,"###"))))</f>
        <v>625.75567567567577</v>
      </c>
      <c r="F923" s="26" t="str">
        <f t="shared" si="887"/>
        <v>N</v>
      </c>
      <c r="K923" s="9">
        <f t="shared" si="927"/>
        <v>0</v>
      </c>
      <c r="AK923" s="13"/>
      <c r="AM923" s="13"/>
      <c r="BN923" s="8">
        <f t="shared" si="925"/>
        <v>0</v>
      </c>
      <c r="BO923" s="8">
        <f t="shared" si="926"/>
        <v>0</v>
      </c>
      <c r="BP923" s="8">
        <f t="shared" ref="BP923:BP988" si="928">(N923+X923+Z923+AB923+AD923+AH923+AL923+AP923+AT923+AX923+BB923+BF923)</f>
        <v>0</v>
      </c>
      <c r="BQ923" s="12">
        <f t="shared" ref="BQ923:BQ988" si="929">(O923+Y923+AA923+AC923+AE923+AI923+AM923+AQ923+AU923+AY923+BC923+BG923)</f>
        <v>0</v>
      </c>
    </row>
    <row r="924" spans="1:69">
      <c r="A924" s="28">
        <v>2007</v>
      </c>
      <c r="B924" s="27" t="s">
        <v>59</v>
      </c>
      <c r="C924" s="24">
        <f t="shared" si="886"/>
        <v>872</v>
      </c>
      <c r="D924" s="7" t="e">
        <f t="shared" ca="1" si="906"/>
        <v>#N/A</v>
      </c>
      <c r="E924" s="26">
        <f t="array" aca="1" ref="E924" ca="1">AVERAGE(IF(INDIRECT(DatCol&amp;"$"&amp;TEXT(C924,"###")):INDIRECT(DatCol&amp;"$"&amp;TEXT(C924+57,"###"))&gt;0,INDIRECT(DatCol&amp;"$"&amp;TEXT(C924,"###")):INDIRECT(DatCol&amp;"$"&amp;TEXT(C924+57,"###"))))</f>
        <v>625.75567567567577</v>
      </c>
      <c r="F924" s="26" t="str">
        <f t="shared" si="887"/>
        <v>N</v>
      </c>
      <c r="H924" s="9">
        <f>8+25</f>
        <v>33</v>
      </c>
      <c r="I924" s="9">
        <v>86</v>
      </c>
      <c r="J924" s="9">
        <f>254+64</f>
        <v>318</v>
      </c>
      <c r="K924" s="9">
        <f t="shared" si="927"/>
        <v>351</v>
      </c>
      <c r="L924" s="10">
        <f>M924/50</f>
        <v>12869.34</v>
      </c>
      <c r="M924" s="11">
        <v>643467</v>
      </c>
      <c r="N924" s="10">
        <f>O924/50</f>
        <v>640</v>
      </c>
      <c r="O924" s="11">
        <v>32000</v>
      </c>
      <c r="P924" s="10">
        <v>0</v>
      </c>
      <c r="Q924" s="11">
        <v>0</v>
      </c>
      <c r="R924" s="10">
        <v>0</v>
      </c>
      <c r="S924" s="11">
        <v>0</v>
      </c>
      <c r="T924" s="10">
        <v>0</v>
      </c>
      <c r="U924" s="11">
        <v>0</v>
      </c>
      <c r="V924" s="10">
        <v>0</v>
      </c>
      <c r="W924" s="11">
        <v>0</v>
      </c>
      <c r="X924" s="10">
        <v>0</v>
      </c>
      <c r="Y924" s="11">
        <v>0</v>
      </c>
      <c r="Z924" s="10">
        <v>0</v>
      </c>
      <c r="AA924" s="11">
        <v>0</v>
      </c>
      <c r="AB924" s="10">
        <v>0</v>
      </c>
      <c r="AC924" s="11">
        <v>0</v>
      </c>
      <c r="AD924" s="10">
        <v>0</v>
      </c>
      <c r="AE924" s="11">
        <v>0</v>
      </c>
      <c r="AF924" s="10">
        <v>0</v>
      </c>
      <c r="AG924" s="11">
        <v>0</v>
      </c>
      <c r="AH924" s="10">
        <v>0</v>
      </c>
      <c r="AI924" s="11">
        <v>0</v>
      </c>
      <c r="AJ924" s="10">
        <v>0</v>
      </c>
      <c r="AK924" s="13">
        <v>0</v>
      </c>
      <c r="AL924" s="10">
        <v>0</v>
      </c>
      <c r="AM924" s="13">
        <v>0</v>
      </c>
      <c r="AN924" s="10">
        <v>0</v>
      </c>
      <c r="AO924" s="11">
        <v>0</v>
      </c>
      <c r="AP924" s="10">
        <f>AQ924/80</f>
        <v>67.5</v>
      </c>
      <c r="AQ924" s="11">
        <v>5400</v>
      </c>
      <c r="AR924" s="10">
        <v>0</v>
      </c>
      <c r="AS924" s="11">
        <v>0</v>
      </c>
      <c r="AT924" s="10">
        <f>AU924/50</f>
        <v>60</v>
      </c>
      <c r="AU924" s="11">
        <v>3000</v>
      </c>
      <c r="AV924" s="10">
        <v>0</v>
      </c>
      <c r="AW924" s="11">
        <v>0</v>
      </c>
      <c r="AX924" s="10">
        <v>0</v>
      </c>
      <c r="AY924" s="11">
        <v>0</v>
      </c>
      <c r="AZ924" s="10">
        <f>BA924/40</f>
        <v>278.125</v>
      </c>
      <c r="BA924" s="11">
        <v>11125</v>
      </c>
      <c r="BB924" s="10">
        <f>BC924/40</f>
        <v>27.5</v>
      </c>
      <c r="BC924" s="11">
        <v>1100</v>
      </c>
      <c r="BD924" s="10">
        <v>0</v>
      </c>
      <c r="BE924" s="11">
        <v>0</v>
      </c>
      <c r="BF924" s="10">
        <v>0</v>
      </c>
      <c r="BG924" s="11">
        <v>0</v>
      </c>
      <c r="BN924" s="8">
        <f t="shared" si="925"/>
        <v>13147.465</v>
      </c>
      <c r="BO924" s="8">
        <f t="shared" si="926"/>
        <v>654592</v>
      </c>
      <c r="BP924" s="8">
        <f t="shared" si="928"/>
        <v>795</v>
      </c>
      <c r="BQ924" s="12">
        <f t="shared" si="929"/>
        <v>41500</v>
      </c>
    </row>
    <row r="925" spans="1:69">
      <c r="A925" s="28">
        <v>2008</v>
      </c>
      <c r="B925" s="27" t="s">
        <v>59</v>
      </c>
      <c r="C925" s="24">
        <f t="shared" si="886"/>
        <v>872</v>
      </c>
      <c r="D925" s="7" t="e">
        <f t="shared" ca="1" si="906"/>
        <v>#N/A</v>
      </c>
      <c r="E925" s="26">
        <f t="array" aca="1" ref="E925" ca="1">AVERAGE(IF(INDIRECT(DatCol&amp;"$"&amp;TEXT(C925,"###")):INDIRECT(DatCol&amp;"$"&amp;TEXT(C925+57,"###"))&gt;0,INDIRECT(DatCol&amp;"$"&amp;TEXT(C925,"###")):INDIRECT(DatCol&amp;"$"&amp;TEXT(C925+57,"###"))))</f>
        <v>625.75567567567577</v>
      </c>
      <c r="F925" s="26" t="str">
        <f t="shared" si="887"/>
        <v>N</v>
      </c>
      <c r="K925" s="9">
        <f t="shared" si="927"/>
        <v>0</v>
      </c>
      <c r="AK925" s="13"/>
      <c r="AM925" s="13"/>
      <c r="BN925" s="8">
        <f t="shared" si="925"/>
        <v>0</v>
      </c>
      <c r="BO925" s="8">
        <f t="shared" si="926"/>
        <v>0</v>
      </c>
      <c r="BP925" s="8">
        <f t="shared" si="928"/>
        <v>0</v>
      </c>
      <c r="BQ925" s="12">
        <f t="shared" si="929"/>
        <v>0</v>
      </c>
    </row>
    <row r="926" spans="1:69">
      <c r="A926" s="28">
        <v>2009</v>
      </c>
      <c r="B926" s="27" t="s">
        <v>59</v>
      </c>
      <c r="C926" s="24">
        <f t="shared" si="886"/>
        <v>872</v>
      </c>
      <c r="D926" s="7" t="e">
        <f t="shared" ca="1" si="906"/>
        <v>#N/A</v>
      </c>
      <c r="E926" s="26">
        <f t="array" aca="1" ref="E926" ca="1">AVERAGE(IF(INDIRECT(DatCol&amp;"$"&amp;TEXT(C926,"###")):INDIRECT(DatCol&amp;"$"&amp;TEXT(C926+57,"###"))&gt;0,INDIRECT(DatCol&amp;"$"&amp;TEXT(C926,"###")):INDIRECT(DatCol&amp;"$"&amp;TEXT(C926+57,"###"))))</f>
        <v>625.75567567567577</v>
      </c>
      <c r="F926" s="26" t="str">
        <f t="shared" si="887"/>
        <v>N</v>
      </c>
      <c r="H926" s="9">
        <v>25</v>
      </c>
      <c r="I926" s="9">
        <v>103</v>
      </c>
      <c r="J926" s="9">
        <v>325</v>
      </c>
      <c r="K926" s="9">
        <f t="shared" si="927"/>
        <v>350</v>
      </c>
      <c r="L926" s="10">
        <f>M926/50</f>
        <v>12068.88</v>
      </c>
      <c r="M926" s="11">
        <v>603444</v>
      </c>
      <c r="N926" s="10">
        <f>O926/50</f>
        <v>799.72</v>
      </c>
      <c r="O926" s="11">
        <v>39986</v>
      </c>
      <c r="P926" s="10">
        <v>0</v>
      </c>
      <c r="Q926" s="11">
        <v>0</v>
      </c>
      <c r="R926" s="10">
        <v>0</v>
      </c>
      <c r="S926" s="11">
        <v>0</v>
      </c>
      <c r="T926" s="10">
        <v>0</v>
      </c>
      <c r="U926" s="11">
        <v>0</v>
      </c>
      <c r="V926" s="10">
        <v>0</v>
      </c>
      <c r="W926" s="11">
        <v>0</v>
      </c>
      <c r="X926" s="10">
        <v>0</v>
      </c>
      <c r="Y926" s="11">
        <v>0</v>
      </c>
      <c r="Z926" s="10">
        <v>0</v>
      </c>
      <c r="AA926" s="11">
        <v>0</v>
      </c>
      <c r="AB926" s="10">
        <v>0</v>
      </c>
      <c r="AC926" s="11">
        <v>0</v>
      </c>
      <c r="AD926" s="10">
        <v>0</v>
      </c>
      <c r="AE926" s="11">
        <v>0</v>
      </c>
      <c r="AF926" s="10">
        <v>0</v>
      </c>
      <c r="AG926" s="11">
        <v>0</v>
      </c>
      <c r="AH926" s="10">
        <v>0</v>
      </c>
      <c r="AI926" s="11">
        <v>0</v>
      </c>
      <c r="AJ926" s="10">
        <v>0</v>
      </c>
      <c r="AK926" s="13">
        <v>0</v>
      </c>
      <c r="AL926" s="10">
        <v>0</v>
      </c>
      <c r="AM926" s="13">
        <v>0</v>
      </c>
      <c r="AN926" s="10">
        <v>0</v>
      </c>
      <c r="AO926" s="11">
        <v>0</v>
      </c>
      <c r="AP926" s="10">
        <f>AQ926/80</f>
        <v>60</v>
      </c>
      <c r="AQ926" s="11">
        <v>4800</v>
      </c>
      <c r="AR926" s="10">
        <v>0</v>
      </c>
      <c r="AS926" s="11">
        <v>0</v>
      </c>
      <c r="AT926" s="10">
        <f>AU926/50</f>
        <v>64</v>
      </c>
      <c r="AU926" s="11">
        <v>3200</v>
      </c>
      <c r="AV926" s="10">
        <v>0</v>
      </c>
      <c r="AW926" s="11">
        <v>0</v>
      </c>
      <c r="AX926" s="10">
        <v>0</v>
      </c>
      <c r="AY926" s="11">
        <v>0</v>
      </c>
      <c r="AZ926" s="10">
        <f>BA926/40</f>
        <v>316.625</v>
      </c>
      <c r="BA926" s="11">
        <v>12665</v>
      </c>
      <c r="BB926" s="10">
        <f>BC926/40</f>
        <v>5</v>
      </c>
      <c r="BC926" s="11">
        <v>200</v>
      </c>
      <c r="BN926" s="8">
        <f t="shared" si="925"/>
        <v>12385.504999999999</v>
      </c>
      <c r="BO926" s="8">
        <f t="shared" si="926"/>
        <v>616109</v>
      </c>
      <c r="BP926" s="8">
        <f t="shared" si="928"/>
        <v>928.72</v>
      </c>
      <c r="BQ926" s="12">
        <f t="shared" si="929"/>
        <v>48186</v>
      </c>
    </row>
    <row r="927" spans="1:69">
      <c r="A927" s="28">
        <v>2010</v>
      </c>
      <c r="B927" s="27" t="s">
        <v>59</v>
      </c>
      <c r="C927" s="24">
        <f t="shared" si="886"/>
        <v>872</v>
      </c>
      <c r="D927" s="7" t="e">
        <f t="shared" ca="1" si="906"/>
        <v>#N/A</v>
      </c>
      <c r="E927" s="26">
        <f t="array" aca="1" ref="E927" ca="1">AVERAGE(IF(INDIRECT(DatCol&amp;"$"&amp;TEXT(C927,"###")):INDIRECT(DatCol&amp;"$"&amp;TEXT(C927+57,"###"))&gt;0,INDIRECT(DatCol&amp;"$"&amp;TEXT(C927,"###")):INDIRECT(DatCol&amp;"$"&amp;TEXT(C927+57,"###"))))</f>
        <v>625.75567567567577</v>
      </c>
      <c r="F927" s="26" t="str">
        <f t="shared" ref="F927:F929" si="930">VLOOKUP(B927,town_region,2,FALSE)</f>
        <v>N</v>
      </c>
      <c r="AK927" s="13"/>
      <c r="AM927" s="13"/>
      <c r="BN927" s="8"/>
      <c r="BO927" s="8"/>
      <c r="BP927" s="8"/>
      <c r="BQ927" s="12"/>
    </row>
    <row r="928" spans="1:69">
      <c r="A928" s="28">
        <v>2011</v>
      </c>
      <c r="B928" s="27" t="s">
        <v>59</v>
      </c>
      <c r="C928" s="24">
        <f t="shared" si="886"/>
        <v>872</v>
      </c>
      <c r="D928" s="7" t="e">
        <f t="shared" ca="1" si="906"/>
        <v>#N/A</v>
      </c>
      <c r="E928" s="26">
        <f t="array" aca="1" ref="E928" ca="1">AVERAGE(IF(INDIRECT(DatCol&amp;"$"&amp;TEXT(C928,"###")):INDIRECT(DatCol&amp;"$"&amp;TEXT(C928+57,"###"))&gt;0,INDIRECT(DatCol&amp;"$"&amp;TEXT(C928,"###")):INDIRECT(DatCol&amp;"$"&amp;TEXT(C928+57,"###"))))</f>
        <v>625.75567567567577</v>
      </c>
      <c r="F928" s="26" t="str">
        <f t="shared" si="930"/>
        <v>N</v>
      </c>
      <c r="AK928" s="13"/>
      <c r="AM928" s="13"/>
      <c r="BN928" s="8"/>
      <c r="BO928" s="8"/>
      <c r="BP928" s="8"/>
      <c r="BQ928" s="12"/>
    </row>
    <row r="929" spans="1:69">
      <c r="A929" s="28">
        <v>2012</v>
      </c>
      <c r="B929" s="27" t="s">
        <v>59</v>
      </c>
      <c r="C929" s="24">
        <f t="shared" si="886"/>
        <v>872</v>
      </c>
      <c r="D929" s="7" t="e">
        <f t="shared" ca="1" si="906"/>
        <v>#N/A</v>
      </c>
      <c r="E929" s="26">
        <f t="array" aca="1" ref="E929" ca="1">AVERAGE(IF(INDIRECT(DatCol&amp;"$"&amp;TEXT(C929,"###")):INDIRECT(DatCol&amp;"$"&amp;TEXT(C929+57,"###"))&gt;0,INDIRECT(DatCol&amp;"$"&amp;TEXT(C929,"###")):INDIRECT(DatCol&amp;"$"&amp;TEXT(C929+57,"###"))))</f>
        <v>625.75567567567577</v>
      </c>
      <c r="F929" s="26" t="str">
        <f t="shared" si="930"/>
        <v>N</v>
      </c>
      <c r="AK929" s="13"/>
      <c r="AM929" s="13"/>
      <c r="BN929" s="8"/>
      <c r="BO929" s="8"/>
      <c r="BP929" s="8"/>
      <c r="BQ929" s="12"/>
    </row>
    <row r="930" spans="1:69">
      <c r="A930" s="28">
        <v>1955</v>
      </c>
      <c r="B930" s="27" t="s">
        <v>60</v>
      </c>
      <c r="C930" s="24">
        <f>ROW()</f>
        <v>930</v>
      </c>
      <c r="D930" s="7" t="e">
        <f t="shared" ca="1" si="906"/>
        <v>#N/A</v>
      </c>
      <c r="E930" s="26">
        <f t="array" aca="1" ref="E930" ca="1">AVERAGE(IF(INDIRECT(DatCol&amp;"$"&amp;TEXT(C930,"###")):INDIRECT(DatCol&amp;"$"&amp;TEXT(C930+57,"###"))&gt;0,INDIRECT(DatCol&amp;"$"&amp;TEXT(C930,"###")):INDIRECT(DatCol&amp;"$"&amp;TEXT(C930+57,"###"))))</f>
        <v>16.142352941176469</v>
      </c>
      <c r="F930" s="26" t="str">
        <f t="shared" si="887"/>
        <v>B</v>
      </c>
      <c r="G930" s="8"/>
      <c r="K930" s="9">
        <f t="shared" si="927"/>
        <v>0</v>
      </c>
      <c r="M930" s="11">
        <f t="shared" si="907"/>
        <v>0</v>
      </c>
      <c r="O930" s="11">
        <f t="shared" si="908"/>
        <v>0</v>
      </c>
      <c r="Q930" s="11">
        <f t="shared" si="909"/>
        <v>0</v>
      </c>
      <c r="Y930" s="11">
        <f t="shared" si="910"/>
        <v>0</v>
      </c>
      <c r="AG930" s="11">
        <f t="shared" si="911"/>
        <v>0</v>
      </c>
      <c r="AI930" s="11">
        <f t="shared" si="912"/>
        <v>0</v>
      </c>
      <c r="AK930" s="13">
        <f t="shared" si="913"/>
        <v>0</v>
      </c>
      <c r="AM930" s="13">
        <f t="shared" si="914"/>
        <v>0</v>
      </c>
      <c r="AO930" s="11">
        <f t="shared" si="915"/>
        <v>0</v>
      </c>
      <c r="AQ930" s="11">
        <f t="shared" si="916"/>
        <v>0</v>
      </c>
      <c r="AS930" s="11">
        <f t="shared" si="917"/>
        <v>0</v>
      </c>
      <c r="AU930" s="11">
        <f t="shared" si="918"/>
        <v>0</v>
      </c>
      <c r="AW930" s="11">
        <f t="shared" si="919"/>
        <v>0</v>
      </c>
      <c r="AY930" s="11">
        <f t="shared" si="920"/>
        <v>0</v>
      </c>
      <c r="BA930" s="11">
        <f t="shared" si="921"/>
        <v>0</v>
      </c>
      <c r="BC930" s="11">
        <f t="shared" si="922"/>
        <v>0</v>
      </c>
      <c r="BE930" s="11">
        <f t="shared" si="923"/>
        <v>0</v>
      </c>
      <c r="BG930" s="11">
        <f t="shared" si="924"/>
        <v>0</v>
      </c>
      <c r="BN930" s="8">
        <f t="shared" si="925"/>
        <v>0</v>
      </c>
      <c r="BO930" s="8">
        <f t="shared" si="926"/>
        <v>0</v>
      </c>
      <c r="BP930" s="8">
        <f t="shared" si="928"/>
        <v>0</v>
      </c>
      <c r="BQ930" s="12">
        <f t="shared" si="929"/>
        <v>0</v>
      </c>
    </row>
    <row r="931" spans="1:69">
      <c r="A931" s="28">
        <v>1956</v>
      </c>
      <c r="B931" s="27" t="s">
        <v>60</v>
      </c>
      <c r="C931" s="24">
        <f t="shared" ref="C931:C987" si="931">C930</f>
        <v>930</v>
      </c>
      <c r="D931" s="7" t="e">
        <f t="shared" ca="1" si="906"/>
        <v>#N/A</v>
      </c>
      <c r="E931" s="26">
        <f t="array" aca="1" ref="E931" ca="1">AVERAGE(IF(INDIRECT(DatCol&amp;"$"&amp;TEXT(C931,"###")):INDIRECT(DatCol&amp;"$"&amp;TEXT(C931+57,"###"))&gt;0,INDIRECT(DatCol&amp;"$"&amp;TEXT(C931,"###")):INDIRECT(DatCol&amp;"$"&amp;TEXT(C931+57,"###"))))</f>
        <v>16.142352941176469</v>
      </c>
      <c r="F931" s="26" t="str">
        <f t="shared" si="887"/>
        <v>B</v>
      </c>
      <c r="G931" s="8"/>
      <c r="K931" s="9">
        <f t="shared" si="927"/>
        <v>0</v>
      </c>
      <c r="M931" s="11">
        <f t="shared" ref="M931:M946" si="932">(L931*50)</f>
        <v>0</v>
      </c>
      <c r="O931" s="11">
        <f t="shared" ref="O931:O946" si="933">(N931*50)</f>
        <v>0</v>
      </c>
      <c r="Q931" s="11">
        <f t="shared" ref="Q931:Q946" si="934">((P931*330)/5.5)</f>
        <v>0</v>
      </c>
      <c r="Y931" s="11">
        <f t="shared" ref="Y931:Y946" si="935">((X931*330)/5.5)</f>
        <v>0</v>
      </c>
      <c r="AG931" s="11">
        <f t="shared" ref="AG931:AG946" si="936">(AF931*65)</f>
        <v>0</v>
      </c>
      <c r="AI931" s="11">
        <f t="shared" ref="AI931:AI946" si="937">(AH931*65)</f>
        <v>0</v>
      </c>
      <c r="AK931" s="13">
        <f t="shared" ref="AK931:AK946" si="938">(AJ931*9)</f>
        <v>0</v>
      </c>
      <c r="AM931" s="13">
        <f t="shared" ref="AM931:AM946" si="939">(AL931*9)</f>
        <v>0</v>
      </c>
      <c r="AO931" s="11">
        <f t="shared" ref="AO931:AO946" si="940">(AN931*80)</f>
        <v>0</v>
      </c>
      <c r="AQ931" s="11">
        <f t="shared" ref="AQ931:AQ946" si="941">(AP931*80)</f>
        <v>0</v>
      </c>
      <c r="AS931" s="11">
        <f t="shared" ref="AS931:AS946" si="942">(AR931*50)</f>
        <v>0</v>
      </c>
      <c r="AU931" s="11">
        <f t="shared" ref="AU931:AU946" si="943">(AT931*50)</f>
        <v>0</v>
      </c>
      <c r="AW931" s="11">
        <f t="shared" ref="AW931:AW946" si="944">(AV931*60)</f>
        <v>0</v>
      </c>
      <c r="AY931" s="11">
        <f t="shared" ref="AY931:AY946" si="945">(AX931*60)</f>
        <v>0</v>
      </c>
      <c r="BA931" s="11">
        <f t="shared" ref="BA931:BA946" si="946">(AZ931*40)</f>
        <v>0</v>
      </c>
      <c r="BC931" s="11">
        <f t="shared" ref="BC931:BC946" si="947">(BB931*40)</f>
        <v>0</v>
      </c>
      <c r="BE931" s="11">
        <f t="shared" ref="BE931:BE946" si="948">(BD931*95)</f>
        <v>0</v>
      </c>
      <c r="BG931" s="11">
        <f t="shared" ref="BG931:BG946" si="949">(BF931*95)</f>
        <v>0</v>
      </c>
      <c r="BN931" s="8">
        <f t="shared" si="925"/>
        <v>0</v>
      </c>
      <c r="BO931" s="8">
        <f t="shared" si="926"/>
        <v>0</v>
      </c>
      <c r="BP931" s="8">
        <f t="shared" si="928"/>
        <v>0</v>
      </c>
      <c r="BQ931" s="12">
        <f t="shared" si="929"/>
        <v>0</v>
      </c>
    </row>
    <row r="932" spans="1:69">
      <c r="A932" s="28">
        <v>1957</v>
      </c>
      <c r="B932" s="27" t="s">
        <v>60</v>
      </c>
      <c r="C932" s="24">
        <f t="shared" si="931"/>
        <v>930</v>
      </c>
      <c r="D932" s="7" t="e">
        <f t="shared" ca="1" si="906"/>
        <v>#N/A</v>
      </c>
      <c r="E932" s="26">
        <f t="array" aca="1" ref="E932" ca="1">AVERAGE(IF(INDIRECT(DatCol&amp;"$"&amp;TEXT(C932,"###")):INDIRECT(DatCol&amp;"$"&amp;TEXT(C932+57,"###"))&gt;0,INDIRECT(DatCol&amp;"$"&amp;TEXT(C932,"###")):INDIRECT(DatCol&amp;"$"&amp;TEXT(C932+57,"###"))))</f>
        <v>16.142352941176469</v>
      </c>
      <c r="F932" s="26" t="str">
        <f t="shared" si="887"/>
        <v>B</v>
      </c>
      <c r="G932" s="8"/>
      <c r="K932" s="9">
        <f t="shared" si="927"/>
        <v>0</v>
      </c>
      <c r="M932" s="11">
        <f t="shared" si="932"/>
        <v>0</v>
      </c>
      <c r="O932" s="11">
        <f t="shared" si="933"/>
        <v>0</v>
      </c>
      <c r="Q932" s="11">
        <f t="shared" si="934"/>
        <v>0</v>
      </c>
      <c r="Y932" s="11">
        <f t="shared" si="935"/>
        <v>0</v>
      </c>
      <c r="AG932" s="11">
        <f t="shared" si="936"/>
        <v>0</v>
      </c>
      <c r="AI932" s="11">
        <f t="shared" si="937"/>
        <v>0</v>
      </c>
      <c r="AK932" s="13">
        <f t="shared" si="938"/>
        <v>0</v>
      </c>
      <c r="AM932" s="13">
        <f t="shared" si="939"/>
        <v>0</v>
      </c>
      <c r="AO932" s="11">
        <f t="shared" si="940"/>
        <v>0</v>
      </c>
      <c r="AQ932" s="11">
        <f t="shared" si="941"/>
        <v>0</v>
      </c>
      <c r="AS932" s="11">
        <f t="shared" si="942"/>
        <v>0</v>
      </c>
      <c r="AU932" s="11">
        <f t="shared" si="943"/>
        <v>0</v>
      </c>
      <c r="AW932" s="11">
        <f t="shared" si="944"/>
        <v>0</v>
      </c>
      <c r="AY932" s="11">
        <f t="shared" si="945"/>
        <v>0</v>
      </c>
      <c r="BA932" s="11">
        <f t="shared" si="946"/>
        <v>0</v>
      </c>
      <c r="BC932" s="11">
        <f t="shared" si="947"/>
        <v>0</v>
      </c>
      <c r="BE932" s="11">
        <f t="shared" si="948"/>
        <v>0</v>
      </c>
      <c r="BG932" s="11">
        <f t="shared" si="949"/>
        <v>0</v>
      </c>
      <c r="BN932" s="8">
        <f t="shared" si="925"/>
        <v>0</v>
      </c>
      <c r="BO932" s="8">
        <f t="shared" si="926"/>
        <v>0</v>
      </c>
      <c r="BP932" s="8">
        <f t="shared" si="928"/>
        <v>0</v>
      </c>
      <c r="BQ932" s="12">
        <f t="shared" si="929"/>
        <v>0</v>
      </c>
    </row>
    <row r="933" spans="1:69">
      <c r="A933" s="28">
        <v>1958</v>
      </c>
      <c r="B933" s="27" t="s">
        <v>60</v>
      </c>
      <c r="C933" s="24">
        <f t="shared" si="931"/>
        <v>930</v>
      </c>
      <c r="D933" s="7" t="e">
        <f t="shared" ca="1" si="906"/>
        <v>#N/A</v>
      </c>
      <c r="E933" s="26">
        <f t="array" aca="1" ref="E933" ca="1">AVERAGE(IF(INDIRECT(DatCol&amp;"$"&amp;TEXT(C933,"###")):INDIRECT(DatCol&amp;"$"&amp;TEXT(C933+57,"###"))&gt;0,INDIRECT(DatCol&amp;"$"&amp;TEXT(C933,"###")):INDIRECT(DatCol&amp;"$"&amp;TEXT(C933+57,"###"))))</f>
        <v>16.142352941176469</v>
      </c>
      <c r="F933" s="26" t="str">
        <f t="shared" si="887"/>
        <v>B</v>
      </c>
      <c r="G933" s="8"/>
      <c r="K933" s="9">
        <f t="shared" si="927"/>
        <v>0</v>
      </c>
      <c r="M933" s="11">
        <f t="shared" si="932"/>
        <v>0</v>
      </c>
      <c r="O933" s="11">
        <f t="shared" si="933"/>
        <v>0</v>
      </c>
      <c r="Q933" s="11">
        <f t="shared" si="934"/>
        <v>0</v>
      </c>
      <c r="Y933" s="11">
        <f t="shared" si="935"/>
        <v>0</v>
      </c>
      <c r="AG933" s="11">
        <f t="shared" si="936"/>
        <v>0</v>
      </c>
      <c r="AI933" s="11">
        <f t="shared" si="937"/>
        <v>0</v>
      </c>
      <c r="AK933" s="13">
        <f t="shared" si="938"/>
        <v>0</v>
      </c>
      <c r="AM933" s="13">
        <f t="shared" si="939"/>
        <v>0</v>
      </c>
      <c r="AO933" s="11">
        <f t="shared" si="940"/>
        <v>0</v>
      </c>
      <c r="AQ933" s="11">
        <f t="shared" si="941"/>
        <v>0</v>
      </c>
      <c r="AS933" s="11">
        <f t="shared" si="942"/>
        <v>0</v>
      </c>
      <c r="AU933" s="11">
        <f t="shared" si="943"/>
        <v>0</v>
      </c>
      <c r="AW933" s="11">
        <f t="shared" si="944"/>
        <v>0</v>
      </c>
      <c r="AY933" s="11">
        <f t="shared" si="945"/>
        <v>0</v>
      </c>
      <c r="BA933" s="11">
        <f t="shared" si="946"/>
        <v>0</v>
      </c>
      <c r="BC933" s="11">
        <f t="shared" si="947"/>
        <v>0</v>
      </c>
      <c r="BE933" s="11">
        <f t="shared" si="948"/>
        <v>0</v>
      </c>
      <c r="BG933" s="11">
        <f t="shared" si="949"/>
        <v>0</v>
      </c>
      <c r="BN933" s="8">
        <f t="shared" si="925"/>
        <v>0</v>
      </c>
      <c r="BO933" s="8">
        <f t="shared" si="926"/>
        <v>0</v>
      </c>
      <c r="BP933" s="8">
        <f t="shared" si="928"/>
        <v>0</v>
      </c>
      <c r="BQ933" s="12">
        <f t="shared" si="929"/>
        <v>0</v>
      </c>
    </row>
    <row r="934" spans="1:69">
      <c r="A934" s="28">
        <v>1959</v>
      </c>
      <c r="B934" s="27" t="s">
        <v>60</v>
      </c>
      <c r="C934" s="24">
        <f t="shared" si="931"/>
        <v>930</v>
      </c>
      <c r="D934" s="7" t="e">
        <f t="shared" ca="1" si="906"/>
        <v>#N/A</v>
      </c>
      <c r="E934" s="26">
        <f t="array" aca="1" ref="E934" ca="1">AVERAGE(IF(INDIRECT(DatCol&amp;"$"&amp;TEXT(C934,"###")):INDIRECT(DatCol&amp;"$"&amp;TEXT(C934+57,"###"))&gt;0,INDIRECT(DatCol&amp;"$"&amp;TEXT(C934,"###")):INDIRECT(DatCol&amp;"$"&amp;TEXT(C934+57,"###"))))</f>
        <v>16.142352941176469</v>
      </c>
      <c r="F934" s="26" t="str">
        <f t="shared" si="887"/>
        <v>B</v>
      </c>
      <c r="G934" s="8"/>
      <c r="K934" s="9">
        <f t="shared" si="927"/>
        <v>0</v>
      </c>
      <c r="M934" s="11">
        <f t="shared" si="932"/>
        <v>0</v>
      </c>
      <c r="O934" s="11">
        <f t="shared" si="933"/>
        <v>0</v>
      </c>
      <c r="Q934" s="11">
        <f t="shared" si="934"/>
        <v>0</v>
      </c>
      <c r="Y934" s="11">
        <f t="shared" si="935"/>
        <v>0</v>
      </c>
      <c r="AG934" s="11">
        <f t="shared" si="936"/>
        <v>0</v>
      </c>
      <c r="AI934" s="11">
        <f t="shared" si="937"/>
        <v>0</v>
      </c>
      <c r="AK934" s="13">
        <f t="shared" si="938"/>
        <v>0</v>
      </c>
      <c r="AM934" s="13">
        <f t="shared" si="939"/>
        <v>0</v>
      </c>
      <c r="AO934" s="11">
        <f t="shared" si="940"/>
        <v>0</v>
      </c>
      <c r="AQ934" s="11">
        <f t="shared" si="941"/>
        <v>0</v>
      </c>
      <c r="AS934" s="11">
        <f t="shared" si="942"/>
        <v>0</v>
      </c>
      <c r="AU934" s="11">
        <f t="shared" si="943"/>
        <v>0</v>
      </c>
      <c r="AW934" s="11">
        <f t="shared" si="944"/>
        <v>0</v>
      </c>
      <c r="AY934" s="11">
        <f t="shared" si="945"/>
        <v>0</v>
      </c>
      <c r="BA934" s="11">
        <f t="shared" si="946"/>
        <v>0</v>
      </c>
      <c r="BC934" s="11">
        <f t="shared" si="947"/>
        <v>0</v>
      </c>
      <c r="BE934" s="11">
        <f t="shared" si="948"/>
        <v>0</v>
      </c>
      <c r="BG934" s="11">
        <f t="shared" si="949"/>
        <v>0</v>
      </c>
      <c r="BN934" s="8">
        <f t="shared" si="925"/>
        <v>0</v>
      </c>
      <c r="BO934" s="8">
        <f t="shared" si="926"/>
        <v>0</v>
      </c>
      <c r="BP934" s="8">
        <f t="shared" si="928"/>
        <v>0</v>
      </c>
      <c r="BQ934" s="12">
        <f t="shared" si="929"/>
        <v>0</v>
      </c>
    </row>
    <row r="935" spans="1:69">
      <c r="A935" s="28">
        <v>1960</v>
      </c>
      <c r="B935" s="27" t="s">
        <v>60</v>
      </c>
      <c r="C935" s="24">
        <f t="shared" si="931"/>
        <v>930</v>
      </c>
      <c r="D935" s="7" t="e">
        <f t="shared" ca="1" si="906"/>
        <v>#N/A</v>
      </c>
      <c r="E935" s="26">
        <f t="array" aca="1" ref="E935" ca="1">AVERAGE(IF(INDIRECT(DatCol&amp;"$"&amp;TEXT(C935,"###")):INDIRECT(DatCol&amp;"$"&amp;TEXT(C935+57,"###"))&gt;0,INDIRECT(DatCol&amp;"$"&amp;TEXT(C935,"###")):INDIRECT(DatCol&amp;"$"&amp;TEXT(C935+57,"###"))))</f>
        <v>16.142352941176469</v>
      </c>
      <c r="F935" s="26" t="str">
        <f t="shared" si="887"/>
        <v>B</v>
      </c>
      <c r="G935" s="8"/>
      <c r="K935" s="9">
        <f t="shared" si="927"/>
        <v>0</v>
      </c>
      <c r="M935" s="11">
        <f t="shared" si="932"/>
        <v>0</v>
      </c>
      <c r="O935" s="11">
        <f t="shared" si="933"/>
        <v>0</v>
      </c>
      <c r="Q935" s="11">
        <f t="shared" si="934"/>
        <v>0</v>
      </c>
      <c r="Y935" s="11">
        <f t="shared" si="935"/>
        <v>0</v>
      </c>
      <c r="AG935" s="11">
        <f t="shared" si="936"/>
        <v>0</v>
      </c>
      <c r="AI935" s="11">
        <f t="shared" si="937"/>
        <v>0</v>
      </c>
      <c r="AK935" s="13">
        <f t="shared" si="938"/>
        <v>0</v>
      </c>
      <c r="AM935" s="13">
        <f t="shared" si="939"/>
        <v>0</v>
      </c>
      <c r="AO935" s="11">
        <f t="shared" si="940"/>
        <v>0</v>
      </c>
      <c r="AQ935" s="11">
        <f t="shared" si="941"/>
        <v>0</v>
      </c>
      <c r="AS935" s="11">
        <f t="shared" si="942"/>
        <v>0</v>
      </c>
      <c r="AU935" s="11">
        <f t="shared" si="943"/>
        <v>0</v>
      </c>
      <c r="AW935" s="11">
        <f t="shared" si="944"/>
        <v>0</v>
      </c>
      <c r="AY935" s="11">
        <f t="shared" si="945"/>
        <v>0</v>
      </c>
      <c r="BA935" s="11">
        <f t="shared" si="946"/>
        <v>0</v>
      </c>
      <c r="BC935" s="11">
        <f t="shared" si="947"/>
        <v>0</v>
      </c>
      <c r="BE935" s="11">
        <f t="shared" si="948"/>
        <v>0</v>
      </c>
      <c r="BG935" s="11">
        <f t="shared" si="949"/>
        <v>0</v>
      </c>
      <c r="BN935" s="8">
        <f t="shared" si="925"/>
        <v>0</v>
      </c>
      <c r="BO935" s="8">
        <f t="shared" si="926"/>
        <v>0</v>
      </c>
      <c r="BP935" s="8">
        <f t="shared" si="928"/>
        <v>0</v>
      </c>
      <c r="BQ935" s="12">
        <f t="shared" si="929"/>
        <v>0</v>
      </c>
    </row>
    <row r="936" spans="1:69">
      <c r="A936" s="28">
        <v>1961</v>
      </c>
      <c r="B936" s="27" t="s">
        <v>60</v>
      </c>
      <c r="C936" s="24">
        <f t="shared" si="931"/>
        <v>930</v>
      </c>
      <c r="D936" s="7" t="e">
        <f t="shared" ca="1" si="906"/>
        <v>#N/A</v>
      </c>
      <c r="E936" s="26">
        <f t="array" aca="1" ref="E936" ca="1">AVERAGE(IF(INDIRECT(DatCol&amp;"$"&amp;TEXT(C936,"###")):INDIRECT(DatCol&amp;"$"&amp;TEXT(C936+57,"###"))&gt;0,INDIRECT(DatCol&amp;"$"&amp;TEXT(C936,"###")):INDIRECT(DatCol&amp;"$"&amp;TEXT(C936+57,"###"))))</f>
        <v>16.142352941176469</v>
      </c>
      <c r="F936" s="26" t="str">
        <f t="shared" si="887"/>
        <v>B</v>
      </c>
      <c r="G936" s="8"/>
      <c r="K936" s="9">
        <f t="shared" si="927"/>
        <v>0</v>
      </c>
      <c r="M936" s="11">
        <f t="shared" si="932"/>
        <v>0</v>
      </c>
      <c r="O936" s="11">
        <f t="shared" si="933"/>
        <v>0</v>
      </c>
      <c r="Q936" s="11">
        <f t="shared" si="934"/>
        <v>0</v>
      </c>
      <c r="Y936" s="11">
        <f t="shared" si="935"/>
        <v>0</v>
      </c>
      <c r="AG936" s="11">
        <f t="shared" si="936"/>
        <v>0</v>
      </c>
      <c r="AI936" s="11">
        <f t="shared" si="937"/>
        <v>0</v>
      </c>
      <c r="AK936" s="13">
        <f t="shared" si="938"/>
        <v>0</v>
      </c>
      <c r="AM936" s="13">
        <f t="shared" si="939"/>
        <v>0</v>
      </c>
      <c r="AO936" s="11">
        <f t="shared" si="940"/>
        <v>0</v>
      </c>
      <c r="AQ936" s="11">
        <f t="shared" si="941"/>
        <v>0</v>
      </c>
      <c r="AS936" s="11">
        <f t="shared" si="942"/>
        <v>0</v>
      </c>
      <c r="AU936" s="11">
        <f t="shared" si="943"/>
        <v>0</v>
      </c>
      <c r="AW936" s="11">
        <f t="shared" si="944"/>
        <v>0</v>
      </c>
      <c r="AY936" s="11">
        <f t="shared" si="945"/>
        <v>0</v>
      </c>
      <c r="BA936" s="11">
        <f t="shared" si="946"/>
        <v>0</v>
      </c>
      <c r="BC936" s="11">
        <f t="shared" si="947"/>
        <v>0</v>
      </c>
      <c r="BE936" s="11">
        <f t="shared" si="948"/>
        <v>0</v>
      </c>
      <c r="BG936" s="11">
        <f t="shared" si="949"/>
        <v>0</v>
      </c>
      <c r="BN936" s="8">
        <f t="shared" si="925"/>
        <v>0</v>
      </c>
      <c r="BO936" s="8">
        <f t="shared" si="926"/>
        <v>0</v>
      </c>
      <c r="BP936" s="8">
        <f t="shared" si="928"/>
        <v>0</v>
      </c>
      <c r="BQ936" s="12">
        <f t="shared" si="929"/>
        <v>0</v>
      </c>
    </row>
    <row r="937" spans="1:69">
      <c r="A937" s="28">
        <v>1962</v>
      </c>
      <c r="B937" s="27" t="s">
        <v>60</v>
      </c>
      <c r="C937" s="24">
        <f t="shared" si="931"/>
        <v>930</v>
      </c>
      <c r="D937" s="7" t="e">
        <f t="shared" ca="1" si="906"/>
        <v>#N/A</v>
      </c>
      <c r="E937" s="26">
        <f t="array" aca="1" ref="E937" ca="1">AVERAGE(IF(INDIRECT(DatCol&amp;"$"&amp;TEXT(C937,"###")):INDIRECT(DatCol&amp;"$"&amp;TEXT(C937+57,"###"))&gt;0,INDIRECT(DatCol&amp;"$"&amp;TEXT(C937,"###")):INDIRECT(DatCol&amp;"$"&amp;TEXT(C937+57,"###"))))</f>
        <v>16.142352941176469</v>
      </c>
      <c r="F937" s="26" t="str">
        <f t="shared" si="887"/>
        <v>B</v>
      </c>
      <c r="G937" s="8"/>
      <c r="K937" s="9">
        <f t="shared" si="927"/>
        <v>0</v>
      </c>
      <c r="M937" s="11">
        <f t="shared" si="932"/>
        <v>0</v>
      </c>
      <c r="O937" s="11">
        <f t="shared" si="933"/>
        <v>0</v>
      </c>
      <c r="Q937" s="11">
        <f t="shared" si="934"/>
        <v>0</v>
      </c>
      <c r="Y937" s="11">
        <f t="shared" si="935"/>
        <v>0</v>
      </c>
      <c r="AG937" s="11">
        <f t="shared" si="936"/>
        <v>0</v>
      </c>
      <c r="AI937" s="11">
        <f t="shared" si="937"/>
        <v>0</v>
      </c>
      <c r="AK937" s="13">
        <f t="shared" si="938"/>
        <v>0</v>
      </c>
      <c r="AM937" s="13">
        <f t="shared" si="939"/>
        <v>0</v>
      </c>
      <c r="AO937" s="11">
        <f t="shared" si="940"/>
        <v>0</v>
      </c>
      <c r="AQ937" s="11">
        <f t="shared" si="941"/>
        <v>0</v>
      </c>
      <c r="AS937" s="11">
        <f t="shared" si="942"/>
        <v>0</v>
      </c>
      <c r="AU937" s="11">
        <f t="shared" si="943"/>
        <v>0</v>
      </c>
      <c r="AW937" s="11">
        <f t="shared" si="944"/>
        <v>0</v>
      </c>
      <c r="AY937" s="11">
        <f t="shared" si="945"/>
        <v>0</v>
      </c>
      <c r="BA937" s="11">
        <f t="shared" si="946"/>
        <v>0</v>
      </c>
      <c r="BC937" s="11">
        <f t="shared" si="947"/>
        <v>0</v>
      </c>
      <c r="BE937" s="11">
        <f t="shared" si="948"/>
        <v>0</v>
      </c>
      <c r="BG937" s="11">
        <f t="shared" si="949"/>
        <v>0</v>
      </c>
      <c r="BN937" s="8">
        <f t="shared" si="925"/>
        <v>0</v>
      </c>
      <c r="BO937" s="8">
        <f t="shared" si="926"/>
        <v>0</v>
      </c>
      <c r="BP937" s="8">
        <f t="shared" si="928"/>
        <v>0</v>
      </c>
      <c r="BQ937" s="12">
        <f t="shared" si="929"/>
        <v>0</v>
      </c>
    </row>
    <row r="938" spans="1:69">
      <c r="A938" s="28">
        <v>1963</v>
      </c>
      <c r="B938" s="27" t="s">
        <v>60</v>
      </c>
      <c r="C938" s="24">
        <f t="shared" si="931"/>
        <v>930</v>
      </c>
      <c r="D938" s="7" t="e">
        <f t="shared" ca="1" si="906"/>
        <v>#N/A</v>
      </c>
      <c r="E938" s="26">
        <f t="array" aca="1" ref="E938" ca="1">AVERAGE(IF(INDIRECT(DatCol&amp;"$"&amp;TEXT(C938,"###")):INDIRECT(DatCol&amp;"$"&amp;TEXT(C938+57,"###"))&gt;0,INDIRECT(DatCol&amp;"$"&amp;TEXT(C938,"###")):INDIRECT(DatCol&amp;"$"&amp;TEXT(C938+57,"###"))))</f>
        <v>16.142352941176469</v>
      </c>
      <c r="F938" s="26" t="str">
        <f t="shared" si="887"/>
        <v>B</v>
      </c>
      <c r="G938" s="8"/>
      <c r="K938" s="9">
        <f t="shared" si="927"/>
        <v>0</v>
      </c>
      <c r="M938" s="11">
        <f t="shared" si="932"/>
        <v>0</v>
      </c>
      <c r="O938" s="11">
        <f t="shared" si="933"/>
        <v>0</v>
      </c>
      <c r="Q938" s="11">
        <f t="shared" si="934"/>
        <v>0</v>
      </c>
      <c r="Y938" s="11">
        <f t="shared" si="935"/>
        <v>0</v>
      </c>
      <c r="AG938" s="11">
        <f t="shared" si="936"/>
        <v>0</v>
      </c>
      <c r="AI938" s="11">
        <f t="shared" si="937"/>
        <v>0</v>
      </c>
      <c r="AK938" s="13">
        <f t="shared" si="938"/>
        <v>0</v>
      </c>
      <c r="AM938" s="13">
        <f t="shared" si="939"/>
        <v>0</v>
      </c>
      <c r="AO938" s="11">
        <f t="shared" si="940"/>
        <v>0</v>
      </c>
      <c r="AQ938" s="11">
        <f t="shared" si="941"/>
        <v>0</v>
      </c>
      <c r="AS938" s="11">
        <f t="shared" si="942"/>
        <v>0</v>
      </c>
      <c r="AU938" s="11">
        <f t="shared" si="943"/>
        <v>0</v>
      </c>
      <c r="AW938" s="11">
        <f t="shared" si="944"/>
        <v>0</v>
      </c>
      <c r="AY938" s="11">
        <f t="shared" si="945"/>
        <v>0</v>
      </c>
      <c r="BA938" s="11">
        <f t="shared" si="946"/>
        <v>0</v>
      </c>
      <c r="BC938" s="11">
        <f t="shared" si="947"/>
        <v>0</v>
      </c>
      <c r="BE938" s="11">
        <f t="shared" si="948"/>
        <v>0</v>
      </c>
      <c r="BG938" s="11">
        <f t="shared" si="949"/>
        <v>0</v>
      </c>
      <c r="BN938" s="8">
        <f t="shared" si="925"/>
        <v>0</v>
      </c>
      <c r="BO938" s="8">
        <f t="shared" si="926"/>
        <v>0</v>
      </c>
      <c r="BP938" s="8">
        <f t="shared" si="928"/>
        <v>0</v>
      </c>
      <c r="BQ938" s="12">
        <f t="shared" si="929"/>
        <v>0</v>
      </c>
    </row>
    <row r="939" spans="1:69">
      <c r="A939" s="28">
        <v>1964</v>
      </c>
      <c r="B939" s="27" t="s">
        <v>60</v>
      </c>
      <c r="C939" s="24">
        <f t="shared" si="931"/>
        <v>930</v>
      </c>
      <c r="D939" s="7" t="e">
        <f t="shared" ca="1" si="906"/>
        <v>#N/A</v>
      </c>
      <c r="E939" s="26">
        <f t="array" aca="1" ref="E939" ca="1">AVERAGE(IF(INDIRECT(DatCol&amp;"$"&amp;TEXT(C939,"###")):INDIRECT(DatCol&amp;"$"&amp;TEXT(C939+57,"###"))&gt;0,INDIRECT(DatCol&amp;"$"&amp;TEXT(C939,"###")):INDIRECT(DatCol&amp;"$"&amp;TEXT(C939+57,"###"))))</f>
        <v>16.142352941176469</v>
      </c>
      <c r="F939" s="26" t="str">
        <f t="shared" si="887"/>
        <v>B</v>
      </c>
      <c r="G939" s="8"/>
      <c r="K939" s="9">
        <f t="shared" si="927"/>
        <v>0</v>
      </c>
      <c r="M939" s="11">
        <f t="shared" si="932"/>
        <v>0</v>
      </c>
      <c r="O939" s="11">
        <f t="shared" si="933"/>
        <v>0</v>
      </c>
      <c r="Q939" s="11">
        <f t="shared" si="934"/>
        <v>0</v>
      </c>
      <c r="Y939" s="11">
        <f t="shared" si="935"/>
        <v>0</v>
      </c>
      <c r="AG939" s="11">
        <f t="shared" si="936"/>
        <v>0</v>
      </c>
      <c r="AI939" s="11">
        <f t="shared" si="937"/>
        <v>0</v>
      </c>
      <c r="AK939" s="13">
        <f t="shared" si="938"/>
        <v>0</v>
      </c>
      <c r="AM939" s="13">
        <f t="shared" si="939"/>
        <v>0</v>
      </c>
      <c r="AO939" s="11">
        <f t="shared" si="940"/>
        <v>0</v>
      </c>
      <c r="AQ939" s="11">
        <f t="shared" si="941"/>
        <v>0</v>
      </c>
      <c r="AS939" s="11">
        <f t="shared" si="942"/>
        <v>0</v>
      </c>
      <c r="AU939" s="11">
        <f t="shared" si="943"/>
        <v>0</v>
      </c>
      <c r="AW939" s="11">
        <f t="shared" si="944"/>
        <v>0</v>
      </c>
      <c r="AY939" s="11">
        <f t="shared" si="945"/>
        <v>0</v>
      </c>
      <c r="BA939" s="11">
        <f t="shared" si="946"/>
        <v>0</v>
      </c>
      <c r="BC939" s="11">
        <f t="shared" si="947"/>
        <v>0</v>
      </c>
      <c r="BE939" s="11">
        <f t="shared" si="948"/>
        <v>0</v>
      </c>
      <c r="BG939" s="11">
        <f t="shared" si="949"/>
        <v>0</v>
      </c>
      <c r="BN939" s="8">
        <f t="shared" si="925"/>
        <v>0</v>
      </c>
      <c r="BO939" s="8">
        <f t="shared" si="926"/>
        <v>0</v>
      </c>
      <c r="BP939" s="8">
        <f t="shared" si="928"/>
        <v>0</v>
      </c>
      <c r="BQ939" s="12">
        <f t="shared" si="929"/>
        <v>0</v>
      </c>
    </row>
    <row r="940" spans="1:69">
      <c r="A940" s="28">
        <v>1965</v>
      </c>
      <c r="B940" s="27" t="s">
        <v>60</v>
      </c>
      <c r="C940" s="24">
        <f t="shared" si="931"/>
        <v>930</v>
      </c>
      <c r="D940" s="7" t="e">
        <f t="shared" ca="1" si="906"/>
        <v>#N/A</v>
      </c>
      <c r="E940" s="26">
        <f t="array" aca="1" ref="E940" ca="1">AVERAGE(IF(INDIRECT(DatCol&amp;"$"&amp;TEXT(C940,"###")):INDIRECT(DatCol&amp;"$"&amp;TEXT(C940+57,"###"))&gt;0,INDIRECT(DatCol&amp;"$"&amp;TEXT(C940,"###")):INDIRECT(DatCol&amp;"$"&amp;TEXT(C940+57,"###"))))</f>
        <v>16.142352941176469</v>
      </c>
      <c r="F940" s="26" t="str">
        <f t="shared" si="887"/>
        <v>B</v>
      </c>
      <c r="G940" s="8"/>
      <c r="K940" s="9">
        <f t="shared" si="927"/>
        <v>0</v>
      </c>
      <c r="M940" s="11">
        <f t="shared" si="932"/>
        <v>0</v>
      </c>
      <c r="O940" s="11">
        <f t="shared" si="933"/>
        <v>0</v>
      </c>
      <c r="Q940" s="11">
        <f t="shared" si="934"/>
        <v>0</v>
      </c>
      <c r="Y940" s="11">
        <f t="shared" si="935"/>
        <v>0</v>
      </c>
      <c r="AG940" s="11">
        <f t="shared" si="936"/>
        <v>0</v>
      </c>
      <c r="AI940" s="11">
        <f t="shared" si="937"/>
        <v>0</v>
      </c>
      <c r="AK940" s="13">
        <f t="shared" si="938"/>
        <v>0</v>
      </c>
      <c r="AM940" s="13">
        <f t="shared" si="939"/>
        <v>0</v>
      </c>
      <c r="AO940" s="11">
        <f t="shared" si="940"/>
        <v>0</v>
      </c>
      <c r="AQ940" s="11">
        <f t="shared" si="941"/>
        <v>0</v>
      </c>
      <c r="AS940" s="11">
        <f t="shared" si="942"/>
        <v>0</v>
      </c>
      <c r="AU940" s="11">
        <f t="shared" si="943"/>
        <v>0</v>
      </c>
      <c r="AW940" s="11">
        <f t="shared" si="944"/>
        <v>0</v>
      </c>
      <c r="AY940" s="11">
        <f t="shared" si="945"/>
        <v>0</v>
      </c>
      <c r="BA940" s="11">
        <f t="shared" si="946"/>
        <v>0</v>
      </c>
      <c r="BC940" s="11">
        <f t="shared" si="947"/>
        <v>0</v>
      </c>
      <c r="BE940" s="11">
        <f t="shared" si="948"/>
        <v>0</v>
      </c>
      <c r="BG940" s="11">
        <f t="shared" si="949"/>
        <v>0</v>
      </c>
      <c r="BN940" s="8">
        <f t="shared" si="925"/>
        <v>0</v>
      </c>
      <c r="BO940" s="8">
        <f t="shared" si="926"/>
        <v>0</v>
      </c>
      <c r="BP940" s="8">
        <f t="shared" si="928"/>
        <v>0</v>
      </c>
      <c r="BQ940" s="12">
        <f t="shared" si="929"/>
        <v>0</v>
      </c>
    </row>
    <row r="941" spans="1:69">
      <c r="A941" s="28">
        <v>1966</v>
      </c>
      <c r="B941" s="27" t="s">
        <v>60</v>
      </c>
      <c r="C941" s="24">
        <f t="shared" si="931"/>
        <v>930</v>
      </c>
      <c r="D941" s="7" t="e">
        <f t="shared" ca="1" si="906"/>
        <v>#N/A</v>
      </c>
      <c r="E941" s="26">
        <f t="array" aca="1" ref="E941" ca="1">AVERAGE(IF(INDIRECT(DatCol&amp;"$"&amp;TEXT(C941,"###")):INDIRECT(DatCol&amp;"$"&amp;TEXT(C941+57,"###"))&gt;0,INDIRECT(DatCol&amp;"$"&amp;TEXT(C941,"###")):INDIRECT(DatCol&amp;"$"&amp;TEXT(C941+57,"###"))))</f>
        <v>16.142352941176469</v>
      </c>
      <c r="F941" s="26" t="str">
        <f t="shared" si="887"/>
        <v>B</v>
      </c>
      <c r="G941" s="8"/>
      <c r="I941" s="8">
        <v>8</v>
      </c>
      <c r="J941" s="8">
        <v>48</v>
      </c>
      <c r="K941" s="9">
        <f t="shared" si="927"/>
        <v>48</v>
      </c>
      <c r="M941" s="11">
        <f t="shared" si="932"/>
        <v>0</v>
      </c>
      <c r="O941" s="11">
        <f t="shared" si="933"/>
        <v>0</v>
      </c>
      <c r="Q941" s="11">
        <f t="shared" si="934"/>
        <v>0</v>
      </c>
      <c r="Y941" s="11">
        <f t="shared" si="935"/>
        <v>0</v>
      </c>
      <c r="AG941" s="11">
        <f t="shared" si="936"/>
        <v>0</v>
      </c>
      <c r="AI941" s="11">
        <f t="shared" si="937"/>
        <v>0</v>
      </c>
      <c r="AK941" s="13">
        <f t="shared" si="938"/>
        <v>0</v>
      </c>
      <c r="AM941" s="13">
        <f t="shared" si="939"/>
        <v>0</v>
      </c>
      <c r="AO941" s="11">
        <f t="shared" si="940"/>
        <v>0</v>
      </c>
      <c r="AQ941" s="11">
        <f t="shared" si="941"/>
        <v>0</v>
      </c>
      <c r="AS941" s="11">
        <f t="shared" si="942"/>
        <v>0</v>
      </c>
      <c r="AU941" s="11">
        <f t="shared" si="943"/>
        <v>0</v>
      </c>
      <c r="AW941" s="11">
        <f t="shared" si="944"/>
        <v>0</v>
      </c>
      <c r="AY941" s="11">
        <f t="shared" si="945"/>
        <v>0</v>
      </c>
      <c r="BA941" s="11">
        <f t="shared" si="946"/>
        <v>0</v>
      </c>
      <c r="BC941" s="11">
        <f t="shared" si="947"/>
        <v>0</v>
      </c>
      <c r="BE941" s="11">
        <f t="shared" si="948"/>
        <v>0</v>
      </c>
      <c r="BG941" s="11">
        <f t="shared" si="949"/>
        <v>0</v>
      </c>
      <c r="BN941" s="8">
        <f t="shared" si="925"/>
        <v>0</v>
      </c>
      <c r="BO941" s="8">
        <f t="shared" si="926"/>
        <v>0</v>
      </c>
      <c r="BP941" s="8">
        <f t="shared" si="928"/>
        <v>0</v>
      </c>
      <c r="BQ941" s="12">
        <f t="shared" si="929"/>
        <v>0</v>
      </c>
    </row>
    <row r="942" spans="1:69">
      <c r="A942" s="28">
        <v>1967</v>
      </c>
      <c r="B942" s="27" t="s">
        <v>60</v>
      </c>
      <c r="C942" s="24">
        <f t="shared" si="931"/>
        <v>930</v>
      </c>
      <c r="D942" s="7" t="e">
        <f t="shared" ca="1" si="906"/>
        <v>#N/A</v>
      </c>
      <c r="E942" s="26">
        <f t="array" aca="1" ref="E942" ca="1">AVERAGE(IF(INDIRECT(DatCol&amp;"$"&amp;TEXT(C942,"###")):INDIRECT(DatCol&amp;"$"&amp;TEXT(C942+57,"###"))&gt;0,INDIRECT(DatCol&amp;"$"&amp;TEXT(C942,"###")):INDIRECT(DatCol&amp;"$"&amp;TEXT(C942+57,"###"))))</f>
        <v>16.142352941176469</v>
      </c>
      <c r="F942" s="26" t="str">
        <f t="shared" si="887"/>
        <v>B</v>
      </c>
      <c r="G942" s="8"/>
      <c r="I942" s="8">
        <v>5</v>
      </c>
      <c r="J942" s="8">
        <v>29</v>
      </c>
      <c r="K942" s="9">
        <f t="shared" si="927"/>
        <v>29</v>
      </c>
      <c r="M942" s="11">
        <f t="shared" si="932"/>
        <v>0</v>
      </c>
      <c r="O942" s="11">
        <f t="shared" si="933"/>
        <v>0</v>
      </c>
      <c r="Q942" s="11">
        <f t="shared" si="934"/>
        <v>0</v>
      </c>
      <c r="Y942" s="11">
        <f t="shared" si="935"/>
        <v>0</v>
      </c>
      <c r="AG942" s="11">
        <f t="shared" si="936"/>
        <v>0</v>
      </c>
      <c r="AI942" s="11">
        <f t="shared" si="937"/>
        <v>0</v>
      </c>
      <c r="AK942" s="13">
        <f t="shared" si="938"/>
        <v>0</v>
      </c>
      <c r="AM942" s="13">
        <f t="shared" si="939"/>
        <v>0</v>
      </c>
      <c r="AO942" s="11">
        <f t="shared" si="940"/>
        <v>0</v>
      </c>
      <c r="AQ942" s="11">
        <f t="shared" si="941"/>
        <v>0</v>
      </c>
      <c r="AS942" s="11">
        <f t="shared" si="942"/>
        <v>0</v>
      </c>
      <c r="AU942" s="11">
        <f t="shared" si="943"/>
        <v>0</v>
      </c>
      <c r="AW942" s="11">
        <f t="shared" si="944"/>
        <v>0</v>
      </c>
      <c r="AY942" s="11">
        <f t="shared" si="945"/>
        <v>0</v>
      </c>
      <c r="BA942" s="11">
        <f t="shared" si="946"/>
        <v>0</v>
      </c>
      <c r="BC942" s="11">
        <f t="shared" si="947"/>
        <v>0</v>
      </c>
      <c r="BE942" s="11">
        <f t="shared" si="948"/>
        <v>0</v>
      </c>
      <c r="BG942" s="11">
        <f t="shared" si="949"/>
        <v>0</v>
      </c>
      <c r="BN942" s="8">
        <f t="shared" si="925"/>
        <v>0</v>
      </c>
      <c r="BO942" s="8">
        <f t="shared" si="926"/>
        <v>0</v>
      </c>
      <c r="BP942" s="8">
        <f t="shared" si="928"/>
        <v>0</v>
      </c>
      <c r="BQ942" s="12">
        <f t="shared" si="929"/>
        <v>0</v>
      </c>
    </row>
    <row r="943" spans="1:69">
      <c r="A943" s="28">
        <v>1968</v>
      </c>
      <c r="B943" s="27" t="s">
        <v>60</v>
      </c>
      <c r="C943" s="24">
        <f t="shared" si="931"/>
        <v>930</v>
      </c>
      <c r="D943" s="7" t="e">
        <f t="shared" ca="1" si="906"/>
        <v>#N/A</v>
      </c>
      <c r="E943" s="26">
        <f t="array" aca="1" ref="E943" ca="1">AVERAGE(IF(INDIRECT(DatCol&amp;"$"&amp;TEXT(C943,"###")):INDIRECT(DatCol&amp;"$"&amp;TEXT(C943+57,"###"))&gt;0,INDIRECT(DatCol&amp;"$"&amp;TEXT(C943,"###")):INDIRECT(DatCol&amp;"$"&amp;TEXT(C943+57,"###"))))</f>
        <v>16.142352941176469</v>
      </c>
      <c r="F943" s="26" t="str">
        <f t="shared" si="887"/>
        <v>B</v>
      </c>
      <c r="G943" s="8"/>
      <c r="H943" s="8">
        <v>8</v>
      </c>
      <c r="I943" s="8">
        <v>9</v>
      </c>
      <c r="J943" s="8">
        <v>11</v>
      </c>
      <c r="K943" s="9">
        <f t="shared" si="927"/>
        <v>19</v>
      </c>
      <c r="M943" s="11">
        <f t="shared" si="932"/>
        <v>0</v>
      </c>
      <c r="O943" s="11">
        <f t="shared" si="933"/>
        <v>0</v>
      </c>
      <c r="Q943" s="11">
        <f t="shared" si="934"/>
        <v>0</v>
      </c>
      <c r="Y943" s="11">
        <f t="shared" si="935"/>
        <v>0</v>
      </c>
      <c r="AG943" s="11">
        <f t="shared" si="936"/>
        <v>0</v>
      </c>
      <c r="AI943" s="11">
        <f t="shared" si="937"/>
        <v>0</v>
      </c>
      <c r="AK943" s="13">
        <f t="shared" si="938"/>
        <v>0</v>
      </c>
      <c r="AM943" s="13">
        <f t="shared" si="939"/>
        <v>0</v>
      </c>
      <c r="AO943" s="11">
        <f t="shared" si="940"/>
        <v>0</v>
      </c>
      <c r="AQ943" s="11">
        <f t="shared" si="941"/>
        <v>0</v>
      </c>
      <c r="AS943" s="11">
        <f t="shared" si="942"/>
        <v>0</v>
      </c>
      <c r="AU943" s="11">
        <f t="shared" si="943"/>
        <v>0</v>
      </c>
      <c r="AW943" s="11">
        <f t="shared" si="944"/>
        <v>0</v>
      </c>
      <c r="AY943" s="11">
        <f t="shared" si="945"/>
        <v>0</v>
      </c>
      <c r="BA943" s="11">
        <f t="shared" si="946"/>
        <v>0</v>
      </c>
      <c r="BC943" s="11">
        <f t="shared" si="947"/>
        <v>0</v>
      </c>
      <c r="BD943" s="12">
        <v>2000</v>
      </c>
      <c r="BE943" s="11">
        <f t="shared" si="948"/>
        <v>190000</v>
      </c>
      <c r="BG943" s="11">
        <f t="shared" si="949"/>
        <v>0</v>
      </c>
      <c r="BN943" s="8">
        <f t="shared" si="925"/>
        <v>2000</v>
      </c>
      <c r="BO943" s="8">
        <f t="shared" si="926"/>
        <v>190000</v>
      </c>
      <c r="BP943" s="8">
        <f t="shared" si="928"/>
        <v>0</v>
      </c>
      <c r="BQ943" s="12">
        <f t="shared" si="929"/>
        <v>0</v>
      </c>
    </row>
    <row r="944" spans="1:69">
      <c r="A944" s="28">
        <v>1969</v>
      </c>
      <c r="B944" s="27" t="s">
        <v>60</v>
      </c>
      <c r="C944" s="24">
        <f t="shared" si="931"/>
        <v>930</v>
      </c>
      <c r="D944" s="7" t="e">
        <f t="shared" ca="1" si="906"/>
        <v>#N/A</v>
      </c>
      <c r="E944" s="26">
        <f t="array" aca="1" ref="E944" ca="1">AVERAGE(IF(INDIRECT(DatCol&amp;"$"&amp;TEXT(C944,"###")):INDIRECT(DatCol&amp;"$"&amp;TEXT(C944+57,"###"))&gt;0,INDIRECT(DatCol&amp;"$"&amp;TEXT(C944,"###")):INDIRECT(DatCol&amp;"$"&amp;TEXT(C944+57,"###"))))</f>
        <v>16.142352941176469</v>
      </c>
      <c r="F944" s="26" t="str">
        <f t="shared" si="887"/>
        <v>B</v>
      </c>
      <c r="G944" s="8"/>
      <c r="H944" s="8">
        <v>34</v>
      </c>
      <c r="I944" s="8">
        <v>7</v>
      </c>
      <c r="J944" s="8">
        <v>4</v>
      </c>
      <c r="K944" s="9">
        <f t="shared" si="927"/>
        <v>38</v>
      </c>
      <c r="M944" s="11">
        <f t="shared" si="932"/>
        <v>0</v>
      </c>
      <c r="O944" s="11">
        <f t="shared" si="933"/>
        <v>0</v>
      </c>
      <c r="P944" s="12">
        <v>50</v>
      </c>
      <c r="Q944" s="11">
        <f t="shared" si="934"/>
        <v>3000</v>
      </c>
      <c r="Y944" s="11">
        <f t="shared" si="935"/>
        <v>0</v>
      </c>
      <c r="AG944" s="11">
        <f t="shared" si="936"/>
        <v>0</v>
      </c>
      <c r="AI944" s="11">
        <f t="shared" si="937"/>
        <v>0</v>
      </c>
      <c r="AK944" s="13">
        <f t="shared" si="938"/>
        <v>0</v>
      </c>
      <c r="AM944" s="13">
        <f t="shared" si="939"/>
        <v>0</v>
      </c>
      <c r="AO944" s="11">
        <f t="shared" si="940"/>
        <v>0</v>
      </c>
      <c r="AQ944" s="11">
        <f t="shared" si="941"/>
        <v>0</v>
      </c>
      <c r="AS944" s="11">
        <f t="shared" si="942"/>
        <v>0</v>
      </c>
      <c r="AU944" s="11">
        <f t="shared" si="943"/>
        <v>0</v>
      </c>
      <c r="AW944" s="11">
        <f t="shared" si="944"/>
        <v>0</v>
      </c>
      <c r="AY944" s="11">
        <f t="shared" si="945"/>
        <v>0</v>
      </c>
      <c r="BA944" s="11">
        <f t="shared" si="946"/>
        <v>0</v>
      </c>
      <c r="BC944" s="11">
        <f t="shared" si="947"/>
        <v>0</v>
      </c>
      <c r="BE944" s="11">
        <f t="shared" si="948"/>
        <v>0</v>
      </c>
      <c r="BG944" s="11">
        <f t="shared" si="949"/>
        <v>0</v>
      </c>
      <c r="BN944" s="8">
        <f t="shared" si="925"/>
        <v>50</v>
      </c>
      <c r="BO944" s="8">
        <f t="shared" si="926"/>
        <v>3000</v>
      </c>
      <c r="BP944" s="8">
        <f t="shared" si="928"/>
        <v>0</v>
      </c>
      <c r="BQ944" s="12">
        <f t="shared" si="929"/>
        <v>0</v>
      </c>
    </row>
    <row r="945" spans="1:69">
      <c r="A945" s="28">
        <v>1970</v>
      </c>
      <c r="B945" s="27" t="s">
        <v>60</v>
      </c>
      <c r="C945" s="24">
        <f t="shared" si="931"/>
        <v>930</v>
      </c>
      <c r="D945" s="7">
        <f t="shared" ca="1" si="906"/>
        <v>0.92923256322425485</v>
      </c>
      <c r="E945" s="26">
        <f t="array" aca="1" ref="E945" ca="1">AVERAGE(IF(INDIRECT(DatCol&amp;"$"&amp;TEXT(C945,"###")):INDIRECT(DatCol&amp;"$"&amp;TEXT(C945+57,"###"))&gt;0,INDIRECT(DatCol&amp;"$"&amp;TEXT(C945,"###")):INDIRECT(DatCol&amp;"$"&amp;TEXT(C945+57,"###"))))</f>
        <v>16.142352941176469</v>
      </c>
      <c r="F945" s="26" t="str">
        <f t="shared" si="887"/>
        <v>B</v>
      </c>
      <c r="G945" s="8"/>
      <c r="H945" s="8">
        <v>54</v>
      </c>
      <c r="I945" s="8">
        <v>6</v>
      </c>
      <c r="J945" s="8">
        <v>9</v>
      </c>
      <c r="K945" s="9">
        <f t="shared" si="927"/>
        <v>63</v>
      </c>
      <c r="M945" s="11">
        <f t="shared" si="932"/>
        <v>0</v>
      </c>
      <c r="N945" s="12">
        <v>15</v>
      </c>
      <c r="O945" s="11">
        <f t="shared" si="933"/>
        <v>750</v>
      </c>
      <c r="P945" s="12">
        <v>150</v>
      </c>
      <c r="Q945" s="11">
        <f t="shared" si="934"/>
        <v>9000</v>
      </c>
      <c r="X945" s="12">
        <v>50</v>
      </c>
      <c r="Y945" s="11">
        <f t="shared" si="935"/>
        <v>3000</v>
      </c>
      <c r="AG945" s="11">
        <f t="shared" si="936"/>
        <v>0</v>
      </c>
      <c r="AI945" s="11">
        <f t="shared" si="937"/>
        <v>0</v>
      </c>
      <c r="AK945" s="13">
        <f t="shared" si="938"/>
        <v>0</v>
      </c>
      <c r="AM945" s="13">
        <f t="shared" si="939"/>
        <v>0</v>
      </c>
      <c r="AO945" s="11">
        <f t="shared" si="940"/>
        <v>0</v>
      </c>
      <c r="AQ945" s="11">
        <f t="shared" si="941"/>
        <v>0</v>
      </c>
      <c r="AR945" s="12">
        <v>200</v>
      </c>
      <c r="AS945" s="11">
        <f t="shared" si="942"/>
        <v>10000</v>
      </c>
      <c r="AU945" s="11">
        <f t="shared" si="943"/>
        <v>0</v>
      </c>
      <c r="AW945" s="11">
        <f t="shared" si="944"/>
        <v>0</v>
      </c>
      <c r="AY945" s="11">
        <f t="shared" si="945"/>
        <v>0</v>
      </c>
      <c r="BA945" s="11">
        <f t="shared" si="946"/>
        <v>0</v>
      </c>
      <c r="BC945" s="11">
        <f t="shared" si="947"/>
        <v>0</v>
      </c>
      <c r="BE945" s="11">
        <f t="shared" si="948"/>
        <v>0</v>
      </c>
      <c r="BG945" s="11">
        <f t="shared" si="949"/>
        <v>0</v>
      </c>
      <c r="BN945" s="8">
        <f t="shared" si="925"/>
        <v>400</v>
      </c>
      <c r="BO945" s="8">
        <f t="shared" si="926"/>
        <v>22000</v>
      </c>
      <c r="BP945" s="8">
        <f t="shared" si="928"/>
        <v>65</v>
      </c>
      <c r="BQ945" s="12">
        <f t="shared" si="929"/>
        <v>3750</v>
      </c>
    </row>
    <row r="946" spans="1:69">
      <c r="A946" s="28">
        <v>1971</v>
      </c>
      <c r="B946" s="27" t="s">
        <v>60</v>
      </c>
      <c r="C946" s="24">
        <f t="shared" si="931"/>
        <v>930</v>
      </c>
      <c r="D946" s="7">
        <f t="shared" ca="1" si="906"/>
        <v>0.61948837548283664</v>
      </c>
      <c r="E946" s="26">
        <f t="array" aca="1" ref="E946" ca="1">AVERAGE(IF(INDIRECT(DatCol&amp;"$"&amp;TEXT(C946,"###")):INDIRECT(DatCol&amp;"$"&amp;TEXT(C946+57,"###"))&gt;0,INDIRECT(DatCol&amp;"$"&amp;TEXT(C946,"###")):INDIRECT(DatCol&amp;"$"&amp;TEXT(C946+57,"###"))))</f>
        <v>16.142352941176469</v>
      </c>
      <c r="F946" s="26" t="str">
        <f t="shared" ref="F946:F1012" si="950">VLOOKUP(B946,town_region,2,FALSE)</f>
        <v>B</v>
      </c>
      <c r="G946" s="8"/>
      <c r="H946" s="8">
        <v>20</v>
      </c>
      <c r="I946" s="8">
        <v>2</v>
      </c>
      <c r="J946" s="8">
        <v>65</v>
      </c>
      <c r="K946" s="9">
        <f t="shared" si="927"/>
        <v>85</v>
      </c>
      <c r="M946" s="11">
        <f t="shared" si="932"/>
        <v>0</v>
      </c>
      <c r="N946" s="12">
        <v>10</v>
      </c>
      <c r="O946" s="11">
        <f t="shared" si="933"/>
        <v>500</v>
      </c>
      <c r="P946" s="12">
        <v>39</v>
      </c>
      <c r="Q946" s="11">
        <f t="shared" si="934"/>
        <v>2340</v>
      </c>
      <c r="X946" s="12">
        <v>100</v>
      </c>
      <c r="Y946" s="11">
        <f t="shared" si="935"/>
        <v>6000</v>
      </c>
      <c r="AG946" s="11">
        <f t="shared" si="936"/>
        <v>0</v>
      </c>
      <c r="AI946" s="11">
        <f t="shared" si="937"/>
        <v>0</v>
      </c>
      <c r="AK946" s="13">
        <f t="shared" si="938"/>
        <v>0</v>
      </c>
      <c r="AL946" s="12">
        <v>25</v>
      </c>
      <c r="AM946" s="13">
        <f t="shared" si="939"/>
        <v>225</v>
      </c>
      <c r="AO946" s="11">
        <f t="shared" si="940"/>
        <v>0</v>
      </c>
      <c r="AQ946" s="11">
        <f t="shared" si="941"/>
        <v>0</v>
      </c>
      <c r="AS946" s="11">
        <f t="shared" si="942"/>
        <v>0</v>
      </c>
      <c r="AU946" s="11">
        <f t="shared" si="943"/>
        <v>0</v>
      </c>
      <c r="AW946" s="11">
        <f t="shared" si="944"/>
        <v>0</v>
      </c>
      <c r="AY946" s="11">
        <f t="shared" si="945"/>
        <v>0</v>
      </c>
      <c r="BA946" s="11">
        <f t="shared" si="946"/>
        <v>0</v>
      </c>
      <c r="BC946" s="11">
        <f t="shared" si="947"/>
        <v>0</v>
      </c>
      <c r="BE946" s="11">
        <f t="shared" si="948"/>
        <v>0</v>
      </c>
      <c r="BG946" s="11">
        <f t="shared" si="949"/>
        <v>0</v>
      </c>
      <c r="BN946" s="8">
        <f t="shared" si="925"/>
        <v>139</v>
      </c>
      <c r="BO946" s="8">
        <f t="shared" si="926"/>
        <v>8340</v>
      </c>
      <c r="BP946" s="8">
        <f t="shared" si="928"/>
        <v>135</v>
      </c>
      <c r="BQ946" s="12">
        <f t="shared" si="929"/>
        <v>6725</v>
      </c>
    </row>
    <row r="947" spans="1:69">
      <c r="A947" s="28">
        <v>1972</v>
      </c>
      <c r="B947" s="27" t="s">
        <v>60</v>
      </c>
      <c r="C947" s="24">
        <f t="shared" si="931"/>
        <v>930</v>
      </c>
      <c r="D947" s="7">
        <f t="shared" ca="1" si="906"/>
        <v>0.30974418774141832</v>
      </c>
      <c r="E947" s="26">
        <f t="array" aca="1" ref="E947" ca="1">AVERAGE(IF(INDIRECT(DatCol&amp;"$"&amp;TEXT(C947,"###")):INDIRECT(DatCol&amp;"$"&amp;TEXT(C947+57,"###"))&gt;0,INDIRECT(DatCol&amp;"$"&amp;TEXT(C947,"###")):INDIRECT(DatCol&amp;"$"&amp;TEXT(C947+57,"###"))))</f>
        <v>16.142352941176469</v>
      </c>
      <c r="F947" s="26" t="str">
        <f t="shared" si="950"/>
        <v>B</v>
      </c>
      <c r="G947" s="8"/>
      <c r="H947" s="8">
        <v>0</v>
      </c>
      <c r="I947" s="8">
        <v>5</v>
      </c>
      <c r="J947" s="8">
        <v>85</v>
      </c>
      <c r="K947" s="9">
        <f t="shared" si="927"/>
        <v>85</v>
      </c>
      <c r="M947" s="11">
        <f t="shared" ref="M947:M962" si="951">(L947*50)</f>
        <v>0</v>
      </c>
      <c r="N947" s="12">
        <v>5</v>
      </c>
      <c r="O947" s="11">
        <f t="shared" ref="O947:O962" si="952">(N947*50)</f>
        <v>250</v>
      </c>
      <c r="P947" s="12">
        <v>25</v>
      </c>
      <c r="Q947" s="11">
        <f t="shared" ref="Q947:Q962" si="953">((P947*330)/5.5)</f>
        <v>1500</v>
      </c>
      <c r="X947" s="12">
        <v>50</v>
      </c>
      <c r="Y947" s="11">
        <f t="shared" ref="Y947:Y962" si="954">((X947*330)/5.5)</f>
        <v>3000</v>
      </c>
      <c r="AG947" s="11">
        <f t="shared" ref="AG947:AG962" si="955">(AF947*65)</f>
        <v>0</v>
      </c>
      <c r="AI947" s="11">
        <f t="shared" ref="AI947:AI962" si="956">(AH947*65)</f>
        <v>0</v>
      </c>
      <c r="AK947" s="13">
        <f t="shared" ref="AK947:AK962" si="957">(AJ947*9)</f>
        <v>0</v>
      </c>
      <c r="AL947" s="12">
        <v>15</v>
      </c>
      <c r="AM947" s="13">
        <f t="shared" ref="AM947:AM962" si="958">(AL947*9)</f>
        <v>135</v>
      </c>
      <c r="AO947" s="11">
        <f t="shared" ref="AO947:AO962" si="959">(AN947*80)</f>
        <v>0</v>
      </c>
      <c r="AQ947" s="11">
        <f t="shared" ref="AQ947:AQ962" si="960">(AP947*80)</f>
        <v>0</v>
      </c>
      <c r="AS947" s="11">
        <f t="shared" ref="AS947:AS962" si="961">(AR947*50)</f>
        <v>0</v>
      </c>
      <c r="AU947" s="11">
        <f t="shared" ref="AU947:AU962" si="962">(AT947*50)</f>
        <v>0</v>
      </c>
      <c r="AW947" s="11">
        <f t="shared" ref="AW947:AW962" si="963">(AV947*60)</f>
        <v>0</v>
      </c>
      <c r="AY947" s="11">
        <f t="shared" ref="AY947:AY962" si="964">(AX947*60)</f>
        <v>0</v>
      </c>
      <c r="BA947" s="11">
        <f t="shared" ref="BA947:BA962" si="965">(AZ947*40)</f>
        <v>0</v>
      </c>
      <c r="BC947" s="11">
        <f t="shared" ref="BC947:BC962" si="966">(BB947*40)</f>
        <v>0</v>
      </c>
      <c r="BE947" s="11">
        <f t="shared" ref="BE947:BE962" si="967">(BD947*95)</f>
        <v>0</v>
      </c>
      <c r="BG947" s="11">
        <f t="shared" ref="BG947:BG962" si="968">(BF947*95)</f>
        <v>0</v>
      </c>
      <c r="BN947" s="8">
        <f t="shared" si="925"/>
        <v>75</v>
      </c>
      <c r="BO947" s="8">
        <f t="shared" si="926"/>
        <v>4500</v>
      </c>
      <c r="BP947" s="8">
        <f t="shared" si="928"/>
        <v>70</v>
      </c>
      <c r="BQ947" s="12">
        <f t="shared" si="929"/>
        <v>3385</v>
      </c>
    </row>
    <row r="948" spans="1:69">
      <c r="A948" s="28">
        <v>1973</v>
      </c>
      <c r="B948" s="27" t="s">
        <v>60</v>
      </c>
      <c r="C948" s="24">
        <f t="shared" si="931"/>
        <v>930</v>
      </c>
      <c r="D948" s="7" t="e">
        <f t="shared" ca="1" si="906"/>
        <v>#N/A</v>
      </c>
      <c r="E948" s="26">
        <f t="array" aca="1" ref="E948" ca="1">AVERAGE(IF(INDIRECT(DatCol&amp;"$"&amp;TEXT(C948,"###")):INDIRECT(DatCol&amp;"$"&amp;TEXT(C948+57,"###"))&gt;0,INDIRECT(DatCol&amp;"$"&amp;TEXT(C948,"###")):INDIRECT(DatCol&amp;"$"&amp;TEXT(C948+57,"###"))))</f>
        <v>16.142352941176469</v>
      </c>
      <c r="F948" s="26" t="str">
        <f t="shared" si="950"/>
        <v>B</v>
      </c>
      <c r="G948" s="8"/>
      <c r="K948" s="9">
        <f t="shared" si="927"/>
        <v>0</v>
      </c>
      <c r="M948" s="11">
        <f t="shared" si="951"/>
        <v>0</v>
      </c>
      <c r="O948" s="11">
        <f t="shared" si="952"/>
        <v>0</v>
      </c>
      <c r="Q948" s="11">
        <f t="shared" si="953"/>
        <v>0</v>
      </c>
      <c r="Y948" s="11">
        <f t="shared" si="954"/>
        <v>0</v>
      </c>
      <c r="AG948" s="11">
        <f t="shared" si="955"/>
        <v>0</v>
      </c>
      <c r="AI948" s="11">
        <f t="shared" si="956"/>
        <v>0</v>
      </c>
      <c r="AK948" s="13">
        <f t="shared" si="957"/>
        <v>0</v>
      </c>
      <c r="AM948" s="13">
        <f t="shared" si="958"/>
        <v>0</v>
      </c>
      <c r="AO948" s="11">
        <f t="shared" si="959"/>
        <v>0</v>
      </c>
      <c r="AQ948" s="11">
        <f t="shared" si="960"/>
        <v>0</v>
      </c>
      <c r="AS948" s="11">
        <f t="shared" si="961"/>
        <v>0</v>
      </c>
      <c r="AU948" s="11">
        <f t="shared" si="962"/>
        <v>0</v>
      </c>
      <c r="AW948" s="11">
        <f t="shared" si="963"/>
        <v>0</v>
      </c>
      <c r="AY948" s="11">
        <f t="shared" si="964"/>
        <v>0</v>
      </c>
      <c r="BA948" s="11">
        <f t="shared" si="965"/>
        <v>0</v>
      </c>
      <c r="BC948" s="11">
        <f t="shared" si="966"/>
        <v>0</v>
      </c>
      <c r="BE948" s="11">
        <f t="shared" si="967"/>
        <v>0</v>
      </c>
      <c r="BG948" s="11">
        <f t="shared" si="968"/>
        <v>0</v>
      </c>
      <c r="BN948" s="8">
        <f t="shared" si="925"/>
        <v>0</v>
      </c>
      <c r="BO948" s="8">
        <f t="shared" si="926"/>
        <v>0</v>
      </c>
      <c r="BP948" s="8">
        <f t="shared" si="928"/>
        <v>0</v>
      </c>
      <c r="BQ948" s="12">
        <f t="shared" si="929"/>
        <v>0</v>
      </c>
    </row>
    <row r="949" spans="1:69">
      <c r="A949" s="28">
        <v>1974</v>
      </c>
      <c r="B949" s="27" t="s">
        <v>60</v>
      </c>
      <c r="C949" s="24">
        <f t="shared" si="931"/>
        <v>930</v>
      </c>
      <c r="D949" s="7">
        <f t="shared" ca="1" si="906"/>
        <v>1.5487209387070915</v>
      </c>
      <c r="E949" s="26">
        <f t="array" aca="1" ref="E949" ca="1">AVERAGE(IF(INDIRECT(DatCol&amp;"$"&amp;TEXT(C949,"###")):INDIRECT(DatCol&amp;"$"&amp;TEXT(C949+57,"###"))&gt;0,INDIRECT(DatCol&amp;"$"&amp;TEXT(C949,"###")):INDIRECT(DatCol&amp;"$"&amp;TEXT(C949+57,"###"))))</f>
        <v>16.142352941176469</v>
      </c>
      <c r="F949" s="26" t="str">
        <f t="shared" si="950"/>
        <v>B</v>
      </c>
      <c r="G949" s="8"/>
      <c r="H949" s="8">
        <v>16</v>
      </c>
      <c r="I949" s="8">
        <v>6</v>
      </c>
      <c r="J949" s="8">
        <v>40</v>
      </c>
      <c r="K949" s="9">
        <f t="shared" si="927"/>
        <v>56</v>
      </c>
      <c r="M949" s="11">
        <f t="shared" si="951"/>
        <v>0</v>
      </c>
      <c r="N949" s="12">
        <v>25</v>
      </c>
      <c r="O949" s="11">
        <f t="shared" si="952"/>
        <v>1250</v>
      </c>
      <c r="Q949" s="11">
        <f t="shared" si="953"/>
        <v>0</v>
      </c>
      <c r="X949" s="12">
        <v>100</v>
      </c>
      <c r="Y949" s="11">
        <f t="shared" si="954"/>
        <v>6000</v>
      </c>
      <c r="AG949" s="11">
        <f t="shared" si="955"/>
        <v>0</v>
      </c>
      <c r="AI949" s="11">
        <f t="shared" si="956"/>
        <v>0</v>
      </c>
      <c r="AK949" s="13">
        <f t="shared" si="957"/>
        <v>0</v>
      </c>
      <c r="AM949" s="13">
        <f t="shared" si="958"/>
        <v>0</v>
      </c>
      <c r="AO949" s="11">
        <f t="shared" si="959"/>
        <v>0</v>
      </c>
      <c r="AQ949" s="11">
        <f t="shared" si="960"/>
        <v>0</v>
      </c>
      <c r="AS949" s="11">
        <f t="shared" si="961"/>
        <v>0</v>
      </c>
      <c r="AU949" s="11">
        <f t="shared" si="962"/>
        <v>0</v>
      </c>
      <c r="AW949" s="11">
        <f t="shared" si="963"/>
        <v>0</v>
      </c>
      <c r="AY949" s="11">
        <f t="shared" si="964"/>
        <v>0</v>
      </c>
      <c r="BA949" s="11">
        <f t="shared" si="965"/>
        <v>0</v>
      </c>
      <c r="BC949" s="11">
        <f t="shared" si="966"/>
        <v>0</v>
      </c>
      <c r="BE949" s="11">
        <f t="shared" si="967"/>
        <v>0</v>
      </c>
      <c r="BG949" s="11">
        <f t="shared" si="968"/>
        <v>0</v>
      </c>
      <c r="BN949" s="8">
        <f t="shared" si="925"/>
        <v>100</v>
      </c>
      <c r="BO949" s="8">
        <f t="shared" si="926"/>
        <v>6000</v>
      </c>
      <c r="BP949" s="8">
        <f t="shared" si="928"/>
        <v>125</v>
      </c>
      <c r="BQ949" s="12">
        <f t="shared" si="929"/>
        <v>7250</v>
      </c>
    </row>
    <row r="950" spans="1:69">
      <c r="A950" s="28">
        <v>1975</v>
      </c>
      <c r="B950" s="27" t="s">
        <v>60</v>
      </c>
      <c r="C950" s="24">
        <f t="shared" si="931"/>
        <v>930</v>
      </c>
      <c r="D950" s="7" t="e">
        <f t="shared" ca="1" si="906"/>
        <v>#N/A</v>
      </c>
      <c r="E950" s="26">
        <f t="array" aca="1" ref="E950" ca="1">AVERAGE(IF(INDIRECT(DatCol&amp;"$"&amp;TEXT(C950,"###")):INDIRECT(DatCol&amp;"$"&amp;TEXT(C950+57,"###"))&gt;0,INDIRECT(DatCol&amp;"$"&amp;TEXT(C950,"###")):INDIRECT(DatCol&amp;"$"&amp;TEXT(C950+57,"###"))))</f>
        <v>16.142352941176469</v>
      </c>
      <c r="F950" s="26" t="str">
        <f t="shared" si="950"/>
        <v>B</v>
      </c>
      <c r="G950" s="8"/>
      <c r="K950" s="9">
        <f t="shared" si="927"/>
        <v>0</v>
      </c>
      <c r="M950" s="11">
        <f t="shared" si="951"/>
        <v>0</v>
      </c>
      <c r="O950" s="11">
        <f t="shared" si="952"/>
        <v>0</v>
      </c>
      <c r="P950" s="12">
        <v>200</v>
      </c>
      <c r="Q950" s="11">
        <f t="shared" si="953"/>
        <v>12000</v>
      </c>
      <c r="Y950" s="11">
        <f t="shared" si="954"/>
        <v>0</v>
      </c>
      <c r="AG950" s="11">
        <f t="shared" si="955"/>
        <v>0</v>
      </c>
      <c r="AI950" s="11">
        <f t="shared" si="956"/>
        <v>0</v>
      </c>
      <c r="AK950" s="13">
        <f t="shared" si="957"/>
        <v>0</v>
      </c>
      <c r="AM950" s="13">
        <f t="shared" si="958"/>
        <v>0</v>
      </c>
      <c r="AO950" s="11">
        <f t="shared" si="959"/>
        <v>0</v>
      </c>
      <c r="AQ950" s="11">
        <f t="shared" si="960"/>
        <v>0</v>
      </c>
      <c r="AS950" s="11">
        <f t="shared" si="961"/>
        <v>0</v>
      </c>
      <c r="AU950" s="11">
        <f t="shared" si="962"/>
        <v>0</v>
      </c>
      <c r="AW950" s="11">
        <f t="shared" si="963"/>
        <v>0</v>
      </c>
      <c r="AY950" s="11">
        <f t="shared" si="964"/>
        <v>0</v>
      </c>
      <c r="BA950" s="11">
        <f t="shared" si="965"/>
        <v>0</v>
      </c>
      <c r="BC950" s="11">
        <f t="shared" si="966"/>
        <v>0</v>
      </c>
      <c r="BE950" s="11">
        <f t="shared" si="967"/>
        <v>0</v>
      </c>
      <c r="BG950" s="11">
        <f t="shared" si="968"/>
        <v>0</v>
      </c>
      <c r="BN950" s="8">
        <f t="shared" si="925"/>
        <v>200</v>
      </c>
      <c r="BO950" s="8">
        <f t="shared" si="926"/>
        <v>12000</v>
      </c>
      <c r="BP950" s="8">
        <f t="shared" si="928"/>
        <v>0</v>
      </c>
      <c r="BQ950" s="12">
        <f t="shared" si="929"/>
        <v>0</v>
      </c>
    </row>
    <row r="951" spans="1:69">
      <c r="A951" s="28">
        <v>1976</v>
      </c>
      <c r="B951" s="27" t="s">
        <v>60</v>
      </c>
      <c r="C951" s="24">
        <f t="shared" si="931"/>
        <v>930</v>
      </c>
      <c r="D951" s="7">
        <f t="shared" ca="1" si="906"/>
        <v>2.1682093141899279</v>
      </c>
      <c r="E951" s="26">
        <f t="array" aca="1" ref="E951" ca="1">AVERAGE(IF(INDIRECT(DatCol&amp;"$"&amp;TEXT(C951,"###")):INDIRECT(DatCol&amp;"$"&amp;TEXT(C951+57,"###"))&gt;0,INDIRECT(DatCol&amp;"$"&amp;TEXT(C951,"###")):INDIRECT(DatCol&amp;"$"&amp;TEXT(C951+57,"###"))))</f>
        <v>16.142352941176469</v>
      </c>
      <c r="F951" s="26" t="str">
        <f t="shared" si="950"/>
        <v>B</v>
      </c>
      <c r="G951" s="8"/>
      <c r="H951" s="8">
        <v>43</v>
      </c>
      <c r="I951" s="8">
        <v>10</v>
      </c>
      <c r="J951" s="8">
        <v>24</v>
      </c>
      <c r="K951" s="9">
        <f t="shared" si="927"/>
        <v>67</v>
      </c>
      <c r="M951" s="11">
        <f t="shared" si="951"/>
        <v>0</v>
      </c>
      <c r="N951" s="12">
        <v>35</v>
      </c>
      <c r="O951" s="11">
        <f t="shared" si="952"/>
        <v>1750</v>
      </c>
      <c r="Q951" s="11">
        <f t="shared" si="953"/>
        <v>0</v>
      </c>
      <c r="X951" s="12">
        <v>100</v>
      </c>
      <c r="Y951" s="11">
        <f t="shared" si="954"/>
        <v>6000</v>
      </c>
      <c r="AG951" s="11">
        <f t="shared" si="955"/>
        <v>0</v>
      </c>
      <c r="AI951" s="11">
        <f t="shared" si="956"/>
        <v>0</v>
      </c>
      <c r="AK951" s="13">
        <f t="shared" si="957"/>
        <v>0</v>
      </c>
      <c r="AM951" s="13">
        <f t="shared" si="958"/>
        <v>0</v>
      </c>
      <c r="AO951" s="11">
        <f t="shared" si="959"/>
        <v>0</v>
      </c>
      <c r="AQ951" s="11">
        <f t="shared" si="960"/>
        <v>0</v>
      </c>
      <c r="AS951" s="11">
        <f t="shared" si="961"/>
        <v>0</v>
      </c>
      <c r="AU951" s="11">
        <f t="shared" si="962"/>
        <v>0</v>
      </c>
      <c r="AW951" s="11">
        <f t="shared" si="963"/>
        <v>0</v>
      </c>
      <c r="AY951" s="11">
        <f t="shared" si="964"/>
        <v>0</v>
      </c>
      <c r="BA951" s="11">
        <f t="shared" si="965"/>
        <v>0</v>
      </c>
      <c r="BC951" s="11">
        <f t="shared" si="966"/>
        <v>0</v>
      </c>
      <c r="BE951" s="11">
        <f t="shared" si="967"/>
        <v>0</v>
      </c>
      <c r="BG951" s="11">
        <f t="shared" si="968"/>
        <v>0</v>
      </c>
      <c r="BN951" s="8">
        <f t="shared" si="925"/>
        <v>100</v>
      </c>
      <c r="BO951" s="8">
        <f t="shared" si="926"/>
        <v>6000</v>
      </c>
      <c r="BP951" s="8">
        <f t="shared" si="928"/>
        <v>135</v>
      </c>
      <c r="BQ951" s="12">
        <f t="shared" si="929"/>
        <v>7750</v>
      </c>
    </row>
    <row r="952" spans="1:69">
      <c r="A952" s="28">
        <v>1977</v>
      </c>
      <c r="B952" s="27" t="s">
        <v>60</v>
      </c>
      <c r="C952" s="24">
        <f t="shared" si="931"/>
        <v>930</v>
      </c>
      <c r="D952" s="7">
        <f t="shared" ca="1" si="906"/>
        <v>1.5487209387070915</v>
      </c>
      <c r="E952" s="26">
        <f t="array" aca="1" ref="E952" ca="1">AVERAGE(IF(INDIRECT(DatCol&amp;"$"&amp;TEXT(C952,"###")):INDIRECT(DatCol&amp;"$"&amp;TEXT(C952+57,"###"))&gt;0,INDIRECT(DatCol&amp;"$"&amp;TEXT(C952,"###")):INDIRECT(DatCol&amp;"$"&amp;TEXT(C952+57,"###"))))</f>
        <v>16.142352941176469</v>
      </c>
      <c r="F952" s="26" t="str">
        <f t="shared" si="950"/>
        <v>B</v>
      </c>
      <c r="G952" s="8"/>
      <c r="I952" s="8">
        <v>5</v>
      </c>
      <c r="J952" s="8">
        <v>77</v>
      </c>
      <c r="K952" s="9">
        <f t="shared" si="927"/>
        <v>77</v>
      </c>
      <c r="M952" s="11">
        <f t="shared" si="951"/>
        <v>0</v>
      </c>
      <c r="N952" s="12">
        <v>25</v>
      </c>
      <c r="O952" s="11">
        <f t="shared" si="952"/>
        <v>1250</v>
      </c>
      <c r="Q952" s="11">
        <f t="shared" si="953"/>
        <v>0</v>
      </c>
      <c r="X952" s="12">
        <v>75</v>
      </c>
      <c r="Y952" s="11">
        <f t="shared" si="954"/>
        <v>4500</v>
      </c>
      <c r="AG952" s="11">
        <f t="shared" si="955"/>
        <v>0</v>
      </c>
      <c r="AI952" s="11">
        <f t="shared" si="956"/>
        <v>0</v>
      </c>
      <c r="AK952" s="13">
        <f t="shared" si="957"/>
        <v>0</v>
      </c>
      <c r="AM952" s="13">
        <f t="shared" si="958"/>
        <v>0</v>
      </c>
      <c r="AO952" s="11">
        <f t="shared" si="959"/>
        <v>0</v>
      </c>
      <c r="AQ952" s="11">
        <f t="shared" si="960"/>
        <v>0</v>
      </c>
      <c r="AR952" s="12">
        <v>2</v>
      </c>
      <c r="AS952" s="11">
        <f t="shared" si="961"/>
        <v>100</v>
      </c>
      <c r="AU952" s="11">
        <f t="shared" si="962"/>
        <v>0</v>
      </c>
      <c r="AW952" s="11">
        <f t="shared" si="963"/>
        <v>0</v>
      </c>
      <c r="AY952" s="11">
        <f t="shared" si="964"/>
        <v>0</v>
      </c>
      <c r="BA952" s="11">
        <f t="shared" si="965"/>
        <v>0</v>
      </c>
      <c r="BC952" s="11">
        <f t="shared" si="966"/>
        <v>0</v>
      </c>
      <c r="BE952" s="11">
        <f t="shared" si="967"/>
        <v>0</v>
      </c>
      <c r="BG952" s="11">
        <f t="shared" si="968"/>
        <v>0</v>
      </c>
      <c r="BN952" s="8">
        <f t="shared" si="925"/>
        <v>77</v>
      </c>
      <c r="BO952" s="8">
        <f t="shared" si="926"/>
        <v>4600</v>
      </c>
      <c r="BP952" s="8">
        <f t="shared" si="928"/>
        <v>100</v>
      </c>
      <c r="BQ952" s="12">
        <f t="shared" si="929"/>
        <v>5750</v>
      </c>
    </row>
    <row r="953" spans="1:69">
      <c r="A953" s="28">
        <v>1978</v>
      </c>
      <c r="B953" s="27" t="s">
        <v>60</v>
      </c>
      <c r="C953" s="24">
        <f t="shared" si="931"/>
        <v>930</v>
      </c>
      <c r="D953" s="7" t="e">
        <f t="shared" ca="1" si="906"/>
        <v>#N/A</v>
      </c>
      <c r="E953" s="26">
        <f t="array" aca="1" ref="E953" ca="1">AVERAGE(IF(INDIRECT(DatCol&amp;"$"&amp;TEXT(C953,"###")):INDIRECT(DatCol&amp;"$"&amp;TEXT(C953+57,"###"))&gt;0,INDIRECT(DatCol&amp;"$"&amp;TEXT(C953,"###")):INDIRECT(DatCol&amp;"$"&amp;TEXT(C953+57,"###"))))</f>
        <v>16.142352941176469</v>
      </c>
      <c r="F953" s="26" t="str">
        <f t="shared" si="950"/>
        <v>B</v>
      </c>
      <c r="G953" s="8"/>
      <c r="H953" s="8">
        <v>0</v>
      </c>
      <c r="I953" s="8">
        <v>9</v>
      </c>
      <c r="J953" s="8">
        <v>91</v>
      </c>
      <c r="K953" s="9">
        <f t="shared" si="927"/>
        <v>91</v>
      </c>
      <c r="M953" s="11">
        <f t="shared" si="951"/>
        <v>0</v>
      </c>
      <c r="O953" s="11">
        <f t="shared" si="952"/>
        <v>0</v>
      </c>
      <c r="P953" s="12" t="s">
        <v>21</v>
      </c>
      <c r="Q953" s="11">
        <f t="shared" si="953"/>
        <v>0</v>
      </c>
      <c r="X953" s="12">
        <v>182</v>
      </c>
      <c r="Y953" s="11">
        <f t="shared" si="954"/>
        <v>10920</v>
      </c>
      <c r="AG953" s="11">
        <f t="shared" si="955"/>
        <v>0</v>
      </c>
      <c r="AI953" s="11">
        <f t="shared" si="956"/>
        <v>0</v>
      </c>
      <c r="AK953" s="13">
        <f t="shared" si="957"/>
        <v>0</v>
      </c>
      <c r="AM953" s="13">
        <f t="shared" si="958"/>
        <v>0</v>
      </c>
      <c r="AO953" s="11">
        <f t="shared" si="959"/>
        <v>0</v>
      </c>
      <c r="AQ953" s="11">
        <f t="shared" si="960"/>
        <v>0</v>
      </c>
      <c r="AS953" s="11">
        <f t="shared" si="961"/>
        <v>0</v>
      </c>
      <c r="AU953" s="11">
        <f t="shared" si="962"/>
        <v>0</v>
      </c>
      <c r="AW953" s="11">
        <f t="shared" si="963"/>
        <v>0</v>
      </c>
      <c r="AY953" s="11">
        <f t="shared" si="964"/>
        <v>0</v>
      </c>
      <c r="BA953" s="11">
        <f t="shared" si="965"/>
        <v>0</v>
      </c>
      <c r="BC953" s="11">
        <f t="shared" si="966"/>
        <v>0</v>
      </c>
      <c r="BE953" s="11">
        <f t="shared" si="967"/>
        <v>0</v>
      </c>
      <c r="BG953" s="11">
        <f t="shared" si="968"/>
        <v>0</v>
      </c>
      <c r="BN953" s="8">
        <f t="shared" si="925"/>
        <v>182</v>
      </c>
      <c r="BO953" s="8">
        <f t="shared" si="926"/>
        <v>10920</v>
      </c>
      <c r="BP953" s="8">
        <f t="shared" si="928"/>
        <v>182</v>
      </c>
      <c r="BQ953" s="12">
        <f t="shared" si="929"/>
        <v>10920</v>
      </c>
    </row>
    <row r="954" spans="1:69">
      <c r="A954" s="28">
        <v>1979</v>
      </c>
      <c r="B954" s="27" t="s">
        <v>60</v>
      </c>
      <c r="C954" s="24">
        <f t="shared" si="931"/>
        <v>930</v>
      </c>
      <c r="D954" s="7">
        <f t="shared" ca="1" si="906"/>
        <v>1.2389767509656733</v>
      </c>
      <c r="E954" s="26">
        <f t="array" aca="1" ref="E954" ca="1">AVERAGE(IF(INDIRECT(DatCol&amp;"$"&amp;TEXT(C954,"###")):INDIRECT(DatCol&amp;"$"&amp;TEXT(C954+57,"###"))&gt;0,INDIRECT(DatCol&amp;"$"&amp;TEXT(C954,"###")):INDIRECT(DatCol&amp;"$"&amp;TEXT(C954+57,"###"))))</f>
        <v>16.142352941176469</v>
      </c>
      <c r="F954" s="26" t="str">
        <f t="shared" si="950"/>
        <v>B</v>
      </c>
      <c r="G954" s="8"/>
      <c r="H954" s="8">
        <v>60</v>
      </c>
      <c r="I954" s="8">
        <v>5</v>
      </c>
      <c r="J954" s="8">
        <v>94</v>
      </c>
      <c r="K954" s="9">
        <f t="shared" si="927"/>
        <v>154</v>
      </c>
      <c r="M954" s="11">
        <f t="shared" si="951"/>
        <v>0</v>
      </c>
      <c r="N954" s="12">
        <v>20</v>
      </c>
      <c r="O954" s="11">
        <f t="shared" si="952"/>
        <v>1000</v>
      </c>
      <c r="P954" s="12">
        <v>50</v>
      </c>
      <c r="Q954" s="11">
        <f t="shared" si="953"/>
        <v>3000</v>
      </c>
      <c r="X954" s="12">
        <v>150</v>
      </c>
      <c r="Y954" s="11">
        <f t="shared" si="954"/>
        <v>9000</v>
      </c>
      <c r="AG954" s="11">
        <f t="shared" si="955"/>
        <v>0</v>
      </c>
      <c r="AI954" s="11">
        <f t="shared" si="956"/>
        <v>0</v>
      </c>
      <c r="AK954" s="13">
        <f t="shared" si="957"/>
        <v>0</v>
      </c>
      <c r="AM954" s="13">
        <f t="shared" si="958"/>
        <v>0</v>
      </c>
      <c r="AO954" s="11">
        <f t="shared" si="959"/>
        <v>0</v>
      </c>
      <c r="AQ954" s="11">
        <f t="shared" si="960"/>
        <v>0</v>
      </c>
      <c r="AS954" s="11">
        <f t="shared" si="961"/>
        <v>0</v>
      </c>
      <c r="AU954" s="11">
        <f t="shared" si="962"/>
        <v>0</v>
      </c>
      <c r="AW954" s="11">
        <f t="shared" si="963"/>
        <v>0</v>
      </c>
      <c r="AY954" s="11">
        <f t="shared" si="964"/>
        <v>0</v>
      </c>
      <c r="BA954" s="11">
        <f t="shared" si="965"/>
        <v>0</v>
      </c>
      <c r="BC954" s="11">
        <f t="shared" si="966"/>
        <v>0</v>
      </c>
      <c r="BE954" s="11">
        <f t="shared" si="967"/>
        <v>0</v>
      </c>
      <c r="BG954" s="11">
        <f t="shared" si="968"/>
        <v>0</v>
      </c>
      <c r="BN954" s="8">
        <f t="shared" si="925"/>
        <v>200</v>
      </c>
      <c r="BO954" s="8">
        <f t="shared" si="926"/>
        <v>12000</v>
      </c>
      <c r="BP954" s="8">
        <f t="shared" si="928"/>
        <v>170</v>
      </c>
      <c r="BQ954" s="12">
        <f t="shared" si="929"/>
        <v>10000</v>
      </c>
    </row>
    <row r="955" spans="1:69">
      <c r="A955" s="28">
        <v>1980</v>
      </c>
      <c r="B955" s="27" t="s">
        <v>60</v>
      </c>
      <c r="C955" s="24">
        <f t="shared" si="931"/>
        <v>930</v>
      </c>
      <c r="D955" s="7" t="e">
        <f t="shared" ca="1" si="906"/>
        <v>#N/A</v>
      </c>
      <c r="E955" s="26">
        <f t="array" aca="1" ref="E955" ca="1">AVERAGE(IF(INDIRECT(DatCol&amp;"$"&amp;TEXT(C955,"###")):INDIRECT(DatCol&amp;"$"&amp;TEXT(C955+57,"###"))&gt;0,INDIRECT(DatCol&amp;"$"&amp;TEXT(C955,"###")):INDIRECT(DatCol&amp;"$"&amp;TEXT(C955+57,"###"))))</f>
        <v>16.142352941176469</v>
      </c>
      <c r="F955" s="26" t="str">
        <f t="shared" si="950"/>
        <v>B</v>
      </c>
      <c r="G955" s="8"/>
      <c r="H955" s="8">
        <v>82</v>
      </c>
      <c r="I955" s="8">
        <v>9</v>
      </c>
      <c r="J955" s="8">
        <v>103</v>
      </c>
      <c r="K955" s="9">
        <f t="shared" si="927"/>
        <v>185</v>
      </c>
      <c r="M955" s="11">
        <f t="shared" si="951"/>
        <v>0</v>
      </c>
      <c r="O955" s="11">
        <f t="shared" si="952"/>
        <v>0</v>
      </c>
      <c r="P955" s="12">
        <v>180</v>
      </c>
      <c r="Q955" s="11">
        <f t="shared" si="953"/>
        <v>10800</v>
      </c>
      <c r="X955" s="12">
        <v>1000</v>
      </c>
      <c r="Y955" s="11">
        <f t="shared" si="954"/>
        <v>60000</v>
      </c>
      <c r="AG955" s="11">
        <f t="shared" si="955"/>
        <v>0</v>
      </c>
      <c r="AI955" s="11">
        <f t="shared" si="956"/>
        <v>0</v>
      </c>
      <c r="AK955" s="13">
        <f t="shared" si="957"/>
        <v>0</v>
      </c>
      <c r="AM955" s="13">
        <f t="shared" si="958"/>
        <v>0</v>
      </c>
      <c r="AO955" s="11">
        <f t="shared" si="959"/>
        <v>0</v>
      </c>
      <c r="AQ955" s="11">
        <f t="shared" si="960"/>
        <v>0</v>
      </c>
      <c r="AS955" s="11">
        <f t="shared" si="961"/>
        <v>0</v>
      </c>
      <c r="AU955" s="11">
        <f t="shared" si="962"/>
        <v>0</v>
      </c>
      <c r="AW955" s="11">
        <f t="shared" si="963"/>
        <v>0</v>
      </c>
      <c r="AY955" s="11">
        <f t="shared" si="964"/>
        <v>0</v>
      </c>
      <c r="BA955" s="11">
        <f t="shared" si="965"/>
        <v>0</v>
      </c>
      <c r="BC955" s="11">
        <f t="shared" si="966"/>
        <v>0</v>
      </c>
      <c r="BE955" s="11">
        <f t="shared" si="967"/>
        <v>0</v>
      </c>
      <c r="BG955" s="11">
        <f t="shared" si="968"/>
        <v>0</v>
      </c>
      <c r="BN955" s="8">
        <f t="shared" si="925"/>
        <v>1180</v>
      </c>
      <c r="BO955" s="8">
        <f t="shared" si="926"/>
        <v>70800</v>
      </c>
      <c r="BP955" s="8">
        <f t="shared" si="928"/>
        <v>1000</v>
      </c>
      <c r="BQ955" s="12">
        <f t="shared" si="929"/>
        <v>60000</v>
      </c>
    </row>
    <row r="956" spans="1:69">
      <c r="A956" s="28">
        <v>1981</v>
      </c>
      <c r="B956" s="27" t="s">
        <v>60</v>
      </c>
      <c r="C956" s="24">
        <f t="shared" si="931"/>
        <v>930</v>
      </c>
      <c r="D956" s="7" t="e">
        <f t="shared" ca="1" si="906"/>
        <v>#N/A</v>
      </c>
      <c r="E956" s="26">
        <f t="array" aca="1" ref="E956" ca="1">AVERAGE(IF(INDIRECT(DatCol&amp;"$"&amp;TEXT(C956,"###")):INDIRECT(DatCol&amp;"$"&amp;TEXT(C956+57,"###"))&gt;0,INDIRECT(DatCol&amp;"$"&amp;TEXT(C956,"###")):INDIRECT(DatCol&amp;"$"&amp;TEXT(C956+57,"###"))))</f>
        <v>16.142352941176469</v>
      </c>
      <c r="F956" s="26" t="str">
        <f t="shared" si="950"/>
        <v>B</v>
      </c>
      <c r="G956" s="8"/>
      <c r="H956" s="8">
        <v>50</v>
      </c>
      <c r="I956" s="8">
        <v>17</v>
      </c>
      <c r="J956" s="8">
        <v>83</v>
      </c>
      <c r="K956" s="9">
        <f t="shared" si="927"/>
        <v>133</v>
      </c>
      <c r="M956" s="11">
        <f t="shared" si="951"/>
        <v>0</v>
      </c>
      <c r="O956" s="11">
        <f t="shared" si="952"/>
        <v>0</v>
      </c>
      <c r="P956" s="12">
        <v>225</v>
      </c>
      <c r="Q956" s="11">
        <f t="shared" si="953"/>
        <v>13500</v>
      </c>
      <c r="X956" s="12">
        <v>360</v>
      </c>
      <c r="Y956" s="11">
        <f t="shared" si="954"/>
        <v>21600</v>
      </c>
      <c r="AG956" s="11">
        <f t="shared" si="955"/>
        <v>0</v>
      </c>
      <c r="AI956" s="11">
        <f t="shared" si="956"/>
        <v>0</v>
      </c>
      <c r="AK956" s="13">
        <f t="shared" si="957"/>
        <v>0</v>
      </c>
      <c r="AM956" s="13">
        <f t="shared" si="958"/>
        <v>0</v>
      </c>
      <c r="AO956" s="11">
        <f t="shared" si="959"/>
        <v>0</v>
      </c>
      <c r="AQ956" s="11">
        <f t="shared" si="960"/>
        <v>0</v>
      </c>
      <c r="AS956" s="11">
        <f t="shared" si="961"/>
        <v>0</v>
      </c>
      <c r="AU956" s="11">
        <f t="shared" si="962"/>
        <v>0</v>
      </c>
      <c r="AW956" s="11">
        <f t="shared" si="963"/>
        <v>0</v>
      </c>
      <c r="AY956" s="11">
        <f t="shared" si="964"/>
        <v>0</v>
      </c>
      <c r="BA956" s="11">
        <f t="shared" si="965"/>
        <v>0</v>
      </c>
      <c r="BC956" s="11">
        <f t="shared" si="966"/>
        <v>0</v>
      </c>
      <c r="BE956" s="11">
        <f t="shared" si="967"/>
        <v>0</v>
      </c>
      <c r="BG956" s="11">
        <f t="shared" si="968"/>
        <v>0</v>
      </c>
      <c r="BN956" s="8">
        <f t="shared" si="925"/>
        <v>585</v>
      </c>
      <c r="BO956" s="8">
        <f t="shared" si="926"/>
        <v>35100</v>
      </c>
      <c r="BP956" s="8">
        <f t="shared" si="928"/>
        <v>360</v>
      </c>
      <c r="BQ956" s="12">
        <f t="shared" si="929"/>
        <v>21600</v>
      </c>
    </row>
    <row r="957" spans="1:69">
      <c r="A957" s="28">
        <v>1982</v>
      </c>
      <c r="B957" s="27" t="s">
        <v>60</v>
      </c>
      <c r="C957" s="24">
        <f t="shared" si="931"/>
        <v>930</v>
      </c>
      <c r="D957" s="7">
        <f t="shared" ca="1" si="906"/>
        <v>0.61948837548283664</v>
      </c>
      <c r="E957" s="26">
        <f t="array" aca="1" ref="E957" ca="1">AVERAGE(IF(INDIRECT(DatCol&amp;"$"&amp;TEXT(C957,"###")):INDIRECT(DatCol&amp;"$"&amp;TEXT(C957+57,"###"))&gt;0,INDIRECT(DatCol&amp;"$"&amp;TEXT(C957,"###")):INDIRECT(DatCol&amp;"$"&amp;TEXT(C957+57,"###"))))</f>
        <v>16.142352941176469</v>
      </c>
      <c r="F957" s="26" t="str">
        <f t="shared" si="950"/>
        <v>B</v>
      </c>
      <c r="G957" s="8"/>
      <c r="H957" s="8">
        <v>65</v>
      </c>
      <c r="I957" s="8">
        <v>8</v>
      </c>
      <c r="J957" s="8">
        <v>89</v>
      </c>
      <c r="K957" s="9">
        <f t="shared" si="927"/>
        <v>154</v>
      </c>
      <c r="M957" s="11">
        <f t="shared" si="951"/>
        <v>0</v>
      </c>
      <c r="N957" s="12">
        <v>10</v>
      </c>
      <c r="O957" s="11">
        <f t="shared" si="952"/>
        <v>500</v>
      </c>
      <c r="P957" s="12">
        <v>770</v>
      </c>
      <c r="Q957" s="11">
        <f t="shared" si="953"/>
        <v>46200</v>
      </c>
      <c r="X957" s="12">
        <v>416</v>
      </c>
      <c r="Y957" s="11">
        <f t="shared" si="954"/>
        <v>24960</v>
      </c>
      <c r="AF957" s="12">
        <v>40</v>
      </c>
      <c r="AG957" s="11">
        <f t="shared" si="955"/>
        <v>2600</v>
      </c>
      <c r="AH957" s="12">
        <v>4</v>
      </c>
      <c r="AI957" s="11">
        <f t="shared" si="956"/>
        <v>260</v>
      </c>
      <c r="AK957" s="13">
        <f t="shared" si="957"/>
        <v>0</v>
      </c>
      <c r="AM957" s="13">
        <f t="shared" si="958"/>
        <v>0</v>
      </c>
      <c r="AO957" s="11">
        <f t="shared" si="959"/>
        <v>0</v>
      </c>
      <c r="AQ957" s="11">
        <f t="shared" si="960"/>
        <v>0</v>
      </c>
      <c r="AS957" s="11">
        <f t="shared" si="961"/>
        <v>0</v>
      </c>
      <c r="AT957" s="12">
        <v>15</v>
      </c>
      <c r="AU957" s="11">
        <f t="shared" si="962"/>
        <v>750</v>
      </c>
      <c r="AW957" s="11">
        <f t="shared" si="963"/>
        <v>0</v>
      </c>
      <c r="AY957" s="11">
        <f t="shared" si="964"/>
        <v>0</v>
      </c>
      <c r="BA957" s="11">
        <f t="shared" si="965"/>
        <v>0</v>
      </c>
      <c r="BC957" s="11">
        <f t="shared" si="966"/>
        <v>0</v>
      </c>
      <c r="BE957" s="11">
        <f t="shared" si="967"/>
        <v>0</v>
      </c>
      <c r="BG957" s="11">
        <f t="shared" si="968"/>
        <v>0</v>
      </c>
      <c r="BN957" s="8">
        <f t="shared" si="925"/>
        <v>1226</v>
      </c>
      <c r="BO957" s="8">
        <f t="shared" si="926"/>
        <v>73760</v>
      </c>
      <c r="BP957" s="8">
        <f t="shared" si="928"/>
        <v>445</v>
      </c>
      <c r="BQ957" s="12">
        <f t="shared" si="929"/>
        <v>26470</v>
      </c>
    </row>
    <row r="958" spans="1:69">
      <c r="A958" s="28">
        <v>1983</v>
      </c>
      <c r="B958" s="27" t="s">
        <v>60</v>
      </c>
      <c r="C958" s="24">
        <f t="shared" si="931"/>
        <v>930</v>
      </c>
      <c r="D958" s="7">
        <f t="shared" ca="1" si="906"/>
        <v>0.99118140077253858</v>
      </c>
      <c r="E958" s="26">
        <f t="array" aca="1" ref="E958" ca="1">AVERAGE(IF(INDIRECT(DatCol&amp;"$"&amp;TEXT(C958,"###")):INDIRECT(DatCol&amp;"$"&amp;TEXT(C958+57,"###"))&gt;0,INDIRECT(DatCol&amp;"$"&amp;TEXT(C958,"###")):INDIRECT(DatCol&amp;"$"&amp;TEXT(C958+57,"###"))))</f>
        <v>16.142352941176469</v>
      </c>
      <c r="F958" s="26" t="str">
        <f t="shared" si="950"/>
        <v>B</v>
      </c>
      <c r="G958" s="8"/>
      <c r="H958" s="8">
        <v>68</v>
      </c>
      <c r="I958" s="8">
        <v>15</v>
      </c>
      <c r="J958" s="8">
        <v>93</v>
      </c>
      <c r="K958" s="9">
        <f t="shared" si="927"/>
        <v>161</v>
      </c>
      <c r="M958" s="11">
        <f t="shared" si="951"/>
        <v>0</v>
      </c>
      <c r="N958" s="12">
        <v>16</v>
      </c>
      <c r="O958" s="11">
        <f t="shared" si="952"/>
        <v>800</v>
      </c>
      <c r="P958" s="12">
        <v>993</v>
      </c>
      <c r="Q958" s="11">
        <f t="shared" si="953"/>
        <v>59580</v>
      </c>
      <c r="X958" s="12">
        <v>511</v>
      </c>
      <c r="Y958" s="11">
        <f t="shared" si="954"/>
        <v>30660</v>
      </c>
      <c r="AF958" s="12">
        <v>60</v>
      </c>
      <c r="AG958" s="11">
        <f t="shared" si="955"/>
        <v>3900</v>
      </c>
      <c r="AH958" s="12">
        <v>8</v>
      </c>
      <c r="AI958" s="11">
        <f t="shared" si="956"/>
        <v>520</v>
      </c>
      <c r="AK958" s="13">
        <f t="shared" si="957"/>
        <v>0</v>
      </c>
      <c r="AM958" s="13">
        <f t="shared" si="958"/>
        <v>0</v>
      </c>
      <c r="AO958" s="11">
        <f t="shared" si="959"/>
        <v>0</v>
      </c>
      <c r="AQ958" s="11">
        <f t="shared" si="960"/>
        <v>0</v>
      </c>
      <c r="AS958" s="11">
        <f t="shared" si="961"/>
        <v>0</v>
      </c>
      <c r="AT958" s="12">
        <v>15</v>
      </c>
      <c r="AU958" s="11">
        <f t="shared" si="962"/>
        <v>750</v>
      </c>
      <c r="AW958" s="11">
        <f t="shared" si="963"/>
        <v>0</v>
      </c>
      <c r="AY958" s="11">
        <f t="shared" si="964"/>
        <v>0</v>
      </c>
      <c r="BA958" s="11">
        <f t="shared" si="965"/>
        <v>0</v>
      </c>
      <c r="BC958" s="11">
        <f t="shared" si="966"/>
        <v>0</v>
      </c>
      <c r="BE958" s="11">
        <f t="shared" si="967"/>
        <v>0</v>
      </c>
      <c r="BG958" s="11">
        <f t="shared" si="968"/>
        <v>0</v>
      </c>
      <c r="BN958" s="8">
        <f t="shared" si="925"/>
        <v>1564</v>
      </c>
      <c r="BO958" s="8">
        <f t="shared" si="926"/>
        <v>94140</v>
      </c>
      <c r="BP958" s="8">
        <f t="shared" si="928"/>
        <v>550</v>
      </c>
      <c r="BQ958" s="12">
        <f t="shared" si="929"/>
        <v>32730</v>
      </c>
    </row>
    <row r="959" spans="1:69">
      <c r="A959" s="28">
        <v>1984</v>
      </c>
      <c r="B959" s="27" t="s">
        <v>60</v>
      </c>
      <c r="C959" s="24">
        <f t="shared" si="931"/>
        <v>930</v>
      </c>
      <c r="D959" s="7">
        <f t="shared" ca="1" si="906"/>
        <v>3.097441877414183</v>
      </c>
      <c r="E959" s="26">
        <f t="array" aca="1" ref="E959" ca="1">AVERAGE(IF(INDIRECT(DatCol&amp;"$"&amp;TEXT(C959,"###")):INDIRECT(DatCol&amp;"$"&amp;TEXT(C959+57,"###"))&gt;0,INDIRECT(DatCol&amp;"$"&amp;TEXT(C959,"###")):INDIRECT(DatCol&amp;"$"&amp;TEXT(C959+57,"###"))))</f>
        <v>16.142352941176469</v>
      </c>
      <c r="F959" s="26" t="str">
        <f t="shared" si="950"/>
        <v>B</v>
      </c>
      <c r="G959" s="8"/>
      <c r="I959" s="8">
        <v>7</v>
      </c>
      <c r="J959" s="8">
        <v>78</v>
      </c>
      <c r="K959" s="9">
        <f t="shared" si="927"/>
        <v>78</v>
      </c>
      <c r="M959" s="11">
        <f t="shared" si="951"/>
        <v>0</v>
      </c>
      <c r="N959" s="12">
        <v>50</v>
      </c>
      <c r="O959" s="11">
        <f t="shared" si="952"/>
        <v>2500</v>
      </c>
      <c r="P959" s="12">
        <v>375</v>
      </c>
      <c r="Q959" s="11">
        <f t="shared" si="953"/>
        <v>22500</v>
      </c>
      <c r="X959" s="12">
        <v>1000</v>
      </c>
      <c r="Y959" s="11">
        <f t="shared" si="954"/>
        <v>60000</v>
      </c>
      <c r="AG959" s="11">
        <f t="shared" si="955"/>
        <v>0</v>
      </c>
      <c r="AH959" s="12">
        <v>150</v>
      </c>
      <c r="AI959" s="11">
        <f t="shared" si="956"/>
        <v>9750</v>
      </c>
      <c r="AK959" s="13">
        <f t="shared" si="957"/>
        <v>0</v>
      </c>
      <c r="AL959" s="12">
        <v>100</v>
      </c>
      <c r="AM959" s="13">
        <f t="shared" si="958"/>
        <v>900</v>
      </c>
      <c r="AO959" s="11">
        <f t="shared" si="959"/>
        <v>0</v>
      </c>
      <c r="AQ959" s="11">
        <f t="shared" si="960"/>
        <v>0</v>
      </c>
      <c r="AS959" s="11">
        <f t="shared" si="961"/>
        <v>0</v>
      </c>
      <c r="AT959" s="12">
        <v>50</v>
      </c>
      <c r="AU959" s="11">
        <f t="shared" si="962"/>
        <v>2500</v>
      </c>
      <c r="AW959" s="11">
        <f t="shared" si="963"/>
        <v>0</v>
      </c>
      <c r="AY959" s="11">
        <f t="shared" si="964"/>
        <v>0</v>
      </c>
      <c r="BA959" s="11">
        <f t="shared" si="965"/>
        <v>0</v>
      </c>
      <c r="BC959" s="11">
        <f t="shared" si="966"/>
        <v>0</v>
      </c>
      <c r="BE959" s="11">
        <f t="shared" si="967"/>
        <v>0</v>
      </c>
      <c r="BG959" s="11">
        <f t="shared" si="968"/>
        <v>0</v>
      </c>
      <c r="BN959" s="8">
        <f t="shared" si="925"/>
        <v>1375</v>
      </c>
      <c r="BO959" s="8">
        <f t="shared" si="926"/>
        <v>82500</v>
      </c>
      <c r="BP959" s="8">
        <f t="shared" si="928"/>
        <v>1350</v>
      </c>
      <c r="BQ959" s="12">
        <f t="shared" si="929"/>
        <v>75650</v>
      </c>
    </row>
    <row r="960" spans="1:69">
      <c r="A960" s="28">
        <v>1985</v>
      </c>
      <c r="B960" s="27" t="s">
        <v>60</v>
      </c>
      <c r="C960" s="24">
        <f t="shared" si="931"/>
        <v>930</v>
      </c>
      <c r="D960" s="7" t="e">
        <f t="shared" ca="1" si="906"/>
        <v>#N/A</v>
      </c>
      <c r="E960" s="26">
        <f t="array" aca="1" ref="E960" ca="1">AVERAGE(IF(INDIRECT(DatCol&amp;"$"&amp;TEXT(C960,"###")):INDIRECT(DatCol&amp;"$"&amp;TEXT(C960+57,"###"))&gt;0,INDIRECT(DatCol&amp;"$"&amp;TEXT(C960,"###")):INDIRECT(DatCol&amp;"$"&amp;TEXT(C960+57,"###"))))</f>
        <v>16.142352941176469</v>
      </c>
      <c r="F960" s="26" t="str">
        <f t="shared" si="950"/>
        <v>B</v>
      </c>
      <c r="G960" s="8"/>
      <c r="H960" s="8" t="s">
        <v>28</v>
      </c>
      <c r="K960" s="9">
        <f t="shared" si="927"/>
        <v>0</v>
      </c>
      <c r="M960" s="11">
        <f t="shared" si="951"/>
        <v>0</v>
      </c>
      <c r="O960" s="11">
        <f t="shared" si="952"/>
        <v>0</v>
      </c>
      <c r="Q960" s="11">
        <f t="shared" si="953"/>
        <v>0</v>
      </c>
      <c r="Y960" s="11">
        <f t="shared" si="954"/>
        <v>0</v>
      </c>
      <c r="AG960" s="11">
        <f t="shared" si="955"/>
        <v>0</v>
      </c>
      <c r="AI960" s="11">
        <f t="shared" si="956"/>
        <v>0</v>
      </c>
      <c r="AK960" s="13">
        <f t="shared" si="957"/>
        <v>0</v>
      </c>
      <c r="AM960" s="13">
        <f t="shared" si="958"/>
        <v>0</v>
      </c>
      <c r="AO960" s="11">
        <f t="shared" si="959"/>
        <v>0</v>
      </c>
      <c r="AQ960" s="11">
        <f t="shared" si="960"/>
        <v>0</v>
      </c>
      <c r="AS960" s="11">
        <f t="shared" si="961"/>
        <v>0</v>
      </c>
      <c r="AU960" s="11">
        <f t="shared" si="962"/>
        <v>0</v>
      </c>
      <c r="AW960" s="11">
        <f t="shared" si="963"/>
        <v>0</v>
      </c>
      <c r="AY960" s="11">
        <f t="shared" si="964"/>
        <v>0</v>
      </c>
      <c r="BA960" s="11">
        <f t="shared" si="965"/>
        <v>0</v>
      </c>
      <c r="BC960" s="11">
        <f t="shared" si="966"/>
        <v>0</v>
      </c>
      <c r="BE960" s="11">
        <f t="shared" si="967"/>
        <v>0</v>
      </c>
      <c r="BG960" s="11">
        <f t="shared" si="968"/>
        <v>0</v>
      </c>
      <c r="BN960" s="8">
        <f t="shared" si="925"/>
        <v>0</v>
      </c>
      <c r="BO960" s="8">
        <f t="shared" si="926"/>
        <v>0</v>
      </c>
      <c r="BP960" s="8">
        <f t="shared" si="928"/>
        <v>0</v>
      </c>
      <c r="BQ960" s="12">
        <f t="shared" si="929"/>
        <v>0</v>
      </c>
    </row>
    <row r="961" spans="1:69">
      <c r="A961" s="28">
        <v>1986</v>
      </c>
      <c r="B961" s="27" t="s">
        <v>60</v>
      </c>
      <c r="C961" s="24">
        <f t="shared" si="931"/>
        <v>930</v>
      </c>
      <c r="D961" s="7" t="e">
        <f t="shared" ca="1" si="906"/>
        <v>#N/A</v>
      </c>
      <c r="E961" s="26">
        <f t="array" aca="1" ref="E961" ca="1">AVERAGE(IF(INDIRECT(DatCol&amp;"$"&amp;TEXT(C961,"###")):INDIRECT(DatCol&amp;"$"&amp;TEXT(C961+57,"###"))&gt;0,INDIRECT(DatCol&amp;"$"&amp;TEXT(C961,"###")):INDIRECT(DatCol&amp;"$"&amp;TEXT(C961+57,"###"))))</f>
        <v>16.142352941176469</v>
      </c>
      <c r="F961" s="26" t="str">
        <f t="shared" si="950"/>
        <v>B</v>
      </c>
      <c r="G961" s="8"/>
      <c r="H961" s="8" t="s">
        <v>28</v>
      </c>
      <c r="K961" s="9">
        <f t="shared" si="927"/>
        <v>0</v>
      </c>
      <c r="M961" s="11">
        <f t="shared" si="951"/>
        <v>0</v>
      </c>
      <c r="O961" s="11">
        <f t="shared" si="952"/>
        <v>0</v>
      </c>
      <c r="Q961" s="11">
        <f t="shared" si="953"/>
        <v>0</v>
      </c>
      <c r="Y961" s="11">
        <f t="shared" si="954"/>
        <v>0</v>
      </c>
      <c r="AG961" s="11">
        <f t="shared" si="955"/>
        <v>0</v>
      </c>
      <c r="AI961" s="11">
        <f t="shared" si="956"/>
        <v>0</v>
      </c>
      <c r="AK961" s="13">
        <f t="shared" si="957"/>
        <v>0</v>
      </c>
      <c r="AM961" s="13">
        <f t="shared" si="958"/>
        <v>0</v>
      </c>
      <c r="AO961" s="11">
        <f t="shared" si="959"/>
        <v>0</v>
      </c>
      <c r="AQ961" s="11">
        <f t="shared" si="960"/>
        <v>0</v>
      </c>
      <c r="AS961" s="11">
        <f t="shared" si="961"/>
        <v>0</v>
      </c>
      <c r="AU961" s="11">
        <f t="shared" si="962"/>
        <v>0</v>
      </c>
      <c r="AW961" s="11">
        <f t="shared" si="963"/>
        <v>0</v>
      </c>
      <c r="AY961" s="11">
        <f t="shared" si="964"/>
        <v>0</v>
      </c>
      <c r="BA961" s="11">
        <f t="shared" si="965"/>
        <v>0</v>
      </c>
      <c r="BC961" s="11">
        <f t="shared" si="966"/>
        <v>0</v>
      </c>
      <c r="BE961" s="11">
        <f t="shared" si="967"/>
        <v>0</v>
      </c>
      <c r="BG961" s="11">
        <f t="shared" si="968"/>
        <v>0</v>
      </c>
      <c r="BN961" s="8">
        <f t="shared" si="925"/>
        <v>0</v>
      </c>
      <c r="BO961" s="8">
        <f t="shared" si="926"/>
        <v>0</v>
      </c>
      <c r="BP961" s="8">
        <f t="shared" si="928"/>
        <v>0</v>
      </c>
      <c r="BQ961" s="12">
        <f t="shared" si="929"/>
        <v>0</v>
      </c>
    </row>
    <row r="962" spans="1:69">
      <c r="A962" s="28">
        <v>1987</v>
      </c>
      <c r="B962" s="27" t="s">
        <v>60</v>
      </c>
      <c r="C962" s="24">
        <f t="shared" si="931"/>
        <v>930</v>
      </c>
      <c r="D962" s="7" t="e">
        <f t="shared" ref="D962:D1025" ca="1" si="969">IF(AND((INDIRECT(DatCol&amp;TEXT(ROW(),"###"))&gt;0),((F962=RegionSelect)+(RegionSelect="A"))),INDIRECT(DatCol&amp;TEXT(ROW(),"###"))/E962,NA())</f>
        <v>#N/A</v>
      </c>
      <c r="E962" s="26">
        <f t="array" aca="1" ref="E962" ca="1">AVERAGE(IF(INDIRECT(DatCol&amp;"$"&amp;TEXT(C962,"###")):INDIRECT(DatCol&amp;"$"&amp;TEXT(C962+57,"###"))&gt;0,INDIRECT(DatCol&amp;"$"&amp;TEXT(C962,"###")):INDIRECT(DatCol&amp;"$"&amp;TEXT(C962+57,"###"))))</f>
        <v>16.142352941176469</v>
      </c>
      <c r="F962" s="26" t="str">
        <f t="shared" si="950"/>
        <v>B</v>
      </c>
      <c r="G962" s="8"/>
      <c r="H962" s="8" t="s">
        <v>28</v>
      </c>
      <c r="K962" s="9">
        <f t="shared" si="927"/>
        <v>0</v>
      </c>
      <c r="M962" s="11">
        <f t="shared" si="951"/>
        <v>0</v>
      </c>
      <c r="O962" s="11">
        <f t="shared" si="952"/>
        <v>0</v>
      </c>
      <c r="Q962" s="11">
        <f t="shared" si="953"/>
        <v>0</v>
      </c>
      <c r="Y962" s="11">
        <f t="shared" si="954"/>
        <v>0</v>
      </c>
      <c r="AG962" s="11">
        <f t="shared" si="955"/>
        <v>0</v>
      </c>
      <c r="AI962" s="11">
        <f t="shared" si="956"/>
        <v>0</v>
      </c>
      <c r="AK962" s="13">
        <f t="shared" si="957"/>
        <v>0</v>
      </c>
      <c r="AM962" s="13">
        <f t="shared" si="958"/>
        <v>0</v>
      </c>
      <c r="AO962" s="11">
        <f t="shared" si="959"/>
        <v>0</v>
      </c>
      <c r="AQ962" s="11">
        <f t="shared" si="960"/>
        <v>0</v>
      </c>
      <c r="AS962" s="11">
        <f t="shared" si="961"/>
        <v>0</v>
      </c>
      <c r="AU962" s="11">
        <f t="shared" si="962"/>
        <v>0</v>
      </c>
      <c r="AW962" s="11">
        <f t="shared" si="963"/>
        <v>0</v>
      </c>
      <c r="AY962" s="11">
        <f t="shared" si="964"/>
        <v>0</v>
      </c>
      <c r="BA962" s="11">
        <f t="shared" si="965"/>
        <v>0</v>
      </c>
      <c r="BC962" s="11">
        <f t="shared" si="966"/>
        <v>0</v>
      </c>
      <c r="BE962" s="11">
        <f t="shared" si="967"/>
        <v>0</v>
      </c>
      <c r="BG962" s="11">
        <f t="shared" si="968"/>
        <v>0</v>
      </c>
      <c r="BN962" s="8">
        <f t="shared" si="925"/>
        <v>0</v>
      </c>
      <c r="BO962" s="8">
        <f t="shared" si="926"/>
        <v>0</v>
      </c>
      <c r="BP962" s="8">
        <f t="shared" si="928"/>
        <v>0</v>
      </c>
      <c r="BQ962" s="12">
        <f t="shared" si="929"/>
        <v>0</v>
      </c>
    </row>
    <row r="963" spans="1:69">
      <c r="A963" s="28">
        <v>1988</v>
      </c>
      <c r="B963" s="27" t="s">
        <v>60</v>
      </c>
      <c r="C963" s="24">
        <f t="shared" si="931"/>
        <v>930</v>
      </c>
      <c r="D963" s="7" t="e">
        <f t="shared" ca="1" si="969"/>
        <v>#N/A</v>
      </c>
      <c r="E963" s="26">
        <f t="array" aca="1" ref="E963" ca="1">AVERAGE(IF(INDIRECT(DatCol&amp;"$"&amp;TEXT(C963,"###")):INDIRECT(DatCol&amp;"$"&amp;TEXT(C963+57,"###"))&gt;0,INDIRECT(DatCol&amp;"$"&amp;TEXT(C963,"###")):INDIRECT(DatCol&amp;"$"&amp;TEXT(C963+57,"###"))))</f>
        <v>16.142352941176469</v>
      </c>
      <c r="F963" s="26" t="str">
        <f t="shared" si="950"/>
        <v>B</v>
      </c>
      <c r="G963" s="8"/>
      <c r="H963" s="8" t="s">
        <v>28</v>
      </c>
      <c r="K963" s="9">
        <f t="shared" si="927"/>
        <v>0</v>
      </c>
      <c r="M963" s="11">
        <f t="shared" ref="M963:M993" si="970">(L963*50)</f>
        <v>0</v>
      </c>
      <c r="O963" s="11">
        <f t="shared" ref="O963:O993" si="971">(N963*50)</f>
        <v>0</v>
      </c>
      <c r="Q963" s="11">
        <f t="shared" ref="Q963:Q993" si="972">((P963*330)/5.5)</f>
        <v>0</v>
      </c>
      <c r="Y963" s="11">
        <f t="shared" ref="Y963:Y993" si="973">((X963*330)/5.5)</f>
        <v>0</v>
      </c>
      <c r="AG963" s="11">
        <f t="shared" ref="AG963:AG993" si="974">(AF963*65)</f>
        <v>0</v>
      </c>
      <c r="AI963" s="11">
        <f t="shared" ref="AI963:AI993" si="975">(AH963*65)</f>
        <v>0</v>
      </c>
      <c r="AK963" s="13">
        <f t="shared" ref="AK963:AK993" si="976">(AJ963*9)</f>
        <v>0</v>
      </c>
      <c r="AM963" s="13">
        <f t="shared" ref="AM963:AM993" si="977">(AL963*9)</f>
        <v>0</v>
      </c>
      <c r="AO963" s="11">
        <f t="shared" ref="AO963:AO993" si="978">(AN963*80)</f>
        <v>0</v>
      </c>
      <c r="AQ963" s="11">
        <f t="shared" ref="AQ963:AQ993" si="979">(AP963*80)</f>
        <v>0</v>
      </c>
      <c r="AS963" s="11">
        <f t="shared" ref="AS963:AS993" si="980">(AR963*50)</f>
        <v>0</v>
      </c>
      <c r="AU963" s="11">
        <f t="shared" ref="AU963:AU993" si="981">(AT963*50)</f>
        <v>0</v>
      </c>
      <c r="AW963" s="11">
        <f t="shared" ref="AW963:AW972" si="982">(AV963*60)</f>
        <v>0</v>
      </c>
      <c r="AY963" s="11">
        <f t="shared" ref="AY963:AY993" si="983">(AX963*60)</f>
        <v>0</v>
      </c>
      <c r="BA963" s="11">
        <f t="shared" ref="BA963:BA993" si="984">(AZ963*40)</f>
        <v>0</v>
      </c>
      <c r="BC963" s="11">
        <f t="shared" ref="BC963:BC993" si="985">(BB963*40)</f>
        <v>0</v>
      </c>
      <c r="BE963" s="11">
        <f t="shared" ref="BE963:BE970" si="986">(BD963*95)</f>
        <v>0</v>
      </c>
      <c r="BG963" s="11">
        <f t="shared" ref="BG963:BG970" si="987">(BF963*95)</f>
        <v>0</v>
      </c>
      <c r="BN963" s="8">
        <f t="shared" si="925"/>
        <v>0</v>
      </c>
      <c r="BO963" s="8">
        <f t="shared" si="926"/>
        <v>0</v>
      </c>
      <c r="BP963" s="8">
        <f t="shared" si="928"/>
        <v>0</v>
      </c>
      <c r="BQ963" s="12">
        <f t="shared" si="929"/>
        <v>0</v>
      </c>
    </row>
    <row r="964" spans="1:69">
      <c r="A964" s="28">
        <v>1989</v>
      </c>
      <c r="B964" s="27" t="s">
        <v>60</v>
      </c>
      <c r="C964" s="24">
        <f t="shared" si="931"/>
        <v>930</v>
      </c>
      <c r="D964" s="7">
        <f t="shared" ca="1" si="969"/>
        <v>0.61948837548283664</v>
      </c>
      <c r="E964" s="26">
        <f t="array" aca="1" ref="E964" ca="1">AVERAGE(IF(INDIRECT(DatCol&amp;"$"&amp;TEXT(C964,"###")):INDIRECT(DatCol&amp;"$"&amp;TEXT(C964+57,"###"))&gt;0,INDIRECT(DatCol&amp;"$"&amp;TEXT(C964,"###")):INDIRECT(DatCol&amp;"$"&amp;TEXT(C964+57,"###"))))</f>
        <v>16.142352941176469</v>
      </c>
      <c r="F964" s="26" t="str">
        <f t="shared" si="950"/>
        <v>B</v>
      </c>
      <c r="G964" s="8"/>
      <c r="H964" s="8">
        <v>0</v>
      </c>
      <c r="I964" s="8">
        <v>0</v>
      </c>
      <c r="J964" s="8">
        <v>120</v>
      </c>
      <c r="K964" s="9">
        <f t="shared" si="927"/>
        <v>120</v>
      </c>
      <c r="L964" s="12">
        <v>0</v>
      </c>
      <c r="M964" s="11">
        <f t="shared" si="970"/>
        <v>0</v>
      </c>
      <c r="N964" s="12">
        <v>10</v>
      </c>
      <c r="O964" s="11">
        <f t="shared" si="971"/>
        <v>500</v>
      </c>
      <c r="P964" s="12">
        <v>850</v>
      </c>
      <c r="Q964" s="11">
        <f t="shared" si="972"/>
        <v>51000</v>
      </c>
      <c r="X964" s="12">
        <v>0</v>
      </c>
      <c r="Y964" s="11">
        <f t="shared" si="973"/>
        <v>0</v>
      </c>
      <c r="AF964" s="12">
        <v>400</v>
      </c>
      <c r="AG964" s="11">
        <f t="shared" si="974"/>
        <v>26000</v>
      </c>
      <c r="AH964" s="12">
        <v>30</v>
      </c>
      <c r="AI964" s="11">
        <f t="shared" si="975"/>
        <v>1950</v>
      </c>
      <c r="AJ964" s="12">
        <v>0</v>
      </c>
      <c r="AK964" s="13">
        <f t="shared" si="976"/>
        <v>0</v>
      </c>
      <c r="AL964" s="12">
        <v>0</v>
      </c>
      <c r="AM964" s="13">
        <f t="shared" si="977"/>
        <v>0</v>
      </c>
      <c r="AN964" s="12">
        <v>0</v>
      </c>
      <c r="AO964" s="11">
        <f t="shared" si="978"/>
        <v>0</v>
      </c>
      <c r="AP964" s="12">
        <v>0</v>
      </c>
      <c r="AQ964" s="11">
        <f t="shared" si="979"/>
        <v>0</v>
      </c>
      <c r="AR964" s="12">
        <v>0</v>
      </c>
      <c r="AS964" s="11">
        <f t="shared" si="980"/>
        <v>0</v>
      </c>
      <c r="AT964" s="12">
        <v>20</v>
      </c>
      <c r="AU964" s="11">
        <f t="shared" si="981"/>
        <v>1000</v>
      </c>
      <c r="AW964" s="11">
        <f t="shared" si="982"/>
        <v>0</v>
      </c>
      <c r="AY964" s="11">
        <f t="shared" si="983"/>
        <v>0</v>
      </c>
      <c r="BA964" s="11">
        <f t="shared" si="984"/>
        <v>0</v>
      </c>
      <c r="BC964" s="11">
        <f t="shared" si="985"/>
        <v>0</v>
      </c>
      <c r="BE964" s="11">
        <f t="shared" si="986"/>
        <v>0</v>
      </c>
      <c r="BG964" s="11">
        <f t="shared" si="987"/>
        <v>0</v>
      </c>
      <c r="BN964" s="8">
        <f t="shared" si="925"/>
        <v>1250</v>
      </c>
      <c r="BO964" s="8">
        <f t="shared" si="926"/>
        <v>77000</v>
      </c>
      <c r="BP964" s="8">
        <f t="shared" si="928"/>
        <v>60</v>
      </c>
      <c r="BQ964" s="12">
        <f t="shared" si="929"/>
        <v>3450</v>
      </c>
    </row>
    <row r="965" spans="1:69">
      <c r="A965" s="28">
        <v>1990</v>
      </c>
      <c r="B965" s="27" t="s">
        <v>60</v>
      </c>
      <c r="C965" s="24">
        <f t="shared" si="931"/>
        <v>930</v>
      </c>
      <c r="D965" s="7">
        <f t="shared" ca="1" si="969"/>
        <v>1.5487209387070915</v>
      </c>
      <c r="E965" s="26">
        <f t="array" aca="1" ref="E965" ca="1">AVERAGE(IF(INDIRECT(DatCol&amp;"$"&amp;TEXT(C965,"###")):INDIRECT(DatCol&amp;"$"&amp;TEXT(C965+57,"###"))&gt;0,INDIRECT(DatCol&amp;"$"&amp;TEXT(C965,"###")):INDIRECT(DatCol&amp;"$"&amp;TEXT(C965+57,"###"))))</f>
        <v>16.142352941176469</v>
      </c>
      <c r="F965" s="26" t="str">
        <f t="shared" si="950"/>
        <v>B</v>
      </c>
      <c r="G965" s="8"/>
      <c r="H965" s="8">
        <v>0</v>
      </c>
      <c r="I965" s="8">
        <v>4</v>
      </c>
      <c r="J965" s="8">
        <v>130</v>
      </c>
      <c r="K965" s="9">
        <f t="shared" si="927"/>
        <v>130</v>
      </c>
      <c r="L965" s="12">
        <v>0</v>
      </c>
      <c r="M965" s="11">
        <f t="shared" si="970"/>
        <v>0</v>
      </c>
      <c r="N965" s="12">
        <v>25</v>
      </c>
      <c r="O965" s="11">
        <f t="shared" si="971"/>
        <v>1250</v>
      </c>
      <c r="P965" s="12">
        <v>513</v>
      </c>
      <c r="Q965" s="11">
        <f t="shared" si="972"/>
        <v>30780</v>
      </c>
      <c r="X965" s="12">
        <v>85</v>
      </c>
      <c r="Y965" s="11">
        <f t="shared" si="973"/>
        <v>5100</v>
      </c>
      <c r="AF965" s="12">
        <v>0</v>
      </c>
      <c r="AG965" s="11">
        <f t="shared" si="974"/>
        <v>0</v>
      </c>
      <c r="AH965" s="12">
        <v>15</v>
      </c>
      <c r="AI965" s="11">
        <f t="shared" si="975"/>
        <v>975</v>
      </c>
      <c r="AK965" s="13">
        <f t="shared" si="976"/>
        <v>0</v>
      </c>
      <c r="AM965" s="13">
        <f t="shared" si="977"/>
        <v>0</v>
      </c>
      <c r="AO965" s="11">
        <f t="shared" si="978"/>
        <v>0</v>
      </c>
      <c r="AQ965" s="11">
        <f t="shared" si="979"/>
        <v>0</v>
      </c>
      <c r="AS965" s="11">
        <f t="shared" si="980"/>
        <v>0</v>
      </c>
      <c r="AT965" s="12">
        <v>25</v>
      </c>
      <c r="AU965" s="11">
        <f t="shared" si="981"/>
        <v>1250</v>
      </c>
      <c r="AW965" s="11">
        <f t="shared" si="982"/>
        <v>0</v>
      </c>
      <c r="AY965" s="11">
        <f t="shared" si="983"/>
        <v>0</v>
      </c>
      <c r="BA965" s="11">
        <f t="shared" si="984"/>
        <v>0</v>
      </c>
      <c r="BC965" s="11">
        <f t="shared" si="985"/>
        <v>0</v>
      </c>
      <c r="BE965" s="11">
        <f t="shared" si="986"/>
        <v>0</v>
      </c>
      <c r="BG965" s="11">
        <f t="shared" si="987"/>
        <v>0</v>
      </c>
      <c r="BN965" s="8">
        <f t="shared" si="925"/>
        <v>598</v>
      </c>
      <c r="BO965" s="8">
        <f t="shared" si="926"/>
        <v>35880</v>
      </c>
      <c r="BP965" s="8">
        <f t="shared" si="928"/>
        <v>150</v>
      </c>
      <c r="BQ965" s="12">
        <f t="shared" si="929"/>
        <v>8575</v>
      </c>
    </row>
    <row r="966" spans="1:69">
      <c r="A966" s="28">
        <v>1991</v>
      </c>
      <c r="B966" s="27" t="s">
        <v>60</v>
      </c>
      <c r="C966" s="24">
        <f t="shared" si="931"/>
        <v>930</v>
      </c>
      <c r="D966" s="7" t="e">
        <f t="shared" ca="1" si="969"/>
        <v>#N/A</v>
      </c>
      <c r="E966" s="26">
        <f t="array" aca="1" ref="E966" ca="1">AVERAGE(IF(INDIRECT(DatCol&amp;"$"&amp;TEXT(C966,"###")):INDIRECT(DatCol&amp;"$"&amp;TEXT(C966+57,"###"))&gt;0,INDIRECT(DatCol&amp;"$"&amp;TEXT(C966,"###")):INDIRECT(DatCol&amp;"$"&amp;TEXT(C966+57,"###"))))</f>
        <v>16.142352941176469</v>
      </c>
      <c r="F966" s="26" t="str">
        <f t="shared" si="950"/>
        <v>B</v>
      </c>
      <c r="G966" s="8"/>
      <c r="H966" s="8">
        <v>0</v>
      </c>
      <c r="I966" s="8">
        <v>8</v>
      </c>
      <c r="J966" s="8">
        <v>100</v>
      </c>
      <c r="K966" s="9">
        <f t="shared" si="927"/>
        <v>100</v>
      </c>
      <c r="L966" s="12">
        <v>0</v>
      </c>
      <c r="M966" s="11">
        <f t="shared" si="970"/>
        <v>0</v>
      </c>
      <c r="N966" s="12">
        <v>0</v>
      </c>
      <c r="O966" s="11">
        <f t="shared" si="971"/>
        <v>0</v>
      </c>
      <c r="P966" s="12">
        <f>124+130+501</f>
        <v>755</v>
      </c>
      <c r="Q966" s="11">
        <f t="shared" si="972"/>
        <v>45300</v>
      </c>
      <c r="X966" s="12">
        <f>23+21+18</f>
        <v>62</v>
      </c>
      <c r="Y966" s="11">
        <f t="shared" si="973"/>
        <v>3720</v>
      </c>
      <c r="AF966" s="12">
        <v>0</v>
      </c>
      <c r="AG966" s="11">
        <f t="shared" si="974"/>
        <v>0</v>
      </c>
      <c r="AH966" s="12">
        <v>31</v>
      </c>
      <c r="AI966" s="11">
        <f t="shared" si="975"/>
        <v>2015</v>
      </c>
      <c r="AK966" s="13">
        <f t="shared" si="976"/>
        <v>0</v>
      </c>
      <c r="AM966" s="13">
        <f t="shared" si="977"/>
        <v>0</v>
      </c>
      <c r="AO966" s="11">
        <f t="shared" si="978"/>
        <v>0</v>
      </c>
      <c r="AQ966" s="11">
        <f t="shared" si="979"/>
        <v>0</v>
      </c>
      <c r="AS966" s="11">
        <f t="shared" si="980"/>
        <v>0</v>
      </c>
      <c r="AT966" s="12">
        <v>25</v>
      </c>
      <c r="AU966" s="11">
        <f t="shared" si="981"/>
        <v>1250</v>
      </c>
      <c r="AW966" s="11">
        <f t="shared" si="982"/>
        <v>0</v>
      </c>
      <c r="AY966" s="11">
        <f t="shared" si="983"/>
        <v>0</v>
      </c>
      <c r="BA966" s="11">
        <f t="shared" si="984"/>
        <v>0</v>
      </c>
      <c r="BC966" s="11">
        <f t="shared" si="985"/>
        <v>0</v>
      </c>
      <c r="BE966" s="11">
        <f t="shared" si="986"/>
        <v>0</v>
      </c>
      <c r="BG966" s="11">
        <f t="shared" si="987"/>
        <v>0</v>
      </c>
      <c r="BN966" s="8">
        <f t="shared" si="925"/>
        <v>817</v>
      </c>
      <c r="BO966" s="8">
        <f t="shared" si="926"/>
        <v>49020</v>
      </c>
      <c r="BP966" s="8">
        <f t="shared" si="928"/>
        <v>118</v>
      </c>
      <c r="BQ966" s="12">
        <f t="shared" si="929"/>
        <v>6985</v>
      </c>
    </row>
    <row r="967" spans="1:69">
      <c r="A967" s="28">
        <v>1992</v>
      </c>
      <c r="B967" s="27" t="s">
        <v>60</v>
      </c>
      <c r="C967" s="24">
        <f t="shared" si="931"/>
        <v>930</v>
      </c>
      <c r="D967" s="7" t="e">
        <f t="shared" ca="1" si="969"/>
        <v>#N/A</v>
      </c>
      <c r="E967" s="26">
        <f t="array" aca="1" ref="E967" ca="1">AVERAGE(IF(INDIRECT(DatCol&amp;"$"&amp;TEXT(C967,"###")):INDIRECT(DatCol&amp;"$"&amp;TEXT(C967+57,"###"))&gt;0,INDIRECT(DatCol&amp;"$"&amp;TEXT(C967,"###")):INDIRECT(DatCol&amp;"$"&amp;TEXT(C967+57,"###"))))</f>
        <v>16.142352941176469</v>
      </c>
      <c r="F967" s="26" t="str">
        <f t="shared" si="950"/>
        <v>B</v>
      </c>
      <c r="G967" s="8"/>
      <c r="K967" s="9">
        <f t="shared" si="927"/>
        <v>0</v>
      </c>
      <c r="M967" s="11">
        <f t="shared" si="970"/>
        <v>0</v>
      </c>
      <c r="O967" s="11">
        <f t="shared" si="971"/>
        <v>0</v>
      </c>
      <c r="Q967" s="11">
        <f t="shared" si="972"/>
        <v>0</v>
      </c>
      <c r="Y967" s="11">
        <f t="shared" si="973"/>
        <v>0</v>
      </c>
      <c r="AG967" s="11">
        <f t="shared" si="974"/>
        <v>0</v>
      </c>
      <c r="AI967" s="11">
        <f t="shared" si="975"/>
        <v>0</v>
      </c>
      <c r="AK967" s="13">
        <f t="shared" si="976"/>
        <v>0</v>
      </c>
      <c r="AM967" s="13">
        <f t="shared" si="977"/>
        <v>0</v>
      </c>
      <c r="AO967" s="11">
        <f t="shared" si="978"/>
        <v>0</v>
      </c>
      <c r="AQ967" s="11">
        <f t="shared" si="979"/>
        <v>0</v>
      </c>
      <c r="AS967" s="11">
        <f t="shared" si="980"/>
        <v>0</v>
      </c>
      <c r="AU967" s="11">
        <f t="shared" si="981"/>
        <v>0</v>
      </c>
      <c r="AW967" s="11">
        <f t="shared" si="982"/>
        <v>0</v>
      </c>
      <c r="AY967" s="11">
        <f t="shared" si="983"/>
        <v>0</v>
      </c>
      <c r="BA967" s="11">
        <f t="shared" si="984"/>
        <v>0</v>
      </c>
      <c r="BC967" s="11">
        <f t="shared" si="985"/>
        <v>0</v>
      </c>
      <c r="BE967" s="11">
        <f t="shared" si="986"/>
        <v>0</v>
      </c>
      <c r="BG967" s="11">
        <f t="shared" si="987"/>
        <v>0</v>
      </c>
      <c r="BN967" s="8">
        <f t="shared" si="925"/>
        <v>0</v>
      </c>
      <c r="BO967" s="8">
        <f t="shared" si="926"/>
        <v>0</v>
      </c>
      <c r="BP967" s="8">
        <f t="shared" si="928"/>
        <v>0</v>
      </c>
      <c r="BQ967" s="12">
        <f t="shared" si="929"/>
        <v>0</v>
      </c>
    </row>
    <row r="968" spans="1:69">
      <c r="A968" s="28">
        <v>1993</v>
      </c>
      <c r="B968" s="27" t="s">
        <v>60</v>
      </c>
      <c r="C968" s="24">
        <f t="shared" si="931"/>
        <v>930</v>
      </c>
      <c r="D968" s="7" t="e">
        <f t="shared" ca="1" si="969"/>
        <v>#N/A</v>
      </c>
      <c r="E968" s="26">
        <f t="array" aca="1" ref="E968" ca="1">AVERAGE(IF(INDIRECT(DatCol&amp;"$"&amp;TEXT(C968,"###")):INDIRECT(DatCol&amp;"$"&amp;TEXT(C968+57,"###"))&gt;0,INDIRECT(DatCol&amp;"$"&amp;TEXT(C968,"###")):INDIRECT(DatCol&amp;"$"&amp;TEXT(C968+57,"###"))))</f>
        <v>16.142352941176469</v>
      </c>
      <c r="F968" s="26" t="str">
        <f t="shared" si="950"/>
        <v>B</v>
      </c>
      <c r="G968" s="8"/>
      <c r="H968" s="8">
        <v>27</v>
      </c>
      <c r="I968" s="8">
        <v>3</v>
      </c>
      <c r="J968" s="8">
        <v>7</v>
      </c>
      <c r="K968" s="9">
        <f t="shared" si="927"/>
        <v>34</v>
      </c>
      <c r="L968" s="12">
        <v>0</v>
      </c>
      <c r="M968" s="11">
        <f t="shared" si="970"/>
        <v>0</v>
      </c>
      <c r="N968" s="12">
        <v>0</v>
      </c>
      <c r="O968" s="11">
        <f t="shared" si="971"/>
        <v>0</v>
      </c>
      <c r="P968" s="12">
        <f>282+30+326</f>
        <v>638</v>
      </c>
      <c r="Q968" s="11">
        <f t="shared" si="972"/>
        <v>38280</v>
      </c>
      <c r="X968" s="12">
        <v>85</v>
      </c>
      <c r="Y968" s="11">
        <f t="shared" si="973"/>
        <v>5100</v>
      </c>
      <c r="AG968" s="11">
        <f t="shared" si="974"/>
        <v>0</v>
      </c>
      <c r="AI968" s="11">
        <f t="shared" si="975"/>
        <v>0</v>
      </c>
      <c r="AK968" s="13">
        <f t="shared" si="976"/>
        <v>0</v>
      </c>
      <c r="AM968" s="13">
        <f t="shared" si="977"/>
        <v>0</v>
      </c>
      <c r="AO968" s="11">
        <f t="shared" si="978"/>
        <v>0</v>
      </c>
      <c r="AQ968" s="11">
        <f t="shared" si="979"/>
        <v>0</v>
      </c>
      <c r="AS968" s="11">
        <f t="shared" si="980"/>
        <v>0</v>
      </c>
      <c r="AU968" s="11">
        <f t="shared" si="981"/>
        <v>0</v>
      </c>
      <c r="AW968" s="11">
        <f t="shared" si="982"/>
        <v>0</v>
      </c>
      <c r="AY968" s="11">
        <f t="shared" si="983"/>
        <v>0</v>
      </c>
      <c r="BA968" s="11">
        <f t="shared" si="984"/>
        <v>0</v>
      </c>
      <c r="BC968" s="11">
        <f t="shared" si="985"/>
        <v>0</v>
      </c>
      <c r="BE968" s="11">
        <f t="shared" si="986"/>
        <v>0</v>
      </c>
      <c r="BG968" s="11">
        <f t="shared" si="987"/>
        <v>0</v>
      </c>
      <c r="BN968" s="8">
        <f t="shared" si="925"/>
        <v>723</v>
      </c>
      <c r="BO968" s="8">
        <f t="shared" si="926"/>
        <v>43380</v>
      </c>
      <c r="BP968" s="8">
        <f t="shared" si="928"/>
        <v>85</v>
      </c>
      <c r="BQ968" s="12">
        <f t="shared" si="929"/>
        <v>5100</v>
      </c>
    </row>
    <row r="969" spans="1:69">
      <c r="A969" s="28">
        <v>1994</v>
      </c>
      <c r="B969" s="27" t="s">
        <v>60</v>
      </c>
      <c r="C969" s="24">
        <f t="shared" si="931"/>
        <v>930</v>
      </c>
      <c r="D969" s="7" t="e">
        <f t="shared" ca="1" si="969"/>
        <v>#N/A</v>
      </c>
      <c r="E969" s="26">
        <f t="array" aca="1" ref="E969" ca="1">AVERAGE(IF(INDIRECT(DatCol&amp;"$"&amp;TEXT(C969,"###")):INDIRECT(DatCol&amp;"$"&amp;TEXT(C969+57,"###"))&gt;0,INDIRECT(DatCol&amp;"$"&amp;TEXT(C969,"###")):INDIRECT(DatCol&amp;"$"&amp;TEXT(C969+57,"###"))))</f>
        <v>16.142352941176469</v>
      </c>
      <c r="F969" s="26" t="str">
        <f t="shared" si="950"/>
        <v>B</v>
      </c>
      <c r="G969" s="8">
        <v>1</v>
      </c>
      <c r="H969" s="8">
        <v>12</v>
      </c>
      <c r="I969" s="8">
        <v>4</v>
      </c>
      <c r="J969" s="8">
        <v>10</v>
      </c>
      <c r="K969" s="9">
        <f t="shared" si="927"/>
        <v>23</v>
      </c>
      <c r="L969" s="12">
        <v>0</v>
      </c>
      <c r="M969" s="11">
        <f t="shared" si="970"/>
        <v>0</v>
      </c>
      <c r="N969" s="12">
        <v>0</v>
      </c>
      <c r="O969" s="11">
        <f t="shared" si="971"/>
        <v>0</v>
      </c>
      <c r="P969" s="12">
        <f>143+23+273</f>
        <v>439</v>
      </c>
      <c r="Q969" s="11">
        <f t="shared" si="972"/>
        <v>26340</v>
      </c>
      <c r="X969" s="12">
        <v>58</v>
      </c>
      <c r="Y969" s="11">
        <f t="shared" si="973"/>
        <v>3480</v>
      </c>
      <c r="AG969" s="11">
        <f t="shared" si="974"/>
        <v>0</v>
      </c>
      <c r="AI969" s="11">
        <f t="shared" si="975"/>
        <v>0</v>
      </c>
      <c r="AK969" s="13">
        <f t="shared" si="976"/>
        <v>0</v>
      </c>
      <c r="AM969" s="13">
        <f t="shared" si="977"/>
        <v>0</v>
      </c>
      <c r="AO969" s="11">
        <f t="shared" si="978"/>
        <v>0</v>
      </c>
      <c r="AQ969" s="11">
        <f t="shared" si="979"/>
        <v>0</v>
      </c>
      <c r="AS969" s="11">
        <f t="shared" si="980"/>
        <v>0</v>
      </c>
      <c r="AU969" s="11">
        <f t="shared" si="981"/>
        <v>0</v>
      </c>
      <c r="AW969" s="11">
        <f t="shared" si="982"/>
        <v>0</v>
      </c>
      <c r="AY969" s="11">
        <f t="shared" si="983"/>
        <v>0</v>
      </c>
      <c r="BA969" s="11">
        <f t="shared" si="984"/>
        <v>0</v>
      </c>
      <c r="BC969" s="11">
        <f t="shared" si="985"/>
        <v>0</v>
      </c>
      <c r="BE969" s="11">
        <f t="shared" si="986"/>
        <v>0</v>
      </c>
      <c r="BG969" s="11">
        <f t="shared" si="987"/>
        <v>0</v>
      </c>
      <c r="BN969" s="8">
        <f t="shared" si="925"/>
        <v>497</v>
      </c>
      <c r="BO969" s="8">
        <f t="shared" si="926"/>
        <v>29820</v>
      </c>
      <c r="BP969" s="8">
        <f t="shared" si="928"/>
        <v>58</v>
      </c>
      <c r="BQ969" s="12">
        <f t="shared" si="929"/>
        <v>3480</v>
      </c>
    </row>
    <row r="970" spans="1:69">
      <c r="A970" s="28">
        <v>1995</v>
      </c>
      <c r="B970" s="27" t="s">
        <v>60</v>
      </c>
      <c r="C970" s="24">
        <f t="shared" si="931"/>
        <v>930</v>
      </c>
      <c r="D970" s="7" t="e">
        <f t="shared" ca="1" si="969"/>
        <v>#N/A</v>
      </c>
      <c r="E970" s="26">
        <f t="array" aca="1" ref="E970" ca="1">AVERAGE(IF(INDIRECT(DatCol&amp;"$"&amp;TEXT(C970,"###")):INDIRECT(DatCol&amp;"$"&amp;TEXT(C970+57,"###"))&gt;0,INDIRECT(DatCol&amp;"$"&amp;TEXT(C970,"###")):INDIRECT(DatCol&amp;"$"&amp;TEXT(C970+57,"###"))))</f>
        <v>16.142352941176469</v>
      </c>
      <c r="F970" s="26" t="str">
        <f t="shared" si="950"/>
        <v>B</v>
      </c>
      <c r="G970" s="9">
        <v>1</v>
      </c>
      <c r="H970" s="9">
        <v>69</v>
      </c>
      <c r="I970" s="9">
        <v>4</v>
      </c>
      <c r="J970" s="9">
        <v>29</v>
      </c>
      <c r="K970" s="9">
        <f t="shared" si="927"/>
        <v>99</v>
      </c>
      <c r="L970" s="10">
        <v>0</v>
      </c>
      <c r="M970" s="11">
        <f t="shared" si="970"/>
        <v>0</v>
      </c>
      <c r="N970" s="10">
        <v>0</v>
      </c>
      <c r="O970" s="11">
        <f t="shared" si="971"/>
        <v>0</v>
      </c>
      <c r="P970" s="10">
        <f>833+19+38+126</f>
        <v>1016</v>
      </c>
      <c r="Q970" s="11">
        <f t="shared" si="972"/>
        <v>60960</v>
      </c>
      <c r="X970" s="10">
        <v>248</v>
      </c>
      <c r="Y970" s="11">
        <f t="shared" si="973"/>
        <v>14880</v>
      </c>
      <c r="AG970" s="11">
        <f t="shared" si="974"/>
        <v>0</v>
      </c>
      <c r="AI970" s="11">
        <f t="shared" si="975"/>
        <v>0</v>
      </c>
      <c r="AK970" s="13">
        <f t="shared" si="976"/>
        <v>0</v>
      </c>
      <c r="AM970" s="13">
        <f t="shared" si="977"/>
        <v>0</v>
      </c>
      <c r="AO970" s="11">
        <f t="shared" si="978"/>
        <v>0</v>
      </c>
      <c r="AQ970" s="11">
        <f t="shared" si="979"/>
        <v>0</v>
      </c>
      <c r="AS970" s="11">
        <f t="shared" si="980"/>
        <v>0</v>
      </c>
      <c r="AU970" s="11">
        <f t="shared" si="981"/>
        <v>0</v>
      </c>
      <c r="AW970" s="11">
        <f t="shared" si="982"/>
        <v>0</v>
      </c>
      <c r="AY970" s="11">
        <f t="shared" si="983"/>
        <v>0</v>
      </c>
      <c r="BA970" s="11">
        <f t="shared" si="984"/>
        <v>0</v>
      </c>
      <c r="BC970" s="11">
        <f t="shared" si="985"/>
        <v>0</v>
      </c>
      <c r="BE970" s="11">
        <f t="shared" si="986"/>
        <v>0</v>
      </c>
      <c r="BG970" s="11">
        <f t="shared" si="987"/>
        <v>0</v>
      </c>
      <c r="BN970" s="8">
        <f t="shared" si="925"/>
        <v>1264</v>
      </c>
      <c r="BO970" s="8">
        <f t="shared" si="926"/>
        <v>75840</v>
      </c>
      <c r="BP970" s="8">
        <f t="shared" si="928"/>
        <v>248</v>
      </c>
      <c r="BQ970" s="12">
        <f t="shared" si="929"/>
        <v>14880</v>
      </c>
    </row>
    <row r="971" spans="1:69">
      <c r="A971" s="28">
        <v>1996</v>
      </c>
      <c r="B971" s="27" t="s">
        <v>60</v>
      </c>
      <c r="C971" s="24">
        <f t="shared" si="931"/>
        <v>930</v>
      </c>
      <c r="D971" s="7">
        <f t="shared" ca="1" si="969"/>
        <v>0.12389767509656732</v>
      </c>
      <c r="E971" s="26">
        <f t="array" aca="1" ref="E971" ca="1">AVERAGE(IF(INDIRECT(DatCol&amp;"$"&amp;TEXT(C971,"###")):INDIRECT(DatCol&amp;"$"&amp;TEXT(C971+57,"###"))&gt;0,INDIRECT(DatCol&amp;"$"&amp;TEXT(C971,"###")):INDIRECT(DatCol&amp;"$"&amp;TEXT(C971+57,"###"))))</f>
        <v>16.142352941176469</v>
      </c>
      <c r="F971" s="26" t="str">
        <f t="shared" si="950"/>
        <v>B</v>
      </c>
      <c r="G971" s="9">
        <v>0</v>
      </c>
      <c r="H971" s="9">
        <v>28</v>
      </c>
      <c r="I971" s="9">
        <v>4</v>
      </c>
      <c r="J971" s="9">
        <v>38</v>
      </c>
      <c r="K971" s="9">
        <f t="shared" si="927"/>
        <v>66</v>
      </c>
      <c r="L971" s="10">
        <v>0</v>
      </c>
      <c r="M971" s="11">
        <v>0</v>
      </c>
      <c r="N971" s="10">
        <v>2</v>
      </c>
      <c r="O971" s="11">
        <f t="shared" si="971"/>
        <v>100</v>
      </c>
      <c r="P971" s="10">
        <f>2+87+28.5+0.75+722.5+238.17</f>
        <v>1078.92</v>
      </c>
      <c r="Q971" s="11">
        <f t="shared" si="972"/>
        <v>64735.200000000004</v>
      </c>
      <c r="X971" s="10">
        <f>30+1+2</f>
        <v>33</v>
      </c>
      <c r="Y971" s="11">
        <f t="shared" si="973"/>
        <v>1980</v>
      </c>
      <c r="AF971" s="10">
        <v>260</v>
      </c>
      <c r="AG971" s="11">
        <f t="shared" si="974"/>
        <v>16900</v>
      </c>
      <c r="AH971" s="10">
        <v>2</v>
      </c>
      <c r="AI971" s="11">
        <f t="shared" si="975"/>
        <v>130</v>
      </c>
      <c r="AK971" s="13">
        <f t="shared" si="976"/>
        <v>0</v>
      </c>
      <c r="AM971" s="13">
        <f t="shared" si="977"/>
        <v>0</v>
      </c>
      <c r="AO971" s="11">
        <f t="shared" si="978"/>
        <v>0</v>
      </c>
      <c r="AQ971" s="11">
        <f t="shared" si="979"/>
        <v>0</v>
      </c>
      <c r="AS971" s="11">
        <f t="shared" si="980"/>
        <v>0</v>
      </c>
      <c r="AU971" s="11">
        <f t="shared" si="981"/>
        <v>0</v>
      </c>
      <c r="AW971" s="11">
        <f t="shared" si="982"/>
        <v>0</v>
      </c>
      <c r="AY971" s="11">
        <f t="shared" si="983"/>
        <v>0</v>
      </c>
      <c r="BN971" s="8">
        <f t="shared" si="925"/>
        <v>1371.92</v>
      </c>
      <c r="BO971" s="8">
        <f t="shared" si="926"/>
        <v>83615.200000000012</v>
      </c>
      <c r="BP971" s="8">
        <f t="shared" si="928"/>
        <v>37</v>
      </c>
      <c r="BQ971" s="12">
        <f t="shared" si="929"/>
        <v>2210</v>
      </c>
    </row>
    <row r="972" spans="1:69">
      <c r="A972" s="28">
        <v>1997</v>
      </c>
      <c r="B972" s="27" t="s">
        <v>60</v>
      </c>
      <c r="C972" s="24">
        <f t="shared" si="931"/>
        <v>930</v>
      </c>
      <c r="D972" s="7">
        <f t="shared" ca="1" si="969"/>
        <v>0.92923256322425485</v>
      </c>
      <c r="E972" s="26">
        <f t="array" aca="1" ref="E972" ca="1">AVERAGE(IF(INDIRECT(DatCol&amp;"$"&amp;TEXT(C972,"###")):INDIRECT(DatCol&amp;"$"&amp;TEXT(C972+57,"###"))&gt;0,INDIRECT(DatCol&amp;"$"&amp;TEXT(C972,"###")):INDIRECT(DatCol&amp;"$"&amp;TEXT(C972+57,"###"))))</f>
        <v>16.142352941176469</v>
      </c>
      <c r="F972" s="26" t="str">
        <f t="shared" si="950"/>
        <v>B</v>
      </c>
      <c r="G972" s="9">
        <v>0</v>
      </c>
      <c r="H972" s="9">
        <f>0+10</f>
        <v>10</v>
      </c>
      <c r="I972" s="9">
        <v>2</v>
      </c>
      <c r="J972" s="9">
        <v>2</v>
      </c>
      <c r="K972" s="9">
        <f t="shared" si="927"/>
        <v>12</v>
      </c>
      <c r="L972" s="10">
        <v>428</v>
      </c>
      <c r="M972" s="11">
        <f t="shared" si="970"/>
        <v>21400</v>
      </c>
      <c r="N972" s="10">
        <v>15</v>
      </c>
      <c r="O972" s="11">
        <f t="shared" si="971"/>
        <v>750</v>
      </c>
      <c r="P972" s="10">
        <f>331+250+674</f>
        <v>1255</v>
      </c>
      <c r="Q972" s="11">
        <f t="shared" si="972"/>
        <v>75300</v>
      </c>
      <c r="X972" s="10">
        <f>42+31+22</f>
        <v>95</v>
      </c>
      <c r="Y972" s="11">
        <f t="shared" si="973"/>
        <v>5700</v>
      </c>
      <c r="AF972" s="10">
        <v>0</v>
      </c>
      <c r="AG972" s="11">
        <f t="shared" si="974"/>
        <v>0</v>
      </c>
      <c r="AH972" s="10">
        <v>28</v>
      </c>
      <c r="AI972" s="11">
        <f t="shared" si="975"/>
        <v>1820</v>
      </c>
      <c r="AJ972" s="10">
        <v>0</v>
      </c>
      <c r="AK972" s="13">
        <f t="shared" si="976"/>
        <v>0</v>
      </c>
      <c r="AL972" s="10">
        <v>0</v>
      </c>
      <c r="AM972" s="13">
        <f t="shared" si="977"/>
        <v>0</v>
      </c>
      <c r="AN972" s="10">
        <v>0</v>
      </c>
      <c r="AO972" s="11">
        <f t="shared" si="978"/>
        <v>0</v>
      </c>
      <c r="AP972" s="10">
        <v>0</v>
      </c>
      <c r="AQ972" s="11">
        <f t="shared" si="979"/>
        <v>0</v>
      </c>
      <c r="AR972" s="10">
        <v>0</v>
      </c>
      <c r="AS972" s="11">
        <f t="shared" si="980"/>
        <v>0</v>
      </c>
      <c r="AT972" s="10">
        <v>0</v>
      </c>
      <c r="AU972" s="11">
        <f t="shared" si="981"/>
        <v>0</v>
      </c>
      <c r="AV972" s="10">
        <v>0</v>
      </c>
      <c r="AW972" s="11">
        <f t="shared" si="982"/>
        <v>0</v>
      </c>
      <c r="AX972" s="10">
        <v>3</v>
      </c>
      <c r="AY972" s="11">
        <f>(AX972*60)</f>
        <v>180</v>
      </c>
      <c r="AZ972" s="10">
        <v>0</v>
      </c>
      <c r="BA972" s="11">
        <f t="shared" si="984"/>
        <v>0</v>
      </c>
      <c r="BB972" s="10">
        <v>1</v>
      </c>
      <c r="BC972" s="11">
        <f t="shared" si="985"/>
        <v>40</v>
      </c>
      <c r="BN972" s="8">
        <f t="shared" si="925"/>
        <v>1778</v>
      </c>
      <c r="BO972" s="8">
        <f t="shared" si="926"/>
        <v>102400</v>
      </c>
      <c r="BP972" s="8">
        <f t="shared" si="928"/>
        <v>142</v>
      </c>
      <c r="BQ972" s="12">
        <f t="shared" si="929"/>
        <v>8490</v>
      </c>
    </row>
    <row r="973" spans="1:69">
      <c r="A973" s="28">
        <v>1998</v>
      </c>
      <c r="B973" s="27" t="s">
        <v>60</v>
      </c>
      <c r="C973" s="24">
        <f t="shared" si="931"/>
        <v>930</v>
      </c>
      <c r="D973" s="7">
        <f t="shared" ca="1" si="969"/>
        <v>8.672837256759712E-2</v>
      </c>
      <c r="E973" s="26">
        <f t="array" aca="1" ref="E973" ca="1">AVERAGE(IF(INDIRECT(DatCol&amp;"$"&amp;TEXT(C973,"###")):INDIRECT(DatCol&amp;"$"&amp;TEXT(C973+57,"###"))&gt;0,INDIRECT(DatCol&amp;"$"&amp;TEXT(C973,"###")):INDIRECT(DatCol&amp;"$"&amp;TEXT(C973+57,"###"))))</f>
        <v>16.142352941176469</v>
      </c>
      <c r="F973" s="26" t="str">
        <f t="shared" si="950"/>
        <v>B</v>
      </c>
      <c r="G973" s="9">
        <v>0</v>
      </c>
      <c r="H973" s="9">
        <v>56</v>
      </c>
      <c r="I973" s="9">
        <v>5</v>
      </c>
      <c r="J973" s="9">
        <v>17</v>
      </c>
      <c r="K973" s="9">
        <f t="shared" si="927"/>
        <v>73</v>
      </c>
      <c r="L973" s="10">
        <v>0</v>
      </c>
      <c r="M973" s="11">
        <v>0</v>
      </c>
      <c r="N973" s="10">
        <f>O973/50</f>
        <v>1.4</v>
      </c>
      <c r="O973" s="11">
        <v>70</v>
      </c>
      <c r="P973" s="10">
        <v>0</v>
      </c>
      <c r="Q973" s="11">
        <v>0</v>
      </c>
      <c r="R973" s="10">
        <f>S973/60</f>
        <v>211.08333333333334</v>
      </c>
      <c r="S973" s="11">
        <v>12665</v>
      </c>
      <c r="T973" s="10">
        <f>U973/60</f>
        <v>397</v>
      </c>
      <c r="U973" s="11">
        <v>23820</v>
      </c>
      <c r="V973" s="10">
        <f>W973/60</f>
        <v>1082.5166666666667</v>
      </c>
      <c r="W973" s="11">
        <v>64951</v>
      </c>
      <c r="X973" s="10">
        <f>Y973/60</f>
        <v>1.6666666666666667</v>
      </c>
      <c r="Y973" s="11">
        <v>100</v>
      </c>
      <c r="Z973" s="10">
        <f>AA973/60</f>
        <v>3.3333333333333335</v>
      </c>
      <c r="AA973" s="11">
        <v>200</v>
      </c>
      <c r="AB973" s="10">
        <v>3.3</v>
      </c>
      <c r="AC973" s="11">
        <v>200</v>
      </c>
      <c r="AD973" s="10">
        <f>AE973/60</f>
        <v>0.83333333333333337</v>
      </c>
      <c r="AE973" s="11">
        <v>50</v>
      </c>
      <c r="AF973" s="10">
        <v>0</v>
      </c>
      <c r="AG973" s="11">
        <v>0</v>
      </c>
      <c r="AH973" s="10">
        <f>AI973/65</f>
        <v>0.38461538461538464</v>
      </c>
      <c r="AI973" s="11">
        <v>25</v>
      </c>
      <c r="AJ973" s="10">
        <v>0</v>
      </c>
      <c r="AK973" s="13">
        <v>0</v>
      </c>
      <c r="AL973" s="10">
        <v>0</v>
      </c>
      <c r="AM973" s="13">
        <v>0</v>
      </c>
      <c r="AN973" s="10">
        <v>0</v>
      </c>
      <c r="AO973" s="11">
        <v>0</v>
      </c>
      <c r="AP973" s="10">
        <v>0.8</v>
      </c>
      <c r="AQ973" s="11">
        <v>10</v>
      </c>
      <c r="AR973" s="10">
        <v>0</v>
      </c>
      <c r="AS973" s="11">
        <v>0</v>
      </c>
      <c r="AT973" s="10">
        <v>2</v>
      </c>
      <c r="AU973" s="11">
        <v>100</v>
      </c>
      <c r="AV973" s="10">
        <v>0</v>
      </c>
      <c r="AW973" s="11">
        <v>0</v>
      </c>
      <c r="AX973" s="10">
        <f>AY973/60</f>
        <v>0.25</v>
      </c>
      <c r="AY973" s="11">
        <v>15</v>
      </c>
      <c r="AZ973" s="10">
        <v>0</v>
      </c>
      <c r="BA973" s="11">
        <v>0</v>
      </c>
      <c r="BB973" s="10">
        <v>0</v>
      </c>
      <c r="BC973" s="11">
        <v>0</v>
      </c>
      <c r="BD973" s="10">
        <v>0</v>
      </c>
      <c r="BE973" s="11">
        <v>0</v>
      </c>
      <c r="BF973" s="10">
        <v>0</v>
      </c>
      <c r="BG973" s="11">
        <v>0</v>
      </c>
      <c r="BH973" s="11">
        <v>0</v>
      </c>
      <c r="BI973" s="11">
        <v>2</v>
      </c>
      <c r="BN973" s="8">
        <f t="shared" si="925"/>
        <v>1699.7333333333331</v>
      </c>
      <c r="BO973" s="8">
        <f t="shared" si="926"/>
        <v>101936</v>
      </c>
      <c r="BP973" s="8">
        <f t="shared" si="928"/>
        <v>13.967948717948719</v>
      </c>
      <c r="BQ973" s="12">
        <f t="shared" si="929"/>
        <v>770</v>
      </c>
    </row>
    <row r="974" spans="1:69">
      <c r="A974" s="28">
        <v>1999</v>
      </c>
      <c r="B974" s="27" t="s">
        <v>60</v>
      </c>
      <c r="C974" s="24">
        <f t="shared" si="931"/>
        <v>930</v>
      </c>
      <c r="D974" s="7">
        <f t="shared" ca="1" si="969"/>
        <v>0.37169302528970194</v>
      </c>
      <c r="E974" s="26">
        <f t="array" aca="1" ref="E974" ca="1">AVERAGE(IF(INDIRECT(DatCol&amp;"$"&amp;TEXT(C974,"###")):INDIRECT(DatCol&amp;"$"&amp;TEXT(C974+57,"###"))&gt;0,INDIRECT(DatCol&amp;"$"&amp;TEXT(C974,"###")):INDIRECT(DatCol&amp;"$"&amp;TEXT(C974+57,"###"))))</f>
        <v>16.142352941176469</v>
      </c>
      <c r="F974" s="26" t="str">
        <f t="shared" si="950"/>
        <v>B</v>
      </c>
      <c r="G974" s="9">
        <v>0</v>
      </c>
      <c r="H974" s="9">
        <v>50</v>
      </c>
      <c r="I974" s="9">
        <v>6</v>
      </c>
      <c r="J974" s="9">
        <v>21</v>
      </c>
      <c r="K974" s="9">
        <f t="shared" si="927"/>
        <v>71</v>
      </c>
      <c r="L974" s="10">
        <v>0</v>
      </c>
      <c r="M974" s="11">
        <v>0</v>
      </c>
      <c r="N974" s="10">
        <f>O974/50</f>
        <v>6</v>
      </c>
      <c r="O974" s="11">
        <v>300</v>
      </c>
      <c r="P974" s="10">
        <f>Q974/60</f>
        <v>141.28333333333333</v>
      </c>
      <c r="Q974" s="11">
        <v>8477</v>
      </c>
      <c r="R974" s="10">
        <f>S974/60</f>
        <v>128.66666666666666</v>
      </c>
      <c r="S974" s="11">
        <v>7720</v>
      </c>
      <c r="T974" s="10">
        <f>U974/60</f>
        <v>135.5</v>
      </c>
      <c r="U974" s="11">
        <v>8130</v>
      </c>
      <c r="V974" s="10">
        <f>W974/60</f>
        <v>236.86666666666667</v>
      </c>
      <c r="W974" s="11">
        <v>14212</v>
      </c>
      <c r="X974" s="10">
        <f>Y974/60</f>
        <v>3.3333333333333335</v>
      </c>
      <c r="Y974" s="11">
        <v>200</v>
      </c>
      <c r="Z974" s="10">
        <f>AA974/60</f>
        <v>1.6666666666666667</v>
      </c>
      <c r="AA974" s="11">
        <v>100</v>
      </c>
      <c r="AB974" s="10">
        <v>0</v>
      </c>
      <c r="AC974" s="11">
        <v>0</v>
      </c>
      <c r="AD974" s="10">
        <v>0</v>
      </c>
      <c r="AE974" s="11">
        <v>0</v>
      </c>
      <c r="AF974" s="10">
        <f>AG974/50</f>
        <v>160</v>
      </c>
      <c r="AG974" s="11">
        <v>8000</v>
      </c>
      <c r="AH974" s="10">
        <f>AI974/50</f>
        <v>0.5</v>
      </c>
      <c r="AI974" s="11">
        <v>25</v>
      </c>
      <c r="AJ974" s="10">
        <v>0</v>
      </c>
      <c r="AK974" s="13">
        <v>0</v>
      </c>
      <c r="AL974" s="10">
        <v>0</v>
      </c>
      <c r="AM974" s="13"/>
      <c r="AN974" s="10">
        <v>0</v>
      </c>
      <c r="AO974" s="11">
        <v>0</v>
      </c>
      <c r="AP974" s="10">
        <v>0</v>
      </c>
      <c r="AQ974" s="11">
        <v>0</v>
      </c>
      <c r="AR974" s="10">
        <v>0</v>
      </c>
      <c r="AS974" s="11">
        <v>0</v>
      </c>
      <c r="AT974" s="10">
        <v>0</v>
      </c>
      <c r="AU974" s="11">
        <v>0</v>
      </c>
      <c r="AV974" s="10">
        <v>0</v>
      </c>
      <c r="AW974" s="11">
        <v>0</v>
      </c>
      <c r="AX974" s="10">
        <v>0</v>
      </c>
      <c r="AY974" s="11">
        <v>0</v>
      </c>
      <c r="AZ974" s="10">
        <v>0</v>
      </c>
      <c r="BA974" s="11">
        <v>0</v>
      </c>
      <c r="BB974" s="10">
        <v>0</v>
      </c>
      <c r="BC974" s="11">
        <v>0</v>
      </c>
      <c r="BD974" s="10">
        <v>0</v>
      </c>
      <c r="BE974" s="11">
        <v>0</v>
      </c>
      <c r="BF974" s="10">
        <v>0</v>
      </c>
      <c r="BN974" s="8">
        <f t="shared" si="925"/>
        <v>807.31666666666661</v>
      </c>
      <c r="BO974" s="8">
        <f t="shared" si="926"/>
        <v>46839</v>
      </c>
      <c r="BP974" s="8">
        <f t="shared" si="928"/>
        <v>11.5</v>
      </c>
      <c r="BQ974" s="12">
        <f t="shared" si="929"/>
        <v>625</v>
      </c>
    </row>
    <row r="975" spans="1:69">
      <c r="A975" s="28">
        <v>2000</v>
      </c>
      <c r="B975" s="27" t="s">
        <v>60</v>
      </c>
      <c r="C975" s="24">
        <f t="shared" si="931"/>
        <v>930</v>
      </c>
      <c r="D975" s="7">
        <f t="shared" ca="1" si="969"/>
        <v>0.24903432694410027</v>
      </c>
      <c r="E975" s="26">
        <f t="array" aca="1" ref="E975" ca="1">AVERAGE(IF(INDIRECT(DatCol&amp;"$"&amp;TEXT(C975,"###")):INDIRECT(DatCol&amp;"$"&amp;TEXT(C975+57,"###"))&gt;0,INDIRECT(DatCol&amp;"$"&amp;TEXT(C975,"###")):INDIRECT(DatCol&amp;"$"&amp;TEXT(C975+57,"###"))))</f>
        <v>16.142352941176469</v>
      </c>
      <c r="F975" s="26" t="str">
        <f t="shared" si="950"/>
        <v>B</v>
      </c>
      <c r="G975" s="9">
        <v>0</v>
      </c>
      <c r="H975" s="9">
        <v>112</v>
      </c>
      <c r="I975" s="9">
        <v>5</v>
      </c>
      <c r="J975" s="9">
        <v>15</v>
      </c>
      <c r="K975" s="9">
        <f t="shared" si="927"/>
        <v>127</v>
      </c>
      <c r="L975" s="10">
        <v>0</v>
      </c>
      <c r="M975" s="11">
        <v>0</v>
      </c>
      <c r="N975" s="10">
        <f>O975/50</f>
        <v>4.0199999999999996</v>
      </c>
      <c r="O975" s="11">
        <v>201</v>
      </c>
      <c r="P975" s="10">
        <f>Q975/49.5</f>
        <v>498.5858585858586</v>
      </c>
      <c r="Q975" s="11">
        <v>24680</v>
      </c>
      <c r="R975" s="10">
        <f>S975/49.5</f>
        <v>372.32323232323233</v>
      </c>
      <c r="S975" s="11">
        <v>18430</v>
      </c>
      <c r="T975" s="10">
        <v>0</v>
      </c>
      <c r="U975" s="11">
        <v>0</v>
      </c>
      <c r="V975" s="10">
        <f>W975/49.5</f>
        <v>1088.7272727272727</v>
      </c>
      <c r="W975" s="11">
        <v>53892</v>
      </c>
      <c r="X975" s="10">
        <f>Y975/49.5</f>
        <v>25.676767676767678</v>
      </c>
      <c r="Y975" s="11">
        <v>1271</v>
      </c>
      <c r="Z975" s="10">
        <f>AA975/49.5</f>
        <v>12.121212121212121</v>
      </c>
      <c r="AA975" s="11">
        <v>600</v>
      </c>
      <c r="AB975" s="10">
        <f>AC975/57.5</f>
        <v>13.913043478260869</v>
      </c>
      <c r="AC975" s="11">
        <v>800</v>
      </c>
      <c r="AD975" s="10">
        <f>AE975/57.5</f>
        <v>12.173913043478262</v>
      </c>
      <c r="AE975" s="11">
        <v>700</v>
      </c>
      <c r="AF975" s="10">
        <v>0</v>
      </c>
      <c r="AG975" s="11">
        <v>0</v>
      </c>
      <c r="AH975" s="10">
        <f>AI975/47.5</f>
        <v>10.526315789473685</v>
      </c>
      <c r="AI975" s="11">
        <v>500</v>
      </c>
      <c r="AJ975" s="10">
        <v>0</v>
      </c>
      <c r="AK975" s="13">
        <v>0</v>
      </c>
      <c r="AL975" s="10">
        <v>0</v>
      </c>
      <c r="AM975" s="13">
        <v>0</v>
      </c>
      <c r="AN975" s="10">
        <v>0</v>
      </c>
      <c r="AO975" s="11">
        <v>0</v>
      </c>
      <c r="AP975" s="10">
        <v>0</v>
      </c>
      <c r="AQ975" s="11">
        <v>0</v>
      </c>
      <c r="AR975" s="10">
        <v>0</v>
      </c>
      <c r="AS975" s="11">
        <v>0</v>
      </c>
      <c r="AT975" s="10">
        <f>AU975/55</f>
        <v>0.54545454545454541</v>
      </c>
      <c r="AU975" s="11">
        <v>30</v>
      </c>
      <c r="AV975" s="10">
        <v>0</v>
      </c>
      <c r="AW975" s="11">
        <v>0</v>
      </c>
      <c r="AX975" s="10">
        <v>0</v>
      </c>
      <c r="AY975" s="11">
        <v>0</v>
      </c>
      <c r="AZ975" s="10">
        <v>0</v>
      </c>
      <c r="BA975" s="11">
        <v>0</v>
      </c>
      <c r="BB975" s="10">
        <v>0</v>
      </c>
      <c r="BC975" s="11">
        <v>0</v>
      </c>
      <c r="BD975" s="10">
        <v>0</v>
      </c>
      <c r="BE975" s="11">
        <v>0</v>
      </c>
      <c r="BF975" s="10">
        <v>0</v>
      </c>
      <c r="BG975" s="11">
        <v>0</v>
      </c>
      <c r="BN975" s="8">
        <f t="shared" si="925"/>
        <v>2023.5212999560824</v>
      </c>
      <c r="BO975" s="8">
        <f t="shared" si="926"/>
        <v>99673</v>
      </c>
      <c r="BP975" s="8">
        <f t="shared" si="928"/>
        <v>78.97670665464716</v>
      </c>
      <c r="BQ975" s="12">
        <f t="shared" si="929"/>
        <v>4102</v>
      </c>
    </row>
    <row r="976" spans="1:69">
      <c r="A976" s="28">
        <v>2001</v>
      </c>
      <c r="B976" s="27" t="s">
        <v>60</v>
      </c>
      <c r="C976" s="24">
        <f t="shared" si="931"/>
        <v>930</v>
      </c>
      <c r="D976" s="7" t="e">
        <f t="shared" ca="1" si="969"/>
        <v>#N/A</v>
      </c>
      <c r="E976" s="26">
        <f t="array" aca="1" ref="E976" ca="1">AVERAGE(IF(INDIRECT(DatCol&amp;"$"&amp;TEXT(C976,"###")):INDIRECT(DatCol&amp;"$"&amp;TEXT(C976+57,"###"))&gt;0,INDIRECT(DatCol&amp;"$"&amp;TEXT(C976,"###")):INDIRECT(DatCol&amp;"$"&amp;TEXT(C976+57,"###"))))</f>
        <v>16.142352941176469</v>
      </c>
      <c r="F976" s="26" t="str">
        <f t="shared" si="950"/>
        <v>B</v>
      </c>
      <c r="K976" s="9">
        <f t="shared" si="927"/>
        <v>0</v>
      </c>
      <c r="AK976" s="13"/>
      <c r="AM976" s="13"/>
      <c r="BN976" s="8">
        <f t="shared" si="925"/>
        <v>0</v>
      </c>
      <c r="BO976" s="8">
        <f t="shared" si="926"/>
        <v>0</v>
      </c>
      <c r="BP976" s="8">
        <f t="shared" si="928"/>
        <v>0</v>
      </c>
      <c r="BQ976" s="12">
        <f t="shared" si="929"/>
        <v>0</v>
      </c>
    </row>
    <row r="977" spans="1:69">
      <c r="A977" s="28">
        <v>2002</v>
      </c>
      <c r="B977" s="27" t="s">
        <v>60</v>
      </c>
      <c r="C977" s="24">
        <f t="shared" si="931"/>
        <v>930</v>
      </c>
      <c r="D977" s="7" t="e">
        <f t="shared" ca="1" si="969"/>
        <v>#N/A</v>
      </c>
      <c r="E977" s="26">
        <f t="array" aca="1" ref="E977" ca="1">AVERAGE(IF(INDIRECT(DatCol&amp;"$"&amp;TEXT(C977,"###")):INDIRECT(DatCol&amp;"$"&amp;TEXT(C977+57,"###"))&gt;0,INDIRECT(DatCol&amp;"$"&amp;TEXT(C977,"###")):INDIRECT(DatCol&amp;"$"&amp;TEXT(C977+57,"###"))))</f>
        <v>16.142352941176469</v>
      </c>
      <c r="F977" s="26" t="str">
        <f t="shared" si="950"/>
        <v>B</v>
      </c>
      <c r="K977" s="9">
        <f t="shared" si="927"/>
        <v>0</v>
      </c>
      <c r="AK977" s="13"/>
      <c r="AM977" s="13"/>
      <c r="BN977" s="8">
        <f t="shared" ref="BN977:BN1041" si="988">(L977+P977+R977+T977+V977+X977+Z977+AB977+AD977+AF977+AJ977+AN977+AR977+AV977+AZ977+BD977)</f>
        <v>0</v>
      </c>
      <c r="BO977" s="8">
        <f t="shared" si="926"/>
        <v>0</v>
      </c>
      <c r="BP977" s="8">
        <f t="shared" si="928"/>
        <v>0</v>
      </c>
      <c r="BQ977" s="12">
        <f t="shared" si="929"/>
        <v>0</v>
      </c>
    </row>
    <row r="978" spans="1:69">
      <c r="A978" s="28">
        <v>2003</v>
      </c>
      <c r="B978" s="27" t="s">
        <v>60</v>
      </c>
      <c r="C978" s="24">
        <f t="shared" si="931"/>
        <v>930</v>
      </c>
      <c r="D978" s="7" t="e">
        <f t="shared" ca="1" si="969"/>
        <v>#N/A</v>
      </c>
      <c r="E978" s="26">
        <f t="array" aca="1" ref="E978" ca="1">AVERAGE(IF(INDIRECT(DatCol&amp;"$"&amp;TEXT(C978,"###")):INDIRECT(DatCol&amp;"$"&amp;TEXT(C978+57,"###"))&gt;0,INDIRECT(DatCol&amp;"$"&amp;TEXT(C978,"###")):INDIRECT(DatCol&amp;"$"&amp;TEXT(C978+57,"###"))))</f>
        <v>16.142352941176469</v>
      </c>
      <c r="F978" s="26" t="str">
        <f t="shared" si="950"/>
        <v>B</v>
      </c>
      <c r="K978" s="9">
        <f t="shared" si="927"/>
        <v>0</v>
      </c>
      <c r="AK978" s="13"/>
      <c r="AM978" s="13"/>
      <c r="BN978" s="8">
        <f t="shared" si="988"/>
        <v>0</v>
      </c>
      <c r="BO978" s="8">
        <f t="shared" ref="BO978:BO1042" si="989">(M978+Q978+S978+U978+W978+Y978+AA978+AC978+AG978+AK978+AO978+AS978+AW978+BA978+BE978)</f>
        <v>0</v>
      </c>
      <c r="BP978" s="8">
        <f t="shared" si="928"/>
        <v>0</v>
      </c>
      <c r="BQ978" s="12">
        <f t="shared" si="929"/>
        <v>0</v>
      </c>
    </row>
    <row r="979" spans="1:69">
      <c r="A979" s="28">
        <v>2004</v>
      </c>
      <c r="B979" s="27" t="s">
        <v>60</v>
      </c>
      <c r="C979" s="24">
        <f t="shared" si="931"/>
        <v>930</v>
      </c>
      <c r="D979" s="7" t="e">
        <f t="shared" ca="1" si="969"/>
        <v>#N/A</v>
      </c>
      <c r="E979" s="26">
        <f t="array" aca="1" ref="E979" ca="1">AVERAGE(IF(INDIRECT(DatCol&amp;"$"&amp;TEXT(C979,"###")):INDIRECT(DatCol&amp;"$"&amp;TEXT(C979+57,"###"))&gt;0,INDIRECT(DatCol&amp;"$"&amp;TEXT(C979,"###")):INDIRECT(DatCol&amp;"$"&amp;TEXT(C979+57,"###"))))</f>
        <v>16.142352941176469</v>
      </c>
      <c r="F979" s="26" t="str">
        <f t="shared" si="950"/>
        <v>B</v>
      </c>
      <c r="K979" s="9">
        <f t="shared" ref="K979:K1042" si="990">G979+H979+J979</f>
        <v>0</v>
      </c>
      <c r="AK979" s="13"/>
      <c r="AM979" s="13"/>
      <c r="BN979" s="8">
        <f t="shared" si="988"/>
        <v>0</v>
      </c>
      <c r="BO979" s="8">
        <f t="shared" si="989"/>
        <v>0</v>
      </c>
      <c r="BP979" s="8">
        <f t="shared" si="928"/>
        <v>0</v>
      </c>
      <c r="BQ979" s="12">
        <f t="shared" si="929"/>
        <v>0</v>
      </c>
    </row>
    <row r="980" spans="1:69">
      <c r="A980" s="28">
        <v>2005</v>
      </c>
      <c r="B980" s="27" t="s">
        <v>60</v>
      </c>
      <c r="C980" s="24">
        <f t="shared" si="931"/>
        <v>930</v>
      </c>
      <c r="D980" s="7" t="e">
        <f t="shared" ca="1" si="969"/>
        <v>#N/A</v>
      </c>
      <c r="E980" s="26">
        <f t="array" aca="1" ref="E980" ca="1">AVERAGE(IF(INDIRECT(DatCol&amp;"$"&amp;TEXT(C980,"###")):INDIRECT(DatCol&amp;"$"&amp;TEXT(C980+57,"###"))&gt;0,INDIRECT(DatCol&amp;"$"&amp;TEXT(C980,"###")):INDIRECT(DatCol&amp;"$"&amp;TEXT(C980+57,"###"))))</f>
        <v>16.142352941176469</v>
      </c>
      <c r="F980" s="26" t="str">
        <f t="shared" si="950"/>
        <v>B</v>
      </c>
      <c r="K980" s="9">
        <f t="shared" si="990"/>
        <v>0</v>
      </c>
      <c r="AK980" s="13"/>
      <c r="AM980" s="13"/>
      <c r="BN980" s="8">
        <f t="shared" si="988"/>
        <v>0</v>
      </c>
      <c r="BO980" s="8">
        <f t="shared" si="989"/>
        <v>0</v>
      </c>
      <c r="BP980" s="8">
        <f t="shared" si="928"/>
        <v>0</v>
      </c>
      <c r="BQ980" s="12">
        <f t="shared" si="929"/>
        <v>0</v>
      </c>
    </row>
    <row r="981" spans="1:69">
      <c r="A981" s="28">
        <v>2006</v>
      </c>
      <c r="B981" s="27" t="s">
        <v>60</v>
      </c>
      <c r="C981" s="24">
        <f t="shared" si="931"/>
        <v>930</v>
      </c>
      <c r="D981" s="7" t="e">
        <f t="shared" ca="1" si="969"/>
        <v>#N/A</v>
      </c>
      <c r="E981" s="26">
        <f t="array" aca="1" ref="E981" ca="1">AVERAGE(IF(INDIRECT(DatCol&amp;"$"&amp;TEXT(C981,"###")):INDIRECT(DatCol&amp;"$"&amp;TEXT(C981+57,"###"))&gt;0,INDIRECT(DatCol&amp;"$"&amp;TEXT(C981,"###")):INDIRECT(DatCol&amp;"$"&amp;TEXT(C981+57,"###"))))</f>
        <v>16.142352941176469</v>
      </c>
      <c r="F981" s="26" t="str">
        <f t="shared" si="950"/>
        <v>B</v>
      </c>
      <c r="K981" s="9">
        <f t="shared" si="990"/>
        <v>0</v>
      </c>
      <c r="AK981" s="13"/>
      <c r="AM981" s="13"/>
      <c r="BN981" s="8">
        <f t="shared" si="988"/>
        <v>0</v>
      </c>
      <c r="BO981" s="8">
        <f t="shared" si="989"/>
        <v>0</v>
      </c>
      <c r="BP981" s="8">
        <f t="shared" si="928"/>
        <v>0</v>
      </c>
      <c r="BQ981" s="12">
        <f t="shared" si="929"/>
        <v>0</v>
      </c>
    </row>
    <row r="982" spans="1:69">
      <c r="A982" s="28">
        <v>2007</v>
      </c>
      <c r="B982" s="27" t="s">
        <v>60</v>
      </c>
      <c r="C982" s="24">
        <f t="shared" si="931"/>
        <v>930</v>
      </c>
      <c r="D982" s="7" t="e">
        <f t="shared" ca="1" si="969"/>
        <v>#N/A</v>
      </c>
      <c r="E982" s="26">
        <f t="array" aca="1" ref="E982" ca="1">AVERAGE(IF(INDIRECT(DatCol&amp;"$"&amp;TEXT(C982,"###")):INDIRECT(DatCol&amp;"$"&amp;TEXT(C982+57,"###"))&gt;0,INDIRECT(DatCol&amp;"$"&amp;TEXT(C982,"###")):INDIRECT(DatCol&amp;"$"&amp;TEXT(C982+57,"###"))))</f>
        <v>16.142352941176469</v>
      </c>
      <c r="F982" s="26" t="str">
        <f t="shared" si="950"/>
        <v>B</v>
      </c>
      <c r="K982" s="9">
        <f t="shared" si="990"/>
        <v>0</v>
      </c>
      <c r="AK982" s="13"/>
      <c r="AM982" s="13"/>
      <c r="BN982" s="8">
        <f t="shared" si="988"/>
        <v>0</v>
      </c>
      <c r="BO982" s="8">
        <f t="shared" si="989"/>
        <v>0</v>
      </c>
      <c r="BP982" s="8">
        <f t="shared" si="928"/>
        <v>0</v>
      </c>
      <c r="BQ982" s="12">
        <f t="shared" si="929"/>
        <v>0</v>
      </c>
    </row>
    <row r="983" spans="1:69">
      <c r="A983" s="28">
        <v>2008</v>
      </c>
      <c r="B983" s="27" t="s">
        <v>60</v>
      </c>
      <c r="C983" s="24">
        <f t="shared" si="931"/>
        <v>930</v>
      </c>
      <c r="D983" s="7" t="e">
        <f t="shared" ca="1" si="969"/>
        <v>#N/A</v>
      </c>
      <c r="E983" s="26">
        <f t="array" aca="1" ref="E983" ca="1">AVERAGE(IF(INDIRECT(DatCol&amp;"$"&amp;TEXT(C983,"###")):INDIRECT(DatCol&amp;"$"&amp;TEXT(C983+57,"###"))&gt;0,INDIRECT(DatCol&amp;"$"&amp;TEXT(C983,"###")):INDIRECT(DatCol&amp;"$"&amp;TEXT(C983+57,"###"))))</f>
        <v>16.142352941176469</v>
      </c>
      <c r="F983" s="26" t="str">
        <f t="shared" si="950"/>
        <v>B</v>
      </c>
      <c r="K983" s="9">
        <f t="shared" si="990"/>
        <v>0</v>
      </c>
      <c r="AK983" s="13"/>
      <c r="AM983" s="13"/>
      <c r="BN983" s="8">
        <f t="shared" si="988"/>
        <v>0</v>
      </c>
      <c r="BO983" s="8">
        <f t="shared" si="989"/>
        <v>0</v>
      </c>
      <c r="BP983" s="8">
        <f t="shared" si="928"/>
        <v>0</v>
      </c>
      <c r="BQ983" s="12">
        <f t="shared" si="929"/>
        <v>0</v>
      </c>
    </row>
    <row r="984" spans="1:69">
      <c r="A984" s="28">
        <v>2009</v>
      </c>
      <c r="B984" s="27" t="s">
        <v>60</v>
      </c>
      <c r="C984" s="24">
        <f t="shared" si="931"/>
        <v>930</v>
      </c>
      <c r="D984" s="7" t="e">
        <f t="shared" ca="1" si="969"/>
        <v>#N/A</v>
      </c>
      <c r="E984" s="26">
        <f t="array" aca="1" ref="E984" ca="1">AVERAGE(IF(INDIRECT(DatCol&amp;"$"&amp;TEXT(C984,"###")):INDIRECT(DatCol&amp;"$"&amp;TEXT(C984+57,"###"))&gt;0,INDIRECT(DatCol&amp;"$"&amp;TEXT(C984,"###")):INDIRECT(DatCol&amp;"$"&amp;TEXT(C984+57,"###"))))</f>
        <v>16.142352941176469</v>
      </c>
      <c r="F984" s="26" t="str">
        <f t="shared" si="950"/>
        <v>B</v>
      </c>
      <c r="K984" s="9">
        <f t="shared" si="990"/>
        <v>0</v>
      </c>
      <c r="AK984" s="13"/>
      <c r="AM984" s="13"/>
      <c r="BN984" s="8">
        <f t="shared" si="988"/>
        <v>0</v>
      </c>
      <c r="BO984" s="8">
        <f t="shared" si="989"/>
        <v>0</v>
      </c>
      <c r="BP984" s="8">
        <f t="shared" si="928"/>
        <v>0</v>
      </c>
      <c r="BQ984" s="12">
        <f t="shared" si="929"/>
        <v>0</v>
      </c>
    </row>
    <row r="985" spans="1:69">
      <c r="A985" s="28">
        <v>2010</v>
      </c>
      <c r="B985" s="27" t="s">
        <v>60</v>
      </c>
      <c r="C985" s="24">
        <f t="shared" si="931"/>
        <v>930</v>
      </c>
      <c r="D985" s="7" t="e">
        <f t="shared" ca="1" si="969"/>
        <v>#N/A</v>
      </c>
      <c r="E985" s="26">
        <f t="array" aca="1" ref="E985" ca="1">AVERAGE(IF(INDIRECT(DatCol&amp;"$"&amp;TEXT(C985,"###")):INDIRECT(DatCol&amp;"$"&amp;TEXT(C985+57,"###"))&gt;0,INDIRECT(DatCol&amp;"$"&amp;TEXT(C985,"###")):INDIRECT(DatCol&amp;"$"&amp;TEXT(C985+57,"###"))))</f>
        <v>16.142352941176469</v>
      </c>
      <c r="F985" s="26" t="str">
        <f t="shared" ref="F985:F987" si="991">VLOOKUP(B985,town_region,2,FALSE)</f>
        <v>B</v>
      </c>
      <c r="AK985" s="13"/>
      <c r="AM985" s="13"/>
      <c r="BN985" s="8"/>
      <c r="BO985" s="8"/>
      <c r="BP985" s="8"/>
      <c r="BQ985" s="12"/>
    </row>
    <row r="986" spans="1:69">
      <c r="A986" s="28">
        <v>2011</v>
      </c>
      <c r="B986" s="27" t="s">
        <v>60</v>
      </c>
      <c r="C986" s="24">
        <f t="shared" si="931"/>
        <v>930</v>
      </c>
      <c r="D986" s="7" t="e">
        <f t="shared" ca="1" si="969"/>
        <v>#N/A</v>
      </c>
      <c r="E986" s="26">
        <f t="array" aca="1" ref="E986" ca="1">AVERAGE(IF(INDIRECT(DatCol&amp;"$"&amp;TEXT(C986,"###")):INDIRECT(DatCol&amp;"$"&amp;TEXT(C986+57,"###"))&gt;0,INDIRECT(DatCol&amp;"$"&amp;TEXT(C986,"###")):INDIRECT(DatCol&amp;"$"&amp;TEXT(C986+57,"###"))))</f>
        <v>16.142352941176469</v>
      </c>
      <c r="F986" s="26" t="str">
        <f t="shared" si="991"/>
        <v>B</v>
      </c>
      <c r="AK986" s="13"/>
      <c r="AM986" s="13"/>
      <c r="BN986" s="8"/>
      <c r="BO986" s="8"/>
      <c r="BP986" s="8"/>
      <c r="BQ986" s="12"/>
    </row>
    <row r="987" spans="1:69">
      <c r="A987" s="28">
        <v>2012</v>
      </c>
      <c r="B987" s="27" t="s">
        <v>60</v>
      </c>
      <c r="C987" s="24">
        <f t="shared" si="931"/>
        <v>930</v>
      </c>
      <c r="D987" s="7" t="e">
        <f t="shared" ca="1" si="969"/>
        <v>#N/A</v>
      </c>
      <c r="E987" s="26">
        <f t="array" aca="1" ref="E987" ca="1">AVERAGE(IF(INDIRECT(DatCol&amp;"$"&amp;TEXT(C987,"###")):INDIRECT(DatCol&amp;"$"&amp;TEXT(C987+57,"###"))&gt;0,INDIRECT(DatCol&amp;"$"&amp;TEXT(C987,"###")):INDIRECT(DatCol&amp;"$"&amp;TEXT(C987+57,"###"))))</f>
        <v>16.142352941176469</v>
      </c>
      <c r="F987" s="26" t="str">
        <f t="shared" si="991"/>
        <v>B</v>
      </c>
      <c r="AK987" s="13"/>
      <c r="AM987" s="13"/>
      <c r="BN987" s="8"/>
      <c r="BO987" s="8"/>
      <c r="BP987" s="8"/>
      <c r="BQ987" s="12"/>
    </row>
    <row r="988" spans="1:69">
      <c r="A988" s="28">
        <v>1955</v>
      </c>
      <c r="B988" s="27" t="s">
        <v>61</v>
      </c>
      <c r="C988" s="24">
        <f>ROW()</f>
        <v>988</v>
      </c>
      <c r="D988" s="7" t="e">
        <f t="shared" ca="1" si="969"/>
        <v>#N/A</v>
      </c>
      <c r="E988" s="26">
        <f t="array" aca="1" ref="E988" ca="1">AVERAGE(IF(INDIRECT(DatCol&amp;"$"&amp;TEXT(C988,"###")):INDIRECT(DatCol&amp;"$"&amp;TEXT(C988+57,"###"))&gt;0,INDIRECT(DatCol&amp;"$"&amp;TEXT(C988,"###")):INDIRECT(DatCol&amp;"$"&amp;TEXT(C988+57,"###"))))</f>
        <v>124.04444444444445</v>
      </c>
      <c r="F988" s="26" t="str">
        <f t="shared" si="950"/>
        <v>C</v>
      </c>
      <c r="G988" s="8"/>
      <c r="H988" s="8">
        <v>35</v>
      </c>
      <c r="I988" s="8">
        <v>31</v>
      </c>
      <c r="J988" s="8">
        <v>302</v>
      </c>
      <c r="K988" s="9">
        <f t="shared" si="990"/>
        <v>337</v>
      </c>
      <c r="M988" s="11">
        <f t="shared" si="970"/>
        <v>0</v>
      </c>
      <c r="O988" s="11">
        <f t="shared" si="971"/>
        <v>0</v>
      </c>
      <c r="Q988" s="11">
        <f t="shared" si="972"/>
        <v>0</v>
      </c>
      <c r="Y988" s="11">
        <f t="shared" si="973"/>
        <v>0</v>
      </c>
      <c r="AG988" s="11">
        <f t="shared" si="974"/>
        <v>0</v>
      </c>
      <c r="AI988" s="11">
        <f t="shared" si="975"/>
        <v>0</v>
      </c>
      <c r="AK988" s="13">
        <f t="shared" si="976"/>
        <v>0</v>
      </c>
      <c r="AM988" s="13">
        <f t="shared" si="977"/>
        <v>0</v>
      </c>
      <c r="AO988" s="11">
        <f t="shared" si="978"/>
        <v>0</v>
      </c>
      <c r="AQ988" s="11">
        <f t="shared" si="979"/>
        <v>0</v>
      </c>
      <c r="AS988" s="11">
        <f t="shared" si="980"/>
        <v>0</v>
      </c>
      <c r="AU988" s="11">
        <f t="shared" si="981"/>
        <v>0</v>
      </c>
      <c r="AW988" s="11">
        <f t="shared" ref="AW988:AW993" si="992">(AV988*60)</f>
        <v>0</v>
      </c>
      <c r="AY988" s="11">
        <f t="shared" si="983"/>
        <v>0</v>
      </c>
      <c r="BA988" s="11">
        <f t="shared" si="984"/>
        <v>0</v>
      </c>
      <c r="BB988" s="12">
        <v>3500</v>
      </c>
      <c r="BC988" s="11">
        <f t="shared" si="985"/>
        <v>140000</v>
      </c>
      <c r="BE988" s="11">
        <f t="shared" ref="BE988:BE993" si="993">(BD988*95)</f>
        <v>0</v>
      </c>
      <c r="BG988" s="11">
        <f t="shared" ref="BG988:BG993" si="994">(BF988*95)</f>
        <v>0</v>
      </c>
      <c r="BN988" s="8">
        <f t="shared" si="988"/>
        <v>0</v>
      </c>
      <c r="BO988" s="8">
        <f t="shared" si="989"/>
        <v>0</v>
      </c>
      <c r="BP988" s="8">
        <f t="shared" si="928"/>
        <v>3500</v>
      </c>
      <c r="BQ988" s="12">
        <f t="shared" si="929"/>
        <v>140000</v>
      </c>
    </row>
    <row r="989" spans="1:69">
      <c r="A989" s="28">
        <v>1956</v>
      </c>
      <c r="B989" s="27" t="s">
        <v>61</v>
      </c>
      <c r="C989" s="24">
        <f t="shared" ref="C989:C1045" si="995">C988</f>
        <v>988</v>
      </c>
      <c r="D989" s="7" t="e">
        <f t="shared" ca="1" si="969"/>
        <v>#N/A</v>
      </c>
      <c r="E989" s="26">
        <f t="array" aca="1" ref="E989" ca="1">AVERAGE(IF(INDIRECT(DatCol&amp;"$"&amp;TEXT(C989,"###")):INDIRECT(DatCol&amp;"$"&amp;TEXT(C989+57,"###"))&gt;0,INDIRECT(DatCol&amp;"$"&amp;TEXT(C989,"###")):INDIRECT(DatCol&amp;"$"&amp;TEXT(C989+57,"###"))))</f>
        <v>124.04444444444445</v>
      </c>
      <c r="F989" s="26" t="str">
        <f t="shared" si="950"/>
        <v>C</v>
      </c>
      <c r="G989" s="8"/>
      <c r="H989" s="8">
        <v>65</v>
      </c>
      <c r="I989" s="8">
        <v>9</v>
      </c>
      <c r="J989" s="8">
        <v>294</v>
      </c>
      <c r="K989" s="9">
        <f t="shared" si="990"/>
        <v>359</v>
      </c>
      <c r="M989" s="11">
        <f t="shared" si="970"/>
        <v>0</v>
      </c>
      <c r="O989" s="11">
        <f t="shared" si="971"/>
        <v>0</v>
      </c>
      <c r="P989" s="12">
        <v>816</v>
      </c>
      <c r="Q989" s="11">
        <f t="shared" si="972"/>
        <v>48960</v>
      </c>
      <c r="X989" s="12">
        <v>584</v>
      </c>
      <c r="Y989" s="11">
        <f t="shared" si="973"/>
        <v>35040</v>
      </c>
      <c r="AF989" s="12">
        <v>301</v>
      </c>
      <c r="AG989" s="11">
        <f t="shared" si="974"/>
        <v>19565</v>
      </c>
      <c r="AH989" s="12">
        <v>135</v>
      </c>
      <c r="AI989" s="11">
        <f t="shared" si="975"/>
        <v>8775</v>
      </c>
      <c r="AJ989" s="12">
        <v>12</v>
      </c>
      <c r="AK989" s="13">
        <f t="shared" si="976"/>
        <v>108</v>
      </c>
      <c r="AL989" s="12">
        <v>6</v>
      </c>
      <c r="AM989" s="13">
        <f t="shared" si="977"/>
        <v>54</v>
      </c>
      <c r="AO989" s="11">
        <f t="shared" si="978"/>
        <v>0</v>
      </c>
      <c r="AQ989" s="11">
        <f t="shared" si="979"/>
        <v>0</v>
      </c>
      <c r="AS989" s="11">
        <f t="shared" si="980"/>
        <v>0</v>
      </c>
      <c r="AU989" s="11">
        <f t="shared" si="981"/>
        <v>0</v>
      </c>
      <c r="AW989" s="11">
        <f t="shared" si="992"/>
        <v>0</v>
      </c>
      <c r="AY989" s="11">
        <f t="shared" si="983"/>
        <v>0</v>
      </c>
      <c r="BA989" s="11">
        <f t="shared" si="984"/>
        <v>0</v>
      </c>
      <c r="BC989" s="11">
        <f t="shared" si="985"/>
        <v>0</v>
      </c>
      <c r="BE989" s="11">
        <f t="shared" si="993"/>
        <v>0</v>
      </c>
      <c r="BG989" s="11">
        <f t="shared" si="994"/>
        <v>0</v>
      </c>
      <c r="BN989" s="8">
        <f t="shared" si="988"/>
        <v>1713</v>
      </c>
      <c r="BO989" s="8">
        <f t="shared" si="989"/>
        <v>103673</v>
      </c>
      <c r="BP989" s="8">
        <f t="shared" ref="BP989:BP1053" si="996">(N989+X989+Z989+AB989+AD989+AH989+AL989+AP989+AT989+AX989+BB989+BF989)</f>
        <v>725</v>
      </c>
      <c r="BQ989" s="12">
        <f t="shared" ref="BQ989:BQ1053" si="997">(O989+Y989+AA989+AC989+AE989+AI989+AM989+AQ989+AU989+AY989+BC989+BG989)</f>
        <v>43869</v>
      </c>
    </row>
    <row r="990" spans="1:69">
      <c r="A990" s="28">
        <v>1957</v>
      </c>
      <c r="B990" s="27" t="s">
        <v>61</v>
      </c>
      <c r="C990" s="24">
        <f t="shared" si="995"/>
        <v>988</v>
      </c>
      <c r="D990" s="7" t="e">
        <f t="shared" ca="1" si="969"/>
        <v>#N/A</v>
      </c>
      <c r="E990" s="26">
        <f t="array" aca="1" ref="E990" ca="1">AVERAGE(IF(INDIRECT(DatCol&amp;"$"&amp;TEXT(C990,"###")):INDIRECT(DatCol&amp;"$"&amp;TEXT(C990+57,"###"))&gt;0,INDIRECT(DatCol&amp;"$"&amp;TEXT(C990,"###")):INDIRECT(DatCol&amp;"$"&amp;TEXT(C990+57,"###"))))</f>
        <v>124.04444444444445</v>
      </c>
      <c r="F990" s="26" t="str">
        <f t="shared" si="950"/>
        <v>C</v>
      </c>
      <c r="G990" s="8"/>
      <c r="H990" s="8">
        <v>60</v>
      </c>
      <c r="I990" s="8">
        <v>46</v>
      </c>
      <c r="J990" s="8">
        <v>322</v>
      </c>
      <c r="K990" s="9">
        <f t="shared" si="990"/>
        <v>382</v>
      </c>
      <c r="M990" s="11">
        <f t="shared" si="970"/>
        <v>0</v>
      </c>
      <c r="N990" s="12">
        <v>360</v>
      </c>
      <c r="O990" s="11">
        <f t="shared" si="971"/>
        <v>18000</v>
      </c>
      <c r="P990" s="12">
        <v>840</v>
      </c>
      <c r="Q990" s="11">
        <f t="shared" si="972"/>
        <v>50400</v>
      </c>
      <c r="X990" s="12">
        <v>945</v>
      </c>
      <c r="Y990" s="11">
        <f t="shared" si="973"/>
        <v>56700</v>
      </c>
      <c r="AF990" s="12">
        <v>300</v>
      </c>
      <c r="AG990" s="11">
        <f t="shared" si="974"/>
        <v>19500</v>
      </c>
      <c r="AH990" s="12">
        <v>151</v>
      </c>
      <c r="AI990" s="11">
        <f t="shared" si="975"/>
        <v>9815</v>
      </c>
      <c r="AJ990" s="12">
        <v>2222</v>
      </c>
      <c r="AK990" s="13">
        <f t="shared" si="976"/>
        <v>19998</v>
      </c>
      <c r="AL990" s="12">
        <v>72</v>
      </c>
      <c r="AM990" s="13">
        <f t="shared" si="977"/>
        <v>648</v>
      </c>
      <c r="AO990" s="11">
        <f t="shared" si="978"/>
        <v>0</v>
      </c>
      <c r="AQ990" s="11">
        <f t="shared" si="979"/>
        <v>0</v>
      </c>
      <c r="AS990" s="11">
        <f t="shared" si="980"/>
        <v>0</v>
      </c>
      <c r="AU990" s="11">
        <f t="shared" si="981"/>
        <v>0</v>
      </c>
      <c r="AW990" s="11">
        <f t="shared" si="992"/>
        <v>0</v>
      </c>
      <c r="AY990" s="11">
        <f t="shared" si="983"/>
        <v>0</v>
      </c>
      <c r="BA990" s="11">
        <f t="shared" si="984"/>
        <v>0</v>
      </c>
      <c r="BC990" s="11">
        <f t="shared" si="985"/>
        <v>0</v>
      </c>
      <c r="BE990" s="11">
        <f t="shared" si="993"/>
        <v>0</v>
      </c>
      <c r="BG990" s="11">
        <f t="shared" si="994"/>
        <v>0</v>
      </c>
      <c r="BN990" s="8">
        <f t="shared" si="988"/>
        <v>4307</v>
      </c>
      <c r="BO990" s="8">
        <f t="shared" si="989"/>
        <v>146598</v>
      </c>
      <c r="BP990" s="8">
        <f t="shared" si="996"/>
        <v>1528</v>
      </c>
      <c r="BQ990" s="12">
        <f t="shared" si="997"/>
        <v>85163</v>
      </c>
    </row>
    <row r="991" spans="1:69">
      <c r="A991" s="28">
        <v>1958</v>
      </c>
      <c r="B991" s="27" t="s">
        <v>61</v>
      </c>
      <c r="C991" s="24">
        <f t="shared" si="995"/>
        <v>988</v>
      </c>
      <c r="D991" s="7" t="e">
        <f t="shared" ca="1" si="969"/>
        <v>#N/A</v>
      </c>
      <c r="E991" s="26">
        <f t="array" aca="1" ref="E991" ca="1">AVERAGE(IF(INDIRECT(DatCol&amp;"$"&amp;TEXT(C991,"###")):INDIRECT(DatCol&amp;"$"&amp;TEXT(C991+57,"###"))&gt;0,INDIRECT(DatCol&amp;"$"&amp;TEXT(C991,"###")):INDIRECT(DatCol&amp;"$"&amp;TEXT(C991+57,"###"))))</f>
        <v>124.04444444444445</v>
      </c>
      <c r="F991" s="26" t="str">
        <f t="shared" si="950"/>
        <v>C</v>
      </c>
      <c r="G991" s="8"/>
      <c r="H991" s="8">
        <v>68</v>
      </c>
      <c r="I991" s="8">
        <v>20</v>
      </c>
      <c r="J991" s="8">
        <v>332</v>
      </c>
      <c r="K991" s="9">
        <f t="shared" si="990"/>
        <v>400</v>
      </c>
      <c r="M991" s="11">
        <f t="shared" si="970"/>
        <v>0</v>
      </c>
      <c r="N991" s="12">
        <v>208</v>
      </c>
      <c r="O991" s="11">
        <f t="shared" si="971"/>
        <v>10400</v>
      </c>
      <c r="P991" s="12">
        <v>400</v>
      </c>
      <c r="Q991" s="11">
        <f t="shared" si="972"/>
        <v>24000</v>
      </c>
      <c r="X991" s="12">
        <v>484</v>
      </c>
      <c r="Y991" s="11">
        <f t="shared" si="973"/>
        <v>29040</v>
      </c>
      <c r="AF991" s="12">
        <v>400</v>
      </c>
      <c r="AG991" s="11">
        <f t="shared" si="974"/>
        <v>26000</v>
      </c>
      <c r="AH991" s="12">
        <v>40</v>
      </c>
      <c r="AI991" s="11">
        <f t="shared" si="975"/>
        <v>2600</v>
      </c>
      <c r="AJ991" s="12">
        <v>940</v>
      </c>
      <c r="AK991" s="13">
        <f t="shared" si="976"/>
        <v>8460</v>
      </c>
      <c r="AL991" s="12">
        <v>12</v>
      </c>
      <c r="AM991" s="13">
        <f t="shared" si="977"/>
        <v>108</v>
      </c>
      <c r="AO991" s="11">
        <f t="shared" si="978"/>
        <v>0</v>
      </c>
      <c r="AQ991" s="11">
        <f t="shared" si="979"/>
        <v>0</v>
      </c>
      <c r="AS991" s="11">
        <f t="shared" si="980"/>
        <v>0</v>
      </c>
      <c r="AU991" s="11">
        <f t="shared" si="981"/>
        <v>0</v>
      </c>
      <c r="AW991" s="11">
        <f t="shared" si="992"/>
        <v>0</v>
      </c>
      <c r="AY991" s="11">
        <f t="shared" si="983"/>
        <v>0</v>
      </c>
      <c r="BA991" s="11">
        <f t="shared" si="984"/>
        <v>0</v>
      </c>
      <c r="BC991" s="11">
        <f t="shared" si="985"/>
        <v>0</v>
      </c>
      <c r="BE991" s="11">
        <f t="shared" si="993"/>
        <v>0</v>
      </c>
      <c r="BG991" s="11">
        <f t="shared" si="994"/>
        <v>0</v>
      </c>
      <c r="BN991" s="8">
        <f t="shared" si="988"/>
        <v>2224</v>
      </c>
      <c r="BO991" s="8">
        <f t="shared" si="989"/>
        <v>87500</v>
      </c>
      <c r="BP991" s="8">
        <f t="shared" si="996"/>
        <v>744</v>
      </c>
      <c r="BQ991" s="12">
        <f t="shared" si="997"/>
        <v>42148</v>
      </c>
    </row>
    <row r="992" spans="1:69">
      <c r="A992" s="28">
        <v>1959</v>
      </c>
      <c r="B992" s="27" t="s">
        <v>61</v>
      </c>
      <c r="C992" s="24">
        <f t="shared" si="995"/>
        <v>988</v>
      </c>
      <c r="D992" s="7" t="e">
        <f t="shared" ca="1" si="969"/>
        <v>#N/A</v>
      </c>
      <c r="E992" s="26">
        <f t="array" aca="1" ref="E992" ca="1">AVERAGE(IF(INDIRECT(DatCol&amp;"$"&amp;TEXT(C992,"###")):INDIRECT(DatCol&amp;"$"&amp;TEXT(C992+57,"###"))&gt;0,INDIRECT(DatCol&amp;"$"&amp;TEXT(C992,"###")):INDIRECT(DatCol&amp;"$"&amp;TEXT(C992+57,"###"))))</f>
        <v>124.04444444444445</v>
      </c>
      <c r="F992" s="26" t="str">
        <f t="shared" si="950"/>
        <v>C</v>
      </c>
      <c r="G992" s="8"/>
      <c r="H992" s="8">
        <v>54</v>
      </c>
      <c r="I992" s="8">
        <v>10</v>
      </c>
      <c r="J992" s="8">
        <v>339</v>
      </c>
      <c r="K992" s="9">
        <f t="shared" si="990"/>
        <v>393</v>
      </c>
      <c r="M992" s="11">
        <f t="shared" si="970"/>
        <v>0</v>
      </c>
      <c r="N992" s="12">
        <v>200</v>
      </c>
      <c r="O992" s="11">
        <f t="shared" si="971"/>
        <v>10000</v>
      </c>
      <c r="P992" s="12">
        <v>410</v>
      </c>
      <c r="Q992" s="11">
        <f t="shared" si="972"/>
        <v>24600</v>
      </c>
      <c r="X992" s="12">
        <v>662</v>
      </c>
      <c r="Y992" s="11">
        <f t="shared" si="973"/>
        <v>39720</v>
      </c>
      <c r="AF992" s="12">
        <v>220</v>
      </c>
      <c r="AG992" s="11">
        <f t="shared" si="974"/>
        <v>14300</v>
      </c>
      <c r="AH992" s="12">
        <v>85</v>
      </c>
      <c r="AI992" s="11">
        <f t="shared" si="975"/>
        <v>5525</v>
      </c>
      <c r="AJ992" s="12">
        <v>35</v>
      </c>
      <c r="AK992" s="13">
        <f t="shared" si="976"/>
        <v>315</v>
      </c>
      <c r="AL992" s="12">
        <v>5</v>
      </c>
      <c r="AM992" s="13">
        <f t="shared" si="977"/>
        <v>45</v>
      </c>
      <c r="AO992" s="11">
        <f t="shared" si="978"/>
        <v>0</v>
      </c>
      <c r="AQ992" s="11">
        <f t="shared" si="979"/>
        <v>0</v>
      </c>
      <c r="AS992" s="11">
        <f t="shared" si="980"/>
        <v>0</v>
      </c>
      <c r="AU992" s="11">
        <f t="shared" si="981"/>
        <v>0</v>
      </c>
      <c r="AW992" s="11">
        <f t="shared" si="992"/>
        <v>0</v>
      </c>
      <c r="AY992" s="11">
        <f t="shared" si="983"/>
        <v>0</v>
      </c>
      <c r="BA992" s="11">
        <f t="shared" si="984"/>
        <v>0</v>
      </c>
      <c r="BC992" s="11">
        <f t="shared" si="985"/>
        <v>0</v>
      </c>
      <c r="BE992" s="11">
        <f t="shared" si="993"/>
        <v>0</v>
      </c>
      <c r="BG992" s="11">
        <f t="shared" si="994"/>
        <v>0</v>
      </c>
      <c r="BN992" s="8">
        <f t="shared" si="988"/>
        <v>1327</v>
      </c>
      <c r="BO992" s="8">
        <f t="shared" si="989"/>
        <v>78935</v>
      </c>
      <c r="BP992" s="8">
        <f t="shared" si="996"/>
        <v>952</v>
      </c>
      <c r="BQ992" s="12">
        <f t="shared" si="997"/>
        <v>55290</v>
      </c>
    </row>
    <row r="993" spans="1:69">
      <c r="A993" s="28">
        <v>1960</v>
      </c>
      <c r="B993" s="27" t="s">
        <v>61</v>
      </c>
      <c r="C993" s="24">
        <f t="shared" si="995"/>
        <v>988</v>
      </c>
      <c r="D993" s="7" t="e">
        <f t="shared" ca="1" si="969"/>
        <v>#N/A</v>
      </c>
      <c r="E993" s="26">
        <f t="array" aca="1" ref="E993" ca="1">AVERAGE(IF(INDIRECT(DatCol&amp;"$"&amp;TEXT(C993,"###")):INDIRECT(DatCol&amp;"$"&amp;TEXT(C993+57,"###"))&gt;0,INDIRECT(DatCol&amp;"$"&amp;TEXT(C993,"###")):INDIRECT(DatCol&amp;"$"&amp;TEXT(C993+57,"###"))))</f>
        <v>124.04444444444445</v>
      </c>
      <c r="F993" s="26" t="str">
        <f t="shared" si="950"/>
        <v>C</v>
      </c>
      <c r="G993" s="8"/>
      <c r="H993" s="8">
        <v>70</v>
      </c>
      <c r="I993" s="8">
        <v>111</v>
      </c>
      <c r="J993" s="8">
        <v>379</v>
      </c>
      <c r="K993" s="9">
        <f t="shared" si="990"/>
        <v>449</v>
      </c>
      <c r="M993" s="11">
        <f t="shared" si="970"/>
        <v>0</v>
      </c>
      <c r="N993" s="12">
        <v>108</v>
      </c>
      <c r="O993" s="11">
        <f t="shared" si="971"/>
        <v>5400</v>
      </c>
      <c r="P993" s="12">
        <v>1200</v>
      </c>
      <c r="Q993" s="11">
        <f t="shared" si="972"/>
        <v>72000</v>
      </c>
      <c r="X993" s="12">
        <v>740</v>
      </c>
      <c r="Y993" s="11">
        <f t="shared" si="973"/>
        <v>44400</v>
      </c>
      <c r="AF993" s="12">
        <v>310</v>
      </c>
      <c r="AG993" s="11">
        <f t="shared" si="974"/>
        <v>20150</v>
      </c>
      <c r="AH993" s="12">
        <v>111</v>
      </c>
      <c r="AI993" s="11">
        <f t="shared" si="975"/>
        <v>7215</v>
      </c>
      <c r="AJ993" s="12">
        <v>39</v>
      </c>
      <c r="AK993" s="13">
        <f t="shared" si="976"/>
        <v>351</v>
      </c>
      <c r="AM993" s="13">
        <f t="shared" si="977"/>
        <v>0</v>
      </c>
      <c r="AO993" s="11">
        <f t="shared" si="978"/>
        <v>0</v>
      </c>
      <c r="AQ993" s="11">
        <f t="shared" si="979"/>
        <v>0</v>
      </c>
      <c r="AS993" s="11">
        <f t="shared" si="980"/>
        <v>0</v>
      </c>
      <c r="AU993" s="11">
        <f t="shared" si="981"/>
        <v>0</v>
      </c>
      <c r="AW993" s="11">
        <f t="shared" si="992"/>
        <v>0</v>
      </c>
      <c r="AY993" s="11">
        <f t="shared" si="983"/>
        <v>0</v>
      </c>
      <c r="BA993" s="11">
        <f t="shared" si="984"/>
        <v>0</v>
      </c>
      <c r="BC993" s="11">
        <f t="shared" si="985"/>
        <v>0</v>
      </c>
      <c r="BE993" s="11">
        <f t="shared" si="993"/>
        <v>0</v>
      </c>
      <c r="BG993" s="11">
        <f t="shared" si="994"/>
        <v>0</v>
      </c>
      <c r="BN993" s="8">
        <f t="shared" si="988"/>
        <v>2289</v>
      </c>
      <c r="BO993" s="8">
        <f t="shared" si="989"/>
        <v>136901</v>
      </c>
      <c r="BP993" s="8">
        <f t="shared" si="996"/>
        <v>959</v>
      </c>
      <c r="BQ993" s="12">
        <f t="shared" si="997"/>
        <v>57015</v>
      </c>
    </row>
    <row r="994" spans="1:69">
      <c r="A994" s="28">
        <v>1961</v>
      </c>
      <c r="B994" s="27" t="s">
        <v>61</v>
      </c>
      <c r="C994" s="24">
        <f t="shared" si="995"/>
        <v>988</v>
      </c>
      <c r="D994" s="7" t="e">
        <f t="shared" ca="1" si="969"/>
        <v>#N/A</v>
      </c>
      <c r="E994" s="26">
        <f t="array" aca="1" ref="E994" ca="1">AVERAGE(IF(INDIRECT(DatCol&amp;"$"&amp;TEXT(C994,"###")):INDIRECT(DatCol&amp;"$"&amp;TEXT(C994+57,"###"))&gt;0,INDIRECT(DatCol&amp;"$"&amp;TEXT(C994,"###")):INDIRECT(DatCol&amp;"$"&amp;TEXT(C994+57,"###"))))</f>
        <v>124.04444444444445</v>
      </c>
      <c r="F994" s="26" t="str">
        <f t="shared" si="950"/>
        <v>C</v>
      </c>
      <c r="G994" s="8"/>
      <c r="H994" s="8">
        <v>63</v>
      </c>
      <c r="I994" s="8">
        <v>29</v>
      </c>
      <c r="J994" s="8">
        <v>537</v>
      </c>
      <c r="K994" s="9">
        <f t="shared" si="990"/>
        <v>600</v>
      </c>
      <c r="M994" s="11">
        <f t="shared" ref="M994:M1009" si="998">(L994*50)</f>
        <v>0</v>
      </c>
      <c r="N994" s="12">
        <v>55</v>
      </c>
      <c r="O994" s="11">
        <f t="shared" ref="O994:O1009" si="999">(N994*50)</f>
        <v>2750</v>
      </c>
      <c r="P994" s="12">
        <v>4118</v>
      </c>
      <c r="Q994" s="11">
        <f t="shared" ref="Q994:Q1009" si="1000">((P994*330)/5.5)</f>
        <v>247080</v>
      </c>
      <c r="X994" s="12">
        <v>1100</v>
      </c>
      <c r="Y994" s="11">
        <f t="shared" ref="Y994:Y1009" si="1001">((X994*330)/5.5)</f>
        <v>66000</v>
      </c>
      <c r="AF994" s="12">
        <v>1946</v>
      </c>
      <c r="AG994" s="11">
        <f t="shared" ref="AG994:AG1009" si="1002">(AF994*65)</f>
        <v>126490</v>
      </c>
      <c r="AH994" s="12">
        <v>165</v>
      </c>
      <c r="AI994" s="11">
        <f t="shared" ref="AI994:AI1009" si="1003">(AH994*65)</f>
        <v>10725</v>
      </c>
      <c r="AJ994" s="12">
        <v>20</v>
      </c>
      <c r="AK994" s="13">
        <f t="shared" ref="AK994:AK1009" si="1004">(AJ994*9)</f>
        <v>180</v>
      </c>
      <c r="AM994" s="13">
        <f t="shared" ref="AM994:AM1009" si="1005">(AL994*9)</f>
        <v>0</v>
      </c>
      <c r="AN994" s="12">
        <v>600</v>
      </c>
      <c r="AO994" s="11">
        <f t="shared" ref="AO994:AO1009" si="1006">(AN994*80)</f>
        <v>48000</v>
      </c>
      <c r="AQ994" s="11">
        <f t="shared" ref="AQ994:AQ1009" si="1007">(AP994*80)</f>
        <v>0</v>
      </c>
      <c r="AS994" s="11">
        <f t="shared" ref="AS994:AS1009" si="1008">(AR994*50)</f>
        <v>0</v>
      </c>
      <c r="AU994" s="11">
        <f t="shared" ref="AU994:AU1009" si="1009">(AT994*50)</f>
        <v>0</v>
      </c>
      <c r="AW994" s="11">
        <f t="shared" ref="AW994:AW1009" si="1010">(AV994*60)</f>
        <v>0</v>
      </c>
      <c r="AY994" s="11">
        <f t="shared" ref="AY994:AY1009" si="1011">(AX994*60)</f>
        <v>0</v>
      </c>
      <c r="BA994" s="11">
        <f t="shared" ref="BA994:BA1009" si="1012">(AZ994*40)</f>
        <v>0</v>
      </c>
      <c r="BC994" s="11">
        <f t="shared" ref="BC994:BC1009" si="1013">(BB994*40)</f>
        <v>0</v>
      </c>
      <c r="BE994" s="11">
        <f t="shared" ref="BE994:BE1009" si="1014">(BD994*95)</f>
        <v>0</v>
      </c>
      <c r="BG994" s="11">
        <f t="shared" ref="BG994:BG1009" si="1015">(BF994*95)</f>
        <v>0</v>
      </c>
      <c r="BN994" s="8">
        <f t="shared" si="988"/>
        <v>7784</v>
      </c>
      <c r="BO994" s="8">
        <f t="shared" si="989"/>
        <v>487750</v>
      </c>
      <c r="BP994" s="8">
        <f t="shared" si="996"/>
        <v>1320</v>
      </c>
      <c r="BQ994" s="12">
        <f t="shared" si="997"/>
        <v>79475</v>
      </c>
    </row>
    <row r="995" spans="1:69">
      <c r="A995" s="28">
        <v>1962</v>
      </c>
      <c r="B995" s="27" t="s">
        <v>61</v>
      </c>
      <c r="C995" s="24">
        <f t="shared" si="995"/>
        <v>988</v>
      </c>
      <c r="D995" s="7" t="e">
        <f t="shared" ca="1" si="969"/>
        <v>#N/A</v>
      </c>
      <c r="E995" s="26">
        <f t="array" aca="1" ref="E995" ca="1">AVERAGE(IF(INDIRECT(DatCol&amp;"$"&amp;TEXT(C995,"###")):INDIRECT(DatCol&amp;"$"&amp;TEXT(C995+57,"###"))&gt;0,INDIRECT(DatCol&amp;"$"&amp;TEXT(C995,"###")):INDIRECT(DatCol&amp;"$"&amp;TEXT(C995+57,"###"))))</f>
        <v>124.04444444444445</v>
      </c>
      <c r="F995" s="26" t="str">
        <f t="shared" si="950"/>
        <v>C</v>
      </c>
      <c r="G995" s="8"/>
      <c r="H995" s="8">
        <v>78</v>
      </c>
      <c r="I995" s="8">
        <v>38</v>
      </c>
      <c r="J995" s="8">
        <v>365</v>
      </c>
      <c r="K995" s="9">
        <f t="shared" si="990"/>
        <v>443</v>
      </c>
      <c r="M995" s="11">
        <f t="shared" si="998"/>
        <v>0</v>
      </c>
      <c r="N995" s="12">
        <v>41</v>
      </c>
      <c r="O995" s="11">
        <f t="shared" si="999"/>
        <v>2050</v>
      </c>
      <c r="P995" s="12">
        <v>2880</v>
      </c>
      <c r="Q995" s="11">
        <f t="shared" si="1000"/>
        <v>172800</v>
      </c>
      <c r="X995" s="12">
        <v>1200</v>
      </c>
      <c r="Y995" s="11">
        <f t="shared" si="1001"/>
        <v>72000</v>
      </c>
      <c r="AF995" s="12">
        <v>2000</v>
      </c>
      <c r="AG995" s="11">
        <f t="shared" si="1002"/>
        <v>130000</v>
      </c>
      <c r="AH995" s="12">
        <v>170</v>
      </c>
      <c r="AI995" s="11">
        <f t="shared" si="1003"/>
        <v>11050</v>
      </c>
      <c r="AJ995" s="12">
        <v>40</v>
      </c>
      <c r="AK995" s="13">
        <f t="shared" si="1004"/>
        <v>360</v>
      </c>
      <c r="AM995" s="13">
        <f t="shared" si="1005"/>
        <v>0</v>
      </c>
      <c r="AN995" s="12">
        <v>700</v>
      </c>
      <c r="AO995" s="11">
        <f t="shared" si="1006"/>
        <v>56000</v>
      </c>
      <c r="AQ995" s="11">
        <f t="shared" si="1007"/>
        <v>0</v>
      </c>
      <c r="AS995" s="11">
        <f t="shared" si="1008"/>
        <v>0</v>
      </c>
      <c r="AU995" s="11">
        <f t="shared" si="1009"/>
        <v>0</v>
      </c>
      <c r="AW995" s="11">
        <f t="shared" si="1010"/>
        <v>0</v>
      </c>
      <c r="AY995" s="11">
        <f t="shared" si="1011"/>
        <v>0</v>
      </c>
      <c r="BA995" s="11">
        <f t="shared" si="1012"/>
        <v>0</v>
      </c>
      <c r="BC995" s="11">
        <f t="shared" si="1013"/>
        <v>0</v>
      </c>
      <c r="BE995" s="11">
        <f t="shared" si="1014"/>
        <v>0</v>
      </c>
      <c r="BG995" s="11">
        <f t="shared" si="1015"/>
        <v>0</v>
      </c>
      <c r="BN995" s="8">
        <f t="shared" si="988"/>
        <v>6820</v>
      </c>
      <c r="BO995" s="8">
        <f t="shared" si="989"/>
        <v>431160</v>
      </c>
      <c r="BP995" s="8">
        <f t="shared" si="996"/>
        <v>1411</v>
      </c>
      <c r="BQ995" s="12">
        <f t="shared" si="997"/>
        <v>85100</v>
      </c>
    </row>
    <row r="996" spans="1:69">
      <c r="A996" s="28">
        <v>1963</v>
      </c>
      <c r="B996" s="27" t="s">
        <v>61</v>
      </c>
      <c r="C996" s="24">
        <f t="shared" si="995"/>
        <v>988</v>
      </c>
      <c r="D996" s="7" t="e">
        <f t="shared" ca="1" si="969"/>
        <v>#N/A</v>
      </c>
      <c r="E996" s="26">
        <f t="array" aca="1" ref="E996" ca="1">AVERAGE(IF(INDIRECT(DatCol&amp;"$"&amp;TEXT(C996,"###")):INDIRECT(DatCol&amp;"$"&amp;TEXT(C996+57,"###"))&gt;0,INDIRECT(DatCol&amp;"$"&amp;TEXT(C996,"###")):INDIRECT(DatCol&amp;"$"&amp;TEXT(C996+57,"###"))))</f>
        <v>124.04444444444445</v>
      </c>
      <c r="F996" s="26" t="str">
        <f t="shared" si="950"/>
        <v>C</v>
      </c>
      <c r="G996" s="8"/>
      <c r="H996" s="8">
        <v>102</v>
      </c>
      <c r="I996" s="8">
        <v>32</v>
      </c>
      <c r="J996" s="8">
        <v>414</v>
      </c>
      <c r="K996" s="9">
        <f t="shared" si="990"/>
        <v>516</v>
      </c>
      <c r="M996" s="11">
        <f t="shared" si="998"/>
        <v>0</v>
      </c>
      <c r="N996" s="12">
        <v>84</v>
      </c>
      <c r="O996" s="11">
        <f t="shared" si="999"/>
        <v>4200</v>
      </c>
      <c r="P996" s="12">
        <v>6200</v>
      </c>
      <c r="Q996" s="11">
        <f t="shared" si="1000"/>
        <v>372000</v>
      </c>
      <c r="X996" s="12">
        <v>1240</v>
      </c>
      <c r="Y996" s="11">
        <f t="shared" si="1001"/>
        <v>74400</v>
      </c>
      <c r="AF996" s="12">
        <v>100</v>
      </c>
      <c r="AG996" s="11">
        <f t="shared" si="1002"/>
        <v>6500</v>
      </c>
      <c r="AH996" s="12">
        <v>280</v>
      </c>
      <c r="AI996" s="11">
        <f t="shared" si="1003"/>
        <v>18200</v>
      </c>
      <c r="AJ996" s="12">
        <v>310</v>
      </c>
      <c r="AK996" s="13">
        <f t="shared" si="1004"/>
        <v>2790</v>
      </c>
      <c r="AM996" s="13">
        <f t="shared" si="1005"/>
        <v>0</v>
      </c>
      <c r="AO996" s="11">
        <f t="shared" si="1006"/>
        <v>0</v>
      </c>
      <c r="AQ996" s="11">
        <f t="shared" si="1007"/>
        <v>0</v>
      </c>
      <c r="AS996" s="11">
        <f t="shared" si="1008"/>
        <v>0</v>
      </c>
      <c r="AU996" s="11">
        <f t="shared" si="1009"/>
        <v>0</v>
      </c>
      <c r="AW996" s="11">
        <f t="shared" si="1010"/>
        <v>0</v>
      </c>
      <c r="AY996" s="11">
        <f t="shared" si="1011"/>
        <v>0</v>
      </c>
      <c r="BA996" s="11">
        <f t="shared" si="1012"/>
        <v>0</v>
      </c>
      <c r="BC996" s="11">
        <f t="shared" si="1013"/>
        <v>0</v>
      </c>
      <c r="BE996" s="11">
        <f t="shared" si="1014"/>
        <v>0</v>
      </c>
      <c r="BG996" s="11">
        <f t="shared" si="1015"/>
        <v>0</v>
      </c>
      <c r="BN996" s="8">
        <f t="shared" si="988"/>
        <v>7850</v>
      </c>
      <c r="BO996" s="8">
        <f t="shared" si="989"/>
        <v>455690</v>
      </c>
      <c r="BP996" s="8">
        <f t="shared" si="996"/>
        <v>1604</v>
      </c>
      <c r="BQ996" s="12">
        <f t="shared" si="997"/>
        <v>96800</v>
      </c>
    </row>
    <row r="997" spans="1:69">
      <c r="A997" s="28">
        <v>1964</v>
      </c>
      <c r="B997" s="27" t="s">
        <v>61</v>
      </c>
      <c r="C997" s="24">
        <f t="shared" si="995"/>
        <v>988</v>
      </c>
      <c r="D997" s="7" t="e">
        <f t="shared" ca="1" si="969"/>
        <v>#N/A</v>
      </c>
      <c r="E997" s="26">
        <f t="array" aca="1" ref="E997" ca="1">AVERAGE(IF(INDIRECT(DatCol&amp;"$"&amp;TEXT(C997,"###")):INDIRECT(DatCol&amp;"$"&amp;TEXT(C997+57,"###"))&gt;0,INDIRECT(DatCol&amp;"$"&amp;TEXT(C997,"###")):INDIRECT(DatCol&amp;"$"&amp;TEXT(C997+57,"###"))))</f>
        <v>124.04444444444445</v>
      </c>
      <c r="F997" s="26" t="str">
        <f t="shared" si="950"/>
        <v>C</v>
      </c>
      <c r="G997" s="8"/>
      <c r="H997" s="8">
        <v>124</v>
      </c>
      <c r="I997" s="8">
        <v>35</v>
      </c>
      <c r="J997" s="8">
        <v>432</v>
      </c>
      <c r="K997" s="9">
        <f t="shared" si="990"/>
        <v>556</v>
      </c>
      <c r="M997" s="11">
        <f t="shared" si="998"/>
        <v>0</v>
      </c>
      <c r="N997" s="12">
        <v>125</v>
      </c>
      <c r="O997" s="11">
        <f t="shared" si="999"/>
        <v>6250</v>
      </c>
      <c r="P997" s="12">
        <v>4662</v>
      </c>
      <c r="Q997" s="11">
        <f t="shared" si="1000"/>
        <v>279720</v>
      </c>
      <c r="X997" s="12">
        <v>1688</v>
      </c>
      <c r="Y997" s="11">
        <f t="shared" si="1001"/>
        <v>101280</v>
      </c>
      <c r="AF997" s="12">
        <v>384</v>
      </c>
      <c r="AG997" s="11">
        <f t="shared" si="1002"/>
        <v>24960</v>
      </c>
      <c r="AH997" s="12">
        <v>120</v>
      </c>
      <c r="AI997" s="11">
        <f t="shared" si="1003"/>
        <v>7800</v>
      </c>
      <c r="AJ997" s="12">
        <v>0</v>
      </c>
      <c r="AK997" s="13">
        <f t="shared" si="1004"/>
        <v>0</v>
      </c>
      <c r="AM997" s="13">
        <f t="shared" si="1005"/>
        <v>0</v>
      </c>
      <c r="AN997" s="12">
        <v>200</v>
      </c>
      <c r="AO997" s="11">
        <f t="shared" si="1006"/>
        <v>16000</v>
      </c>
      <c r="AQ997" s="11">
        <f t="shared" si="1007"/>
        <v>0</v>
      </c>
      <c r="AS997" s="11">
        <f t="shared" si="1008"/>
        <v>0</v>
      </c>
      <c r="AU997" s="11">
        <f t="shared" si="1009"/>
        <v>0</v>
      </c>
      <c r="AW997" s="11">
        <f t="shared" si="1010"/>
        <v>0</v>
      </c>
      <c r="AY997" s="11">
        <f t="shared" si="1011"/>
        <v>0</v>
      </c>
      <c r="BA997" s="11">
        <f t="shared" si="1012"/>
        <v>0</v>
      </c>
      <c r="BC997" s="11">
        <f t="shared" si="1013"/>
        <v>0</v>
      </c>
      <c r="BE997" s="11">
        <f t="shared" si="1014"/>
        <v>0</v>
      </c>
      <c r="BG997" s="11">
        <f t="shared" si="1015"/>
        <v>0</v>
      </c>
      <c r="BN997" s="8">
        <f t="shared" si="988"/>
        <v>6934</v>
      </c>
      <c r="BO997" s="8">
        <f t="shared" si="989"/>
        <v>421960</v>
      </c>
      <c r="BP997" s="8">
        <f t="shared" si="996"/>
        <v>1933</v>
      </c>
      <c r="BQ997" s="12">
        <f t="shared" si="997"/>
        <v>115330</v>
      </c>
    </row>
    <row r="998" spans="1:69">
      <c r="A998" s="28">
        <v>1965</v>
      </c>
      <c r="B998" s="27" t="s">
        <v>61</v>
      </c>
      <c r="C998" s="24">
        <f t="shared" si="995"/>
        <v>988</v>
      </c>
      <c r="D998" s="7" t="e">
        <f t="shared" ca="1" si="969"/>
        <v>#N/A</v>
      </c>
      <c r="E998" s="26">
        <f t="array" aca="1" ref="E998" ca="1">AVERAGE(IF(INDIRECT(DatCol&amp;"$"&amp;TEXT(C998,"###")):INDIRECT(DatCol&amp;"$"&amp;TEXT(C998+57,"###"))&gt;0,INDIRECT(DatCol&amp;"$"&amp;TEXT(C998,"###")):INDIRECT(DatCol&amp;"$"&amp;TEXT(C998+57,"###"))))</f>
        <v>124.04444444444445</v>
      </c>
      <c r="F998" s="26" t="str">
        <f t="shared" si="950"/>
        <v>C</v>
      </c>
      <c r="G998" s="8"/>
      <c r="H998" s="8">
        <v>150</v>
      </c>
      <c r="I998" s="8">
        <v>25</v>
      </c>
      <c r="J998" s="8">
        <v>457</v>
      </c>
      <c r="K998" s="9">
        <f t="shared" si="990"/>
        <v>607</v>
      </c>
      <c r="M998" s="11">
        <f t="shared" si="998"/>
        <v>0</v>
      </c>
      <c r="N998" s="12">
        <v>161</v>
      </c>
      <c r="O998" s="11">
        <f t="shared" si="999"/>
        <v>8050</v>
      </c>
      <c r="P998" s="12">
        <v>4090</v>
      </c>
      <c r="Q998" s="11">
        <f t="shared" si="1000"/>
        <v>245400</v>
      </c>
      <c r="X998" s="12">
        <v>952</v>
      </c>
      <c r="Y998" s="11">
        <f t="shared" si="1001"/>
        <v>57120</v>
      </c>
      <c r="AF998" s="12">
        <v>210</v>
      </c>
      <c r="AG998" s="11">
        <f t="shared" si="1002"/>
        <v>13650</v>
      </c>
      <c r="AH998" s="12">
        <v>239</v>
      </c>
      <c r="AI998" s="11">
        <f t="shared" si="1003"/>
        <v>15535</v>
      </c>
      <c r="AJ998" s="12">
        <v>40</v>
      </c>
      <c r="AK998" s="13">
        <f t="shared" si="1004"/>
        <v>360</v>
      </c>
      <c r="AM998" s="13">
        <f t="shared" si="1005"/>
        <v>0</v>
      </c>
      <c r="AO998" s="11">
        <f t="shared" si="1006"/>
        <v>0</v>
      </c>
      <c r="AQ998" s="11">
        <f t="shared" si="1007"/>
        <v>0</v>
      </c>
      <c r="AS998" s="11">
        <f t="shared" si="1008"/>
        <v>0</v>
      </c>
      <c r="AU998" s="11">
        <f t="shared" si="1009"/>
        <v>0</v>
      </c>
      <c r="AW998" s="11">
        <f t="shared" si="1010"/>
        <v>0</v>
      </c>
      <c r="AY998" s="11">
        <f t="shared" si="1011"/>
        <v>0</v>
      </c>
      <c r="BA998" s="11">
        <f t="shared" si="1012"/>
        <v>0</v>
      </c>
      <c r="BC998" s="11">
        <f t="shared" si="1013"/>
        <v>0</v>
      </c>
      <c r="BE998" s="11">
        <f t="shared" si="1014"/>
        <v>0</v>
      </c>
      <c r="BG998" s="11">
        <f t="shared" si="1015"/>
        <v>0</v>
      </c>
      <c r="BN998" s="8">
        <f t="shared" si="988"/>
        <v>5292</v>
      </c>
      <c r="BO998" s="8">
        <f t="shared" si="989"/>
        <v>316530</v>
      </c>
      <c r="BP998" s="8">
        <f t="shared" si="996"/>
        <v>1352</v>
      </c>
      <c r="BQ998" s="12">
        <f t="shared" si="997"/>
        <v>80705</v>
      </c>
    </row>
    <row r="999" spans="1:69">
      <c r="A999" s="28">
        <v>1966</v>
      </c>
      <c r="B999" s="27" t="s">
        <v>61</v>
      </c>
      <c r="C999" s="24">
        <f t="shared" si="995"/>
        <v>988</v>
      </c>
      <c r="D999" s="7" t="e">
        <f t="shared" ca="1" si="969"/>
        <v>#N/A</v>
      </c>
      <c r="E999" s="26">
        <f t="array" aca="1" ref="E999" ca="1">AVERAGE(IF(INDIRECT(DatCol&amp;"$"&amp;TEXT(C999,"###")):INDIRECT(DatCol&amp;"$"&amp;TEXT(C999+57,"###"))&gt;0,INDIRECT(DatCol&amp;"$"&amp;TEXT(C999,"###")):INDIRECT(DatCol&amp;"$"&amp;TEXT(C999+57,"###"))))</f>
        <v>124.04444444444445</v>
      </c>
      <c r="F999" s="26" t="str">
        <f t="shared" si="950"/>
        <v>C</v>
      </c>
      <c r="G999" s="8"/>
      <c r="H999" s="8">
        <v>145</v>
      </c>
      <c r="I999" s="8">
        <v>32</v>
      </c>
      <c r="J999" s="8">
        <v>484</v>
      </c>
      <c r="K999" s="9">
        <f t="shared" si="990"/>
        <v>629</v>
      </c>
      <c r="M999" s="11">
        <f t="shared" si="998"/>
        <v>0</v>
      </c>
      <c r="N999" s="12">
        <v>180</v>
      </c>
      <c r="O999" s="11">
        <f t="shared" si="999"/>
        <v>9000</v>
      </c>
      <c r="P999" s="12">
        <v>3300</v>
      </c>
      <c r="Q999" s="11">
        <f t="shared" si="1000"/>
        <v>198000</v>
      </c>
      <c r="X999" s="12">
        <v>900</v>
      </c>
      <c r="Y999" s="11">
        <f t="shared" si="1001"/>
        <v>54000</v>
      </c>
      <c r="AF999" s="12">
        <v>180</v>
      </c>
      <c r="AG999" s="11">
        <f t="shared" si="1002"/>
        <v>11700</v>
      </c>
      <c r="AH999" s="12">
        <v>245</v>
      </c>
      <c r="AI999" s="11">
        <f t="shared" si="1003"/>
        <v>15925</v>
      </c>
      <c r="AJ999" s="12">
        <v>1180</v>
      </c>
      <c r="AK999" s="13">
        <f t="shared" si="1004"/>
        <v>10620</v>
      </c>
      <c r="AM999" s="13">
        <f t="shared" si="1005"/>
        <v>0</v>
      </c>
      <c r="AO999" s="11">
        <f t="shared" si="1006"/>
        <v>0</v>
      </c>
      <c r="AQ999" s="11">
        <f t="shared" si="1007"/>
        <v>0</v>
      </c>
      <c r="AS999" s="11">
        <f t="shared" si="1008"/>
        <v>0</v>
      </c>
      <c r="AU999" s="11">
        <f t="shared" si="1009"/>
        <v>0</v>
      </c>
      <c r="AW999" s="11">
        <f t="shared" si="1010"/>
        <v>0</v>
      </c>
      <c r="AY999" s="11">
        <f t="shared" si="1011"/>
        <v>0</v>
      </c>
      <c r="BA999" s="11">
        <f t="shared" si="1012"/>
        <v>0</v>
      </c>
      <c r="BC999" s="11">
        <f t="shared" si="1013"/>
        <v>0</v>
      </c>
      <c r="BE999" s="11">
        <f t="shared" si="1014"/>
        <v>0</v>
      </c>
      <c r="BG999" s="11">
        <f t="shared" si="1015"/>
        <v>0</v>
      </c>
      <c r="BN999" s="8">
        <f t="shared" si="988"/>
        <v>5560</v>
      </c>
      <c r="BO999" s="8">
        <f t="shared" si="989"/>
        <v>274320</v>
      </c>
      <c r="BP999" s="8">
        <f t="shared" si="996"/>
        <v>1325</v>
      </c>
      <c r="BQ999" s="12">
        <f t="shared" si="997"/>
        <v>78925</v>
      </c>
    </row>
    <row r="1000" spans="1:69">
      <c r="A1000" s="28">
        <v>1967</v>
      </c>
      <c r="B1000" s="27" t="s">
        <v>61</v>
      </c>
      <c r="C1000" s="24">
        <f t="shared" si="995"/>
        <v>988</v>
      </c>
      <c r="D1000" s="7" t="e">
        <f t="shared" ca="1" si="969"/>
        <v>#N/A</v>
      </c>
      <c r="E1000" s="26">
        <f t="array" aca="1" ref="E1000" ca="1">AVERAGE(IF(INDIRECT(DatCol&amp;"$"&amp;TEXT(C1000,"###")):INDIRECT(DatCol&amp;"$"&amp;TEXT(C1000+57,"###"))&gt;0,INDIRECT(DatCol&amp;"$"&amp;TEXT(C1000,"###")):INDIRECT(DatCol&amp;"$"&amp;TEXT(C1000+57,"###"))))</f>
        <v>124.04444444444445</v>
      </c>
      <c r="F1000" s="26" t="str">
        <f t="shared" si="950"/>
        <v>C</v>
      </c>
      <c r="G1000" s="8"/>
      <c r="H1000" s="8">
        <v>104</v>
      </c>
      <c r="I1000" s="8">
        <v>19</v>
      </c>
      <c r="J1000" s="8">
        <v>450</v>
      </c>
      <c r="K1000" s="9">
        <f t="shared" si="990"/>
        <v>554</v>
      </c>
      <c r="M1000" s="11">
        <f t="shared" si="998"/>
        <v>0</v>
      </c>
      <c r="N1000" s="12">
        <v>200</v>
      </c>
      <c r="O1000" s="11">
        <f t="shared" si="999"/>
        <v>10000</v>
      </c>
      <c r="P1000" s="12">
        <v>4510</v>
      </c>
      <c r="Q1000" s="11">
        <f t="shared" si="1000"/>
        <v>270600</v>
      </c>
      <c r="X1000" s="12">
        <v>1000</v>
      </c>
      <c r="Y1000" s="11">
        <f t="shared" si="1001"/>
        <v>60000</v>
      </c>
      <c r="AF1000" s="12">
        <v>50</v>
      </c>
      <c r="AG1000" s="11">
        <f t="shared" si="1002"/>
        <v>3250</v>
      </c>
      <c r="AH1000" s="12">
        <v>100</v>
      </c>
      <c r="AI1000" s="11">
        <f t="shared" si="1003"/>
        <v>6500</v>
      </c>
      <c r="AJ1000" s="12">
        <v>450</v>
      </c>
      <c r="AK1000" s="13">
        <f t="shared" si="1004"/>
        <v>4050</v>
      </c>
      <c r="AL1000" s="12">
        <v>100</v>
      </c>
      <c r="AM1000" s="13">
        <f t="shared" si="1005"/>
        <v>900</v>
      </c>
      <c r="AO1000" s="11">
        <f t="shared" si="1006"/>
        <v>0</v>
      </c>
      <c r="AQ1000" s="11">
        <f t="shared" si="1007"/>
        <v>0</v>
      </c>
      <c r="AS1000" s="11">
        <f t="shared" si="1008"/>
        <v>0</v>
      </c>
      <c r="AU1000" s="11">
        <f t="shared" si="1009"/>
        <v>0</v>
      </c>
      <c r="AW1000" s="11">
        <f t="shared" si="1010"/>
        <v>0</v>
      </c>
      <c r="AY1000" s="11">
        <f t="shared" si="1011"/>
        <v>0</v>
      </c>
      <c r="BA1000" s="11">
        <f t="shared" si="1012"/>
        <v>0</v>
      </c>
      <c r="BC1000" s="11">
        <f t="shared" si="1013"/>
        <v>0</v>
      </c>
      <c r="BE1000" s="11">
        <f t="shared" si="1014"/>
        <v>0</v>
      </c>
      <c r="BG1000" s="11">
        <f t="shared" si="1015"/>
        <v>0</v>
      </c>
      <c r="BN1000" s="8">
        <f t="shared" si="988"/>
        <v>6010</v>
      </c>
      <c r="BO1000" s="8">
        <f t="shared" si="989"/>
        <v>337900</v>
      </c>
      <c r="BP1000" s="8">
        <f t="shared" si="996"/>
        <v>1400</v>
      </c>
      <c r="BQ1000" s="12">
        <f t="shared" si="997"/>
        <v>77400</v>
      </c>
    </row>
    <row r="1001" spans="1:69">
      <c r="A1001" s="28">
        <v>1968</v>
      </c>
      <c r="B1001" s="27" t="s">
        <v>61</v>
      </c>
      <c r="C1001" s="24">
        <f t="shared" si="995"/>
        <v>988</v>
      </c>
      <c r="D1001" s="7" t="e">
        <f t="shared" ca="1" si="969"/>
        <v>#N/A</v>
      </c>
      <c r="E1001" s="26">
        <f t="array" aca="1" ref="E1001" ca="1">AVERAGE(IF(INDIRECT(DatCol&amp;"$"&amp;TEXT(C1001,"###")):INDIRECT(DatCol&amp;"$"&amp;TEXT(C1001+57,"###"))&gt;0,INDIRECT(DatCol&amp;"$"&amp;TEXT(C1001,"###")):INDIRECT(DatCol&amp;"$"&amp;TEXT(C1001+57,"###"))))</f>
        <v>124.04444444444445</v>
      </c>
      <c r="F1001" s="26" t="str">
        <f t="shared" si="950"/>
        <v>C</v>
      </c>
      <c r="G1001" s="8"/>
      <c r="H1001" s="8">
        <v>103</v>
      </c>
      <c r="I1001" s="8">
        <v>30</v>
      </c>
      <c r="J1001" s="8">
        <v>494</v>
      </c>
      <c r="K1001" s="9">
        <f t="shared" si="990"/>
        <v>597</v>
      </c>
      <c r="M1001" s="11">
        <f t="shared" si="998"/>
        <v>0</v>
      </c>
      <c r="N1001" s="12">
        <v>180</v>
      </c>
      <c r="O1001" s="11">
        <f t="shared" si="999"/>
        <v>9000</v>
      </c>
      <c r="P1001" s="12">
        <v>4100</v>
      </c>
      <c r="Q1001" s="11">
        <f t="shared" si="1000"/>
        <v>246000</v>
      </c>
      <c r="X1001" s="12">
        <v>1100</v>
      </c>
      <c r="Y1001" s="11">
        <f t="shared" si="1001"/>
        <v>66000</v>
      </c>
      <c r="AF1001" s="12">
        <v>70</v>
      </c>
      <c r="AG1001" s="11">
        <f t="shared" si="1002"/>
        <v>4550</v>
      </c>
      <c r="AH1001" s="12">
        <v>150</v>
      </c>
      <c r="AI1001" s="11">
        <f t="shared" si="1003"/>
        <v>9750</v>
      </c>
      <c r="AJ1001" s="12">
        <v>350</v>
      </c>
      <c r="AK1001" s="13">
        <f t="shared" si="1004"/>
        <v>3150</v>
      </c>
      <c r="AL1001" s="12">
        <v>40</v>
      </c>
      <c r="AM1001" s="13">
        <f t="shared" si="1005"/>
        <v>360</v>
      </c>
      <c r="AO1001" s="11">
        <f t="shared" si="1006"/>
        <v>0</v>
      </c>
      <c r="AQ1001" s="11">
        <f t="shared" si="1007"/>
        <v>0</v>
      </c>
      <c r="AS1001" s="11">
        <f t="shared" si="1008"/>
        <v>0</v>
      </c>
      <c r="AU1001" s="11">
        <f t="shared" si="1009"/>
        <v>0</v>
      </c>
      <c r="AW1001" s="11">
        <f t="shared" si="1010"/>
        <v>0</v>
      </c>
      <c r="AY1001" s="11">
        <f t="shared" si="1011"/>
        <v>0</v>
      </c>
      <c r="BA1001" s="11">
        <f t="shared" si="1012"/>
        <v>0</v>
      </c>
      <c r="BC1001" s="11">
        <f t="shared" si="1013"/>
        <v>0</v>
      </c>
      <c r="BE1001" s="11">
        <f t="shared" si="1014"/>
        <v>0</v>
      </c>
      <c r="BG1001" s="11">
        <f t="shared" si="1015"/>
        <v>0</v>
      </c>
      <c r="BN1001" s="8">
        <f t="shared" si="988"/>
        <v>5620</v>
      </c>
      <c r="BO1001" s="8">
        <f t="shared" si="989"/>
        <v>319700</v>
      </c>
      <c r="BP1001" s="8">
        <f t="shared" si="996"/>
        <v>1470</v>
      </c>
      <c r="BQ1001" s="12">
        <f t="shared" si="997"/>
        <v>85110</v>
      </c>
    </row>
    <row r="1002" spans="1:69">
      <c r="A1002" s="28">
        <v>1969</v>
      </c>
      <c r="B1002" s="27" t="s">
        <v>61</v>
      </c>
      <c r="C1002" s="24">
        <f t="shared" si="995"/>
        <v>988</v>
      </c>
      <c r="D1002" s="7" t="e">
        <f t="shared" ca="1" si="969"/>
        <v>#N/A</v>
      </c>
      <c r="E1002" s="26">
        <f t="array" aca="1" ref="E1002" ca="1">AVERAGE(IF(INDIRECT(DatCol&amp;"$"&amp;TEXT(C1002,"###")):INDIRECT(DatCol&amp;"$"&amp;TEXT(C1002+57,"###"))&gt;0,INDIRECT(DatCol&amp;"$"&amp;TEXT(C1002,"###")):INDIRECT(DatCol&amp;"$"&amp;TEXT(C1002+57,"###"))))</f>
        <v>124.04444444444445</v>
      </c>
      <c r="F1002" s="26" t="str">
        <f t="shared" si="950"/>
        <v>C</v>
      </c>
      <c r="G1002" s="8"/>
      <c r="H1002" s="8">
        <v>90</v>
      </c>
      <c r="I1002" s="8">
        <v>36</v>
      </c>
      <c r="J1002" s="8">
        <v>531</v>
      </c>
      <c r="K1002" s="9">
        <f t="shared" si="990"/>
        <v>621</v>
      </c>
      <c r="M1002" s="11">
        <f t="shared" si="998"/>
        <v>0</v>
      </c>
      <c r="N1002" s="12">
        <v>200</v>
      </c>
      <c r="O1002" s="11">
        <f t="shared" si="999"/>
        <v>10000</v>
      </c>
      <c r="P1002" s="12">
        <v>4400</v>
      </c>
      <c r="Q1002" s="11">
        <f t="shared" si="1000"/>
        <v>264000</v>
      </c>
      <c r="X1002" s="12">
        <v>620</v>
      </c>
      <c r="Y1002" s="11">
        <f t="shared" si="1001"/>
        <v>37200</v>
      </c>
      <c r="AF1002" s="12">
        <v>150</v>
      </c>
      <c r="AG1002" s="11">
        <f t="shared" si="1002"/>
        <v>9750</v>
      </c>
      <c r="AH1002" s="12">
        <v>150</v>
      </c>
      <c r="AI1002" s="11">
        <f t="shared" si="1003"/>
        <v>9750</v>
      </c>
      <c r="AJ1002" s="12">
        <v>1300</v>
      </c>
      <c r="AK1002" s="13">
        <f t="shared" si="1004"/>
        <v>11700</v>
      </c>
      <c r="AL1002" s="12">
        <v>400</v>
      </c>
      <c r="AM1002" s="13">
        <f t="shared" si="1005"/>
        <v>3600</v>
      </c>
      <c r="AO1002" s="11">
        <f t="shared" si="1006"/>
        <v>0</v>
      </c>
      <c r="AQ1002" s="11">
        <f t="shared" si="1007"/>
        <v>0</v>
      </c>
      <c r="AS1002" s="11">
        <f t="shared" si="1008"/>
        <v>0</v>
      </c>
      <c r="AU1002" s="11">
        <f t="shared" si="1009"/>
        <v>0</v>
      </c>
      <c r="AW1002" s="11">
        <f t="shared" si="1010"/>
        <v>0</v>
      </c>
      <c r="AY1002" s="11">
        <f t="shared" si="1011"/>
        <v>0</v>
      </c>
      <c r="BA1002" s="11">
        <f t="shared" si="1012"/>
        <v>0</v>
      </c>
      <c r="BC1002" s="11">
        <f t="shared" si="1013"/>
        <v>0</v>
      </c>
      <c r="BE1002" s="11">
        <f t="shared" si="1014"/>
        <v>0</v>
      </c>
      <c r="BG1002" s="11">
        <f t="shared" si="1015"/>
        <v>0</v>
      </c>
      <c r="BN1002" s="8">
        <f t="shared" si="988"/>
        <v>6470</v>
      </c>
      <c r="BO1002" s="8">
        <f t="shared" si="989"/>
        <v>322650</v>
      </c>
      <c r="BP1002" s="8">
        <f t="shared" si="996"/>
        <v>1370</v>
      </c>
      <c r="BQ1002" s="12">
        <f t="shared" si="997"/>
        <v>60550</v>
      </c>
    </row>
    <row r="1003" spans="1:69">
      <c r="A1003" s="28">
        <v>1970</v>
      </c>
      <c r="B1003" s="27" t="s">
        <v>61</v>
      </c>
      <c r="C1003" s="24">
        <f t="shared" si="995"/>
        <v>988</v>
      </c>
      <c r="D1003" s="7" t="e">
        <f t="shared" ca="1" si="969"/>
        <v>#N/A</v>
      </c>
      <c r="E1003" s="26">
        <f t="array" aca="1" ref="E1003" ca="1">AVERAGE(IF(INDIRECT(DatCol&amp;"$"&amp;TEXT(C1003,"###")):INDIRECT(DatCol&amp;"$"&amp;TEXT(C1003+57,"###"))&gt;0,INDIRECT(DatCol&amp;"$"&amp;TEXT(C1003,"###")):INDIRECT(DatCol&amp;"$"&amp;TEXT(C1003+57,"###"))))</f>
        <v>124.04444444444445</v>
      </c>
      <c r="F1003" s="26" t="str">
        <f t="shared" si="950"/>
        <v>C</v>
      </c>
      <c r="G1003" s="8"/>
      <c r="H1003" s="8">
        <v>114</v>
      </c>
      <c r="I1003" s="8">
        <v>38</v>
      </c>
      <c r="J1003" s="8">
        <v>571</v>
      </c>
      <c r="K1003" s="9">
        <f t="shared" si="990"/>
        <v>685</v>
      </c>
      <c r="M1003" s="11">
        <f t="shared" si="998"/>
        <v>0</v>
      </c>
      <c r="N1003" s="12">
        <v>260</v>
      </c>
      <c r="O1003" s="11">
        <f t="shared" si="999"/>
        <v>13000</v>
      </c>
      <c r="P1003" s="12">
        <v>3600</v>
      </c>
      <c r="Q1003" s="11">
        <f t="shared" si="1000"/>
        <v>216000</v>
      </c>
      <c r="X1003" s="12">
        <v>800</v>
      </c>
      <c r="Y1003" s="11">
        <f t="shared" si="1001"/>
        <v>48000</v>
      </c>
      <c r="AF1003" s="12">
        <v>40</v>
      </c>
      <c r="AG1003" s="11">
        <f t="shared" si="1002"/>
        <v>2600</v>
      </c>
      <c r="AH1003" s="12">
        <v>80</v>
      </c>
      <c r="AI1003" s="11">
        <f t="shared" si="1003"/>
        <v>5200</v>
      </c>
      <c r="AJ1003" s="12">
        <v>1100</v>
      </c>
      <c r="AK1003" s="13">
        <f t="shared" si="1004"/>
        <v>9900</v>
      </c>
      <c r="AL1003" s="12">
        <v>200</v>
      </c>
      <c r="AM1003" s="13">
        <f t="shared" si="1005"/>
        <v>1800</v>
      </c>
      <c r="AO1003" s="11">
        <f t="shared" si="1006"/>
        <v>0</v>
      </c>
      <c r="AQ1003" s="11">
        <f t="shared" si="1007"/>
        <v>0</v>
      </c>
      <c r="AS1003" s="11">
        <f t="shared" si="1008"/>
        <v>0</v>
      </c>
      <c r="AU1003" s="11">
        <f t="shared" si="1009"/>
        <v>0</v>
      </c>
      <c r="AW1003" s="11">
        <f t="shared" si="1010"/>
        <v>0</v>
      </c>
      <c r="AY1003" s="11">
        <f t="shared" si="1011"/>
        <v>0</v>
      </c>
      <c r="BA1003" s="11">
        <f t="shared" si="1012"/>
        <v>0</v>
      </c>
      <c r="BC1003" s="11">
        <f t="shared" si="1013"/>
        <v>0</v>
      </c>
      <c r="BE1003" s="11">
        <f t="shared" si="1014"/>
        <v>0</v>
      </c>
      <c r="BG1003" s="11">
        <f t="shared" si="1015"/>
        <v>0</v>
      </c>
      <c r="BN1003" s="8">
        <f t="shared" si="988"/>
        <v>5540</v>
      </c>
      <c r="BO1003" s="8">
        <f t="shared" si="989"/>
        <v>276500</v>
      </c>
      <c r="BP1003" s="8">
        <f t="shared" si="996"/>
        <v>1340</v>
      </c>
      <c r="BQ1003" s="12">
        <f t="shared" si="997"/>
        <v>68000</v>
      </c>
    </row>
    <row r="1004" spans="1:69">
      <c r="A1004" s="28">
        <v>1971</v>
      </c>
      <c r="B1004" s="27" t="s">
        <v>61</v>
      </c>
      <c r="C1004" s="24">
        <f t="shared" si="995"/>
        <v>988</v>
      </c>
      <c r="D1004" s="7" t="e">
        <f t="shared" ca="1" si="969"/>
        <v>#N/A</v>
      </c>
      <c r="E1004" s="26">
        <f t="array" aca="1" ref="E1004" ca="1">AVERAGE(IF(INDIRECT(DatCol&amp;"$"&amp;TEXT(C1004,"###")):INDIRECT(DatCol&amp;"$"&amp;TEXT(C1004+57,"###"))&gt;0,INDIRECT(DatCol&amp;"$"&amp;TEXT(C1004,"###")):INDIRECT(DatCol&amp;"$"&amp;TEXT(C1004+57,"###"))))</f>
        <v>124.04444444444445</v>
      </c>
      <c r="F1004" s="26" t="str">
        <f t="shared" si="950"/>
        <v>C</v>
      </c>
      <c r="G1004" s="8"/>
      <c r="H1004" s="8">
        <v>98</v>
      </c>
      <c r="I1004" s="8">
        <v>35</v>
      </c>
      <c r="J1004" s="8">
        <v>570</v>
      </c>
      <c r="K1004" s="9">
        <f t="shared" si="990"/>
        <v>668</v>
      </c>
      <c r="M1004" s="11">
        <f t="shared" si="998"/>
        <v>0</v>
      </c>
      <c r="N1004" s="12">
        <v>120</v>
      </c>
      <c r="O1004" s="11">
        <f t="shared" si="999"/>
        <v>6000</v>
      </c>
      <c r="P1004" s="12">
        <v>4800</v>
      </c>
      <c r="Q1004" s="11">
        <f t="shared" si="1000"/>
        <v>288000</v>
      </c>
      <c r="X1004" s="12">
        <v>900</v>
      </c>
      <c r="Y1004" s="11">
        <f t="shared" si="1001"/>
        <v>54000</v>
      </c>
      <c r="AF1004" s="12">
        <v>40</v>
      </c>
      <c r="AG1004" s="11">
        <f t="shared" si="1002"/>
        <v>2600</v>
      </c>
      <c r="AH1004" s="12">
        <v>80</v>
      </c>
      <c r="AI1004" s="11">
        <f t="shared" si="1003"/>
        <v>5200</v>
      </c>
      <c r="AJ1004" s="12">
        <v>1050</v>
      </c>
      <c r="AK1004" s="13">
        <f t="shared" si="1004"/>
        <v>9450</v>
      </c>
      <c r="AL1004" s="12">
        <v>600</v>
      </c>
      <c r="AM1004" s="13">
        <f t="shared" si="1005"/>
        <v>5400</v>
      </c>
      <c r="AO1004" s="11">
        <f t="shared" si="1006"/>
        <v>0</v>
      </c>
      <c r="AQ1004" s="11">
        <f t="shared" si="1007"/>
        <v>0</v>
      </c>
      <c r="AS1004" s="11">
        <f t="shared" si="1008"/>
        <v>0</v>
      </c>
      <c r="AU1004" s="11">
        <f t="shared" si="1009"/>
        <v>0</v>
      </c>
      <c r="AW1004" s="11">
        <f t="shared" si="1010"/>
        <v>0</v>
      </c>
      <c r="AY1004" s="11">
        <f t="shared" si="1011"/>
        <v>0</v>
      </c>
      <c r="BA1004" s="11">
        <f t="shared" si="1012"/>
        <v>0</v>
      </c>
      <c r="BC1004" s="11">
        <f t="shared" si="1013"/>
        <v>0</v>
      </c>
      <c r="BE1004" s="11">
        <f t="shared" si="1014"/>
        <v>0</v>
      </c>
      <c r="BG1004" s="11">
        <f t="shared" si="1015"/>
        <v>0</v>
      </c>
      <c r="BN1004" s="8">
        <f t="shared" si="988"/>
        <v>6790</v>
      </c>
      <c r="BO1004" s="8">
        <f t="shared" si="989"/>
        <v>354050</v>
      </c>
      <c r="BP1004" s="8">
        <f t="shared" si="996"/>
        <v>1700</v>
      </c>
      <c r="BQ1004" s="12">
        <f t="shared" si="997"/>
        <v>70600</v>
      </c>
    </row>
    <row r="1005" spans="1:69">
      <c r="A1005" s="28">
        <v>1972</v>
      </c>
      <c r="B1005" s="27" t="s">
        <v>61</v>
      </c>
      <c r="C1005" s="24">
        <f t="shared" si="995"/>
        <v>988</v>
      </c>
      <c r="D1005" s="7" t="e">
        <f t="shared" ca="1" si="969"/>
        <v>#N/A</v>
      </c>
      <c r="E1005" s="26">
        <f t="array" aca="1" ref="E1005" ca="1">AVERAGE(IF(INDIRECT(DatCol&amp;"$"&amp;TEXT(C1005,"###")):INDIRECT(DatCol&amp;"$"&amp;TEXT(C1005+57,"###"))&gt;0,INDIRECT(DatCol&amp;"$"&amp;TEXT(C1005,"###")):INDIRECT(DatCol&amp;"$"&amp;TEXT(C1005+57,"###"))))</f>
        <v>124.04444444444445</v>
      </c>
      <c r="F1005" s="26" t="str">
        <f t="shared" si="950"/>
        <v>C</v>
      </c>
      <c r="G1005" s="8"/>
      <c r="H1005" s="8">
        <v>31</v>
      </c>
      <c r="I1005" s="8">
        <v>41</v>
      </c>
      <c r="J1005" s="8">
        <v>552</v>
      </c>
      <c r="K1005" s="9">
        <f t="shared" si="990"/>
        <v>583</v>
      </c>
      <c r="M1005" s="11">
        <f t="shared" si="998"/>
        <v>0</v>
      </c>
      <c r="O1005" s="11">
        <f t="shared" si="999"/>
        <v>0</v>
      </c>
      <c r="Q1005" s="11">
        <f t="shared" si="1000"/>
        <v>0</v>
      </c>
      <c r="Y1005" s="11">
        <f t="shared" si="1001"/>
        <v>0</v>
      </c>
      <c r="AG1005" s="11">
        <f t="shared" si="1002"/>
        <v>0</v>
      </c>
      <c r="AI1005" s="11">
        <f t="shared" si="1003"/>
        <v>0</v>
      </c>
      <c r="AK1005" s="13">
        <f t="shared" si="1004"/>
        <v>0</v>
      </c>
      <c r="AM1005" s="13">
        <f t="shared" si="1005"/>
        <v>0</v>
      </c>
      <c r="AO1005" s="11">
        <f t="shared" si="1006"/>
        <v>0</v>
      </c>
      <c r="AQ1005" s="11">
        <f t="shared" si="1007"/>
        <v>0</v>
      </c>
      <c r="AS1005" s="11">
        <f t="shared" si="1008"/>
        <v>0</v>
      </c>
      <c r="AU1005" s="11">
        <f t="shared" si="1009"/>
        <v>0</v>
      </c>
      <c r="AW1005" s="11">
        <f t="shared" si="1010"/>
        <v>0</v>
      </c>
      <c r="AY1005" s="11">
        <f t="shared" si="1011"/>
        <v>0</v>
      </c>
      <c r="BA1005" s="11">
        <f t="shared" si="1012"/>
        <v>0</v>
      </c>
      <c r="BC1005" s="11">
        <f t="shared" si="1013"/>
        <v>0</v>
      </c>
      <c r="BE1005" s="11">
        <f t="shared" si="1014"/>
        <v>0</v>
      </c>
      <c r="BG1005" s="11">
        <f t="shared" si="1015"/>
        <v>0</v>
      </c>
      <c r="BN1005" s="8">
        <f t="shared" si="988"/>
        <v>0</v>
      </c>
      <c r="BO1005" s="8">
        <f t="shared" si="989"/>
        <v>0</v>
      </c>
      <c r="BP1005" s="8">
        <f t="shared" si="996"/>
        <v>0</v>
      </c>
      <c r="BQ1005" s="12">
        <f t="shared" si="997"/>
        <v>0</v>
      </c>
    </row>
    <row r="1006" spans="1:69">
      <c r="A1006" s="28">
        <v>1973</v>
      </c>
      <c r="B1006" s="27" t="s">
        <v>61</v>
      </c>
      <c r="C1006" s="24">
        <f t="shared" si="995"/>
        <v>988</v>
      </c>
      <c r="D1006" s="7" t="e">
        <f t="shared" ca="1" si="969"/>
        <v>#N/A</v>
      </c>
      <c r="E1006" s="26">
        <f t="array" aca="1" ref="E1006" ca="1">AVERAGE(IF(INDIRECT(DatCol&amp;"$"&amp;TEXT(C1006,"###")):INDIRECT(DatCol&amp;"$"&amp;TEXT(C1006+57,"###"))&gt;0,INDIRECT(DatCol&amp;"$"&amp;TEXT(C1006,"###")):INDIRECT(DatCol&amp;"$"&amp;TEXT(C1006+57,"###"))))</f>
        <v>124.04444444444445</v>
      </c>
      <c r="F1006" s="26" t="str">
        <f t="shared" si="950"/>
        <v>C</v>
      </c>
      <c r="G1006" s="8"/>
      <c r="K1006" s="9">
        <f t="shared" si="990"/>
        <v>0</v>
      </c>
      <c r="M1006" s="11">
        <f t="shared" si="998"/>
        <v>0</v>
      </c>
      <c r="O1006" s="11">
        <f t="shared" si="999"/>
        <v>0</v>
      </c>
      <c r="Q1006" s="11">
        <f t="shared" si="1000"/>
        <v>0</v>
      </c>
      <c r="Y1006" s="11">
        <f t="shared" si="1001"/>
        <v>0</v>
      </c>
      <c r="AG1006" s="11">
        <f t="shared" si="1002"/>
        <v>0</v>
      </c>
      <c r="AI1006" s="11">
        <f t="shared" si="1003"/>
        <v>0</v>
      </c>
      <c r="AK1006" s="13">
        <f t="shared" si="1004"/>
        <v>0</v>
      </c>
      <c r="AM1006" s="13">
        <f t="shared" si="1005"/>
        <v>0</v>
      </c>
      <c r="AO1006" s="11">
        <f t="shared" si="1006"/>
        <v>0</v>
      </c>
      <c r="AQ1006" s="11">
        <f t="shared" si="1007"/>
        <v>0</v>
      </c>
      <c r="AS1006" s="11">
        <f t="shared" si="1008"/>
        <v>0</v>
      </c>
      <c r="AU1006" s="11">
        <f t="shared" si="1009"/>
        <v>0</v>
      </c>
      <c r="AW1006" s="11">
        <f t="shared" si="1010"/>
        <v>0</v>
      </c>
      <c r="AY1006" s="11">
        <f t="shared" si="1011"/>
        <v>0</v>
      </c>
      <c r="BA1006" s="11">
        <f t="shared" si="1012"/>
        <v>0</v>
      </c>
      <c r="BC1006" s="11">
        <f t="shared" si="1013"/>
        <v>0</v>
      </c>
      <c r="BE1006" s="11">
        <f t="shared" si="1014"/>
        <v>0</v>
      </c>
      <c r="BG1006" s="11">
        <f t="shared" si="1015"/>
        <v>0</v>
      </c>
      <c r="BN1006" s="8">
        <f t="shared" si="988"/>
        <v>0</v>
      </c>
      <c r="BO1006" s="8">
        <f t="shared" si="989"/>
        <v>0</v>
      </c>
      <c r="BP1006" s="8">
        <f t="shared" si="996"/>
        <v>0</v>
      </c>
      <c r="BQ1006" s="12">
        <f t="shared" si="997"/>
        <v>0</v>
      </c>
    </row>
    <row r="1007" spans="1:69">
      <c r="A1007" s="28">
        <v>1974</v>
      </c>
      <c r="B1007" s="27" t="s">
        <v>61</v>
      </c>
      <c r="C1007" s="24">
        <f t="shared" si="995"/>
        <v>988</v>
      </c>
      <c r="D1007" s="7" t="e">
        <f t="shared" ca="1" si="969"/>
        <v>#N/A</v>
      </c>
      <c r="E1007" s="26">
        <f t="array" aca="1" ref="E1007" ca="1">AVERAGE(IF(INDIRECT(DatCol&amp;"$"&amp;TEXT(C1007,"###")):INDIRECT(DatCol&amp;"$"&amp;TEXT(C1007+57,"###"))&gt;0,INDIRECT(DatCol&amp;"$"&amp;TEXT(C1007,"###")):INDIRECT(DatCol&amp;"$"&amp;TEXT(C1007+57,"###"))))</f>
        <v>124.04444444444445</v>
      </c>
      <c r="F1007" s="26" t="str">
        <f t="shared" si="950"/>
        <v>C</v>
      </c>
      <c r="G1007" s="8"/>
      <c r="K1007" s="9">
        <f t="shared" si="990"/>
        <v>0</v>
      </c>
      <c r="M1007" s="11">
        <f t="shared" si="998"/>
        <v>0</v>
      </c>
      <c r="O1007" s="11">
        <f t="shared" si="999"/>
        <v>0</v>
      </c>
      <c r="Q1007" s="11">
        <f t="shared" si="1000"/>
        <v>0</v>
      </c>
      <c r="Y1007" s="11">
        <f t="shared" si="1001"/>
        <v>0</v>
      </c>
      <c r="AG1007" s="11">
        <f t="shared" si="1002"/>
        <v>0</v>
      </c>
      <c r="AI1007" s="11">
        <f t="shared" si="1003"/>
        <v>0</v>
      </c>
      <c r="AK1007" s="13">
        <f t="shared" si="1004"/>
        <v>0</v>
      </c>
      <c r="AM1007" s="13">
        <f t="shared" si="1005"/>
        <v>0</v>
      </c>
      <c r="AO1007" s="11">
        <f t="shared" si="1006"/>
        <v>0</v>
      </c>
      <c r="AQ1007" s="11">
        <f t="shared" si="1007"/>
        <v>0</v>
      </c>
      <c r="AS1007" s="11">
        <f t="shared" si="1008"/>
        <v>0</v>
      </c>
      <c r="AU1007" s="11">
        <f t="shared" si="1009"/>
        <v>0</v>
      </c>
      <c r="AW1007" s="11">
        <f t="shared" si="1010"/>
        <v>0</v>
      </c>
      <c r="AY1007" s="11">
        <f t="shared" si="1011"/>
        <v>0</v>
      </c>
      <c r="BA1007" s="11">
        <f t="shared" si="1012"/>
        <v>0</v>
      </c>
      <c r="BC1007" s="11">
        <f t="shared" si="1013"/>
        <v>0</v>
      </c>
      <c r="BE1007" s="11">
        <f t="shared" si="1014"/>
        <v>0</v>
      </c>
      <c r="BG1007" s="11">
        <f t="shared" si="1015"/>
        <v>0</v>
      </c>
      <c r="BN1007" s="8">
        <f t="shared" si="988"/>
        <v>0</v>
      </c>
      <c r="BO1007" s="8">
        <f t="shared" si="989"/>
        <v>0</v>
      </c>
      <c r="BP1007" s="8">
        <f t="shared" si="996"/>
        <v>0</v>
      </c>
      <c r="BQ1007" s="12">
        <f t="shared" si="997"/>
        <v>0</v>
      </c>
    </row>
    <row r="1008" spans="1:69">
      <c r="A1008" s="28">
        <v>1975</v>
      </c>
      <c r="B1008" s="27" t="s">
        <v>61</v>
      </c>
      <c r="C1008" s="24">
        <f t="shared" si="995"/>
        <v>988</v>
      </c>
      <c r="D1008" s="7" t="e">
        <f t="shared" ca="1" si="969"/>
        <v>#N/A</v>
      </c>
      <c r="E1008" s="26">
        <f t="array" aca="1" ref="E1008" ca="1">AVERAGE(IF(INDIRECT(DatCol&amp;"$"&amp;TEXT(C1008,"###")):INDIRECT(DatCol&amp;"$"&amp;TEXT(C1008+57,"###"))&gt;0,INDIRECT(DatCol&amp;"$"&amp;TEXT(C1008,"###")):INDIRECT(DatCol&amp;"$"&amp;TEXT(C1008+57,"###"))))</f>
        <v>124.04444444444445</v>
      </c>
      <c r="F1008" s="26" t="str">
        <f t="shared" si="950"/>
        <v>C</v>
      </c>
      <c r="G1008" s="8"/>
      <c r="H1008" s="8">
        <v>26</v>
      </c>
      <c r="I1008" s="8">
        <v>59</v>
      </c>
      <c r="J1008" s="8">
        <v>845</v>
      </c>
      <c r="K1008" s="9">
        <f t="shared" si="990"/>
        <v>871</v>
      </c>
      <c r="M1008" s="11">
        <f t="shared" si="998"/>
        <v>0</v>
      </c>
      <c r="N1008" s="12">
        <v>80</v>
      </c>
      <c r="O1008" s="11">
        <f t="shared" si="999"/>
        <v>4000</v>
      </c>
      <c r="P1008" s="12">
        <v>3125</v>
      </c>
      <c r="Q1008" s="11">
        <f t="shared" si="1000"/>
        <v>187500</v>
      </c>
      <c r="X1008" s="12">
        <v>780</v>
      </c>
      <c r="Y1008" s="11">
        <f t="shared" si="1001"/>
        <v>46800</v>
      </c>
      <c r="AF1008" s="12">
        <v>870</v>
      </c>
      <c r="AG1008" s="11">
        <f t="shared" si="1002"/>
        <v>56550</v>
      </c>
      <c r="AH1008" s="12">
        <v>200</v>
      </c>
      <c r="AI1008" s="11">
        <f t="shared" si="1003"/>
        <v>13000</v>
      </c>
      <c r="AJ1008" s="12">
        <v>50</v>
      </c>
      <c r="AK1008" s="13">
        <f t="shared" si="1004"/>
        <v>450</v>
      </c>
      <c r="AL1008" s="12">
        <v>50</v>
      </c>
      <c r="AM1008" s="13">
        <f t="shared" si="1005"/>
        <v>450</v>
      </c>
      <c r="AN1008" s="12">
        <v>100</v>
      </c>
      <c r="AO1008" s="11">
        <f t="shared" si="1006"/>
        <v>8000</v>
      </c>
      <c r="AP1008" s="12">
        <v>50</v>
      </c>
      <c r="AQ1008" s="11">
        <f t="shared" si="1007"/>
        <v>4000</v>
      </c>
      <c r="AS1008" s="11">
        <f t="shared" si="1008"/>
        <v>0</v>
      </c>
      <c r="AU1008" s="11">
        <f t="shared" si="1009"/>
        <v>0</v>
      </c>
      <c r="AW1008" s="11">
        <f t="shared" si="1010"/>
        <v>0</v>
      </c>
      <c r="AY1008" s="11">
        <f t="shared" si="1011"/>
        <v>0</v>
      </c>
      <c r="BA1008" s="11">
        <f t="shared" si="1012"/>
        <v>0</v>
      </c>
      <c r="BC1008" s="11">
        <f t="shared" si="1013"/>
        <v>0</v>
      </c>
      <c r="BE1008" s="11">
        <f t="shared" si="1014"/>
        <v>0</v>
      </c>
      <c r="BG1008" s="11">
        <f t="shared" si="1015"/>
        <v>0</v>
      </c>
      <c r="BN1008" s="8">
        <f t="shared" si="988"/>
        <v>4925</v>
      </c>
      <c r="BO1008" s="8">
        <f t="shared" si="989"/>
        <v>299300</v>
      </c>
      <c r="BP1008" s="8">
        <f t="shared" si="996"/>
        <v>1160</v>
      </c>
      <c r="BQ1008" s="12">
        <f t="shared" si="997"/>
        <v>68250</v>
      </c>
    </row>
    <row r="1009" spans="1:69">
      <c r="A1009" s="28">
        <v>1976</v>
      </c>
      <c r="B1009" s="27" t="s">
        <v>61</v>
      </c>
      <c r="C1009" s="24">
        <f t="shared" si="995"/>
        <v>988</v>
      </c>
      <c r="D1009" s="7" t="e">
        <f t="shared" ca="1" si="969"/>
        <v>#N/A</v>
      </c>
      <c r="E1009" s="26">
        <f t="array" aca="1" ref="E1009" ca="1">AVERAGE(IF(INDIRECT(DatCol&amp;"$"&amp;TEXT(C1009,"###")):INDIRECT(DatCol&amp;"$"&amp;TEXT(C1009+57,"###"))&gt;0,INDIRECT(DatCol&amp;"$"&amp;TEXT(C1009,"###")):INDIRECT(DatCol&amp;"$"&amp;TEXT(C1009+57,"###"))))</f>
        <v>124.04444444444445</v>
      </c>
      <c r="F1009" s="26" t="str">
        <f t="shared" si="950"/>
        <v>C</v>
      </c>
      <c r="G1009" s="8"/>
      <c r="H1009" s="8">
        <v>39</v>
      </c>
      <c r="I1009" s="8">
        <v>82</v>
      </c>
      <c r="J1009" s="8">
        <v>904</v>
      </c>
      <c r="K1009" s="9">
        <f t="shared" si="990"/>
        <v>943</v>
      </c>
      <c r="M1009" s="11">
        <f t="shared" si="998"/>
        <v>0</v>
      </c>
      <c r="N1009" s="12">
        <v>250</v>
      </c>
      <c r="O1009" s="11">
        <f t="shared" si="999"/>
        <v>12500</v>
      </c>
      <c r="P1009" s="12">
        <v>2791</v>
      </c>
      <c r="Q1009" s="11">
        <f t="shared" si="1000"/>
        <v>167460</v>
      </c>
      <c r="X1009" s="12">
        <v>1000</v>
      </c>
      <c r="Y1009" s="11">
        <f t="shared" si="1001"/>
        <v>60000</v>
      </c>
      <c r="AF1009" s="12">
        <v>1000</v>
      </c>
      <c r="AG1009" s="11">
        <f t="shared" si="1002"/>
        <v>65000</v>
      </c>
      <c r="AH1009" s="12">
        <v>100</v>
      </c>
      <c r="AI1009" s="11">
        <f t="shared" si="1003"/>
        <v>6500</v>
      </c>
      <c r="AK1009" s="13">
        <f t="shared" si="1004"/>
        <v>0</v>
      </c>
      <c r="AL1009" s="12">
        <v>10</v>
      </c>
      <c r="AM1009" s="13">
        <f t="shared" si="1005"/>
        <v>90</v>
      </c>
      <c r="AO1009" s="11">
        <f t="shared" si="1006"/>
        <v>0</v>
      </c>
      <c r="AP1009" s="12">
        <v>50</v>
      </c>
      <c r="AQ1009" s="11">
        <f t="shared" si="1007"/>
        <v>4000</v>
      </c>
      <c r="AS1009" s="11">
        <f t="shared" si="1008"/>
        <v>0</v>
      </c>
      <c r="AT1009" s="12">
        <v>10</v>
      </c>
      <c r="AU1009" s="11">
        <f t="shared" si="1009"/>
        <v>500</v>
      </c>
      <c r="AW1009" s="11">
        <f t="shared" si="1010"/>
        <v>0</v>
      </c>
      <c r="AY1009" s="11">
        <f t="shared" si="1011"/>
        <v>0</v>
      </c>
      <c r="BA1009" s="11">
        <f t="shared" si="1012"/>
        <v>0</v>
      </c>
      <c r="BB1009" s="12">
        <v>1</v>
      </c>
      <c r="BC1009" s="11">
        <f t="shared" si="1013"/>
        <v>40</v>
      </c>
      <c r="BE1009" s="11">
        <f t="shared" si="1014"/>
        <v>0</v>
      </c>
      <c r="BG1009" s="11">
        <f t="shared" si="1015"/>
        <v>0</v>
      </c>
      <c r="BN1009" s="8">
        <f t="shared" si="988"/>
        <v>4791</v>
      </c>
      <c r="BO1009" s="8">
        <f t="shared" si="989"/>
        <v>292460</v>
      </c>
      <c r="BP1009" s="8">
        <f t="shared" si="996"/>
        <v>1421</v>
      </c>
      <c r="BQ1009" s="12">
        <f t="shared" si="997"/>
        <v>83630</v>
      </c>
    </row>
    <row r="1010" spans="1:69">
      <c r="A1010" s="28">
        <v>1977</v>
      </c>
      <c r="B1010" s="27" t="s">
        <v>61</v>
      </c>
      <c r="C1010" s="24">
        <f t="shared" si="995"/>
        <v>988</v>
      </c>
      <c r="D1010" s="7" t="e">
        <f t="shared" ca="1" si="969"/>
        <v>#N/A</v>
      </c>
      <c r="E1010" s="26">
        <f t="array" aca="1" ref="E1010" ca="1">AVERAGE(IF(INDIRECT(DatCol&amp;"$"&amp;TEXT(C1010,"###")):INDIRECT(DatCol&amp;"$"&amp;TEXT(C1010+57,"###"))&gt;0,INDIRECT(DatCol&amp;"$"&amp;TEXT(C1010,"###")):INDIRECT(DatCol&amp;"$"&amp;TEXT(C1010+57,"###"))))</f>
        <v>124.04444444444445</v>
      </c>
      <c r="F1010" s="26" t="str">
        <f t="shared" si="950"/>
        <v>C</v>
      </c>
      <c r="G1010" s="8"/>
      <c r="H1010" s="8">
        <v>39</v>
      </c>
      <c r="I1010" s="8">
        <v>83</v>
      </c>
      <c r="J1010" s="8">
        <v>898</v>
      </c>
      <c r="K1010" s="9">
        <f t="shared" si="990"/>
        <v>937</v>
      </c>
      <c r="M1010" s="11">
        <f t="shared" ref="M1010:M1025" si="1016">(L1010*50)</f>
        <v>0</v>
      </c>
      <c r="N1010" s="12">
        <v>200</v>
      </c>
      <c r="O1010" s="11">
        <f t="shared" ref="O1010:O1025" si="1017">(N1010*50)</f>
        <v>10000</v>
      </c>
      <c r="P1010" s="12">
        <v>1700</v>
      </c>
      <c r="Q1010" s="11">
        <f t="shared" ref="Q1010:Q1025" si="1018">((P1010*330)/5.5)</f>
        <v>102000</v>
      </c>
      <c r="X1010" s="12">
        <v>750</v>
      </c>
      <c r="Y1010" s="11">
        <f t="shared" ref="Y1010:Y1025" si="1019">((X1010*330)/5.5)</f>
        <v>45000</v>
      </c>
      <c r="AF1010" s="12">
        <v>300</v>
      </c>
      <c r="AG1010" s="11">
        <f t="shared" ref="AG1010:AG1025" si="1020">(AF1010*65)</f>
        <v>19500</v>
      </c>
      <c r="AH1010" s="12">
        <v>100</v>
      </c>
      <c r="AI1010" s="11">
        <f t="shared" ref="AI1010:AI1025" si="1021">(AH1010*65)</f>
        <v>6500</v>
      </c>
      <c r="AK1010" s="13">
        <f t="shared" ref="AK1010:AK1025" si="1022">(AJ1010*9)</f>
        <v>0</v>
      </c>
      <c r="AM1010" s="13">
        <f t="shared" ref="AM1010:AM1025" si="1023">(AL1010*9)</f>
        <v>0</v>
      </c>
      <c r="AO1010" s="11">
        <f t="shared" ref="AO1010:AO1025" si="1024">(AN1010*80)</f>
        <v>0</v>
      </c>
      <c r="AQ1010" s="11">
        <f t="shared" ref="AQ1010:AQ1025" si="1025">(AP1010*80)</f>
        <v>0</v>
      </c>
      <c r="AS1010" s="11">
        <f t="shared" ref="AS1010:AS1025" si="1026">(AR1010*50)</f>
        <v>0</v>
      </c>
      <c r="AU1010" s="11">
        <f t="shared" ref="AU1010:AU1025" si="1027">(AT1010*50)</f>
        <v>0</v>
      </c>
      <c r="AW1010" s="11">
        <f t="shared" ref="AW1010:AW1025" si="1028">(AV1010*60)</f>
        <v>0</v>
      </c>
      <c r="AY1010" s="11">
        <f t="shared" ref="AY1010:AY1025" si="1029">(AX1010*60)</f>
        <v>0</v>
      </c>
      <c r="BA1010" s="11">
        <f t="shared" ref="BA1010:BA1025" si="1030">(AZ1010*40)</f>
        <v>0</v>
      </c>
      <c r="BC1010" s="11">
        <f t="shared" ref="BC1010:BC1025" si="1031">(BB1010*40)</f>
        <v>0</v>
      </c>
      <c r="BE1010" s="11">
        <f t="shared" ref="BE1010:BE1025" si="1032">(BD1010*95)</f>
        <v>0</v>
      </c>
      <c r="BG1010" s="11">
        <f t="shared" ref="BG1010:BG1025" si="1033">(BF1010*95)</f>
        <v>0</v>
      </c>
      <c r="BN1010" s="8">
        <f t="shared" si="988"/>
        <v>2750</v>
      </c>
      <c r="BO1010" s="8">
        <f t="shared" si="989"/>
        <v>166500</v>
      </c>
      <c r="BP1010" s="8">
        <f t="shared" si="996"/>
        <v>1050</v>
      </c>
      <c r="BQ1010" s="12">
        <f t="shared" si="997"/>
        <v>61500</v>
      </c>
    </row>
    <row r="1011" spans="1:69">
      <c r="A1011" s="28">
        <v>1978</v>
      </c>
      <c r="B1011" s="27" t="s">
        <v>61</v>
      </c>
      <c r="C1011" s="24">
        <f t="shared" si="995"/>
        <v>988</v>
      </c>
      <c r="D1011" s="7" t="e">
        <f t="shared" ca="1" si="969"/>
        <v>#N/A</v>
      </c>
      <c r="E1011" s="26">
        <f t="array" aca="1" ref="E1011" ca="1">AVERAGE(IF(INDIRECT(DatCol&amp;"$"&amp;TEXT(C1011,"###")):INDIRECT(DatCol&amp;"$"&amp;TEXT(C1011+57,"###"))&gt;0,INDIRECT(DatCol&amp;"$"&amp;TEXT(C1011,"###")):INDIRECT(DatCol&amp;"$"&amp;TEXT(C1011+57,"###"))))</f>
        <v>124.04444444444445</v>
      </c>
      <c r="F1011" s="26" t="str">
        <f t="shared" si="950"/>
        <v>C</v>
      </c>
      <c r="G1011" s="8"/>
      <c r="H1011" s="8">
        <v>34</v>
      </c>
      <c r="I1011" s="8">
        <v>57</v>
      </c>
      <c r="J1011" s="8">
        <v>789</v>
      </c>
      <c r="K1011" s="9">
        <f t="shared" si="990"/>
        <v>823</v>
      </c>
      <c r="M1011" s="11">
        <f t="shared" si="1016"/>
        <v>0</v>
      </c>
      <c r="N1011" s="12">
        <v>70</v>
      </c>
      <c r="O1011" s="11">
        <f t="shared" si="1017"/>
        <v>3500</v>
      </c>
      <c r="P1011" s="12">
        <v>500</v>
      </c>
      <c r="Q1011" s="11">
        <f t="shared" si="1018"/>
        <v>30000</v>
      </c>
      <c r="X1011" s="12">
        <v>1000</v>
      </c>
      <c r="Y1011" s="11">
        <f t="shared" si="1019"/>
        <v>60000</v>
      </c>
      <c r="AF1011" s="12">
        <v>200</v>
      </c>
      <c r="AG1011" s="11">
        <f t="shared" si="1020"/>
        <v>13000</v>
      </c>
      <c r="AI1011" s="11">
        <f t="shared" si="1021"/>
        <v>0</v>
      </c>
      <c r="AK1011" s="13">
        <f t="shared" si="1022"/>
        <v>0</v>
      </c>
      <c r="AM1011" s="13">
        <f t="shared" si="1023"/>
        <v>0</v>
      </c>
      <c r="AO1011" s="11">
        <f t="shared" si="1024"/>
        <v>0</v>
      </c>
      <c r="AQ1011" s="11">
        <f t="shared" si="1025"/>
        <v>0</v>
      </c>
      <c r="AS1011" s="11">
        <f t="shared" si="1026"/>
        <v>0</v>
      </c>
      <c r="AU1011" s="11">
        <f t="shared" si="1027"/>
        <v>0</v>
      </c>
      <c r="AV1011" s="12" t="s">
        <v>4</v>
      </c>
      <c r="AW1011" s="11">
        <f t="shared" si="1028"/>
        <v>0</v>
      </c>
      <c r="AX1011" s="12" t="s">
        <v>4</v>
      </c>
      <c r="AY1011" s="11">
        <f t="shared" si="1029"/>
        <v>0</v>
      </c>
      <c r="BA1011" s="11">
        <f t="shared" si="1030"/>
        <v>0</v>
      </c>
      <c r="BC1011" s="11">
        <f t="shared" si="1031"/>
        <v>0</v>
      </c>
      <c r="BE1011" s="11">
        <f t="shared" si="1032"/>
        <v>0</v>
      </c>
      <c r="BG1011" s="11">
        <f t="shared" si="1033"/>
        <v>0</v>
      </c>
      <c r="BN1011" s="8">
        <f t="shared" si="988"/>
        <v>1700</v>
      </c>
      <c r="BO1011" s="8">
        <f t="shared" si="989"/>
        <v>103000</v>
      </c>
      <c r="BP1011" s="8">
        <f t="shared" si="996"/>
        <v>1070</v>
      </c>
      <c r="BQ1011" s="12">
        <f t="shared" si="997"/>
        <v>63500</v>
      </c>
    </row>
    <row r="1012" spans="1:69">
      <c r="A1012" s="28">
        <v>1979</v>
      </c>
      <c r="B1012" s="27" t="s">
        <v>61</v>
      </c>
      <c r="C1012" s="24">
        <f t="shared" si="995"/>
        <v>988</v>
      </c>
      <c r="D1012" s="7" t="e">
        <f t="shared" ca="1" si="969"/>
        <v>#N/A</v>
      </c>
      <c r="E1012" s="26">
        <f t="array" aca="1" ref="E1012" ca="1">AVERAGE(IF(INDIRECT(DatCol&amp;"$"&amp;TEXT(C1012,"###")):INDIRECT(DatCol&amp;"$"&amp;TEXT(C1012+57,"###"))&gt;0,INDIRECT(DatCol&amp;"$"&amp;TEXT(C1012,"###")):INDIRECT(DatCol&amp;"$"&amp;TEXT(C1012+57,"###"))))</f>
        <v>124.04444444444445</v>
      </c>
      <c r="F1012" s="26" t="str">
        <f t="shared" si="950"/>
        <v>C</v>
      </c>
      <c r="G1012" s="8"/>
      <c r="H1012" s="8">
        <v>37</v>
      </c>
      <c r="I1012" s="8">
        <v>64</v>
      </c>
      <c r="J1012" s="8">
        <v>726</v>
      </c>
      <c r="K1012" s="9">
        <f t="shared" si="990"/>
        <v>763</v>
      </c>
      <c r="M1012" s="11">
        <f t="shared" si="1016"/>
        <v>0</v>
      </c>
      <c r="N1012" s="12">
        <v>80</v>
      </c>
      <c r="O1012" s="11">
        <f t="shared" si="1017"/>
        <v>4000</v>
      </c>
      <c r="P1012" s="12">
        <v>450</v>
      </c>
      <c r="Q1012" s="11">
        <f t="shared" si="1018"/>
        <v>27000</v>
      </c>
      <c r="X1012" s="12">
        <v>1200</v>
      </c>
      <c r="Y1012" s="11">
        <f t="shared" si="1019"/>
        <v>72000</v>
      </c>
      <c r="AF1012" s="12">
        <v>125</v>
      </c>
      <c r="AG1012" s="11">
        <f t="shared" si="1020"/>
        <v>8125</v>
      </c>
      <c r="AH1012" s="12">
        <v>75</v>
      </c>
      <c r="AI1012" s="11">
        <f t="shared" si="1021"/>
        <v>4875</v>
      </c>
      <c r="AK1012" s="13">
        <f t="shared" si="1022"/>
        <v>0</v>
      </c>
      <c r="AM1012" s="13">
        <f t="shared" si="1023"/>
        <v>0</v>
      </c>
      <c r="AO1012" s="11">
        <f t="shared" si="1024"/>
        <v>0</v>
      </c>
      <c r="AP1012" s="12" t="s">
        <v>21</v>
      </c>
      <c r="AQ1012" s="11">
        <f t="shared" si="1025"/>
        <v>0</v>
      </c>
      <c r="AS1012" s="11">
        <f t="shared" si="1026"/>
        <v>0</v>
      </c>
      <c r="AU1012" s="11">
        <f t="shared" si="1027"/>
        <v>0</v>
      </c>
      <c r="AW1012" s="11">
        <f t="shared" si="1028"/>
        <v>0</v>
      </c>
      <c r="AX1012" s="12">
        <v>600</v>
      </c>
      <c r="AY1012" s="11">
        <f t="shared" si="1029"/>
        <v>36000</v>
      </c>
      <c r="BA1012" s="11">
        <f t="shared" si="1030"/>
        <v>0</v>
      </c>
      <c r="BB1012" s="12">
        <v>10</v>
      </c>
      <c r="BC1012" s="11">
        <f t="shared" si="1031"/>
        <v>400</v>
      </c>
      <c r="BE1012" s="11">
        <f t="shared" si="1032"/>
        <v>0</v>
      </c>
      <c r="BG1012" s="11">
        <f t="shared" si="1033"/>
        <v>0</v>
      </c>
      <c r="BN1012" s="8">
        <f t="shared" si="988"/>
        <v>1775</v>
      </c>
      <c r="BO1012" s="8">
        <f t="shared" si="989"/>
        <v>107125</v>
      </c>
      <c r="BP1012" s="8">
        <f t="shared" si="996"/>
        <v>1965</v>
      </c>
      <c r="BQ1012" s="12">
        <f t="shared" si="997"/>
        <v>117275</v>
      </c>
    </row>
    <row r="1013" spans="1:69">
      <c r="A1013" s="28">
        <v>1980</v>
      </c>
      <c r="B1013" s="27" t="s">
        <v>61</v>
      </c>
      <c r="C1013" s="24">
        <f t="shared" si="995"/>
        <v>988</v>
      </c>
      <c r="D1013" s="7" t="e">
        <f t="shared" ca="1" si="969"/>
        <v>#N/A</v>
      </c>
      <c r="E1013" s="26">
        <f t="array" aca="1" ref="E1013" ca="1">AVERAGE(IF(INDIRECT(DatCol&amp;"$"&amp;TEXT(C1013,"###")):INDIRECT(DatCol&amp;"$"&amp;TEXT(C1013+57,"###"))&gt;0,INDIRECT(DatCol&amp;"$"&amp;TEXT(C1013,"###")):INDIRECT(DatCol&amp;"$"&amp;TEXT(C1013+57,"###"))))</f>
        <v>124.04444444444445</v>
      </c>
      <c r="F1013" s="26" t="str">
        <f t="shared" ref="F1013:F1079" si="1034">VLOOKUP(B1013,town_region,2,FALSE)</f>
        <v>C</v>
      </c>
      <c r="G1013" s="8"/>
      <c r="H1013" s="8">
        <v>38</v>
      </c>
      <c r="I1013" s="8">
        <v>72</v>
      </c>
      <c r="J1013" s="8">
        <v>1036</v>
      </c>
      <c r="K1013" s="9">
        <f t="shared" si="990"/>
        <v>1074</v>
      </c>
      <c r="L1013" s="12">
        <v>300</v>
      </c>
      <c r="M1013" s="11">
        <f t="shared" si="1016"/>
        <v>15000</v>
      </c>
      <c r="N1013" s="12">
        <v>180</v>
      </c>
      <c r="O1013" s="11">
        <f t="shared" si="1017"/>
        <v>9000</v>
      </c>
      <c r="P1013" s="12">
        <v>950</v>
      </c>
      <c r="Q1013" s="11">
        <f t="shared" si="1018"/>
        <v>57000</v>
      </c>
      <c r="X1013" s="12">
        <v>1650</v>
      </c>
      <c r="Y1013" s="11">
        <f t="shared" si="1019"/>
        <v>99000</v>
      </c>
      <c r="AF1013" s="12">
        <v>650</v>
      </c>
      <c r="AG1013" s="11">
        <f t="shared" si="1020"/>
        <v>42250</v>
      </c>
      <c r="AH1013" s="12">
        <v>50</v>
      </c>
      <c r="AI1013" s="11">
        <f t="shared" si="1021"/>
        <v>3250</v>
      </c>
      <c r="AJ1013" s="12">
        <v>300</v>
      </c>
      <c r="AK1013" s="13">
        <f t="shared" si="1022"/>
        <v>2700</v>
      </c>
      <c r="AL1013" s="12">
        <v>90</v>
      </c>
      <c r="AM1013" s="13">
        <f t="shared" si="1023"/>
        <v>810</v>
      </c>
      <c r="AO1013" s="11">
        <f t="shared" si="1024"/>
        <v>0</v>
      </c>
      <c r="AP1013" s="12" t="s">
        <v>21</v>
      </c>
      <c r="AQ1013" s="11">
        <f t="shared" si="1025"/>
        <v>0</v>
      </c>
      <c r="AS1013" s="11">
        <f t="shared" si="1026"/>
        <v>0</v>
      </c>
      <c r="AT1013" s="12">
        <v>20</v>
      </c>
      <c r="AU1013" s="11">
        <f t="shared" si="1027"/>
        <v>1000</v>
      </c>
      <c r="AV1013" s="12">
        <v>1500</v>
      </c>
      <c r="AW1013" s="11">
        <f t="shared" si="1028"/>
        <v>90000</v>
      </c>
      <c r="AY1013" s="11">
        <f t="shared" si="1029"/>
        <v>0</v>
      </c>
      <c r="BA1013" s="11">
        <f t="shared" si="1030"/>
        <v>0</v>
      </c>
      <c r="BB1013" s="12">
        <v>10</v>
      </c>
      <c r="BC1013" s="11">
        <f t="shared" si="1031"/>
        <v>400</v>
      </c>
      <c r="BE1013" s="11">
        <f t="shared" si="1032"/>
        <v>0</v>
      </c>
      <c r="BG1013" s="11">
        <f t="shared" si="1033"/>
        <v>0</v>
      </c>
      <c r="BN1013" s="8">
        <f t="shared" si="988"/>
        <v>5350</v>
      </c>
      <c r="BO1013" s="8">
        <f t="shared" si="989"/>
        <v>305950</v>
      </c>
      <c r="BP1013" s="8">
        <f t="shared" si="996"/>
        <v>2000</v>
      </c>
      <c r="BQ1013" s="12">
        <f t="shared" si="997"/>
        <v>113460</v>
      </c>
    </row>
    <row r="1014" spans="1:69">
      <c r="A1014" s="28">
        <v>1981</v>
      </c>
      <c r="B1014" s="27" t="s">
        <v>61</v>
      </c>
      <c r="C1014" s="24">
        <f t="shared" si="995"/>
        <v>988</v>
      </c>
      <c r="D1014" s="7" t="e">
        <f t="shared" ca="1" si="969"/>
        <v>#N/A</v>
      </c>
      <c r="E1014" s="26">
        <f t="array" aca="1" ref="E1014" ca="1">AVERAGE(IF(INDIRECT(DatCol&amp;"$"&amp;TEXT(C1014,"###")):INDIRECT(DatCol&amp;"$"&amp;TEXT(C1014+57,"###"))&gt;0,INDIRECT(DatCol&amp;"$"&amp;TEXT(C1014,"###")):INDIRECT(DatCol&amp;"$"&amp;TEXT(C1014+57,"###"))))</f>
        <v>124.04444444444445</v>
      </c>
      <c r="F1014" s="26" t="str">
        <f t="shared" si="1034"/>
        <v>C</v>
      </c>
      <c r="G1014" s="8"/>
      <c r="H1014" s="8">
        <v>28</v>
      </c>
      <c r="I1014" s="8">
        <v>56</v>
      </c>
      <c r="J1014" s="8">
        <v>946</v>
      </c>
      <c r="K1014" s="9">
        <f t="shared" si="990"/>
        <v>974</v>
      </c>
      <c r="L1014" s="12">
        <v>250</v>
      </c>
      <c r="M1014" s="11">
        <f t="shared" si="1016"/>
        <v>12500</v>
      </c>
      <c r="N1014" s="12">
        <v>80</v>
      </c>
      <c r="O1014" s="11">
        <f t="shared" si="1017"/>
        <v>4000</v>
      </c>
      <c r="P1014" s="12">
        <v>600</v>
      </c>
      <c r="Q1014" s="11">
        <f t="shared" si="1018"/>
        <v>36000</v>
      </c>
      <c r="X1014" s="12">
        <v>800</v>
      </c>
      <c r="Y1014" s="11">
        <f t="shared" si="1019"/>
        <v>48000</v>
      </c>
      <c r="AF1014" s="12">
        <v>720</v>
      </c>
      <c r="AG1014" s="11">
        <f t="shared" si="1020"/>
        <v>46800</v>
      </c>
      <c r="AH1014" s="12">
        <v>25</v>
      </c>
      <c r="AI1014" s="11">
        <f t="shared" si="1021"/>
        <v>1625</v>
      </c>
      <c r="AJ1014" s="12">
        <v>700</v>
      </c>
      <c r="AK1014" s="13">
        <f t="shared" si="1022"/>
        <v>6300</v>
      </c>
      <c r="AL1014" s="12">
        <v>200</v>
      </c>
      <c r="AM1014" s="13">
        <f t="shared" si="1023"/>
        <v>1800</v>
      </c>
      <c r="AO1014" s="11">
        <f t="shared" si="1024"/>
        <v>0</v>
      </c>
      <c r="AQ1014" s="11">
        <f t="shared" si="1025"/>
        <v>0</v>
      </c>
      <c r="AS1014" s="11">
        <f t="shared" si="1026"/>
        <v>0</v>
      </c>
      <c r="AU1014" s="11">
        <f t="shared" si="1027"/>
        <v>0</v>
      </c>
      <c r="AW1014" s="11">
        <f t="shared" si="1028"/>
        <v>0</v>
      </c>
      <c r="AY1014" s="11">
        <f t="shared" si="1029"/>
        <v>0</v>
      </c>
      <c r="BA1014" s="11">
        <f t="shared" si="1030"/>
        <v>0</v>
      </c>
      <c r="BC1014" s="11">
        <f t="shared" si="1031"/>
        <v>0</v>
      </c>
      <c r="BE1014" s="11">
        <f t="shared" si="1032"/>
        <v>0</v>
      </c>
      <c r="BG1014" s="11">
        <f t="shared" si="1033"/>
        <v>0</v>
      </c>
      <c r="BN1014" s="8">
        <f t="shared" si="988"/>
        <v>3070</v>
      </c>
      <c r="BO1014" s="8">
        <f t="shared" si="989"/>
        <v>149600</v>
      </c>
      <c r="BP1014" s="8">
        <f t="shared" si="996"/>
        <v>1105</v>
      </c>
      <c r="BQ1014" s="12">
        <f t="shared" si="997"/>
        <v>55425</v>
      </c>
    </row>
    <row r="1015" spans="1:69">
      <c r="A1015" s="28">
        <v>1982</v>
      </c>
      <c r="B1015" s="27" t="s">
        <v>61</v>
      </c>
      <c r="C1015" s="24">
        <f t="shared" si="995"/>
        <v>988</v>
      </c>
      <c r="D1015" s="7" t="e">
        <f t="shared" ca="1" si="969"/>
        <v>#N/A</v>
      </c>
      <c r="E1015" s="26">
        <f t="array" aca="1" ref="E1015" ca="1">AVERAGE(IF(INDIRECT(DatCol&amp;"$"&amp;TEXT(C1015,"###")):INDIRECT(DatCol&amp;"$"&amp;TEXT(C1015+57,"###"))&gt;0,INDIRECT(DatCol&amp;"$"&amp;TEXT(C1015,"###")):INDIRECT(DatCol&amp;"$"&amp;TEXT(C1015+57,"###"))))</f>
        <v>124.04444444444445</v>
      </c>
      <c r="F1015" s="26" t="str">
        <f t="shared" si="1034"/>
        <v>C</v>
      </c>
      <c r="G1015" s="8"/>
      <c r="H1015" s="8">
        <v>17</v>
      </c>
      <c r="I1015" s="8">
        <v>52</v>
      </c>
      <c r="J1015" s="8">
        <v>824</v>
      </c>
      <c r="K1015" s="9">
        <f t="shared" si="990"/>
        <v>841</v>
      </c>
      <c r="L1015" s="12">
        <v>200</v>
      </c>
      <c r="M1015" s="11">
        <f t="shared" si="1016"/>
        <v>10000</v>
      </c>
      <c r="N1015" s="12">
        <v>100</v>
      </c>
      <c r="O1015" s="11">
        <f t="shared" si="1017"/>
        <v>5000</v>
      </c>
      <c r="P1015" s="12">
        <v>500</v>
      </c>
      <c r="Q1015" s="11">
        <f t="shared" si="1018"/>
        <v>30000</v>
      </c>
      <c r="X1015" s="12">
        <v>750</v>
      </c>
      <c r="Y1015" s="11">
        <f t="shared" si="1019"/>
        <v>45000</v>
      </c>
      <c r="AF1015" s="12">
        <v>500</v>
      </c>
      <c r="AG1015" s="11">
        <f t="shared" si="1020"/>
        <v>32500</v>
      </c>
      <c r="AH1015" s="12">
        <v>50</v>
      </c>
      <c r="AI1015" s="11">
        <f t="shared" si="1021"/>
        <v>3250</v>
      </c>
      <c r="AJ1015" s="12">
        <v>500</v>
      </c>
      <c r="AK1015" s="13">
        <f t="shared" si="1022"/>
        <v>4500</v>
      </c>
      <c r="AL1015" s="12">
        <v>300</v>
      </c>
      <c r="AM1015" s="13">
        <f t="shared" si="1023"/>
        <v>2700</v>
      </c>
      <c r="AO1015" s="11">
        <f t="shared" si="1024"/>
        <v>0</v>
      </c>
      <c r="AQ1015" s="11">
        <f t="shared" si="1025"/>
        <v>0</v>
      </c>
      <c r="AS1015" s="11">
        <f t="shared" si="1026"/>
        <v>0</v>
      </c>
      <c r="AU1015" s="11">
        <f t="shared" si="1027"/>
        <v>0</v>
      </c>
      <c r="AW1015" s="11">
        <f t="shared" si="1028"/>
        <v>0</v>
      </c>
      <c r="AY1015" s="11">
        <f t="shared" si="1029"/>
        <v>0</v>
      </c>
      <c r="BA1015" s="11">
        <f t="shared" si="1030"/>
        <v>0</v>
      </c>
      <c r="BC1015" s="11">
        <f t="shared" si="1031"/>
        <v>0</v>
      </c>
      <c r="BE1015" s="11">
        <f t="shared" si="1032"/>
        <v>0</v>
      </c>
      <c r="BG1015" s="11">
        <f t="shared" si="1033"/>
        <v>0</v>
      </c>
      <c r="BH1015" s="13">
        <v>1000</v>
      </c>
      <c r="BN1015" s="8">
        <f t="shared" si="988"/>
        <v>2450</v>
      </c>
      <c r="BO1015" s="8">
        <f t="shared" si="989"/>
        <v>122000</v>
      </c>
      <c r="BP1015" s="8">
        <f t="shared" si="996"/>
        <v>1200</v>
      </c>
      <c r="BQ1015" s="12">
        <f t="shared" si="997"/>
        <v>55950</v>
      </c>
    </row>
    <row r="1016" spans="1:69">
      <c r="A1016" s="28">
        <v>1983</v>
      </c>
      <c r="B1016" s="27" t="s">
        <v>61</v>
      </c>
      <c r="C1016" s="24">
        <f t="shared" si="995"/>
        <v>988</v>
      </c>
      <c r="D1016" s="7" t="e">
        <f t="shared" ca="1" si="969"/>
        <v>#N/A</v>
      </c>
      <c r="E1016" s="26">
        <f t="array" aca="1" ref="E1016" ca="1">AVERAGE(IF(INDIRECT(DatCol&amp;"$"&amp;TEXT(C1016,"###")):INDIRECT(DatCol&amp;"$"&amp;TEXT(C1016+57,"###"))&gt;0,INDIRECT(DatCol&amp;"$"&amp;TEXT(C1016,"###")):INDIRECT(DatCol&amp;"$"&amp;TEXT(C1016+57,"###"))))</f>
        <v>124.04444444444445</v>
      </c>
      <c r="F1016" s="26" t="str">
        <f t="shared" si="1034"/>
        <v>C</v>
      </c>
      <c r="G1016" s="8"/>
      <c r="H1016" s="8">
        <v>18</v>
      </c>
      <c r="I1016" s="8">
        <v>58</v>
      </c>
      <c r="J1016" s="8">
        <v>772</v>
      </c>
      <c r="K1016" s="9">
        <f t="shared" si="990"/>
        <v>790</v>
      </c>
      <c r="L1016" s="12">
        <v>350</v>
      </c>
      <c r="M1016" s="11">
        <f t="shared" si="1016"/>
        <v>17500</v>
      </c>
      <c r="N1016" s="12">
        <v>250</v>
      </c>
      <c r="O1016" s="11">
        <f t="shared" si="1017"/>
        <v>12500</v>
      </c>
      <c r="P1016" s="12">
        <v>530</v>
      </c>
      <c r="Q1016" s="11">
        <f t="shared" si="1018"/>
        <v>31800</v>
      </c>
      <c r="X1016" s="12">
        <v>865</v>
      </c>
      <c r="Y1016" s="11">
        <f t="shared" si="1019"/>
        <v>51900</v>
      </c>
      <c r="AF1016" s="12">
        <v>500</v>
      </c>
      <c r="AG1016" s="11">
        <f t="shared" si="1020"/>
        <v>32500</v>
      </c>
      <c r="AH1016" s="12">
        <v>50</v>
      </c>
      <c r="AI1016" s="11">
        <f t="shared" si="1021"/>
        <v>3250</v>
      </c>
      <c r="AJ1016" s="12">
        <v>1500</v>
      </c>
      <c r="AK1016" s="13">
        <f t="shared" si="1022"/>
        <v>13500</v>
      </c>
      <c r="AL1016" s="12">
        <v>600</v>
      </c>
      <c r="AM1016" s="13">
        <f t="shared" si="1023"/>
        <v>5400</v>
      </c>
      <c r="AO1016" s="11">
        <f t="shared" si="1024"/>
        <v>0</v>
      </c>
      <c r="AQ1016" s="11">
        <f t="shared" si="1025"/>
        <v>0</v>
      </c>
      <c r="AS1016" s="11">
        <f t="shared" si="1026"/>
        <v>0</v>
      </c>
      <c r="AU1016" s="11">
        <f t="shared" si="1027"/>
        <v>0</v>
      </c>
      <c r="AW1016" s="11">
        <f t="shared" si="1028"/>
        <v>0</v>
      </c>
      <c r="AY1016" s="11">
        <f t="shared" si="1029"/>
        <v>0</v>
      </c>
      <c r="BA1016" s="11">
        <f t="shared" si="1030"/>
        <v>0</v>
      </c>
      <c r="BC1016" s="11">
        <f t="shared" si="1031"/>
        <v>0</v>
      </c>
      <c r="BE1016" s="11">
        <f t="shared" si="1032"/>
        <v>0</v>
      </c>
      <c r="BG1016" s="11">
        <f t="shared" si="1033"/>
        <v>0</v>
      </c>
      <c r="BH1016" s="13">
        <v>1000</v>
      </c>
      <c r="BN1016" s="8">
        <f t="shared" si="988"/>
        <v>3745</v>
      </c>
      <c r="BO1016" s="8">
        <f t="shared" si="989"/>
        <v>147200</v>
      </c>
      <c r="BP1016" s="8">
        <f t="shared" si="996"/>
        <v>1765</v>
      </c>
      <c r="BQ1016" s="12">
        <f t="shared" si="997"/>
        <v>73050</v>
      </c>
    </row>
    <row r="1017" spans="1:69">
      <c r="A1017" s="28">
        <v>1984</v>
      </c>
      <c r="B1017" s="27" t="s">
        <v>61</v>
      </c>
      <c r="C1017" s="24">
        <f t="shared" si="995"/>
        <v>988</v>
      </c>
      <c r="D1017" s="7" t="e">
        <f t="shared" ca="1" si="969"/>
        <v>#N/A</v>
      </c>
      <c r="E1017" s="26">
        <f t="array" aca="1" ref="E1017" ca="1">AVERAGE(IF(INDIRECT(DatCol&amp;"$"&amp;TEXT(C1017,"###")):INDIRECT(DatCol&amp;"$"&amp;TEXT(C1017+57,"###"))&gt;0,INDIRECT(DatCol&amp;"$"&amp;TEXT(C1017,"###")):INDIRECT(DatCol&amp;"$"&amp;TEXT(C1017+57,"###"))))</f>
        <v>124.04444444444445</v>
      </c>
      <c r="F1017" s="26" t="str">
        <f t="shared" si="1034"/>
        <v>C</v>
      </c>
      <c r="G1017" s="8"/>
      <c r="H1017" s="8">
        <v>24</v>
      </c>
      <c r="I1017" s="8">
        <v>30</v>
      </c>
      <c r="J1017" s="8">
        <v>574</v>
      </c>
      <c r="K1017" s="9">
        <f t="shared" si="990"/>
        <v>598</v>
      </c>
      <c r="L1017" s="12">
        <v>200</v>
      </c>
      <c r="M1017" s="11">
        <f t="shared" si="1016"/>
        <v>10000</v>
      </c>
      <c r="N1017" s="12">
        <v>200</v>
      </c>
      <c r="O1017" s="11">
        <f t="shared" si="1017"/>
        <v>10000</v>
      </c>
      <c r="P1017" s="12">
        <v>550</v>
      </c>
      <c r="Q1017" s="11">
        <f t="shared" si="1018"/>
        <v>33000</v>
      </c>
      <c r="X1017" s="12">
        <v>825</v>
      </c>
      <c r="Y1017" s="11">
        <f t="shared" si="1019"/>
        <v>49500</v>
      </c>
      <c r="AF1017" s="12">
        <v>600</v>
      </c>
      <c r="AG1017" s="11">
        <f t="shared" si="1020"/>
        <v>39000</v>
      </c>
      <c r="AH1017" s="12">
        <v>50</v>
      </c>
      <c r="AI1017" s="11">
        <f t="shared" si="1021"/>
        <v>3250</v>
      </c>
      <c r="AJ1017" s="12">
        <v>50</v>
      </c>
      <c r="AK1017" s="13">
        <f t="shared" si="1022"/>
        <v>450</v>
      </c>
      <c r="AL1017" s="12">
        <v>25</v>
      </c>
      <c r="AM1017" s="13">
        <f t="shared" si="1023"/>
        <v>225</v>
      </c>
      <c r="AO1017" s="11">
        <f t="shared" si="1024"/>
        <v>0</v>
      </c>
      <c r="AQ1017" s="11">
        <f t="shared" si="1025"/>
        <v>0</v>
      </c>
      <c r="AS1017" s="11">
        <f t="shared" si="1026"/>
        <v>0</v>
      </c>
      <c r="AU1017" s="11">
        <f t="shared" si="1027"/>
        <v>0</v>
      </c>
      <c r="AW1017" s="11">
        <f t="shared" si="1028"/>
        <v>0</v>
      </c>
      <c r="AY1017" s="11">
        <f t="shared" si="1029"/>
        <v>0</v>
      </c>
      <c r="BA1017" s="11">
        <f t="shared" si="1030"/>
        <v>0</v>
      </c>
      <c r="BC1017" s="11">
        <f t="shared" si="1031"/>
        <v>0</v>
      </c>
      <c r="BE1017" s="11">
        <f t="shared" si="1032"/>
        <v>0</v>
      </c>
      <c r="BG1017" s="11">
        <f t="shared" si="1033"/>
        <v>0</v>
      </c>
      <c r="BN1017" s="8">
        <f t="shared" si="988"/>
        <v>2225</v>
      </c>
      <c r="BO1017" s="8">
        <f t="shared" si="989"/>
        <v>131950</v>
      </c>
      <c r="BP1017" s="8">
        <f t="shared" si="996"/>
        <v>1100</v>
      </c>
      <c r="BQ1017" s="12">
        <f t="shared" si="997"/>
        <v>62975</v>
      </c>
    </row>
    <row r="1018" spans="1:69">
      <c r="A1018" s="28">
        <v>1985</v>
      </c>
      <c r="B1018" s="27" t="s">
        <v>61</v>
      </c>
      <c r="C1018" s="24">
        <f t="shared" si="995"/>
        <v>988</v>
      </c>
      <c r="D1018" s="7" t="e">
        <f t="shared" ca="1" si="969"/>
        <v>#N/A</v>
      </c>
      <c r="E1018" s="26">
        <f t="array" aca="1" ref="E1018" ca="1">AVERAGE(IF(INDIRECT(DatCol&amp;"$"&amp;TEXT(C1018,"###")):INDIRECT(DatCol&amp;"$"&amp;TEXT(C1018+57,"###"))&gt;0,INDIRECT(DatCol&amp;"$"&amp;TEXT(C1018,"###")):INDIRECT(DatCol&amp;"$"&amp;TEXT(C1018+57,"###"))))</f>
        <v>124.04444444444445</v>
      </c>
      <c r="F1018" s="26" t="str">
        <f t="shared" si="1034"/>
        <v>C</v>
      </c>
      <c r="G1018" s="8">
        <v>178</v>
      </c>
      <c r="H1018" s="8">
        <v>34</v>
      </c>
      <c r="I1018" s="8">
        <v>18</v>
      </c>
      <c r="J1018" s="8">
        <v>456</v>
      </c>
      <c r="K1018" s="9">
        <f t="shared" si="990"/>
        <v>668</v>
      </c>
      <c r="L1018" s="12">
        <v>500</v>
      </c>
      <c r="M1018" s="11">
        <f t="shared" si="1016"/>
        <v>25000</v>
      </c>
      <c r="N1018" s="12">
        <v>200</v>
      </c>
      <c r="O1018" s="11">
        <f t="shared" si="1017"/>
        <v>10000</v>
      </c>
      <c r="P1018" s="12">
        <v>400</v>
      </c>
      <c r="Q1018" s="11">
        <f t="shared" si="1018"/>
        <v>24000</v>
      </c>
      <c r="X1018" s="12">
        <v>750</v>
      </c>
      <c r="Y1018" s="11">
        <f t="shared" si="1019"/>
        <v>45000</v>
      </c>
      <c r="AF1018" s="12">
        <v>600</v>
      </c>
      <c r="AG1018" s="11">
        <f t="shared" si="1020"/>
        <v>39000</v>
      </c>
      <c r="AH1018" s="12">
        <v>40</v>
      </c>
      <c r="AI1018" s="11">
        <f t="shared" si="1021"/>
        <v>2600</v>
      </c>
      <c r="AK1018" s="13">
        <f t="shared" si="1022"/>
        <v>0</v>
      </c>
      <c r="AL1018" s="12">
        <v>25</v>
      </c>
      <c r="AM1018" s="13">
        <f t="shared" si="1023"/>
        <v>225</v>
      </c>
      <c r="AO1018" s="11">
        <f t="shared" si="1024"/>
        <v>0</v>
      </c>
      <c r="AQ1018" s="11">
        <f t="shared" si="1025"/>
        <v>0</v>
      </c>
      <c r="AS1018" s="11">
        <f t="shared" si="1026"/>
        <v>0</v>
      </c>
      <c r="AT1018" s="12">
        <v>10</v>
      </c>
      <c r="AU1018" s="11">
        <f t="shared" si="1027"/>
        <v>500</v>
      </c>
      <c r="AV1018" s="12">
        <v>5500</v>
      </c>
      <c r="AW1018" s="11">
        <f t="shared" si="1028"/>
        <v>330000</v>
      </c>
      <c r="AY1018" s="11">
        <f t="shared" si="1029"/>
        <v>0</v>
      </c>
      <c r="BA1018" s="11">
        <f t="shared" si="1030"/>
        <v>0</v>
      </c>
      <c r="BC1018" s="11">
        <f t="shared" si="1031"/>
        <v>0</v>
      </c>
      <c r="BE1018" s="11">
        <f t="shared" si="1032"/>
        <v>0</v>
      </c>
      <c r="BG1018" s="11">
        <f t="shared" si="1033"/>
        <v>0</v>
      </c>
      <c r="BH1018" s="13">
        <v>250</v>
      </c>
      <c r="BN1018" s="8">
        <f t="shared" si="988"/>
        <v>7750</v>
      </c>
      <c r="BO1018" s="8">
        <f t="shared" si="989"/>
        <v>463000</v>
      </c>
      <c r="BP1018" s="8">
        <f t="shared" si="996"/>
        <v>1025</v>
      </c>
      <c r="BQ1018" s="12">
        <f t="shared" si="997"/>
        <v>58325</v>
      </c>
    </row>
    <row r="1019" spans="1:69">
      <c r="A1019" s="28">
        <v>1986</v>
      </c>
      <c r="B1019" s="27" t="s">
        <v>61</v>
      </c>
      <c r="C1019" s="24">
        <f t="shared" si="995"/>
        <v>988</v>
      </c>
      <c r="D1019" s="7" t="e">
        <f t="shared" ca="1" si="969"/>
        <v>#N/A</v>
      </c>
      <c r="E1019" s="26">
        <f t="array" aca="1" ref="E1019" ca="1">AVERAGE(IF(INDIRECT(DatCol&amp;"$"&amp;TEXT(C1019,"###")):INDIRECT(DatCol&amp;"$"&amp;TEXT(C1019+57,"###"))&gt;0,INDIRECT(DatCol&amp;"$"&amp;TEXT(C1019,"###")):INDIRECT(DatCol&amp;"$"&amp;TEXT(C1019+57,"###"))))</f>
        <v>124.04444444444445</v>
      </c>
      <c r="F1019" s="26" t="str">
        <f t="shared" si="1034"/>
        <v>C</v>
      </c>
      <c r="G1019" s="8">
        <v>174</v>
      </c>
      <c r="H1019" s="8">
        <v>43</v>
      </c>
      <c r="I1019" s="8">
        <v>13</v>
      </c>
      <c r="J1019" s="8">
        <v>458</v>
      </c>
      <c r="K1019" s="9">
        <f t="shared" si="990"/>
        <v>675</v>
      </c>
      <c r="L1019" s="12">
        <v>100</v>
      </c>
      <c r="M1019" s="11">
        <f t="shared" si="1016"/>
        <v>5000</v>
      </c>
      <c r="N1019" s="12">
        <v>100</v>
      </c>
      <c r="O1019" s="11">
        <f t="shared" si="1017"/>
        <v>5000</v>
      </c>
      <c r="P1019" s="12">
        <v>225</v>
      </c>
      <c r="Q1019" s="11">
        <f t="shared" si="1018"/>
        <v>13500</v>
      </c>
      <c r="X1019" s="12">
        <v>529</v>
      </c>
      <c r="Y1019" s="11">
        <f t="shared" si="1019"/>
        <v>31740</v>
      </c>
      <c r="AF1019" s="12">
        <v>125</v>
      </c>
      <c r="AG1019" s="11">
        <f t="shared" si="1020"/>
        <v>8125</v>
      </c>
      <c r="AH1019" s="12">
        <v>50</v>
      </c>
      <c r="AI1019" s="11">
        <f t="shared" si="1021"/>
        <v>3250</v>
      </c>
      <c r="AK1019" s="13">
        <f t="shared" si="1022"/>
        <v>0</v>
      </c>
      <c r="AM1019" s="13">
        <f t="shared" si="1023"/>
        <v>0</v>
      </c>
      <c r="AO1019" s="11">
        <f t="shared" si="1024"/>
        <v>0</v>
      </c>
      <c r="AQ1019" s="11">
        <f t="shared" si="1025"/>
        <v>0</v>
      </c>
      <c r="AS1019" s="11">
        <f t="shared" si="1026"/>
        <v>0</v>
      </c>
      <c r="AU1019" s="11">
        <f t="shared" si="1027"/>
        <v>0</v>
      </c>
      <c r="AW1019" s="11">
        <f t="shared" si="1028"/>
        <v>0</v>
      </c>
      <c r="AY1019" s="11">
        <f t="shared" si="1029"/>
        <v>0</v>
      </c>
      <c r="BA1019" s="11">
        <f t="shared" si="1030"/>
        <v>0</v>
      </c>
      <c r="BC1019" s="11">
        <f t="shared" si="1031"/>
        <v>0</v>
      </c>
      <c r="BE1019" s="11">
        <f t="shared" si="1032"/>
        <v>0</v>
      </c>
      <c r="BG1019" s="11">
        <f t="shared" si="1033"/>
        <v>0</v>
      </c>
      <c r="BN1019" s="8">
        <f t="shared" si="988"/>
        <v>979</v>
      </c>
      <c r="BO1019" s="8">
        <f t="shared" si="989"/>
        <v>58365</v>
      </c>
      <c r="BP1019" s="8">
        <f t="shared" si="996"/>
        <v>679</v>
      </c>
      <c r="BQ1019" s="12">
        <f t="shared" si="997"/>
        <v>39990</v>
      </c>
    </row>
    <row r="1020" spans="1:69">
      <c r="A1020" s="28">
        <v>1987</v>
      </c>
      <c r="B1020" s="27" t="s">
        <v>61</v>
      </c>
      <c r="C1020" s="24">
        <f t="shared" si="995"/>
        <v>988</v>
      </c>
      <c r="D1020" s="7" t="e">
        <f t="shared" ca="1" si="969"/>
        <v>#N/A</v>
      </c>
      <c r="E1020" s="26">
        <f t="array" aca="1" ref="E1020" ca="1">AVERAGE(IF(INDIRECT(DatCol&amp;"$"&amp;TEXT(C1020,"###")):INDIRECT(DatCol&amp;"$"&amp;TEXT(C1020+57,"###"))&gt;0,INDIRECT(DatCol&amp;"$"&amp;TEXT(C1020,"###")):INDIRECT(DatCol&amp;"$"&amp;TEXT(C1020+57,"###"))))</f>
        <v>124.04444444444445</v>
      </c>
      <c r="F1020" s="26" t="str">
        <f t="shared" si="1034"/>
        <v>C</v>
      </c>
      <c r="G1020" s="8">
        <v>151</v>
      </c>
      <c r="H1020" s="8">
        <v>13</v>
      </c>
      <c r="I1020" s="8">
        <v>15</v>
      </c>
      <c r="J1020" s="8">
        <v>413</v>
      </c>
      <c r="K1020" s="9">
        <f t="shared" si="990"/>
        <v>577</v>
      </c>
      <c r="L1020" s="12">
        <v>150</v>
      </c>
      <c r="M1020" s="11">
        <f t="shared" si="1016"/>
        <v>7500</v>
      </c>
      <c r="N1020" s="12">
        <v>75</v>
      </c>
      <c r="O1020" s="11">
        <f t="shared" si="1017"/>
        <v>3750</v>
      </c>
      <c r="P1020" s="12">
        <v>250</v>
      </c>
      <c r="Q1020" s="11">
        <f t="shared" si="1018"/>
        <v>15000</v>
      </c>
      <c r="X1020" s="12">
        <v>555</v>
      </c>
      <c r="Y1020" s="11">
        <f t="shared" si="1019"/>
        <v>33300</v>
      </c>
      <c r="AF1020" s="12">
        <v>500</v>
      </c>
      <c r="AG1020" s="11">
        <f t="shared" si="1020"/>
        <v>32500</v>
      </c>
      <c r="AH1020" s="12">
        <v>50</v>
      </c>
      <c r="AI1020" s="11">
        <f t="shared" si="1021"/>
        <v>3250</v>
      </c>
      <c r="AK1020" s="13">
        <f t="shared" si="1022"/>
        <v>0</v>
      </c>
      <c r="AM1020" s="13">
        <f t="shared" si="1023"/>
        <v>0</v>
      </c>
      <c r="AO1020" s="11">
        <f t="shared" si="1024"/>
        <v>0</v>
      </c>
      <c r="AQ1020" s="11">
        <f t="shared" si="1025"/>
        <v>0</v>
      </c>
      <c r="AS1020" s="11">
        <f t="shared" si="1026"/>
        <v>0</v>
      </c>
      <c r="AU1020" s="11">
        <f t="shared" si="1027"/>
        <v>0</v>
      </c>
      <c r="AV1020" s="12">
        <v>5000</v>
      </c>
      <c r="AW1020" s="11">
        <f t="shared" si="1028"/>
        <v>300000</v>
      </c>
      <c r="AX1020" s="12">
        <v>10</v>
      </c>
      <c r="AY1020" s="11">
        <f t="shared" si="1029"/>
        <v>600</v>
      </c>
      <c r="BA1020" s="11">
        <f t="shared" si="1030"/>
        <v>0</v>
      </c>
      <c r="BC1020" s="11">
        <f t="shared" si="1031"/>
        <v>0</v>
      </c>
      <c r="BE1020" s="11">
        <f t="shared" si="1032"/>
        <v>0</v>
      </c>
      <c r="BG1020" s="11">
        <f t="shared" si="1033"/>
        <v>0</v>
      </c>
      <c r="BN1020" s="8">
        <f t="shared" si="988"/>
        <v>6455</v>
      </c>
      <c r="BO1020" s="8">
        <f t="shared" si="989"/>
        <v>388300</v>
      </c>
      <c r="BP1020" s="8">
        <f t="shared" si="996"/>
        <v>690</v>
      </c>
      <c r="BQ1020" s="12">
        <f t="shared" si="997"/>
        <v>40900</v>
      </c>
    </row>
    <row r="1021" spans="1:69">
      <c r="A1021" s="28">
        <v>1988</v>
      </c>
      <c r="B1021" s="27" t="s">
        <v>61</v>
      </c>
      <c r="C1021" s="24">
        <f t="shared" si="995"/>
        <v>988</v>
      </c>
      <c r="D1021" s="7" t="e">
        <f t="shared" ca="1" si="969"/>
        <v>#N/A</v>
      </c>
      <c r="E1021" s="26">
        <f t="array" aca="1" ref="E1021" ca="1">AVERAGE(IF(INDIRECT(DatCol&amp;"$"&amp;TEXT(C1021,"###")):INDIRECT(DatCol&amp;"$"&amp;TEXT(C1021+57,"###"))&gt;0,INDIRECT(DatCol&amp;"$"&amp;TEXT(C1021,"###")):INDIRECT(DatCol&amp;"$"&amp;TEXT(C1021+57,"###"))))</f>
        <v>124.04444444444445</v>
      </c>
      <c r="F1021" s="26" t="str">
        <f t="shared" si="1034"/>
        <v>C</v>
      </c>
      <c r="G1021" s="8">
        <v>138</v>
      </c>
      <c r="H1021" s="8">
        <v>8</v>
      </c>
      <c r="I1021" s="8">
        <v>12</v>
      </c>
      <c r="J1021" s="8">
        <v>426</v>
      </c>
      <c r="K1021" s="9">
        <f t="shared" si="990"/>
        <v>572</v>
      </c>
      <c r="L1021" s="12">
        <v>70</v>
      </c>
      <c r="M1021" s="11">
        <f t="shared" si="1016"/>
        <v>3500</v>
      </c>
      <c r="N1021" s="12">
        <v>50</v>
      </c>
      <c r="O1021" s="11">
        <f t="shared" si="1017"/>
        <v>2500</v>
      </c>
      <c r="P1021" s="12">
        <v>220</v>
      </c>
      <c r="Q1021" s="11">
        <f t="shared" si="1018"/>
        <v>13200</v>
      </c>
      <c r="X1021" s="12">
        <v>470</v>
      </c>
      <c r="Y1021" s="11">
        <f t="shared" si="1019"/>
        <v>28200</v>
      </c>
      <c r="AF1021" s="12">
        <v>400</v>
      </c>
      <c r="AG1021" s="11">
        <f t="shared" si="1020"/>
        <v>26000</v>
      </c>
      <c r="AH1021" s="12">
        <v>50</v>
      </c>
      <c r="AI1021" s="11">
        <f t="shared" si="1021"/>
        <v>3250</v>
      </c>
      <c r="AK1021" s="13">
        <f t="shared" si="1022"/>
        <v>0</v>
      </c>
      <c r="AM1021" s="13">
        <f t="shared" si="1023"/>
        <v>0</v>
      </c>
      <c r="AO1021" s="11">
        <f t="shared" si="1024"/>
        <v>0</v>
      </c>
      <c r="AQ1021" s="11">
        <f t="shared" si="1025"/>
        <v>0</v>
      </c>
      <c r="AS1021" s="11">
        <f t="shared" si="1026"/>
        <v>0</v>
      </c>
      <c r="AU1021" s="11">
        <f t="shared" si="1027"/>
        <v>0</v>
      </c>
      <c r="AV1021" s="12">
        <v>1200</v>
      </c>
      <c r="AW1021" s="11">
        <f t="shared" si="1028"/>
        <v>72000</v>
      </c>
      <c r="AX1021" s="12">
        <v>5</v>
      </c>
      <c r="AY1021" s="11">
        <f t="shared" si="1029"/>
        <v>300</v>
      </c>
      <c r="BA1021" s="11">
        <f t="shared" si="1030"/>
        <v>0</v>
      </c>
      <c r="BC1021" s="11">
        <f t="shared" si="1031"/>
        <v>0</v>
      </c>
      <c r="BE1021" s="11">
        <f t="shared" si="1032"/>
        <v>0</v>
      </c>
      <c r="BG1021" s="11">
        <f t="shared" si="1033"/>
        <v>0</v>
      </c>
      <c r="BN1021" s="8">
        <f t="shared" si="988"/>
        <v>2360</v>
      </c>
      <c r="BO1021" s="8">
        <f t="shared" si="989"/>
        <v>142900</v>
      </c>
      <c r="BP1021" s="8">
        <f t="shared" si="996"/>
        <v>575</v>
      </c>
      <c r="BQ1021" s="12">
        <f t="shared" si="997"/>
        <v>34250</v>
      </c>
    </row>
    <row r="1022" spans="1:69">
      <c r="A1022" s="28">
        <v>1989</v>
      </c>
      <c r="B1022" s="27" t="s">
        <v>61</v>
      </c>
      <c r="C1022" s="24">
        <f t="shared" si="995"/>
        <v>988</v>
      </c>
      <c r="D1022" s="7" t="e">
        <f t="shared" ca="1" si="969"/>
        <v>#N/A</v>
      </c>
      <c r="E1022" s="26">
        <f t="array" aca="1" ref="E1022" ca="1">AVERAGE(IF(INDIRECT(DatCol&amp;"$"&amp;TEXT(C1022,"###")):INDIRECT(DatCol&amp;"$"&amp;TEXT(C1022+57,"###"))&gt;0,INDIRECT(DatCol&amp;"$"&amp;TEXT(C1022,"###")):INDIRECT(DatCol&amp;"$"&amp;TEXT(C1022+57,"###"))))</f>
        <v>124.04444444444445</v>
      </c>
      <c r="F1022" s="26" t="str">
        <f t="shared" si="1034"/>
        <v>C</v>
      </c>
      <c r="G1022" s="8"/>
      <c r="H1022" s="8" t="s">
        <v>28</v>
      </c>
      <c r="K1022" s="9">
        <f t="shared" si="990"/>
        <v>0</v>
      </c>
      <c r="M1022" s="11">
        <f t="shared" si="1016"/>
        <v>0</v>
      </c>
      <c r="O1022" s="11">
        <f t="shared" si="1017"/>
        <v>0</v>
      </c>
      <c r="Q1022" s="11">
        <f t="shared" si="1018"/>
        <v>0</v>
      </c>
      <c r="Y1022" s="11">
        <f t="shared" si="1019"/>
        <v>0</v>
      </c>
      <c r="AG1022" s="11">
        <f t="shared" si="1020"/>
        <v>0</v>
      </c>
      <c r="AI1022" s="11">
        <f t="shared" si="1021"/>
        <v>0</v>
      </c>
      <c r="AK1022" s="13">
        <f t="shared" si="1022"/>
        <v>0</v>
      </c>
      <c r="AM1022" s="13">
        <f t="shared" si="1023"/>
        <v>0</v>
      </c>
      <c r="AO1022" s="11">
        <f t="shared" si="1024"/>
        <v>0</v>
      </c>
      <c r="AQ1022" s="11">
        <f t="shared" si="1025"/>
        <v>0</v>
      </c>
      <c r="AS1022" s="11">
        <f t="shared" si="1026"/>
        <v>0</v>
      </c>
      <c r="AU1022" s="11">
        <f t="shared" si="1027"/>
        <v>0</v>
      </c>
      <c r="AW1022" s="11">
        <f t="shared" si="1028"/>
        <v>0</v>
      </c>
      <c r="AY1022" s="11">
        <f t="shared" si="1029"/>
        <v>0</v>
      </c>
      <c r="BA1022" s="11">
        <f t="shared" si="1030"/>
        <v>0</v>
      </c>
      <c r="BC1022" s="11">
        <f t="shared" si="1031"/>
        <v>0</v>
      </c>
      <c r="BE1022" s="11">
        <f t="shared" si="1032"/>
        <v>0</v>
      </c>
      <c r="BG1022" s="11">
        <f t="shared" si="1033"/>
        <v>0</v>
      </c>
      <c r="BN1022" s="8">
        <f t="shared" si="988"/>
        <v>0</v>
      </c>
      <c r="BO1022" s="8">
        <f t="shared" si="989"/>
        <v>0</v>
      </c>
      <c r="BP1022" s="8">
        <f t="shared" si="996"/>
        <v>0</v>
      </c>
      <c r="BQ1022" s="12">
        <f t="shared" si="997"/>
        <v>0</v>
      </c>
    </row>
    <row r="1023" spans="1:69">
      <c r="A1023" s="28">
        <v>1990</v>
      </c>
      <c r="B1023" s="27" t="s">
        <v>61</v>
      </c>
      <c r="C1023" s="24">
        <f t="shared" si="995"/>
        <v>988</v>
      </c>
      <c r="D1023" s="7" t="e">
        <f t="shared" ca="1" si="969"/>
        <v>#N/A</v>
      </c>
      <c r="E1023" s="26">
        <f t="array" aca="1" ref="E1023" ca="1">AVERAGE(IF(INDIRECT(DatCol&amp;"$"&amp;TEXT(C1023,"###")):INDIRECT(DatCol&amp;"$"&amp;TEXT(C1023+57,"###"))&gt;0,INDIRECT(DatCol&amp;"$"&amp;TEXT(C1023,"###")):INDIRECT(DatCol&amp;"$"&amp;TEXT(C1023+57,"###"))))</f>
        <v>124.04444444444445</v>
      </c>
      <c r="F1023" s="26" t="str">
        <f t="shared" si="1034"/>
        <v>C</v>
      </c>
      <c r="G1023" s="8">
        <v>106</v>
      </c>
      <c r="H1023" s="8">
        <v>26</v>
      </c>
      <c r="I1023" s="8">
        <v>9</v>
      </c>
      <c r="J1023" s="8">
        <v>274</v>
      </c>
      <c r="K1023" s="9">
        <f t="shared" si="990"/>
        <v>406</v>
      </c>
      <c r="L1023" s="12">
        <v>0</v>
      </c>
      <c r="M1023" s="11">
        <f t="shared" si="1016"/>
        <v>0</v>
      </c>
      <c r="N1023" s="12">
        <v>66</v>
      </c>
      <c r="O1023" s="11">
        <f t="shared" si="1017"/>
        <v>3300</v>
      </c>
      <c r="P1023" s="12">
        <v>713</v>
      </c>
      <c r="Q1023" s="11">
        <f t="shared" si="1018"/>
        <v>42780</v>
      </c>
      <c r="X1023" s="12">
        <v>963</v>
      </c>
      <c r="Y1023" s="11">
        <f t="shared" si="1019"/>
        <v>57780</v>
      </c>
      <c r="AF1023" s="12">
        <v>10</v>
      </c>
      <c r="AG1023" s="11">
        <f t="shared" si="1020"/>
        <v>650</v>
      </c>
      <c r="AH1023" s="12">
        <v>15</v>
      </c>
      <c r="AI1023" s="11">
        <f t="shared" si="1021"/>
        <v>975</v>
      </c>
      <c r="AJ1023" s="12">
        <v>10</v>
      </c>
      <c r="AK1023" s="13">
        <f t="shared" si="1022"/>
        <v>90</v>
      </c>
      <c r="AL1023" s="12">
        <v>18</v>
      </c>
      <c r="AM1023" s="13">
        <f t="shared" si="1023"/>
        <v>162</v>
      </c>
      <c r="AO1023" s="11">
        <f t="shared" si="1024"/>
        <v>0</v>
      </c>
      <c r="AQ1023" s="11">
        <f t="shared" si="1025"/>
        <v>0</v>
      </c>
      <c r="AS1023" s="11">
        <f t="shared" si="1026"/>
        <v>0</v>
      </c>
      <c r="AU1023" s="11">
        <f t="shared" si="1027"/>
        <v>0</v>
      </c>
      <c r="AV1023" s="12">
        <v>1000</v>
      </c>
      <c r="AW1023" s="11">
        <f t="shared" si="1028"/>
        <v>60000</v>
      </c>
      <c r="AX1023" s="12">
        <v>0</v>
      </c>
      <c r="AY1023" s="11">
        <f t="shared" si="1029"/>
        <v>0</v>
      </c>
      <c r="BA1023" s="11">
        <f t="shared" si="1030"/>
        <v>0</v>
      </c>
      <c r="BC1023" s="11">
        <f t="shared" si="1031"/>
        <v>0</v>
      </c>
      <c r="BE1023" s="11">
        <f t="shared" si="1032"/>
        <v>0</v>
      </c>
      <c r="BG1023" s="11">
        <f t="shared" si="1033"/>
        <v>0</v>
      </c>
      <c r="BN1023" s="8">
        <f t="shared" si="988"/>
        <v>2696</v>
      </c>
      <c r="BO1023" s="8">
        <f t="shared" si="989"/>
        <v>161300</v>
      </c>
      <c r="BP1023" s="8">
        <f t="shared" si="996"/>
        <v>1062</v>
      </c>
      <c r="BQ1023" s="12">
        <f t="shared" si="997"/>
        <v>62217</v>
      </c>
    </row>
    <row r="1024" spans="1:69">
      <c r="A1024" s="28">
        <v>1991</v>
      </c>
      <c r="B1024" s="27" t="s">
        <v>61</v>
      </c>
      <c r="C1024" s="24">
        <f t="shared" si="995"/>
        <v>988</v>
      </c>
      <c r="D1024" s="7" t="e">
        <f t="shared" ca="1" si="969"/>
        <v>#N/A</v>
      </c>
      <c r="E1024" s="26">
        <f t="array" aca="1" ref="E1024" ca="1">AVERAGE(IF(INDIRECT(DatCol&amp;"$"&amp;TEXT(C1024,"###")):INDIRECT(DatCol&amp;"$"&amp;TEXT(C1024+57,"###"))&gt;0,INDIRECT(DatCol&amp;"$"&amp;TEXT(C1024,"###")):INDIRECT(DatCol&amp;"$"&amp;TEXT(C1024+57,"###"))))</f>
        <v>124.04444444444445</v>
      </c>
      <c r="F1024" s="26" t="str">
        <f t="shared" si="1034"/>
        <v>C</v>
      </c>
      <c r="G1024" s="8">
        <v>107</v>
      </c>
      <c r="H1024" s="8">
        <v>28</v>
      </c>
      <c r="I1024" s="8">
        <v>9</v>
      </c>
      <c r="J1024" s="8">
        <v>259</v>
      </c>
      <c r="K1024" s="9">
        <f t="shared" si="990"/>
        <v>394</v>
      </c>
      <c r="L1024" s="12">
        <v>0</v>
      </c>
      <c r="M1024" s="11">
        <f t="shared" si="1016"/>
        <v>0</v>
      </c>
      <c r="N1024" s="12">
        <v>25</v>
      </c>
      <c r="O1024" s="11">
        <f t="shared" si="1017"/>
        <v>1250</v>
      </c>
      <c r="P1024" s="12">
        <f>200+100+60+360</f>
        <v>720</v>
      </c>
      <c r="Q1024" s="11">
        <f t="shared" si="1018"/>
        <v>43200</v>
      </c>
      <c r="X1024" s="12">
        <f>300+50+50+400</f>
        <v>800</v>
      </c>
      <c r="Y1024" s="11">
        <f t="shared" si="1019"/>
        <v>48000</v>
      </c>
      <c r="AF1024" s="12">
        <v>10</v>
      </c>
      <c r="AG1024" s="11">
        <f t="shared" si="1020"/>
        <v>650</v>
      </c>
      <c r="AH1024" s="12">
        <v>25</v>
      </c>
      <c r="AI1024" s="11">
        <f t="shared" si="1021"/>
        <v>1625</v>
      </c>
      <c r="AJ1024" s="12">
        <v>10</v>
      </c>
      <c r="AK1024" s="13">
        <f t="shared" si="1022"/>
        <v>90</v>
      </c>
      <c r="AL1024" s="12">
        <v>10</v>
      </c>
      <c r="AM1024" s="13">
        <f t="shared" si="1023"/>
        <v>90</v>
      </c>
      <c r="AN1024" s="12">
        <v>0</v>
      </c>
      <c r="AO1024" s="11">
        <f t="shared" si="1024"/>
        <v>0</v>
      </c>
      <c r="AP1024" s="12">
        <v>0</v>
      </c>
      <c r="AQ1024" s="11">
        <f t="shared" si="1025"/>
        <v>0</v>
      </c>
      <c r="AR1024" s="12">
        <v>0</v>
      </c>
      <c r="AS1024" s="11">
        <f t="shared" si="1026"/>
        <v>0</v>
      </c>
      <c r="AT1024" s="12">
        <v>10</v>
      </c>
      <c r="AU1024" s="11">
        <f t="shared" si="1027"/>
        <v>500</v>
      </c>
      <c r="AV1024" s="12">
        <v>500</v>
      </c>
      <c r="AW1024" s="11">
        <f t="shared" si="1028"/>
        <v>30000</v>
      </c>
      <c r="AX1024" s="12">
        <v>0</v>
      </c>
      <c r="AY1024" s="11">
        <f t="shared" si="1029"/>
        <v>0</v>
      </c>
      <c r="AZ1024" s="12">
        <v>0</v>
      </c>
      <c r="BA1024" s="11">
        <f t="shared" si="1030"/>
        <v>0</v>
      </c>
      <c r="BB1024" s="12">
        <v>0</v>
      </c>
      <c r="BC1024" s="11">
        <f t="shared" si="1031"/>
        <v>0</v>
      </c>
      <c r="BD1024" s="12">
        <v>0</v>
      </c>
      <c r="BE1024" s="11">
        <f t="shared" si="1032"/>
        <v>0</v>
      </c>
      <c r="BF1024" s="12">
        <v>0</v>
      </c>
      <c r="BG1024" s="11">
        <f t="shared" si="1033"/>
        <v>0</v>
      </c>
      <c r="BH1024" s="13">
        <v>2000</v>
      </c>
      <c r="BI1024" s="13">
        <v>0</v>
      </c>
      <c r="BJ1024" s="12">
        <v>0</v>
      </c>
      <c r="BK1024" s="13"/>
      <c r="BL1024" s="12">
        <v>0</v>
      </c>
      <c r="BN1024" s="8">
        <f t="shared" si="988"/>
        <v>2040</v>
      </c>
      <c r="BO1024" s="8">
        <f t="shared" si="989"/>
        <v>121940</v>
      </c>
      <c r="BP1024" s="8">
        <f t="shared" si="996"/>
        <v>870</v>
      </c>
      <c r="BQ1024" s="12">
        <f t="shared" si="997"/>
        <v>51465</v>
      </c>
    </row>
    <row r="1025" spans="1:69">
      <c r="A1025" s="28">
        <v>1992</v>
      </c>
      <c r="B1025" s="27" t="s">
        <v>61</v>
      </c>
      <c r="C1025" s="24">
        <f t="shared" si="995"/>
        <v>988</v>
      </c>
      <c r="D1025" s="7" t="e">
        <f t="shared" ca="1" si="969"/>
        <v>#N/A</v>
      </c>
      <c r="E1025" s="26">
        <f t="array" aca="1" ref="E1025" ca="1">AVERAGE(IF(INDIRECT(DatCol&amp;"$"&amp;TEXT(C1025,"###")):INDIRECT(DatCol&amp;"$"&amp;TEXT(C1025+57,"###"))&gt;0,INDIRECT(DatCol&amp;"$"&amp;TEXT(C1025,"###")):INDIRECT(DatCol&amp;"$"&amp;TEXT(C1025+57,"###"))))</f>
        <v>124.04444444444445</v>
      </c>
      <c r="F1025" s="26" t="str">
        <f t="shared" si="1034"/>
        <v>C</v>
      </c>
      <c r="G1025" s="8"/>
      <c r="K1025" s="9">
        <f t="shared" si="990"/>
        <v>0</v>
      </c>
      <c r="M1025" s="11">
        <f t="shared" si="1016"/>
        <v>0</v>
      </c>
      <c r="O1025" s="11">
        <f t="shared" si="1017"/>
        <v>0</v>
      </c>
      <c r="Q1025" s="11">
        <f t="shared" si="1018"/>
        <v>0</v>
      </c>
      <c r="Y1025" s="11">
        <f t="shared" si="1019"/>
        <v>0</v>
      </c>
      <c r="AG1025" s="11">
        <f t="shared" si="1020"/>
        <v>0</v>
      </c>
      <c r="AI1025" s="11">
        <f t="shared" si="1021"/>
        <v>0</v>
      </c>
      <c r="AK1025" s="13">
        <f t="shared" si="1022"/>
        <v>0</v>
      </c>
      <c r="AM1025" s="13">
        <f t="shared" si="1023"/>
        <v>0</v>
      </c>
      <c r="AO1025" s="11">
        <f t="shared" si="1024"/>
        <v>0</v>
      </c>
      <c r="AQ1025" s="11">
        <f t="shared" si="1025"/>
        <v>0</v>
      </c>
      <c r="AS1025" s="11">
        <f t="shared" si="1026"/>
        <v>0</v>
      </c>
      <c r="AU1025" s="11">
        <f t="shared" si="1027"/>
        <v>0</v>
      </c>
      <c r="AW1025" s="11">
        <f t="shared" si="1028"/>
        <v>0</v>
      </c>
      <c r="AY1025" s="11">
        <f t="shared" si="1029"/>
        <v>0</v>
      </c>
      <c r="BA1025" s="11">
        <f t="shared" si="1030"/>
        <v>0</v>
      </c>
      <c r="BC1025" s="11">
        <f t="shared" si="1031"/>
        <v>0</v>
      </c>
      <c r="BE1025" s="11">
        <f t="shared" si="1032"/>
        <v>0</v>
      </c>
      <c r="BG1025" s="11">
        <f t="shared" si="1033"/>
        <v>0</v>
      </c>
      <c r="BN1025" s="8">
        <f t="shared" si="988"/>
        <v>0</v>
      </c>
      <c r="BO1025" s="8">
        <f t="shared" si="989"/>
        <v>0</v>
      </c>
      <c r="BP1025" s="8">
        <f t="shared" si="996"/>
        <v>0</v>
      </c>
      <c r="BQ1025" s="12">
        <f t="shared" si="997"/>
        <v>0</v>
      </c>
    </row>
    <row r="1026" spans="1:69">
      <c r="A1026" s="28">
        <v>1993</v>
      </c>
      <c r="B1026" s="27" t="s">
        <v>61</v>
      </c>
      <c r="C1026" s="24">
        <f t="shared" si="995"/>
        <v>988</v>
      </c>
      <c r="D1026" s="7" t="e">
        <f t="shared" ref="D1026:D1089" ca="1" si="1035">IF(AND((INDIRECT(DatCol&amp;TEXT(ROW(),"###"))&gt;0),((F1026=RegionSelect)+(RegionSelect="A"))),INDIRECT(DatCol&amp;TEXT(ROW(),"###"))/E1026,NA())</f>
        <v>#N/A</v>
      </c>
      <c r="E1026" s="26">
        <f t="array" aca="1" ref="E1026" ca="1">AVERAGE(IF(INDIRECT(DatCol&amp;"$"&amp;TEXT(C1026,"###")):INDIRECT(DatCol&amp;"$"&amp;TEXT(C1026+57,"###"))&gt;0,INDIRECT(DatCol&amp;"$"&amp;TEXT(C1026,"###")):INDIRECT(DatCol&amp;"$"&amp;TEXT(C1026+57,"###"))))</f>
        <v>124.04444444444445</v>
      </c>
      <c r="F1026" s="26" t="str">
        <f t="shared" si="1034"/>
        <v>C</v>
      </c>
      <c r="G1026" s="8">
        <v>94</v>
      </c>
      <c r="H1026" s="8">
        <v>40</v>
      </c>
      <c r="I1026" s="8">
        <v>9</v>
      </c>
      <c r="J1026" s="8">
        <v>266</v>
      </c>
      <c r="K1026" s="9">
        <f t="shared" si="990"/>
        <v>400</v>
      </c>
      <c r="L1026" s="12">
        <v>0</v>
      </c>
      <c r="M1026" s="11">
        <f t="shared" ref="M1026:M1056" si="1036">(L1026*50)</f>
        <v>0</v>
      </c>
      <c r="N1026" s="12">
        <v>50</v>
      </c>
      <c r="O1026" s="11">
        <f t="shared" ref="O1026:O1056" si="1037">(N1026*50)</f>
        <v>2500</v>
      </c>
      <c r="P1026" s="12">
        <f>150+75+145+370</f>
        <v>740</v>
      </c>
      <c r="Q1026" s="11">
        <f t="shared" ref="Q1026:Q1056" si="1038">((P1026*330)/5.5)</f>
        <v>44400</v>
      </c>
      <c r="X1026" s="12">
        <f>200+50+50+300</f>
        <v>600</v>
      </c>
      <c r="Y1026" s="11">
        <f t="shared" ref="Y1026:Y1056" si="1039">((X1026*330)/5.5)</f>
        <v>36000</v>
      </c>
      <c r="AF1026" s="12">
        <v>150</v>
      </c>
      <c r="AG1026" s="11">
        <f t="shared" ref="AG1026:AG1056" si="1040">(AF1026*65)</f>
        <v>9750</v>
      </c>
      <c r="AH1026" s="12">
        <v>50</v>
      </c>
      <c r="AI1026" s="11">
        <f t="shared" ref="AI1026:AI1056" si="1041">(AH1026*65)</f>
        <v>3250</v>
      </c>
      <c r="AJ1026" s="12">
        <v>0</v>
      </c>
      <c r="AK1026" s="13">
        <f t="shared" ref="AK1026:AK1056" si="1042">(AJ1026*9)</f>
        <v>0</v>
      </c>
      <c r="AL1026" s="12">
        <v>10</v>
      </c>
      <c r="AM1026" s="13">
        <f t="shared" ref="AM1026:AM1056" si="1043">(AL1026*9)</f>
        <v>90</v>
      </c>
      <c r="AN1026" s="12">
        <v>0</v>
      </c>
      <c r="AO1026" s="11">
        <f t="shared" ref="AO1026:AO1056" si="1044">(AN1026*80)</f>
        <v>0</v>
      </c>
      <c r="AP1026" s="12">
        <v>0</v>
      </c>
      <c r="AQ1026" s="11">
        <f t="shared" ref="AQ1026:AQ1056" si="1045">(AP1026*80)</f>
        <v>0</v>
      </c>
      <c r="AR1026" s="12">
        <v>0</v>
      </c>
      <c r="AS1026" s="11">
        <f t="shared" ref="AS1026:AS1056" si="1046">(AR1026*50)</f>
        <v>0</v>
      </c>
      <c r="AT1026" s="12">
        <v>5</v>
      </c>
      <c r="AU1026" s="11">
        <f t="shared" ref="AU1026:AU1056" si="1047">(AT1026*50)</f>
        <v>250</v>
      </c>
      <c r="AV1026" s="12">
        <v>400</v>
      </c>
      <c r="AW1026" s="11">
        <f t="shared" ref="AW1026:AW1056" si="1048">(AV1026*60)</f>
        <v>24000</v>
      </c>
      <c r="AX1026" s="12">
        <v>10</v>
      </c>
      <c r="AY1026" s="11">
        <f t="shared" ref="AY1026:AY1056" si="1049">(AX1026*60)</f>
        <v>600</v>
      </c>
      <c r="AZ1026" s="12">
        <v>0</v>
      </c>
      <c r="BA1026" s="11">
        <f t="shared" ref="BA1026:BA1056" si="1050">(AZ1026*40)</f>
        <v>0</v>
      </c>
      <c r="BB1026" s="12">
        <v>0</v>
      </c>
      <c r="BC1026" s="11">
        <f t="shared" ref="BC1026:BC1056" si="1051">(BB1026*40)</f>
        <v>0</v>
      </c>
      <c r="BD1026" s="12">
        <v>0</v>
      </c>
      <c r="BE1026" s="11">
        <f t="shared" ref="BE1026:BE1056" si="1052">(BD1026*95)</f>
        <v>0</v>
      </c>
      <c r="BF1026" s="12">
        <v>0</v>
      </c>
      <c r="BG1026" s="11">
        <f t="shared" ref="BG1026:BG1056" si="1053">(BF1026*95)</f>
        <v>0</v>
      </c>
      <c r="BH1026" s="13">
        <v>1000</v>
      </c>
      <c r="BI1026" s="13">
        <v>100</v>
      </c>
      <c r="BN1026" s="8">
        <f t="shared" si="988"/>
        <v>1890</v>
      </c>
      <c r="BO1026" s="8">
        <f t="shared" si="989"/>
        <v>114150</v>
      </c>
      <c r="BP1026" s="8">
        <f t="shared" si="996"/>
        <v>725</v>
      </c>
      <c r="BQ1026" s="12">
        <f t="shared" si="997"/>
        <v>42690</v>
      </c>
    </row>
    <row r="1027" spans="1:69">
      <c r="A1027" s="28">
        <v>1994</v>
      </c>
      <c r="B1027" s="27" t="s">
        <v>61</v>
      </c>
      <c r="C1027" s="24">
        <f t="shared" si="995"/>
        <v>988</v>
      </c>
      <c r="D1027" s="7" t="e">
        <f t="shared" ca="1" si="1035"/>
        <v>#N/A</v>
      </c>
      <c r="E1027" s="26">
        <f t="array" aca="1" ref="E1027" ca="1">AVERAGE(IF(INDIRECT(DatCol&amp;"$"&amp;TEXT(C1027,"###")):INDIRECT(DatCol&amp;"$"&amp;TEXT(C1027+57,"###"))&gt;0,INDIRECT(DatCol&amp;"$"&amp;TEXT(C1027,"###")):INDIRECT(DatCol&amp;"$"&amp;TEXT(C1027+57,"###"))))</f>
        <v>124.04444444444445</v>
      </c>
      <c r="F1027" s="26" t="str">
        <f t="shared" si="1034"/>
        <v>C</v>
      </c>
      <c r="G1027" s="8">
        <v>104</v>
      </c>
      <c r="H1027" s="8">
        <v>49</v>
      </c>
      <c r="I1027" s="8">
        <v>4</v>
      </c>
      <c r="J1027" s="8">
        <v>254</v>
      </c>
      <c r="K1027" s="9">
        <f t="shared" si="990"/>
        <v>407</v>
      </c>
      <c r="L1027" s="12">
        <v>0</v>
      </c>
      <c r="M1027" s="11">
        <f t="shared" si="1036"/>
        <v>0</v>
      </c>
      <c r="N1027" s="12">
        <v>75</v>
      </c>
      <c r="O1027" s="11">
        <f t="shared" si="1037"/>
        <v>3750</v>
      </c>
      <c r="P1027" s="12">
        <f>600+300+100+200</f>
        <v>1200</v>
      </c>
      <c r="Q1027" s="11">
        <f t="shared" si="1038"/>
        <v>72000</v>
      </c>
      <c r="X1027" s="12">
        <f>265+100+65+100</f>
        <v>530</v>
      </c>
      <c r="Y1027" s="11">
        <f t="shared" si="1039"/>
        <v>31800</v>
      </c>
      <c r="AF1027" s="12">
        <v>150</v>
      </c>
      <c r="AG1027" s="11">
        <f t="shared" si="1040"/>
        <v>9750</v>
      </c>
      <c r="AH1027" s="12">
        <v>30</v>
      </c>
      <c r="AI1027" s="11">
        <f t="shared" si="1041"/>
        <v>1950</v>
      </c>
      <c r="AJ1027" s="12">
        <v>0</v>
      </c>
      <c r="AK1027" s="13">
        <f t="shared" si="1042"/>
        <v>0</v>
      </c>
      <c r="AL1027" s="12">
        <v>10</v>
      </c>
      <c r="AM1027" s="13">
        <f t="shared" si="1043"/>
        <v>90</v>
      </c>
      <c r="AN1027" s="12">
        <v>0</v>
      </c>
      <c r="AO1027" s="11">
        <f t="shared" si="1044"/>
        <v>0</v>
      </c>
      <c r="AP1027" s="12">
        <v>0</v>
      </c>
      <c r="AQ1027" s="11">
        <f t="shared" si="1045"/>
        <v>0</v>
      </c>
      <c r="AR1027" s="12">
        <v>0</v>
      </c>
      <c r="AS1027" s="11">
        <f t="shared" si="1046"/>
        <v>0</v>
      </c>
      <c r="AT1027" s="12">
        <v>20</v>
      </c>
      <c r="AU1027" s="11">
        <f t="shared" si="1047"/>
        <v>1000</v>
      </c>
      <c r="AV1027" s="12">
        <v>950</v>
      </c>
      <c r="AW1027" s="11">
        <f t="shared" si="1048"/>
        <v>57000</v>
      </c>
      <c r="AX1027" s="12">
        <v>0</v>
      </c>
      <c r="AY1027" s="11">
        <f t="shared" si="1049"/>
        <v>0</v>
      </c>
      <c r="AZ1027" s="12">
        <v>0</v>
      </c>
      <c r="BA1027" s="11">
        <f t="shared" si="1050"/>
        <v>0</v>
      </c>
      <c r="BB1027" s="12">
        <v>0</v>
      </c>
      <c r="BC1027" s="11">
        <f t="shared" si="1051"/>
        <v>0</v>
      </c>
      <c r="BD1027" s="12">
        <v>0</v>
      </c>
      <c r="BE1027" s="11">
        <f t="shared" si="1052"/>
        <v>0</v>
      </c>
      <c r="BF1027" s="12">
        <v>0</v>
      </c>
      <c r="BG1027" s="11">
        <f t="shared" si="1053"/>
        <v>0</v>
      </c>
      <c r="BH1027" s="13">
        <v>500</v>
      </c>
      <c r="BI1027" s="13">
        <v>100</v>
      </c>
      <c r="BN1027" s="8">
        <f t="shared" si="988"/>
        <v>2830</v>
      </c>
      <c r="BO1027" s="8">
        <f t="shared" si="989"/>
        <v>170550</v>
      </c>
      <c r="BP1027" s="8">
        <f t="shared" si="996"/>
        <v>665</v>
      </c>
      <c r="BQ1027" s="12">
        <f t="shared" si="997"/>
        <v>38590</v>
      </c>
    </row>
    <row r="1028" spans="1:69">
      <c r="A1028" s="28">
        <v>1995</v>
      </c>
      <c r="B1028" s="27" t="s">
        <v>61</v>
      </c>
      <c r="C1028" s="24">
        <f t="shared" si="995"/>
        <v>988</v>
      </c>
      <c r="D1028" s="7" t="e">
        <f t="shared" ca="1" si="1035"/>
        <v>#N/A</v>
      </c>
      <c r="E1028" s="26">
        <f t="array" aca="1" ref="E1028" ca="1">AVERAGE(IF(INDIRECT(DatCol&amp;"$"&amp;TEXT(C1028,"###")):INDIRECT(DatCol&amp;"$"&amp;TEXT(C1028+57,"###"))&gt;0,INDIRECT(DatCol&amp;"$"&amp;TEXT(C1028,"###")):INDIRECT(DatCol&amp;"$"&amp;TEXT(C1028+57,"###"))))</f>
        <v>124.04444444444445</v>
      </c>
      <c r="F1028" s="26" t="str">
        <f t="shared" si="1034"/>
        <v>C</v>
      </c>
      <c r="G1028" s="9">
        <v>116</v>
      </c>
      <c r="H1028" s="9">
        <v>67</v>
      </c>
      <c r="I1028" s="9">
        <v>11</v>
      </c>
      <c r="J1028" s="9">
        <v>259</v>
      </c>
      <c r="K1028" s="9">
        <f t="shared" si="990"/>
        <v>442</v>
      </c>
      <c r="L1028" s="10">
        <v>0</v>
      </c>
      <c r="M1028" s="11">
        <f t="shared" si="1036"/>
        <v>0</v>
      </c>
      <c r="N1028" s="10">
        <v>64</v>
      </c>
      <c r="O1028" s="11">
        <f t="shared" si="1037"/>
        <v>3200</v>
      </c>
      <c r="P1028" s="10">
        <f>455+200+85+170</f>
        <v>910</v>
      </c>
      <c r="Q1028" s="11">
        <f t="shared" si="1038"/>
        <v>54600</v>
      </c>
      <c r="X1028" s="10">
        <f>225+85+55+85</f>
        <v>450</v>
      </c>
      <c r="Y1028" s="11">
        <f t="shared" si="1039"/>
        <v>27000</v>
      </c>
      <c r="AF1028" s="10">
        <v>0</v>
      </c>
      <c r="AG1028" s="11">
        <f t="shared" si="1040"/>
        <v>0</v>
      </c>
      <c r="AH1028" s="10">
        <v>26</v>
      </c>
      <c r="AI1028" s="11">
        <f t="shared" si="1041"/>
        <v>1690</v>
      </c>
      <c r="AJ1028" s="10">
        <v>0</v>
      </c>
      <c r="AK1028" s="13">
        <f t="shared" si="1042"/>
        <v>0</v>
      </c>
      <c r="AL1028" s="10">
        <v>9</v>
      </c>
      <c r="AM1028" s="13">
        <f t="shared" si="1043"/>
        <v>81</v>
      </c>
      <c r="AN1028" s="10">
        <v>0</v>
      </c>
      <c r="AO1028" s="11">
        <f t="shared" si="1044"/>
        <v>0</v>
      </c>
      <c r="AP1028" s="10">
        <v>0</v>
      </c>
      <c r="AQ1028" s="11">
        <f t="shared" si="1045"/>
        <v>0</v>
      </c>
      <c r="AR1028" s="10">
        <v>0</v>
      </c>
      <c r="AS1028" s="11">
        <f t="shared" si="1046"/>
        <v>0</v>
      </c>
      <c r="AT1028" s="10">
        <v>17</v>
      </c>
      <c r="AU1028" s="11">
        <f t="shared" si="1047"/>
        <v>850</v>
      </c>
      <c r="AV1028" s="10">
        <v>808</v>
      </c>
      <c r="AW1028" s="11">
        <f t="shared" si="1048"/>
        <v>48480</v>
      </c>
      <c r="AX1028" s="10">
        <v>0</v>
      </c>
      <c r="AY1028" s="11">
        <f t="shared" si="1049"/>
        <v>0</v>
      </c>
      <c r="AZ1028" s="10">
        <v>0</v>
      </c>
      <c r="BA1028" s="11">
        <f t="shared" si="1050"/>
        <v>0</v>
      </c>
      <c r="BB1028" s="10">
        <v>3</v>
      </c>
      <c r="BC1028" s="11">
        <f t="shared" si="1051"/>
        <v>120</v>
      </c>
      <c r="BD1028" s="10">
        <v>0</v>
      </c>
      <c r="BE1028" s="11">
        <f t="shared" si="1052"/>
        <v>0</v>
      </c>
      <c r="BF1028" s="10">
        <v>0</v>
      </c>
      <c r="BG1028" s="11">
        <f t="shared" si="1053"/>
        <v>0</v>
      </c>
      <c r="BH1028" s="11">
        <v>425</v>
      </c>
      <c r="BI1028" s="11">
        <v>100</v>
      </c>
      <c r="BN1028" s="8">
        <f t="shared" si="988"/>
        <v>2168</v>
      </c>
      <c r="BO1028" s="8">
        <f t="shared" si="989"/>
        <v>130080</v>
      </c>
      <c r="BP1028" s="8">
        <f t="shared" si="996"/>
        <v>569</v>
      </c>
      <c r="BQ1028" s="12">
        <f t="shared" si="997"/>
        <v>32941</v>
      </c>
    </row>
    <row r="1029" spans="1:69">
      <c r="A1029" s="28">
        <v>1996</v>
      </c>
      <c r="B1029" s="27" t="s">
        <v>61</v>
      </c>
      <c r="C1029" s="24">
        <f t="shared" si="995"/>
        <v>988</v>
      </c>
      <c r="D1029" s="7" t="e">
        <f t="shared" ca="1" si="1035"/>
        <v>#N/A</v>
      </c>
      <c r="E1029" s="26">
        <f t="array" aca="1" ref="E1029" ca="1">AVERAGE(IF(INDIRECT(DatCol&amp;"$"&amp;TEXT(C1029,"###")):INDIRECT(DatCol&amp;"$"&amp;TEXT(C1029+57,"###"))&gt;0,INDIRECT(DatCol&amp;"$"&amp;TEXT(C1029,"###")):INDIRECT(DatCol&amp;"$"&amp;TEXT(C1029+57,"###"))))</f>
        <v>124.04444444444445</v>
      </c>
      <c r="F1029" s="26" t="str">
        <f t="shared" si="1034"/>
        <v>C</v>
      </c>
      <c r="H1029" s="9">
        <f>98+55+19</f>
        <v>172</v>
      </c>
      <c r="I1029" s="9">
        <v>8</v>
      </c>
      <c r="J1029" s="9">
        <v>277</v>
      </c>
      <c r="K1029" s="9">
        <f t="shared" si="990"/>
        <v>449</v>
      </c>
      <c r="L1029" s="10">
        <v>0</v>
      </c>
      <c r="M1029" s="11">
        <f t="shared" si="1036"/>
        <v>0</v>
      </c>
      <c r="N1029" s="10">
        <v>58</v>
      </c>
      <c r="O1029" s="11">
        <f t="shared" si="1037"/>
        <v>2900</v>
      </c>
      <c r="P1029" s="10">
        <f>200+85+50+65</f>
        <v>400</v>
      </c>
      <c r="Q1029" s="11">
        <f t="shared" si="1038"/>
        <v>24000</v>
      </c>
      <c r="X1029" s="10">
        <f>132+55+32+45</f>
        <v>264</v>
      </c>
      <c r="Y1029" s="11">
        <f t="shared" si="1039"/>
        <v>15840</v>
      </c>
      <c r="AF1029" s="10">
        <v>10</v>
      </c>
      <c r="AG1029" s="11">
        <f t="shared" si="1040"/>
        <v>650</v>
      </c>
      <c r="AH1029" s="10">
        <v>25</v>
      </c>
      <c r="AI1029" s="11">
        <f t="shared" si="1041"/>
        <v>1625</v>
      </c>
      <c r="AJ1029" s="10">
        <v>0</v>
      </c>
      <c r="AK1029" s="13">
        <f t="shared" si="1042"/>
        <v>0</v>
      </c>
      <c r="AL1029" s="10">
        <v>5</v>
      </c>
      <c r="AM1029" s="13">
        <f t="shared" si="1043"/>
        <v>45</v>
      </c>
      <c r="AN1029" s="10">
        <v>0</v>
      </c>
      <c r="AO1029" s="11">
        <f t="shared" si="1044"/>
        <v>0</v>
      </c>
      <c r="AP1029" s="10">
        <v>0</v>
      </c>
      <c r="AQ1029" s="11">
        <f t="shared" si="1045"/>
        <v>0</v>
      </c>
      <c r="AR1029" s="10">
        <v>0</v>
      </c>
      <c r="AS1029" s="11">
        <f t="shared" si="1046"/>
        <v>0</v>
      </c>
      <c r="AT1029" s="10">
        <v>3</v>
      </c>
      <c r="AU1029" s="11">
        <f t="shared" si="1047"/>
        <v>150</v>
      </c>
      <c r="AV1029" s="10">
        <v>808</v>
      </c>
      <c r="AW1029" s="11">
        <f t="shared" si="1048"/>
        <v>48480</v>
      </c>
      <c r="AX1029" s="10">
        <v>0</v>
      </c>
      <c r="AY1029" s="11">
        <f t="shared" si="1049"/>
        <v>0</v>
      </c>
      <c r="AZ1029" s="10">
        <v>0</v>
      </c>
      <c r="BA1029" s="11">
        <f t="shared" si="1050"/>
        <v>0</v>
      </c>
      <c r="BB1029" s="10">
        <v>3</v>
      </c>
      <c r="BC1029" s="11">
        <f t="shared" si="1051"/>
        <v>120</v>
      </c>
      <c r="BD1029" s="10">
        <v>0</v>
      </c>
      <c r="BE1029" s="11">
        <f t="shared" si="1052"/>
        <v>0</v>
      </c>
      <c r="BF1029" s="10">
        <v>0</v>
      </c>
      <c r="BG1029" s="11">
        <f t="shared" si="1053"/>
        <v>0</v>
      </c>
      <c r="BH1029" s="11">
        <v>425</v>
      </c>
      <c r="BI1029" s="11">
        <v>100</v>
      </c>
      <c r="BN1029" s="8">
        <f t="shared" si="988"/>
        <v>1482</v>
      </c>
      <c r="BO1029" s="8">
        <f t="shared" si="989"/>
        <v>88970</v>
      </c>
      <c r="BP1029" s="8">
        <f t="shared" si="996"/>
        <v>358</v>
      </c>
      <c r="BQ1029" s="12">
        <f t="shared" si="997"/>
        <v>20680</v>
      </c>
    </row>
    <row r="1030" spans="1:69">
      <c r="A1030" s="28">
        <v>1997</v>
      </c>
      <c r="B1030" s="27" t="s">
        <v>61</v>
      </c>
      <c r="C1030" s="24">
        <f t="shared" si="995"/>
        <v>988</v>
      </c>
      <c r="D1030" s="7" t="e">
        <f t="shared" ca="1" si="1035"/>
        <v>#N/A</v>
      </c>
      <c r="E1030" s="26">
        <f t="array" aca="1" ref="E1030" ca="1">AVERAGE(IF(INDIRECT(DatCol&amp;"$"&amp;TEXT(C1030,"###")):INDIRECT(DatCol&amp;"$"&amp;TEXT(C1030+57,"###"))&gt;0,INDIRECT(DatCol&amp;"$"&amp;TEXT(C1030,"###")):INDIRECT(DatCol&amp;"$"&amp;TEXT(C1030+57,"###"))))</f>
        <v>124.04444444444445</v>
      </c>
      <c r="F1030" s="26" t="str">
        <f t="shared" si="1034"/>
        <v>C</v>
      </c>
      <c r="G1030" s="9">
        <v>97</v>
      </c>
      <c r="H1030" s="9">
        <v>60</v>
      </c>
      <c r="I1030" s="9">
        <v>9</v>
      </c>
      <c r="J1030" s="9">
        <v>310</v>
      </c>
      <c r="K1030" s="9">
        <f t="shared" si="990"/>
        <v>467</v>
      </c>
      <c r="L1030" s="10">
        <v>0</v>
      </c>
      <c r="M1030" s="11">
        <f t="shared" si="1036"/>
        <v>0</v>
      </c>
      <c r="N1030" s="10">
        <v>203</v>
      </c>
      <c r="O1030" s="11">
        <f t="shared" si="1037"/>
        <v>10150</v>
      </c>
      <c r="P1030" s="10">
        <f>190+95+450</f>
        <v>735</v>
      </c>
      <c r="Q1030" s="11">
        <f t="shared" si="1038"/>
        <v>44100</v>
      </c>
      <c r="X1030" s="10">
        <f>217+71+112</f>
        <v>400</v>
      </c>
      <c r="Y1030" s="11">
        <f t="shared" si="1039"/>
        <v>24000</v>
      </c>
      <c r="AF1030" s="10">
        <v>10</v>
      </c>
      <c r="AG1030" s="11">
        <f t="shared" si="1040"/>
        <v>650</v>
      </c>
      <c r="AH1030" s="10">
        <v>20</v>
      </c>
      <c r="AI1030" s="11">
        <f t="shared" si="1041"/>
        <v>1300</v>
      </c>
      <c r="AJ1030" s="10">
        <v>3</v>
      </c>
      <c r="AK1030" s="13">
        <f t="shared" si="1042"/>
        <v>27</v>
      </c>
      <c r="AL1030" s="10">
        <v>5</v>
      </c>
      <c r="AM1030" s="13">
        <f t="shared" si="1043"/>
        <v>45</v>
      </c>
      <c r="AN1030" s="10">
        <v>0</v>
      </c>
      <c r="AO1030" s="11">
        <f t="shared" si="1044"/>
        <v>0</v>
      </c>
      <c r="AP1030" s="10">
        <v>0</v>
      </c>
      <c r="AQ1030" s="11">
        <f t="shared" si="1045"/>
        <v>0</v>
      </c>
      <c r="AR1030" s="10">
        <v>3</v>
      </c>
      <c r="AS1030" s="11">
        <f t="shared" si="1046"/>
        <v>150</v>
      </c>
      <c r="AT1030" s="10">
        <v>0</v>
      </c>
      <c r="AU1030" s="11">
        <f t="shared" si="1047"/>
        <v>0</v>
      </c>
      <c r="AV1030" s="10">
        <v>0</v>
      </c>
      <c r="AW1030" s="11">
        <f t="shared" si="1048"/>
        <v>0</v>
      </c>
      <c r="AX1030" s="10">
        <v>0</v>
      </c>
      <c r="AY1030" s="11">
        <f t="shared" si="1049"/>
        <v>0</v>
      </c>
      <c r="AZ1030" s="10">
        <v>0</v>
      </c>
      <c r="BA1030" s="11">
        <f t="shared" si="1050"/>
        <v>0</v>
      </c>
      <c r="BB1030" s="10">
        <v>3</v>
      </c>
      <c r="BC1030" s="11">
        <f t="shared" si="1051"/>
        <v>120</v>
      </c>
      <c r="BD1030" s="10">
        <v>0</v>
      </c>
      <c r="BE1030" s="11">
        <f t="shared" si="1052"/>
        <v>0</v>
      </c>
      <c r="BF1030" s="10">
        <v>0</v>
      </c>
      <c r="BG1030" s="11">
        <f t="shared" si="1053"/>
        <v>0</v>
      </c>
      <c r="BH1030" s="11">
        <v>425</v>
      </c>
      <c r="BI1030" s="11">
        <v>100</v>
      </c>
      <c r="BN1030" s="8">
        <f t="shared" si="988"/>
        <v>1151</v>
      </c>
      <c r="BO1030" s="8">
        <f t="shared" si="989"/>
        <v>68927</v>
      </c>
      <c r="BP1030" s="8">
        <f t="shared" si="996"/>
        <v>631</v>
      </c>
      <c r="BQ1030" s="12">
        <f t="shared" si="997"/>
        <v>35615</v>
      </c>
    </row>
    <row r="1031" spans="1:69">
      <c r="A1031" s="28">
        <v>1998</v>
      </c>
      <c r="B1031" s="27" t="s">
        <v>61</v>
      </c>
      <c r="C1031" s="24">
        <f t="shared" si="995"/>
        <v>988</v>
      </c>
      <c r="D1031" s="7" t="e">
        <f t="shared" ca="1" si="1035"/>
        <v>#N/A</v>
      </c>
      <c r="E1031" s="26">
        <f t="array" aca="1" ref="E1031" ca="1">AVERAGE(IF(INDIRECT(DatCol&amp;"$"&amp;TEXT(C1031,"###")):INDIRECT(DatCol&amp;"$"&amp;TEXT(C1031+57,"###"))&gt;0,INDIRECT(DatCol&amp;"$"&amp;TEXT(C1031,"###")):INDIRECT(DatCol&amp;"$"&amp;TEXT(C1031+57,"###"))))</f>
        <v>124.04444444444445</v>
      </c>
      <c r="F1031" s="26" t="str">
        <f t="shared" si="1034"/>
        <v>C</v>
      </c>
      <c r="G1031" s="9">
        <v>76</v>
      </c>
      <c r="H1031" s="9">
        <v>34</v>
      </c>
      <c r="I1031" s="9">
        <v>10</v>
      </c>
      <c r="J1031" s="9">
        <v>309</v>
      </c>
      <c r="K1031" s="9">
        <f t="shared" si="990"/>
        <v>419</v>
      </c>
      <c r="L1031" s="10">
        <v>0</v>
      </c>
      <c r="M1031" s="11">
        <v>0</v>
      </c>
      <c r="N1031" s="10">
        <f>(O1031/50)</f>
        <v>150</v>
      </c>
      <c r="O1031" s="11">
        <v>7500</v>
      </c>
      <c r="P1031" s="10">
        <f>Q1031/60</f>
        <v>500</v>
      </c>
      <c r="Q1031" s="11">
        <v>30000</v>
      </c>
      <c r="R1031" s="10">
        <f>S1031/60</f>
        <v>200</v>
      </c>
      <c r="S1031" s="11">
        <v>12000</v>
      </c>
      <c r="T1031" s="10">
        <f>U1031/60</f>
        <v>100</v>
      </c>
      <c r="U1031" s="11">
        <v>6000</v>
      </c>
      <c r="V1031" s="10">
        <f>W1031/60</f>
        <v>200</v>
      </c>
      <c r="W1031" s="11">
        <v>12000</v>
      </c>
      <c r="X1031" s="10">
        <f>Y1031/60</f>
        <v>300</v>
      </c>
      <c r="Y1031" s="11">
        <v>18000</v>
      </c>
      <c r="Z1031" s="10">
        <v>200</v>
      </c>
      <c r="AA1031" s="11">
        <v>12000</v>
      </c>
      <c r="AB1031" s="10">
        <f>AC1031/60</f>
        <v>50</v>
      </c>
      <c r="AC1031" s="11">
        <v>3000</v>
      </c>
      <c r="AD1031" s="10">
        <v>50</v>
      </c>
      <c r="AE1031" s="11">
        <v>3000</v>
      </c>
      <c r="AF1031" s="10">
        <f>(AG1031/65)</f>
        <v>23.076923076923077</v>
      </c>
      <c r="AG1031" s="11">
        <v>1500</v>
      </c>
      <c r="AH1031" s="10">
        <f>(AI1031/65)</f>
        <v>7.6923076923076925</v>
      </c>
      <c r="AI1031" s="11">
        <v>500</v>
      </c>
      <c r="AK1031" s="13">
        <v>0</v>
      </c>
      <c r="AL1031" s="10">
        <v>0</v>
      </c>
      <c r="AM1031" s="13">
        <v>0</v>
      </c>
      <c r="AN1031" s="10">
        <v>0</v>
      </c>
      <c r="AO1031" s="11">
        <v>0</v>
      </c>
      <c r="AP1031" s="10">
        <v>0</v>
      </c>
      <c r="AQ1031" s="11">
        <v>0</v>
      </c>
      <c r="AR1031" s="10">
        <v>0</v>
      </c>
      <c r="AS1031" s="11">
        <v>0</v>
      </c>
      <c r="AT1031" s="10">
        <v>0</v>
      </c>
      <c r="AU1031" s="11">
        <v>0</v>
      </c>
      <c r="AV1031" s="10">
        <v>0</v>
      </c>
      <c r="AW1031" s="11">
        <v>0</v>
      </c>
      <c r="AX1031" s="10">
        <v>0</v>
      </c>
      <c r="AY1031" s="11">
        <v>0</v>
      </c>
      <c r="AZ1031" s="10">
        <v>0</v>
      </c>
      <c r="BA1031" s="11">
        <v>0</v>
      </c>
      <c r="BB1031" s="10">
        <v>0</v>
      </c>
      <c r="BC1031" s="11">
        <v>0</v>
      </c>
      <c r="BD1031" s="10">
        <v>0</v>
      </c>
      <c r="BE1031" s="11">
        <v>0</v>
      </c>
      <c r="BF1031" s="10">
        <v>0</v>
      </c>
      <c r="BG1031" s="11">
        <v>0</v>
      </c>
      <c r="BH1031" s="11">
        <v>0</v>
      </c>
      <c r="BN1031" s="8">
        <f t="shared" si="988"/>
        <v>1623.0769230769231</v>
      </c>
      <c r="BO1031" s="8">
        <f t="shared" si="989"/>
        <v>94500</v>
      </c>
      <c r="BP1031" s="8">
        <f t="shared" si="996"/>
        <v>757.69230769230774</v>
      </c>
      <c r="BQ1031" s="12">
        <f t="shared" si="997"/>
        <v>44000</v>
      </c>
    </row>
    <row r="1032" spans="1:69">
      <c r="A1032" s="28">
        <v>1999</v>
      </c>
      <c r="B1032" s="27" t="s">
        <v>61</v>
      </c>
      <c r="C1032" s="24">
        <f t="shared" si="995"/>
        <v>988</v>
      </c>
      <c r="D1032" s="7" t="e">
        <f t="shared" ca="1" si="1035"/>
        <v>#N/A</v>
      </c>
      <c r="E1032" s="26">
        <f t="array" aca="1" ref="E1032" ca="1">AVERAGE(IF(INDIRECT(DatCol&amp;"$"&amp;TEXT(C1032,"###")):INDIRECT(DatCol&amp;"$"&amp;TEXT(C1032+57,"###"))&gt;0,INDIRECT(DatCol&amp;"$"&amp;TEXT(C1032,"###")):INDIRECT(DatCol&amp;"$"&amp;TEXT(C1032+57,"###"))))</f>
        <v>124.04444444444445</v>
      </c>
      <c r="F1032" s="26" t="str">
        <f t="shared" si="1034"/>
        <v>C</v>
      </c>
      <c r="G1032" s="9">
        <v>85</v>
      </c>
      <c r="H1032" s="9">
        <v>12</v>
      </c>
      <c r="I1032" s="9">
        <f>47+15</f>
        <v>62</v>
      </c>
      <c r="J1032" s="9">
        <v>344</v>
      </c>
      <c r="K1032" s="9">
        <f t="shared" si="990"/>
        <v>441</v>
      </c>
      <c r="L1032" s="10">
        <v>0</v>
      </c>
      <c r="M1032" s="11">
        <v>0</v>
      </c>
      <c r="N1032" s="10">
        <f t="shared" ref="N1032:N1039" si="1054">O1032/50</f>
        <v>110</v>
      </c>
      <c r="O1032" s="11">
        <v>5500</v>
      </c>
      <c r="P1032" s="10">
        <v>0</v>
      </c>
      <c r="Q1032" s="11">
        <v>0</v>
      </c>
      <c r="R1032" s="10">
        <f>S1032/60</f>
        <v>540</v>
      </c>
      <c r="S1032" s="11">
        <v>32400</v>
      </c>
      <c r="T1032" s="10">
        <f>U1032/60</f>
        <v>70</v>
      </c>
      <c r="U1032" s="11">
        <v>4200</v>
      </c>
      <c r="V1032" s="10">
        <f>W1032/60</f>
        <v>50</v>
      </c>
      <c r="W1032" s="11">
        <v>3000</v>
      </c>
      <c r="X1032" s="10">
        <v>0</v>
      </c>
      <c r="Y1032" s="11">
        <v>0</v>
      </c>
      <c r="Z1032" s="10">
        <f>AA1032/60</f>
        <v>420</v>
      </c>
      <c r="AA1032" s="11">
        <v>25200</v>
      </c>
      <c r="AB1032" s="10">
        <f>AC1032/60</f>
        <v>35</v>
      </c>
      <c r="AC1032" s="11">
        <v>2100</v>
      </c>
      <c r="AD1032" s="10">
        <f>AE1032/60</f>
        <v>20</v>
      </c>
      <c r="AE1032" s="11">
        <v>1200</v>
      </c>
      <c r="AF1032" s="10">
        <f>AG1032/50</f>
        <v>60</v>
      </c>
      <c r="AG1032" s="11">
        <v>3000</v>
      </c>
      <c r="AH1032" s="10">
        <f>AI1032/50</f>
        <v>20</v>
      </c>
      <c r="AI1032" s="11">
        <v>1000</v>
      </c>
      <c r="AJ1032" s="10">
        <v>0</v>
      </c>
      <c r="AK1032" s="13">
        <v>0</v>
      </c>
      <c r="AL1032" s="10">
        <v>0</v>
      </c>
      <c r="AM1032" s="13">
        <v>0</v>
      </c>
      <c r="AN1032" s="10">
        <v>0</v>
      </c>
      <c r="AO1032" s="11">
        <v>0</v>
      </c>
      <c r="AP1032" s="10">
        <v>0</v>
      </c>
      <c r="AQ1032" s="11">
        <v>0</v>
      </c>
      <c r="AR1032" s="10">
        <v>0</v>
      </c>
      <c r="AS1032" s="11">
        <v>0</v>
      </c>
      <c r="AT1032" s="10">
        <v>0</v>
      </c>
      <c r="AU1032" s="11">
        <v>0</v>
      </c>
      <c r="AV1032" s="10">
        <v>0</v>
      </c>
      <c r="AW1032" s="11">
        <v>0</v>
      </c>
      <c r="AX1032" s="10">
        <v>0</v>
      </c>
      <c r="AY1032" s="11">
        <v>0</v>
      </c>
      <c r="AZ1032" s="10">
        <v>0</v>
      </c>
      <c r="BA1032" s="11">
        <v>0</v>
      </c>
      <c r="BB1032" s="10">
        <v>0</v>
      </c>
      <c r="BC1032" s="11">
        <v>0</v>
      </c>
      <c r="BD1032" s="10">
        <v>0</v>
      </c>
      <c r="BE1032" s="11">
        <v>0</v>
      </c>
      <c r="BF1032" s="10">
        <v>0</v>
      </c>
      <c r="BG1032" s="11">
        <v>0</v>
      </c>
      <c r="BN1032" s="8">
        <f t="shared" si="988"/>
        <v>1195</v>
      </c>
      <c r="BO1032" s="8">
        <f t="shared" si="989"/>
        <v>69900</v>
      </c>
      <c r="BP1032" s="8">
        <f t="shared" si="996"/>
        <v>605</v>
      </c>
      <c r="BQ1032" s="12">
        <f t="shared" si="997"/>
        <v>35000</v>
      </c>
    </row>
    <row r="1033" spans="1:69">
      <c r="A1033" s="28">
        <v>2000</v>
      </c>
      <c r="B1033" s="27" t="s">
        <v>61</v>
      </c>
      <c r="C1033" s="24">
        <f t="shared" si="995"/>
        <v>988</v>
      </c>
      <c r="D1033" s="7" t="e">
        <f t="shared" ca="1" si="1035"/>
        <v>#N/A</v>
      </c>
      <c r="E1033" s="26">
        <f t="array" aca="1" ref="E1033" ca="1">AVERAGE(IF(INDIRECT(DatCol&amp;"$"&amp;TEXT(C1033,"###")):INDIRECT(DatCol&amp;"$"&amp;TEXT(C1033+57,"###"))&gt;0,INDIRECT(DatCol&amp;"$"&amp;TEXT(C1033,"###")):INDIRECT(DatCol&amp;"$"&amp;TEXT(C1033+57,"###"))))</f>
        <v>124.04444444444445</v>
      </c>
      <c r="F1033" s="26" t="str">
        <f t="shared" si="1034"/>
        <v>C</v>
      </c>
      <c r="G1033" s="9">
        <v>18</v>
      </c>
      <c r="H1033" s="9">
        <v>46</v>
      </c>
      <c r="I1033" s="9">
        <v>10</v>
      </c>
      <c r="J1033" s="9">
        <v>336</v>
      </c>
      <c r="K1033" s="9">
        <f t="shared" si="990"/>
        <v>400</v>
      </c>
      <c r="L1033" s="10">
        <v>0</v>
      </c>
      <c r="M1033" s="11">
        <v>0</v>
      </c>
      <c r="N1033" s="10">
        <f t="shared" si="1054"/>
        <v>80</v>
      </c>
      <c r="O1033" s="11">
        <v>4000</v>
      </c>
      <c r="P1033" s="10">
        <v>0</v>
      </c>
      <c r="Q1033" s="11">
        <v>0</v>
      </c>
      <c r="R1033" s="10">
        <f>S1033/49.5</f>
        <v>363.63636363636363</v>
      </c>
      <c r="S1033" s="11">
        <v>18000</v>
      </c>
      <c r="T1033" s="10">
        <f>U1033/57.5</f>
        <v>234.78260869565219</v>
      </c>
      <c r="U1033" s="11">
        <v>13500</v>
      </c>
      <c r="V1033" s="10">
        <f>W1033/49.5</f>
        <v>333.33333333333331</v>
      </c>
      <c r="W1033" s="11">
        <v>16500</v>
      </c>
      <c r="X1033" s="10">
        <v>0</v>
      </c>
      <c r="Y1033" s="11">
        <v>0</v>
      </c>
      <c r="Z1033" s="10">
        <f>AA1033/49.5</f>
        <v>200</v>
      </c>
      <c r="AA1033" s="11">
        <v>9900</v>
      </c>
      <c r="AB1033" s="10">
        <f>AC1033/57.5</f>
        <v>104.34782608695652</v>
      </c>
      <c r="AC1033" s="11">
        <v>6000</v>
      </c>
      <c r="AD1033" s="10">
        <f>AE1033/49.5</f>
        <v>187.87878787878788</v>
      </c>
      <c r="AE1033" s="11">
        <v>9300</v>
      </c>
      <c r="AF1033" s="10">
        <f t="shared" ref="AF1033:AF1039" si="1055">AG1033/47.5</f>
        <v>48.421052631578945</v>
      </c>
      <c r="AG1033" s="11">
        <v>2300</v>
      </c>
      <c r="AH1033" s="10">
        <f t="shared" ref="AH1033:AH1039" si="1056">AI1033/47.5</f>
        <v>15.789473684210526</v>
      </c>
      <c r="AI1033" s="11">
        <v>750</v>
      </c>
      <c r="AJ1033" s="10">
        <f t="shared" ref="AJ1033:AJ1039" si="1057">AK1033/9</f>
        <v>83.333333333333329</v>
      </c>
      <c r="AK1033" s="13">
        <v>750</v>
      </c>
      <c r="AL1033" s="10">
        <v>0</v>
      </c>
      <c r="AM1033" s="13">
        <v>0</v>
      </c>
      <c r="AN1033" s="10">
        <v>0</v>
      </c>
      <c r="AO1033" s="11">
        <v>0</v>
      </c>
      <c r="AP1033" s="10">
        <v>0</v>
      </c>
      <c r="AQ1033" s="11">
        <v>0</v>
      </c>
      <c r="AR1033" s="10">
        <v>0</v>
      </c>
      <c r="AS1033" s="11">
        <v>0</v>
      </c>
      <c r="AT1033" s="10">
        <v>0</v>
      </c>
      <c r="AU1033" s="11">
        <v>0</v>
      </c>
      <c r="AV1033" s="10">
        <f>AW1033/40</f>
        <v>12.5</v>
      </c>
      <c r="AW1033" s="11">
        <v>500</v>
      </c>
      <c r="AX1033" s="10">
        <v>0</v>
      </c>
      <c r="AY1033" s="11">
        <v>0</v>
      </c>
      <c r="AZ1033" s="10">
        <v>0</v>
      </c>
      <c r="BA1033" s="11">
        <v>0</v>
      </c>
      <c r="BB1033" s="10">
        <v>0</v>
      </c>
      <c r="BC1033" s="11">
        <v>0</v>
      </c>
      <c r="BD1033" s="10">
        <v>0</v>
      </c>
      <c r="BE1033" s="11">
        <v>0</v>
      </c>
      <c r="BF1033" s="10">
        <v>0</v>
      </c>
      <c r="BG1033" s="11">
        <v>0</v>
      </c>
      <c r="BN1033" s="8">
        <f t="shared" si="988"/>
        <v>1568.2333055960057</v>
      </c>
      <c r="BO1033" s="8">
        <f t="shared" si="989"/>
        <v>67450</v>
      </c>
      <c r="BP1033" s="8">
        <f t="shared" si="996"/>
        <v>588.0160876499549</v>
      </c>
      <c r="BQ1033" s="12">
        <f t="shared" si="997"/>
        <v>29950</v>
      </c>
    </row>
    <row r="1034" spans="1:69">
      <c r="A1034" s="28">
        <v>2001</v>
      </c>
      <c r="B1034" s="27" t="s">
        <v>61</v>
      </c>
      <c r="C1034" s="24">
        <f t="shared" si="995"/>
        <v>988</v>
      </c>
      <c r="D1034" s="7" t="e">
        <f t="shared" ca="1" si="1035"/>
        <v>#N/A</v>
      </c>
      <c r="E1034" s="26">
        <f t="array" aca="1" ref="E1034" ca="1">AVERAGE(IF(INDIRECT(DatCol&amp;"$"&amp;TEXT(C1034,"###")):INDIRECT(DatCol&amp;"$"&amp;TEXT(C1034+57,"###"))&gt;0,INDIRECT(DatCol&amp;"$"&amp;TEXT(C1034,"###")):INDIRECT(DatCol&amp;"$"&amp;TEXT(C1034+57,"###"))))</f>
        <v>124.04444444444445</v>
      </c>
      <c r="F1034" s="26" t="str">
        <f t="shared" si="1034"/>
        <v>C</v>
      </c>
      <c r="G1034" s="9">
        <v>93</v>
      </c>
      <c r="H1034" s="9">
        <v>93</v>
      </c>
      <c r="I1034" s="9">
        <v>9</v>
      </c>
      <c r="J1034" s="9">
        <v>303</v>
      </c>
      <c r="K1034" s="9">
        <f t="shared" si="990"/>
        <v>489</v>
      </c>
      <c r="L1034" s="10">
        <v>0</v>
      </c>
      <c r="M1034" s="11">
        <v>0</v>
      </c>
      <c r="N1034" s="10">
        <f t="shared" si="1054"/>
        <v>120</v>
      </c>
      <c r="O1034" s="11">
        <v>6000</v>
      </c>
      <c r="P1034" s="10">
        <v>0</v>
      </c>
      <c r="Q1034" s="11">
        <v>0</v>
      </c>
      <c r="R1034" s="10">
        <f>S1034/75</f>
        <v>160</v>
      </c>
      <c r="S1034" s="11">
        <v>12000</v>
      </c>
      <c r="T1034" s="10">
        <f>U1034/75</f>
        <v>140</v>
      </c>
      <c r="U1034" s="11">
        <v>10500</v>
      </c>
      <c r="V1034" s="10">
        <f>W1034/75</f>
        <v>180</v>
      </c>
      <c r="W1034" s="11">
        <v>13500</v>
      </c>
      <c r="X1034" s="10">
        <v>0</v>
      </c>
      <c r="Y1034" s="11">
        <v>0</v>
      </c>
      <c r="Z1034" s="10">
        <f>AA1034/75</f>
        <v>120</v>
      </c>
      <c r="AA1034" s="11">
        <v>9000</v>
      </c>
      <c r="AB1034" s="10">
        <f>AC1034/75</f>
        <v>72</v>
      </c>
      <c r="AC1034" s="11">
        <v>5400</v>
      </c>
      <c r="AD1034" s="10">
        <f>AE1034/75</f>
        <v>88</v>
      </c>
      <c r="AE1034" s="11">
        <v>6600</v>
      </c>
      <c r="AF1034" s="10">
        <f t="shared" si="1055"/>
        <v>42.10526315789474</v>
      </c>
      <c r="AG1034" s="11">
        <v>2000</v>
      </c>
      <c r="AH1034" s="10">
        <f t="shared" si="1056"/>
        <v>18.94736842105263</v>
      </c>
      <c r="AI1034" s="11">
        <v>900</v>
      </c>
      <c r="AJ1034" s="10">
        <f t="shared" si="1057"/>
        <v>444.44444444444446</v>
      </c>
      <c r="AK1034" s="13">
        <v>4000</v>
      </c>
      <c r="AL1034" s="10">
        <f>AM1034/9</f>
        <v>222.22222222222223</v>
      </c>
      <c r="AM1034" s="13">
        <v>2000</v>
      </c>
      <c r="AN1034" s="10">
        <v>0</v>
      </c>
      <c r="AO1034" s="11">
        <v>0</v>
      </c>
      <c r="AP1034" s="10">
        <v>0</v>
      </c>
      <c r="AQ1034" s="11">
        <v>0</v>
      </c>
      <c r="AR1034" s="10">
        <v>0</v>
      </c>
      <c r="AS1034" s="11">
        <v>0</v>
      </c>
      <c r="AT1034" s="10">
        <v>0</v>
      </c>
      <c r="AU1034" s="11">
        <v>0</v>
      </c>
      <c r="AV1034" s="10">
        <v>0</v>
      </c>
      <c r="AW1034" s="11">
        <v>0</v>
      </c>
      <c r="AX1034" s="10">
        <v>0</v>
      </c>
      <c r="AY1034" s="11">
        <v>0</v>
      </c>
      <c r="AZ1034" s="10">
        <v>0</v>
      </c>
      <c r="BA1034" s="11">
        <v>0</v>
      </c>
      <c r="BC1034" s="11">
        <v>0</v>
      </c>
      <c r="BD1034" s="10">
        <v>0</v>
      </c>
      <c r="BE1034" s="11">
        <v>0</v>
      </c>
      <c r="BF1034" s="10">
        <v>0</v>
      </c>
      <c r="BG1034" s="11">
        <v>0</v>
      </c>
      <c r="BH1034" s="11">
        <v>0</v>
      </c>
      <c r="BI1034" s="11">
        <v>0</v>
      </c>
      <c r="BN1034" s="8">
        <f t="shared" si="988"/>
        <v>1246.5497076023394</v>
      </c>
      <c r="BO1034" s="8">
        <f t="shared" si="989"/>
        <v>56400</v>
      </c>
      <c r="BP1034" s="8">
        <f t="shared" si="996"/>
        <v>641.16959064327489</v>
      </c>
      <c r="BQ1034" s="12">
        <f t="shared" si="997"/>
        <v>29900</v>
      </c>
    </row>
    <row r="1035" spans="1:69">
      <c r="A1035" s="28">
        <v>2002</v>
      </c>
      <c r="B1035" s="27" t="s">
        <v>61</v>
      </c>
      <c r="C1035" s="24">
        <f t="shared" si="995"/>
        <v>988</v>
      </c>
      <c r="D1035" s="7" t="e">
        <f t="shared" ca="1" si="1035"/>
        <v>#N/A</v>
      </c>
      <c r="E1035" s="26">
        <f t="array" aca="1" ref="E1035" ca="1">AVERAGE(IF(INDIRECT(DatCol&amp;"$"&amp;TEXT(C1035,"###")):INDIRECT(DatCol&amp;"$"&amp;TEXT(C1035+57,"###"))&gt;0,INDIRECT(DatCol&amp;"$"&amp;TEXT(C1035,"###")):INDIRECT(DatCol&amp;"$"&amp;TEXT(C1035+57,"###"))))</f>
        <v>124.04444444444445</v>
      </c>
      <c r="F1035" s="26" t="str">
        <f t="shared" si="1034"/>
        <v>C</v>
      </c>
      <c r="G1035" s="9">
        <v>0</v>
      </c>
      <c r="H1035" s="9">
        <v>70</v>
      </c>
      <c r="I1035" s="9">
        <v>9</v>
      </c>
      <c r="J1035" s="9">
        <v>415</v>
      </c>
      <c r="K1035" s="9">
        <f t="shared" si="990"/>
        <v>485</v>
      </c>
      <c r="L1035" s="10">
        <v>0</v>
      </c>
      <c r="M1035" s="11">
        <v>0</v>
      </c>
      <c r="N1035" s="10">
        <f t="shared" si="1054"/>
        <v>80</v>
      </c>
      <c r="O1035" s="11">
        <v>4000</v>
      </c>
      <c r="P1035" s="10">
        <v>0</v>
      </c>
      <c r="Q1035" s="11">
        <v>0</v>
      </c>
      <c r="R1035" s="10">
        <f>S1035/75</f>
        <v>140</v>
      </c>
      <c r="S1035" s="11">
        <v>10500</v>
      </c>
      <c r="T1035" s="10">
        <f>U1035/75</f>
        <v>120</v>
      </c>
      <c r="U1035" s="11">
        <v>9000</v>
      </c>
      <c r="V1035" s="10">
        <f>W1035/75</f>
        <v>160</v>
      </c>
      <c r="W1035" s="11">
        <v>12000</v>
      </c>
      <c r="X1035" s="10">
        <v>0</v>
      </c>
      <c r="Y1035" s="11">
        <v>0</v>
      </c>
      <c r="Z1035" s="10">
        <f>AA1035/75</f>
        <v>112</v>
      </c>
      <c r="AA1035" s="11">
        <v>8400</v>
      </c>
      <c r="AB1035" s="10">
        <f>AC1035/75</f>
        <v>64</v>
      </c>
      <c r="AC1035" s="11">
        <v>4800</v>
      </c>
      <c r="AD1035" s="10">
        <f>AE1035/75</f>
        <v>80</v>
      </c>
      <c r="AE1035" s="11">
        <v>6000</v>
      </c>
      <c r="AF1035" s="10">
        <f t="shared" si="1055"/>
        <v>31.578947368421051</v>
      </c>
      <c r="AG1035" s="11">
        <v>1500</v>
      </c>
      <c r="AH1035" s="10">
        <f t="shared" si="1056"/>
        <v>15.789473684210526</v>
      </c>
      <c r="AI1035" s="11">
        <v>750</v>
      </c>
      <c r="AJ1035" s="10">
        <f t="shared" si="1057"/>
        <v>277.77777777777777</v>
      </c>
      <c r="AK1035" s="13">
        <v>2500</v>
      </c>
      <c r="AL1035" s="10">
        <f>AM1035/9</f>
        <v>77.777777777777771</v>
      </c>
      <c r="AM1035" s="13">
        <v>700</v>
      </c>
      <c r="AN1035" s="10">
        <v>0</v>
      </c>
      <c r="AO1035" s="11">
        <v>0</v>
      </c>
      <c r="AP1035" s="10">
        <v>0</v>
      </c>
      <c r="AQ1035" s="11">
        <v>0</v>
      </c>
      <c r="AR1035" s="10">
        <v>0</v>
      </c>
      <c r="AS1035" s="11">
        <v>0</v>
      </c>
      <c r="AT1035" s="10">
        <v>0</v>
      </c>
      <c r="AU1035" s="11">
        <v>0</v>
      </c>
      <c r="AV1035" s="10">
        <v>0</v>
      </c>
      <c r="AW1035" s="11">
        <v>0</v>
      </c>
      <c r="AX1035" s="10">
        <v>0</v>
      </c>
      <c r="AY1035" s="11">
        <v>0</v>
      </c>
      <c r="AZ1035" s="10">
        <v>0</v>
      </c>
      <c r="BA1035" s="11">
        <v>0</v>
      </c>
      <c r="BB1035" s="10">
        <v>0</v>
      </c>
      <c r="BC1035" s="11">
        <v>0</v>
      </c>
      <c r="BD1035" s="10">
        <v>0</v>
      </c>
      <c r="BE1035" s="11">
        <v>0</v>
      </c>
      <c r="BF1035" s="10">
        <v>0</v>
      </c>
      <c r="BG1035" s="11">
        <v>0</v>
      </c>
      <c r="BH1035" s="11">
        <v>0</v>
      </c>
      <c r="BI1035" s="11">
        <v>0</v>
      </c>
      <c r="BN1035" s="8">
        <f t="shared" si="988"/>
        <v>985.35672514619887</v>
      </c>
      <c r="BO1035" s="8">
        <f t="shared" si="989"/>
        <v>48700</v>
      </c>
      <c r="BP1035" s="8">
        <f t="shared" si="996"/>
        <v>429.56725146198829</v>
      </c>
      <c r="BQ1035" s="12">
        <f t="shared" si="997"/>
        <v>24650</v>
      </c>
    </row>
    <row r="1036" spans="1:69">
      <c r="A1036" s="28">
        <v>2003</v>
      </c>
      <c r="B1036" s="27" t="s">
        <v>61</v>
      </c>
      <c r="C1036" s="24">
        <f t="shared" si="995"/>
        <v>988</v>
      </c>
      <c r="D1036" s="7" t="e">
        <f t="shared" ca="1" si="1035"/>
        <v>#N/A</v>
      </c>
      <c r="E1036" s="26">
        <f t="array" aca="1" ref="E1036" ca="1">AVERAGE(IF(INDIRECT(DatCol&amp;"$"&amp;TEXT(C1036,"###")):INDIRECT(DatCol&amp;"$"&amp;TEXT(C1036+57,"###"))&gt;0,INDIRECT(DatCol&amp;"$"&amp;TEXT(C1036,"###")):INDIRECT(DatCol&amp;"$"&amp;TEXT(C1036+57,"###"))))</f>
        <v>124.04444444444445</v>
      </c>
      <c r="F1036" s="26" t="str">
        <f t="shared" si="1034"/>
        <v>C</v>
      </c>
      <c r="K1036" s="9">
        <f t="shared" si="990"/>
        <v>0</v>
      </c>
      <c r="AK1036" s="13"/>
      <c r="AM1036" s="13"/>
      <c r="BN1036" s="8">
        <f t="shared" si="988"/>
        <v>0</v>
      </c>
      <c r="BO1036" s="8">
        <f t="shared" si="989"/>
        <v>0</v>
      </c>
      <c r="BP1036" s="8">
        <f t="shared" si="996"/>
        <v>0</v>
      </c>
      <c r="BQ1036" s="12">
        <f t="shared" si="997"/>
        <v>0</v>
      </c>
    </row>
    <row r="1037" spans="1:69">
      <c r="A1037" s="28">
        <v>2004</v>
      </c>
      <c r="B1037" s="27" t="s">
        <v>61</v>
      </c>
      <c r="C1037" s="24">
        <f t="shared" si="995"/>
        <v>988</v>
      </c>
      <c r="D1037" s="7" t="e">
        <f t="shared" ca="1" si="1035"/>
        <v>#N/A</v>
      </c>
      <c r="E1037" s="26">
        <f t="array" aca="1" ref="E1037" ca="1">AVERAGE(IF(INDIRECT(DatCol&amp;"$"&amp;TEXT(C1037,"###")):INDIRECT(DatCol&amp;"$"&amp;TEXT(C1037+57,"###"))&gt;0,INDIRECT(DatCol&amp;"$"&amp;TEXT(C1037,"###")):INDIRECT(DatCol&amp;"$"&amp;TEXT(C1037+57,"###"))))</f>
        <v>124.04444444444445</v>
      </c>
      <c r="F1037" s="26" t="str">
        <f t="shared" si="1034"/>
        <v>C</v>
      </c>
      <c r="H1037" s="9">
        <v>77</v>
      </c>
      <c r="I1037" s="9">
        <v>8</v>
      </c>
      <c r="J1037" s="9">
        <v>383</v>
      </c>
      <c r="K1037" s="9">
        <f t="shared" si="990"/>
        <v>460</v>
      </c>
      <c r="L1037" s="10">
        <v>0</v>
      </c>
      <c r="M1037" s="11">
        <v>0</v>
      </c>
      <c r="N1037" s="10">
        <f t="shared" si="1054"/>
        <v>30</v>
      </c>
      <c r="O1037" s="11">
        <v>1500</v>
      </c>
      <c r="P1037" s="10">
        <v>0</v>
      </c>
      <c r="Q1037" s="11">
        <v>0</v>
      </c>
      <c r="R1037" s="10">
        <f>S1037/75</f>
        <v>106.66666666666667</v>
      </c>
      <c r="S1037" s="11">
        <v>8000</v>
      </c>
      <c r="T1037" s="10">
        <f>U1037/75</f>
        <v>93.333333333333329</v>
      </c>
      <c r="U1037" s="11">
        <v>7000</v>
      </c>
      <c r="V1037" s="10">
        <f>W1037/75</f>
        <v>106.66666666666667</v>
      </c>
      <c r="W1037" s="11">
        <v>8000</v>
      </c>
      <c r="X1037" s="10">
        <v>0</v>
      </c>
      <c r="Y1037" s="11">
        <v>0</v>
      </c>
      <c r="Z1037" s="10">
        <f>AA1037/75</f>
        <v>90.666666666666671</v>
      </c>
      <c r="AA1037" s="11">
        <v>6800</v>
      </c>
      <c r="AB1037" s="10">
        <f>AC1037/75</f>
        <v>50.666666666666664</v>
      </c>
      <c r="AC1037" s="11">
        <v>3800</v>
      </c>
      <c r="AD1037" s="10">
        <f>AE1037/75</f>
        <v>53.333333333333336</v>
      </c>
      <c r="AE1037" s="11">
        <v>4000</v>
      </c>
      <c r="AF1037" s="10">
        <f t="shared" si="1055"/>
        <v>21.05263157894737</v>
      </c>
      <c r="AG1037" s="11">
        <v>1000</v>
      </c>
      <c r="AH1037" s="10">
        <f t="shared" si="1056"/>
        <v>10.526315789473685</v>
      </c>
      <c r="AI1037" s="11">
        <v>500</v>
      </c>
      <c r="AJ1037" s="10">
        <f t="shared" si="1057"/>
        <v>111.11111111111111</v>
      </c>
      <c r="AK1037" s="13">
        <v>1000</v>
      </c>
      <c r="AL1037" s="10">
        <f>AM1037/9</f>
        <v>11.111111111111111</v>
      </c>
      <c r="AM1037" s="13">
        <v>100</v>
      </c>
      <c r="AN1037" s="10">
        <v>0</v>
      </c>
      <c r="AO1037" s="11">
        <v>0</v>
      </c>
      <c r="AP1037" s="10">
        <v>0</v>
      </c>
      <c r="AQ1037" s="11">
        <v>0</v>
      </c>
      <c r="AR1037" s="10">
        <v>0</v>
      </c>
      <c r="AS1037" s="11">
        <v>0</v>
      </c>
      <c r="AT1037" s="10">
        <v>0</v>
      </c>
      <c r="AU1037" s="11">
        <v>0</v>
      </c>
      <c r="AV1037" s="10">
        <v>0</v>
      </c>
      <c r="AW1037" s="11">
        <v>0</v>
      </c>
      <c r="AX1037" s="10">
        <v>0</v>
      </c>
      <c r="AY1037" s="11">
        <v>0</v>
      </c>
      <c r="AZ1037" s="10">
        <v>0</v>
      </c>
      <c r="BA1037" s="11">
        <v>0</v>
      </c>
      <c r="BB1037" s="10">
        <v>0</v>
      </c>
      <c r="BC1037" s="11">
        <v>0</v>
      </c>
      <c r="BD1037" s="10">
        <v>0</v>
      </c>
      <c r="BE1037" s="11">
        <v>0</v>
      </c>
      <c r="BF1037" s="10">
        <v>0</v>
      </c>
      <c r="BG1037" s="11">
        <v>0</v>
      </c>
      <c r="BH1037" s="11">
        <v>0</v>
      </c>
      <c r="BI1037" s="11">
        <v>0</v>
      </c>
      <c r="BN1037" s="8">
        <f t="shared" si="988"/>
        <v>633.49707602339186</v>
      </c>
      <c r="BO1037" s="8">
        <f t="shared" si="989"/>
        <v>35600</v>
      </c>
      <c r="BP1037" s="8">
        <f t="shared" si="996"/>
        <v>246.3040935672515</v>
      </c>
      <c r="BQ1037" s="12">
        <f t="shared" si="997"/>
        <v>16700</v>
      </c>
    </row>
    <row r="1038" spans="1:69">
      <c r="A1038" s="28">
        <v>2005</v>
      </c>
      <c r="B1038" s="27" t="s">
        <v>61</v>
      </c>
      <c r="C1038" s="24">
        <f t="shared" si="995"/>
        <v>988</v>
      </c>
      <c r="D1038" s="7" t="e">
        <f t="shared" ca="1" si="1035"/>
        <v>#N/A</v>
      </c>
      <c r="E1038" s="26">
        <f t="array" aca="1" ref="E1038" ca="1">AVERAGE(IF(INDIRECT(DatCol&amp;"$"&amp;TEXT(C1038,"###")):INDIRECT(DatCol&amp;"$"&amp;TEXT(C1038+57,"###"))&gt;0,INDIRECT(DatCol&amp;"$"&amp;TEXT(C1038,"###")):INDIRECT(DatCol&amp;"$"&amp;TEXT(C1038+57,"###"))))</f>
        <v>124.04444444444445</v>
      </c>
      <c r="F1038" s="26" t="str">
        <f t="shared" si="1034"/>
        <v>C</v>
      </c>
      <c r="H1038" s="9">
        <f>39+17</f>
        <v>56</v>
      </c>
      <c r="I1038" s="9">
        <v>6</v>
      </c>
      <c r="J1038" s="9">
        <f>249+78</f>
        <v>327</v>
      </c>
      <c r="K1038" s="9">
        <f t="shared" si="990"/>
        <v>383</v>
      </c>
      <c r="L1038" s="10">
        <v>0</v>
      </c>
      <c r="M1038" s="11">
        <v>0</v>
      </c>
      <c r="N1038" s="10">
        <f t="shared" si="1054"/>
        <v>24</v>
      </c>
      <c r="O1038" s="11">
        <v>1200</v>
      </c>
      <c r="P1038" s="10">
        <v>0</v>
      </c>
      <c r="Q1038" s="11">
        <v>0</v>
      </c>
      <c r="R1038" s="10">
        <f>S1038/75</f>
        <v>120</v>
      </c>
      <c r="S1038" s="11">
        <v>9000</v>
      </c>
      <c r="T1038" s="10">
        <f>U1038/75</f>
        <v>106.66666666666667</v>
      </c>
      <c r="U1038" s="11">
        <v>8000</v>
      </c>
      <c r="V1038" s="10">
        <f>W1038/75</f>
        <v>80</v>
      </c>
      <c r="W1038" s="11">
        <v>6000</v>
      </c>
      <c r="X1038" s="10">
        <v>0</v>
      </c>
      <c r="Y1038" s="11">
        <v>0</v>
      </c>
      <c r="Z1038" s="10">
        <f>AA1038/75</f>
        <v>86.666666666666671</v>
      </c>
      <c r="AA1038" s="11">
        <v>6500</v>
      </c>
      <c r="AB1038" s="10">
        <f>AC1038/75</f>
        <v>50.666666666666664</v>
      </c>
      <c r="AC1038" s="11">
        <v>3800</v>
      </c>
      <c r="AD1038" s="10">
        <f>AE1038/75</f>
        <v>46.666666666666664</v>
      </c>
      <c r="AE1038" s="11">
        <v>3500</v>
      </c>
      <c r="AF1038" s="10">
        <f t="shared" si="1055"/>
        <v>42.10526315789474</v>
      </c>
      <c r="AG1038" s="11">
        <v>2000</v>
      </c>
      <c r="AH1038" s="10">
        <f t="shared" si="1056"/>
        <v>8.4210526315789469</v>
      </c>
      <c r="AI1038" s="11">
        <v>400</v>
      </c>
      <c r="AJ1038" s="10">
        <f t="shared" si="1057"/>
        <v>222.22222222222223</v>
      </c>
      <c r="AK1038" s="13">
        <v>2000</v>
      </c>
      <c r="AL1038" s="10">
        <f>AM1038/9</f>
        <v>11.111111111111111</v>
      </c>
      <c r="AM1038" s="13">
        <v>100</v>
      </c>
      <c r="AN1038" s="10">
        <v>0</v>
      </c>
      <c r="AO1038" s="11">
        <v>0</v>
      </c>
      <c r="AP1038" s="10">
        <v>0</v>
      </c>
      <c r="AQ1038" s="11">
        <v>0</v>
      </c>
      <c r="AR1038" s="10">
        <v>0</v>
      </c>
      <c r="AS1038" s="11">
        <v>0</v>
      </c>
      <c r="AT1038" s="10">
        <v>0</v>
      </c>
      <c r="AU1038" s="11">
        <v>0</v>
      </c>
      <c r="AV1038" s="10">
        <v>0</v>
      </c>
      <c r="AW1038" s="11">
        <v>0</v>
      </c>
      <c r="AX1038" s="10">
        <v>0</v>
      </c>
      <c r="AY1038" s="11">
        <v>0</v>
      </c>
      <c r="AZ1038" s="10">
        <v>0</v>
      </c>
      <c r="BA1038" s="11">
        <v>0</v>
      </c>
      <c r="BB1038" s="10">
        <v>0</v>
      </c>
      <c r="BC1038" s="11">
        <v>0</v>
      </c>
      <c r="BD1038" s="10">
        <v>0</v>
      </c>
      <c r="BE1038" s="11">
        <v>0</v>
      </c>
      <c r="BF1038" s="10">
        <v>0</v>
      </c>
      <c r="BG1038" s="11">
        <v>0</v>
      </c>
      <c r="BN1038" s="8">
        <f t="shared" si="988"/>
        <v>754.99415204678371</v>
      </c>
      <c r="BO1038" s="8">
        <f t="shared" si="989"/>
        <v>37300</v>
      </c>
      <c r="BP1038" s="8">
        <f t="shared" si="996"/>
        <v>227.53216374269007</v>
      </c>
      <c r="BQ1038" s="12">
        <f t="shared" si="997"/>
        <v>15500</v>
      </c>
    </row>
    <row r="1039" spans="1:69">
      <c r="A1039" s="28">
        <v>2006</v>
      </c>
      <c r="B1039" s="27" t="s">
        <v>61</v>
      </c>
      <c r="C1039" s="24">
        <f t="shared" si="995"/>
        <v>988</v>
      </c>
      <c r="D1039" s="7" t="e">
        <f t="shared" ca="1" si="1035"/>
        <v>#N/A</v>
      </c>
      <c r="E1039" s="26">
        <f t="array" aca="1" ref="E1039" ca="1">AVERAGE(IF(INDIRECT(DatCol&amp;"$"&amp;TEXT(C1039,"###")):INDIRECT(DatCol&amp;"$"&amp;TEXT(C1039+57,"###"))&gt;0,INDIRECT(DatCol&amp;"$"&amp;TEXT(C1039,"###")):INDIRECT(DatCol&amp;"$"&amp;TEXT(C1039+57,"###"))))</f>
        <v>124.04444444444445</v>
      </c>
      <c r="F1039" s="26" t="str">
        <f t="shared" si="1034"/>
        <v>C</v>
      </c>
      <c r="H1039" s="9">
        <f>65+23</f>
        <v>88</v>
      </c>
      <c r="I1039" s="9">
        <v>4</v>
      </c>
      <c r="J1039" s="9">
        <f>282+34</f>
        <v>316</v>
      </c>
      <c r="K1039" s="9">
        <f t="shared" si="990"/>
        <v>404</v>
      </c>
      <c r="L1039" s="10">
        <v>0</v>
      </c>
      <c r="M1039" s="11">
        <v>0</v>
      </c>
      <c r="N1039" s="10">
        <f t="shared" si="1054"/>
        <v>20</v>
      </c>
      <c r="O1039" s="11">
        <v>1000</v>
      </c>
      <c r="P1039" s="10">
        <v>0</v>
      </c>
      <c r="Q1039" s="11">
        <v>0</v>
      </c>
      <c r="R1039" s="10">
        <f>S1039/75</f>
        <v>133.33333333333334</v>
      </c>
      <c r="S1039" s="11">
        <v>10000</v>
      </c>
      <c r="T1039" s="10">
        <f>U1039/75</f>
        <v>133.33333333333334</v>
      </c>
      <c r="U1039" s="11">
        <v>10000</v>
      </c>
      <c r="V1039" s="10">
        <f>W1039/75</f>
        <v>66.666666666666671</v>
      </c>
      <c r="W1039" s="11">
        <v>5000</v>
      </c>
      <c r="X1039" s="10">
        <v>0</v>
      </c>
      <c r="Y1039" s="11">
        <v>0</v>
      </c>
      <c r="Z1039" s="10">
        <f>AA1039/75</f>
        <v>93.333333333333329</v>
      </c>
      <c r="AA1039" s="11">
        <v>7000</v>
      </c>
      <c r="AB1039" s="10">
        <f>AC1039/75</f>
        <v>53.333333333333336</v>
      </c>
      <c r="AC1039" s="11">
        <v>4000</v>
      </c>
      <c r="AD1039" s="10">
        <f>AE1039/75</f>
        <v>46.666666666666664</v>
      </c>
      <c r="AE1039" s="11">
        <v>3500</v>
      </c>
      <c r="AF1039" s="10">
        <f t="shared" si="1055"/>
        <v>526.31578947368416</v>
      </c>
      <c r="AG1039" s="11">
        <v>25000</v>
      </c>
      <c r="AH1039" s="10">
        <f t="shared" si="1056"/>
        <v>10.526315789473685</v>
      </c>
      <c r="AI1039" s="11">
        <v>500</v>
      </c>
      <c r="AJ1039" s="10">
        <f t="shared" si="1057"/>
        <v>333.33333333333331</v>
      </c>
      <c r="AK1039" s="13">
        <v>3000</v>
      </c>
      <c r="AL1039" s="10">
        <f>AM1039/9</f>
        <v>22.222222222222221</v>
      </c>
      <c r="AM1039" s="13">
        <v>200</v>
      </c>
      <c r="AN1039" s="10">
        <v>0</v>
      </c>
      <c r="AO1039" s="11">
        <v>0</v>
      </c>
      <c r="AP1039" s="10">
        <v>0</v>
      </c>
      <c r="AQ1039" s="11">
        <v>0</v>
      </c>
      <c r="AR1039" s="10">
        <v>0</v>
      </c>
      <c r="AS1039" s="11">
        <v>0</v>
      </c>
      <c r="AT1039" s="10">
        <v>0</v>
      </c>
      <c r="AU1039" s="11">
        <v>0</v>
      </c>
      <c r="AV1039" s="10">
        <v>0</v>
      </c>
      <c r="AW1039" s="11">
        <v>0</v>
      </c>
      <c r="AX1039" s="10">
        <v>0</v>
      </c>
      <c r="AY1039" s="11">
        <v>0</v>
      </c>
      <c r="AZ1039" s="10">
        <v>0</v>
      </c>
      <c r="BA1039" s="11">
        <v>0</v>
      </c>
      <c r="BB1039" s="10">
        <v>0</v>
      </c>
      <c r="BC1039" s="11">
        <v>0</v>
      </c>
      <c r="BD1039" s="10">
        <v>0</v>
      </c>
      <c r="BE1039" s="11">
        <v>0</v>
      </c>
      <c r="BF1039" s="10">
        <v>0</v>
      </c>
      <c r="BG1039" s="11">
        <v>0</v>
      </c>
      <c r="BN1039" s="8">
        <f t="shared" si="988"/>
        <v>1386.3157894736839</v>
      </c>
      <c r="BO1039" s="8">
        <f t="shared" si="989"/>
        <v>64000</v>
      </c>
      <c r="BP1039" s="8">
        <f t="shared" si="996"/>
        <v>246.08187134502924</v>
      </c>
      <c r="BQ1039" s="12">
        <f t="shared" si="997"/>
        <v>16200</v>
      </c>
    </row>
    <row r="1040" spans="1:69">
      <c r="A1040" s="28">
        <v>2007</v>
      </c>
      <c r="B1040" s="27" t="s">
        <v>61</v>
      </c>
      <c r="C1040" s="24">
        <f t="shared" si="995"/>
        <v>988</v>
      </c>
      <c r="D1040" s="7" t="e">
        <f t="shared" ca="1" si="1035"/>
        <v>#N/A</v>
      </c>
      <c r="E1040" s="26">
        <f t="array" aca="1" ref="E1040" ca="1">AVERAGE(IF(INDIRECT(DatCol&amp;"$"&amp;TEXT(C1040,"###")):INDIRECT(DatCol&amp;"$"&amp;TEXT(C1040+57,"###"))&gt;0,INDIRECT(DatCol&amp;"$"&amp;TEXT(C1040,"###")):INDIRECT(DatCol&amp;"$"&amp;TEXT(C1040+57,"###"))))</f>
        <v>124.04444444444445</v>
      </c>
      <c r="F1040" s="26" t="str">
        <f t="shared" si="1034"/>
        <v>C</v>
      </c>
      <c r="K1040" s="9">
        <f t="shared" si="990"/>
        <v>0</v>
      </c>
      <c r="AK1040" s="13"/>
      <c r="AM1040" s="13"/>
      <c r="BN1040" s="8">
        <f t="shared" si="988"/>
        <v>0</v>
      </c>
      <c r="BO1040" s="8">
        <f t="shared" si="989"/>
        <v>0</v>
      </c>
      <c r="BP1040" s="8">
        <f t="shared" si="996"/>
        <v>0</v>
      </c>
      <c r="BQ1040" s="12">
        <f t="shared" si="997"/>
        <v>0</v>
      </c>
    </row>
    <row r="1041" spans="1:69">
      <c r="A1041" s="28">
        <v>2008</v>
      </c>
      <c r="B1041" s="27" t="s">
        <v>61</v>
      </c>
      <c r="C1041" s="24">
        <f t="shared" si="995"/>
        <v>988</v>
      </c>
      <c r="D1041" s="7" t="e">
        <f t="shared" ca="1" si="1035"/>
        <v>#N/A</v>
      </c>
      <c r="E1041" s="26">
        <f t="array" aca="1" ref="E1041" ca="1">AVERAGE(IF(INDIRECT(DatCol&amp;"$"&amp;TEXT(C1041,"###")):INDIRECT(DatCol&amp;"$"&amp;TEXT(C1041+57,"###"))&gt;0,INDIRECT(DatCol&amp;"$"&amp;TEXT(C1041,"###")):INDIRECT(DatCol&amp;"$"&amp;TEXT(C1041+57,"###"))))</f>
        <v>124.04444444444445</v>
      </c>
      <c r="F1041" s="26" t="str">
        <f t="shared" si="1034"/>
        <v>C</v>
      </c>
      <c r="K1041" s="9">
        <f t="shared" si="990"/>
        <v>0</v>
      </c>
      <c r="AK1041" s="13"/>
      <c r="AM1041" s="13"/>
      <c r="BN1041" s="8">
        <f t="shared" si="988"/>
        <v>0</v>
      </c>
      <c r="BO1041" s="8">
        <f t="shared" si="989"/>
        <v>0</v>
      </c>
      <c r="BP1041" s="8">
        <f t="shared" si="996"/>
        <v>0</v>
      </c>
      <c r="BQ1041" s="12">
        <f t="shared" si="997"/>
        <v>0</v>
      </c>
    </row>
    <row r="1042" spans="1:69">
      <c r="A1042" s="28">
        <v>2009</v>
      </c>
      <c r="B1042" s="27" t="s">
        <v>61</v>
      </c>
      <c r="C1042" s="24">
        <f t="shared" si="995"/>
        <v>988</v>
      </c>
      <c r="D1042" s="7" t="e">
        <f t="shared" ca="1" si="1035"/>
        <v>#N/A</v>
      </c>
      <c r="E1042" s="26">
        <f t="array" aca="1" ref="E1042" ca="1">AVERAGE(IF(INDIRECT(DatCol&amp;"$"&amp;TEXT(C1042,"###")):INDIRECT(DatCol&amp;"$"&amp;TEXT(C1042+57,"###"))&gt;0,INDIRECT(DatCol&amp;"$"&amp;TEXT(C1042,"###")):INDIRECT(DatCol&amp;"$"&amp;TEXT(C1042+57,"###"))))</f>
        <v>124.04444444444445</v>
      </c>
      <c r="F1042" s="26" t="str">
        <f t="shared" si="1034"/>
        <v>C</v>
      </c>
      <c r="H1042" s="9">
        <v>48</v>
      </c>
      <c r="I1042" s="9">
        <v>5</v>
      </c>
      <c r="J1042" s="9">
        <f>304+109+41</f>
        <v>454</v>
      </c>
      <c r="K1042" s="9">
        <f t="shared" si="990"/>
        <v>502</v>
      </c>
      <c r="L1042" s="10">
        <v>0</v>
      </c>
      <c r="M1042" s="11">
        <v>0</v>
      </c>
      <c r="N1042" s="10">
        <f>O1042/50</f>
        <v>30</v>
      </c>
      <c r="O1042" s="11">
        <v>1500</v>
      </c>
      <c r="P1042" s="10">
        <v>0</v>
      </c>
      <c r="Q1042" s="11">
        <v>0</v>
      </c>
      <c r="R1042" s="10">
        <f>S1042/75</f>
        <v>160</v>
      </c>
      <c r="S1042" s="11">
        <v>12000</v>
      </c>
      <c r="T1042" s="10">
        <f>U1042/75</f>
        <v>80</v>
      </c>
      <c r="U1042" s="11">
        <v>6000</v>
      </c>
      <c r="V1042" s="10">
        <f>W1042/75</f>
        <v>26.666666666666668</v>
      </c>
      <c r="W1042" s="11">
        <v>2000</v>
      </c>
      <c r="X1042" s="10">
        <v>0</v>
      </c>
      <c r="Y1042" s="11">
        <v>0</v>
      </c>
      <c r="Z1042" s="10">
        <f>AA1042/75</f>
        <v>113.33333333333333</v>
      </c>
      <c r="AA1042" s="11">
        <v>8500</v>
      </c>
      <c r="AB1042" s="10">
        <f>AC1042/75</f>
        <v>60</v>
      </c>
      <c r="AC1042" s="11">
        <v>4500</v>
      </c>
      <c r="AD1042" s="10">
        <f>AE1042/75</f>
        <v>40</v>
      </c>
      <c r="AE1042" s="11">
        <v>3000</v>
      </c>
      <c r="AF1042" s="10">
        <f>AG1042/47.5</f>
        <v>42.10526315789474</v>
      </c>
      <c r="AG1042" s="11">
        <v>2000</v>
      </c>
      <c r="AH1042" s="10">
        <f>AI1042/47.5</f>
        <v>15.789473684210526</v>
      </c>
      <c r="AI1042" s="11">
        <v>750</v>
      </c>
      <c r="AJ1042" s="10">
        <f>AK1042/9</f>
        <v>222.22222222222223</v>
      </c>
      <c r="AK1042" s="13">
        <v>2000</v>
      </c>
      <c r="AL1042" s="10">
        <f>AM1042/9</f>
        <v>33.333333333333336</v>
      </c>
      <c r="AM1042" s="13">
        <v>300</v>
      </c>
      <c r="BN1042" s="8">
        <f t="shared" ref="BN1042:BN1107" si="1058">(L1042+P1042+R1042+T1042+V1042+X1042+Z1042+AB1042+AD1042+AF1042+AJ1042+AN1042+AR1042+AV1042+AZ1042+BD1042)</f>
        <v>744.32748538011697</v>
      </c>
      <c r="BO1042" s="8">
        <f t="shared" si="989"/>
        <v>37000</v>
      </c>
      <c r="BP1042" s="8">
        <f t="shared" si="996"/>
        <v>292.45614035087715</v>
      </c>
      <c r="BQ1042" s="12">
        <f t="shared" si="997"/>
        <v>18550</v>
      </c>
    </row>
    <row r="1043" spans="1:69">
      <c r="A1043" s="28">
        <v>2010</v>
      </c>
      <c r="B1043" s="27" t="s">
        <v>61</v>
      </c>
      <c r="C1043" s="24">
        <f t="shared" si="995"/>
        <v>988</v>
      </c>
      <c r="D1043" s="7" t="e">
        <f t="shared" ca="1" si="1035"/>
        <v>#N/A</v>
      </c>
      <c r="E1043" s="26">
        <f t="array" aca="1" ref="E1043" ca="1">AVERAGE(IF(INDIRECT(DatCol&amp;"$"&amp;TEXT(C1043,"###")):INDIRECT(DatCol&amp;"$"&amp;TEXT(C1043+57,"###"))&gt;0,INDIRECT(DatCol&amp;"$"&amp;TEXT(C1043,"###")):INDIRECT(DatCol&amp;"$"&amp;TEXT(C1043+57,"###"))))</f>
        <v>124.04444444444445</v>
      </c>
      <c r="F1043" s="26" t="str">
        <f t="shared" ref="F1043:F1045" si="1059">VLOOKUP(B1043,town_region,2,FALSE)</f>
        <v>C</v>
      </c>
      <c r="AK1043" s="13"/>
      <c r="AM1043" s="13"/>
      <c r="BN1043" s="8"/>
      <c r="BO1043" s="8"/>
      <c r="BP1043" s="8"/>
      <c r="BQ1043" s="12"/>
    </row>
    <row r="1044" spans="1:69">
      <c r="A1044" s="28">
        <v>2011</v>
      </c>
      <c r="B1044" s="27" t="s">
        <v>61</v>
      </c>
      <c r="C1044" s="24">
        <f t="shared" si="995"/>
        <v>988</v>
      </c>
      <c r="D1044" s="7" t="e">
        <f t="shared" ca="1" si="1035"/>
        <v>#N/A</v>
      </c>
      <c r="E1044" s="26">
        <f t="array" aca="1" ref="E1044" ca="1">AVERAGE(IF(INDIRECT(DatCol&amp;"$"&amp;TEXT(C1044,"###")):INDIRECT(DatCol&amp;"$"&amp;TEXT(C1044+57,"###"))&gt;0,INDIRECT(DatCol&amp;"$"&amp;TEXT(C1044,"###")):INDIRECT(DatCol&amp;"$"&amp;TEXT(C1044+57,"###"))))</f>
        <v>124.04444444444445</v>
      </c>
      <c r="F1044" s="26" t="str">
        <f t="shared" si="1059"/>
        <v>C</v>
      </c>
      <c r="AK1044" s="13"/>
      <c r="AM1044" s="13"/>
      <c r="BN1044" s="8"/>
      <c r="BO1044" s="8"/>
      <c r="BP1044" s="8"/>
      <c r="BQ1044" s="12"/>
    </row>
    <row r="1045" spans="1:69">
      <c r="A1045" s="28">
        <v>2012</v>
      </c>
      <c r="B1045" s="27" t="s">
        <v>61</v>
      </c>
      <c r="C1045" s="24">
        <f t="shared" si="995"/>
        <v>988</v>
      </c>
      <c r="D1045" s="7" t="e">
        <f t="shared" ca="1" si="1035"/>
        <v>#N/A</v>
      </c>
      <c r="E1045" s="26">
        <f t="array" aca="1" ref="E1045" ca="1">AVERAGE(IF(INDIRECT(DatCol&amp;"$"&amp;TEXT(C1045,"###")):INDIRECT(DatCol&amp;"$"&amp;TEXT(C1045+57,"###"))&gt;0,INDIRECT(DatCol&amp;"$"&amp;TEXT(C1045,"###")):INDIRECT(DatCol&amp;"$"&amp;TEXT(C1045+57,"###"))))</f>
        <v>124.04444444444445</v>
      </c>
      <c r="F1045" s="26" t="str">
        <f t="shared" si="1059"/>
        <v>C</v>
      </c>
      <c r="AK1045" s="13"/>
      <c r="AM1045" s="13"/>
      <c r="BN1045" s="8"/>
      <c r="BO1045" s="8"/>
      <c r="BP1045" s="8"/>
      <c r="BQ1045" s="12"/>
    </row>
    <row r="1046" spans="1:69">
      <c r="A1046" s="28">
        <v>1955</v>
      </c>
      <c r="B1046" s="27" t="s">
        <v>62</v>
      </c>
      <c r="C1046" s="24">
        <f>ROW()</f>
        <v>1046</v>
      </c>
      <c r="D1046" s="7" t="e">
        <f t="shared" ca="1" si="1035"/>
        <v>#N/A</v>
      </c>
      <c r="E1046" s="26" t="e">
        <f t="array" aca="1" ref="E1046" ca="1">AVERAGE(IF(INDIRECT(DatCol&amp;"$"&amp;TEXT(C1046,"###")):INDIRECT(DatCol&amp;"$"&amp;TEXT(C1046+57,"###"))&gt;0,INDIRECT(DatCol&amp;"$"&amp;TEXT(C1046,"###")):INDIRECT(DatCol&amp;"$"&amp;TEXT(C1046+57,"###"))))</f>
        <v>#DIV/0!</v>
      </c>
      <c r="F1046" s="26" t="str">
        <f t="shared" si="1034"/>
        <v>S</v>
      </c>
      <c r="G1046" s="8"/>
      <c r="K1046" s="9">
        <f t="shared" ref="K1046:K1109" si="1060">G1046+H1046+J1046</f>
        <v>0</v>
      </c>
      <c r="M1046" s="11">
        <f t="shared" si="1036"/>
        <v>0</v>
      </c>
      <c r="O1046" s="11">
        <f t="shared" si="1037"/>
        <v>0</v>
      </c>
      <c r="Q1046" s="11">
        <f t="shared" si="1038"/>
        <v>0</v>
      </c>
      <c r="Y1046" s="11">
        <f t="shared" si="1039"/>
        <v>0</v>
      </c>
      <c r="AG1046" s="11">
        <f t="shared" si="1040"/>
        <v>0</v>
      </c>
      <c r="AI1046" s="11">
        <f t="shared" si="1041"/>
        <v>0</v>
      </c>
      <c r="AK1046" s="13">
        <f t="shared" si="1042"/>
        <v>0</v>
      </c>
      <c r="AM1046" s="13">
        <f t="shared" si="1043"/>
        <v>0</v>
      </c>
      <c r="AO1046" s="11">
        <f t="shared" si="1044"/>
        <v>0</v>
      </c>
      <c r="AQ1046" s="11">
        <f t="shared" si="1045"/>
        <v>0</v>
      </c>
      <c r="AS1046" s="11">
        <f t="shared" si="1046"/>
        <v>0</v>
      </c>
      <c r="AU1046" s="11">
        <f t="shared" si="1047"/>
        <v>0</v>
      </c>
      <c r="AW1046" s="11">
        <f t="shared" si="1048"/>
        <v>0</v>
      </c>
      <c r="AY1046" s="11">
        <f t="shared" si="1049"/>
        <v>0</v>
      </c>
      <c r="BA1046" s="11">
        <f t="shared" si="1050"/>
        <v>0</v>
      </c>
      <c r="BC1046" s="11">
        <f t="shared" si="1051"/>
        <v>0</v>
      </c>
      <c r="BE1046" s="11">
        <f t="shared" si="1052"/>
        <v>0</v>
      </c>
      <c r="BG1046" s="11">
        <f t="shared" si="1053"/>
        <v>0</v>
      </c>
      <c r="BN1046" s="8">
        <f t="shared" si="1058"/>
        <v>0</v>
      </c>
      <c r="BO1046" s="8">
        <f t="shared" ref="BO1046:BO1108" si="1061">(M1046+Q1046+S1046+U1046+W1046+Y1046+AA1046+AC1046+AG1046+AK1046+AO1046+AS1046+AW1046+BA1046+BE1046)</f>
        <v>0</v>
      </c>
      <c r="BP1046" s="8">
        <f t="shared" si="996"/>
        <v>0</v>
      </c>
      <c r="BQ1046" s="12">
        <f t="shared" si="997"/>
        <v>0</v>
      </c>
    </row>
    <row r="1047" spans="1:69">
      <c r="A1047" s="28">
        <v>1956</v>
      </c>
      <c r="B1047" s="27" t="s">
        <v>62</v>
      </c>
      <c r="C1047" s="24">
        <f t="shared" ref="C1047:C1103" si="1062">C1046</f>
        <v>1046</v>
      </c>
      <c r="D1047" s="7" t="e">
        <f t="shared" ca="1" si="1035"/>
        <v>#N/A</v>
      </c>
      <c r="E1047" s="26" t="e">
        <f t="array" aca="1" ref="E1047" ca="1">AVERAGE(IF(INDIRECT(DatCol&amp;"$"&amp;TEXT(C1047,"###")):INDIRECT(DatCol&amp;"$"&amp;TEXT(C1047+57,"###"))&gt;0,INDIRECT(DatCol&amp;"$"&amp;TEXT(C1047,"###")):INDIRECT(DatCol&amp;"$"&amp;TEXT(C1047+57,"###"))))</f>
        <v>#DIV/0!</v>
      </c>
      <c r="F1047" s="26" t="str">
        <f t="shared" si="1034"/>
        <v>S</v>
      </c>
      <c r="G1047" s="8"/>
      <c r="K1047" s="9">
        <f t="shared" si="1060"/>
        <v>0</v>
      </c>
      <c r="M1047" s="11">
        <f t="shared" si="1036"/>
        <v>0</v>
      </c>
      <c r="O1047" s="11">
        <f t="shared" si="1037"/>
        <v>0</v>
      </c>
      <c r="Q1047" s="11">
        <f t="shared" si="1038"/>
        <v>0</v>
      </c>
      <c r="Y1047" s="11">
        <f t="shared" si="1039"/>
        <v>0</v>
      </c>
      <c r="AG1047" s="11">
        <f t="shared" si="1040"/>
        <v>0</v>
      </c>
      <c r="AI1047" s="11">
        <f t="shared" si="1041"/>
        <v>0</v>
      </c>
      <c r="AK1047" s="13">
        <f t="shared" si="1042"/>
        <v>0</v>
      </c>
      <c r="AM1047" s="13">
        <f t="shared" si="1043"/>
        <v>0</v>
      </c>
      <c r="AO1047" s="11">
        <f t="shared" si="1044"/>
        <v>0</v>
      </c>
      <c r="AQ1047" s="11">
        <f t="shared" si="1045"/>
        <v>0</v>
      </c>
      <c r="AS1047" s="11">
        <f t="shared" si="1046"/>
        <v>0</v>
      </c>
      <c r="AU1047" s="11">
        <f t="shared" si="1047"/>
        <v>0</v>
      </c>
      <c r="AW1047" s="11">
        <f t="shared" si="1048"/>
        <v>0</v>
      </c>
      <c r="AY1047" s="11">
        <f t="shared" si="1049"/>
        <v>0</v>
      </c>
      <c r="BA1047" s="11">
        <f t="shared" si="1050"/>
        <v>0</v>
      </c>
      <c r="BC1047" s="11">
        <f t="shared" si="1051"/>
        <v>0</v>
      </c>
      <c r="BE1047" s="11">
        <f t="shared" si="1052"/>
        <v>0</v>
      </c>
      <c r="BG1047" s="11">
        <f t="shared" si="1053"/>
        <v>0</v>
      </c>
      <c r="BN1047" s="8">
        <f t="shared" si="1058"/>
        <v>0</v>
      </c>
      <c r="BO1047" s="8">
        <f t="shared" si="1061"/>
        <v>0</v>
      </c>
      <c r="BP1047" s="8">
        <f t="shared" si="996"/>
        <v>0</v>
      </c>
      <c r="BQ1047" s="12">
        <f t="shared" si="997"/>
        <v>0</v>
      </c>
    </row>
    <row r="1048" spans="1:69">
      <c r="A1048" s="28">
        <v>1957</v>
      </c>
      <c r="B1048" s="27" t="s">
        <v>62</v>
      </c>
      <c r="C1048" s="24">
        <f t="shared" si="1062"/>
        <v>1046</v>
      </c>
      <c r="D1048" s="7" t="e">
        <f t="shared" ca="1" si="1035"/>
        <v>#N/A</v>
      </c>
      <c r="E1048" s="26" t="e">
        <f t="array" aca="1" ref="E1048" ca="1">AVERAGE(IF(INDIRECT(DatCol&amp;"$"&amp;TEXT(C1048,"###")):INDIRECT(DatCol&amp;"$"&amp;TEXT(C1048+57,"###"))&gt;0,INDIRECT(DatCol&amp;"$"&amp;TEXT(C1048,"###")):INDIRECT(DatCol&amp;"$"&amp;TEXT(C1048+57,"###"))))</f>
        <v>#DIV/0!</v>
      </c>
      <c r="F1048" s="26" t="str">
        <f t="shared" si="1034"/>
        <v>S</v>
      </c>
      <c r="G1048" s="8"/>
      <c r="K1048" s="9">
        <f t="shared" si="1060"/>
        <v>0</v>
      </c>
      <c r="M1048" s="11">
        <f t="shared" si="1036"/>
        <v>0</v>
      </c>
      <c r="O1048" s="11">
        <f t="shared" si="1037"/>
        <v>0</v>
      </c>
      <c r="Q1048" s="11">
        <f t="shared" si="1038"/>
        <v>0</v>
      </c>
      <c r="Y1048" s="11">
        <f t="shared" si="1039"/>
        <v>0</v>
      </c>
      <c r="AG1048" s="11">
        <f t="shared" si="1040"/>
        <v>0</v>
      </c>
      <c r="AI1048" s="11">
        <f t="shared" si="1041"/>
        <v>0</v>
      </c>
      <c r="AK1048" s="13">
        <f t="shared" si="1042"/>
        <v>0</v>
      </c>
      <c r="AM1048" s="13">
        <f t="shared" si="1043"/>
        <v>0</v>
      </c>
      <c r="AO1048" s="11">
        <f t="shared" si="1044"/>
        <v>0</v>
      </c>
      <c r="AQ1048" s="11">
        <f t="shared" si="1045"/>
        <v>0</v>
      </c>
      <c r="AS1048" s="11">
        <f t="shared" si="1046"/>
        <v>0</v>
      </c>
      <c r="AU1048" s="11">
        <f t="shared" si="1047"/>
        <v>0</v>
      </c>
      <c r="AW1048" s="11">
        <f t="shared" si="1048"/>
        <v>0</v>
      </c>
      <c r="AY1048" s="11">
        <f t="shared" si="1049"/>
        <v>0</v>
      </c>
      <c r="BA1048" s="11">
        <f t="shared" si="1050"/>
        <v>0</v>
      </c>
      <c r="BC1048" s="11">
        <f t="shared" si="1051"/>
        <v>0</v>
      </c>
      <c r="BE1048" s="11">
        <f t="shared" si="1052"/>
        <v>0</v>
      </c>
      <c r="BG1048" s="11">
        <f t="shared" si="1053"/>
        <v>0</v>
      </c>
      <c r="BN1048" s="8">
        <f t="shared" si="1058"/>
        <v>0</v>
      </c>
      <c r="BO1048" s="8">
        <f t="shared" si="1061"/>
        <v>0</v>
      </c>
      <c r="BP1048" s="8">
        <f t="shared" si="996"/>
        <v>0</v>
      </c>
      <c r="BQ1048" s="12">
        <f t="shared" si="997"/>
        <v>0</v>
      </c>
    </row>
    <row r="1049" spans="1:69">
      <c r="A1049" s="28">
        <v>1958</v>
      </c>
      <c r="B1049" s="27" t="s">
        <v>62</v>
      </c>
      <c r="C1049" s="24">
        <f t="shared" si="1062"/>
        <v>1046</v>
      </c>
      <c r="D1049" s="7" t="e">
        <f t="shared" ca="1" si="1035"/>
        <v>#N/A</v>
      </c>
      <c r="E1049" s="26" t="e">
        <f t="array" aca="1" ref="E1049" ca="1">AVERAGE(IF(INDIRECT(DatCol&amp;"$"&amp;TEXT(C1049,"###")):INDIRECT(DatCol&amp;"$"&amp;TEXT(C1049+57,"###"))&gt;0,INDIRECT(DatCol&amp;"$"&amp;TEXT(C1049,"###")):INDIRECT(DatCol&amp;"$"&amp;TEXT(C1049+57,"###"))))</f>
        <v>#DIV/0!</v>
      </c>
      <c r="F1049" s="26" t="str">
        <f t="shared" si="1034"/>
        <v>S</v>
      </c>
      <c r="G1049" s="8"/>
      <c r="K1049" s="9">
        <f t="shared" si="1060"/>
        <v>0</v>
      </c>
      <c r="M1049" s="11">
        <f t="shared" si="1036"/>
        <v>0</v>
      </c>
      <c r="O1049" s="11">
        <f t="shared" si="1037"/>
        <v>0</v>
      </c>
      <c r="Q1049" s="11">
        <f t="shared" si="1038"/>
        <v>0</v>
      </c>
      <c r="Y1049" s="11">
        <f t="shared" si="1039"/>
        <v>0</v>
      </c>
      <c r="AG1049" s="11">
        <f t="shared" si="1040"/>
        <v>0</v>
      </c>
      <c r="AI1049" s="11">
        <f t="shared" si="1041"/>
        <v>0</v>
      </c>
      <c r="AK1049" s="13">
        <f t="shared" si="1042"/>
        <v>0</v>
      </c>
      <c r="AM1049" s="13">
        <f t="shared" si="1043"/>
        <v>0</v>
      </c>
      <c r="AO1049" s="11">
        <f t="shared" si="1044"/>
        <v>0</v>
      </c>
      <c r="AQ1049" s="11">
        <f t="shared" si="1045"/>
        <v>0</v>
      </c>
      <c r="AS1049" s="11">
        <f t="shared" si="1046"/>
        <v>0</v>
      </c>
      <c r="AU1049" s="11">
        <f t="shared" si="1047"/>
        <v>0</v>
      </c>
      <c r="AW1049" s="11">
        <f t="shared" si="1048"/>
        <v>0</v>
      </c>
      <c r="AY1049" s="11">
        <f t="shared" si="1049"/>
        <v>0</v>
      </c>
      <c r="BA1049" s="11">
        <f t="shared" si="1050"/>
        <v>0</v>
      </c>
      <c r="BC1049" s="11">
        <f t="shared" si="1051"/>
        <v>0</v>
      </c>
      <c r="BE1049" s="11">
        <f t="shared" si="1052"/>
        <v>0</v>
      </c>
      <c r="BG1049" s="11">
        <f t="shared" si="1053"/>
        <v>0</v>
      </c>
      <c r="BN1049" s="8">
        <f t="shared" si="1058"/>
        <v>0</v>
      </c>
      <c r="BO1049" s="8">
        <f t="shared" si="1061"/>
        <v>0</v>
      </c>
      <c r="BP1049" s="8">
        <f t="shared" si="996"/>
        <v>0</v>
      </c>
      <c r="BQ1049" s="12">
        <f t="shared" si="997"/>
        <v>0</v>
      </c>
    </row>
    <row r="1050" spans="1:69">
      <c r="A1050" s="28">
        <v>1959</v>
      </c>
      <c r="B1050" s="27" t="s">
        <v>62</v>
      </c>
      <c r="C1050" s="24">
        <f t="shared" si="1062"/>
        <v>1046</v>
      </c>
      <c r="D1050" s="7" t="e">
        <f t="shared" ca="1" si="1035"/>
        <v>#N/A</v>
      </c>
      <c r="E1050" s="26" t="e">
        <f t="array" aca="1" ref="E1050" ca="1">AVERAGE(IF(INDIRECT(DatCol&amp;"$"&amp;TEXT(C1050,"###")):INDIRECT(DatCol&amp;"$"&amp;TEXT(C1050+57,"###"))&gt;0,INDIRECT(DatCol&amp;"$"&amp;TEXT(C1050,"###")):INDIRECT(DatCol&amp;"$"&amp;TEXT(C1050+57,"###"))))</f>
        <v>#DIV/0!</v>
      </c>
      <c r="F1050" s="26" t="str">
        <f t="shared" si="1034"/>
        <v>S</v>
      </c>
      <c r="G1050" s="8"/>
      <c r="K1050" s="9">
        <f t="shared" si="1060"/>
        <v>0</v>
      </c>
      <c r="M1050" s="11">
        <f t="shared" si="1036"/>
        <v>0</v>
      </c>
      <c r="O1050" s="11">
        <f t="shared" si="1037"/>
        <v>0</v>
      </c>
      <c r="Q1050" s="11">
        <f t="shared" si="1038"/>
        <v>0</v>
      </c>
      <c r="Y1050" s="11">
        <f t="shared" si="1039"/>
        <v>0</v>
      </c>
      <c r="AG1050" s="11">
        <f t="shared" si="1040"/>
        <v>0</v>
      </c>
      <c r="AI1050" s="11">
        <f t="shared" si="1041"/>
        <v>0</v>
      </c>
      <c r="AK1050" s="13">
        <f t="shared" si="1042"/>
        <v>0</v>
      </c>
      <c r="AM1050" s="13">
        <f t="shared" si="1043"/>
        <v>0</v>
      </c>
      <c r="AO1050" s="11">
        <f t="shared" si="1044"/>
        <v>0</v>
      </c>
      <c r="AQ1050" s="11">
        <f t="shared" si="1045"/>
        <v>0</v>
      </c>
      <c r="AS1050" s="11">
        <f t="shared" si="1046"/>
        <v>0</v>
      </c>
      <c r="AU1050" s="11">
        <f t="shared" si="1047"/>
        <v>0</v>
      </c>
      <c r="AW1050" s="11">
        <f t="shared" si="1048"/>
        <v>0</v>
      </c>
      <c r="AY1050" s="11">
        <f t="shared" si="1049"/>
        <v>0</v>
      </c>
      <c r="BA1050" s="11">
        <f t="shared" si="1050"/>
        <v>0</v>
      </c>
      <c r="BC1050" s="11">
        <f t="shared" si="1051"/>
        <v>0</v>
      </c>
      <c r="BE1050" s="11">
        <f t="shared" si="1052"/>
        <v>0</v>
      </c>
      <c r="BG1050" s="11">
        <f t="shared" si="1053"/>
        <v>0</v>
      </c>
      <c r="BN1050" s="8">
        <f t="shared" si="1058"/>
        <v>0</v>
      </c>
      <c r="BO1050" s="8">
        <f t="shared" si="1061"/>
        <v>0</v>
      </c>
      <c r="BP1050" s="8">
        <f t="shared" si="996"/>
        <v>0</v>
      </c>
      <c r="BQ1050" s="12">
        <f t="shared" si="997"/>
        <v>0</v>
      </c>
    </row>
    <row r="1051" spans="1:69">
      <c r="A1051" s="28">
        <v>1960</v>
      </c>
      <c r="B1051" s="27" t="s">
        <v>62</v>
      </c>
      <c r="C1051" s="24">
        <f t="shared" si="1062"/>
        <v>1046</v>
      </c>
      <c r="D1051" s="7" t="e">
        <f t="shared" ca="1" si="1035"/>
        <v>#N/A</v>
      </c>
      <c r="E1051" s="26" t="e">
        <f t="array" aca="1" ref="E1051" ca="1">AVERAGE(IF(INDIRECT(DatCol&amp;"$"&amp;TEXT(C1051,"###")):INDIRECT(DatCol&amp;"$"&amp;TEXT(C1051+57,"###"))&gt;0,INDIRECT(DatCol&amp;"$"&amp;TEXT(C1051,"###")):INDIRECT(DatCol&amp;"$"&amp;TEXT(C1051+57,"###"))))</f>
        <v>#DIV/0!</v>
      </c>
      <c r="F1051" s="26" t="str">
        <f t="shared" si="1034"/>
        <v>S</v>
      </c>
      <c r="G1051" s="8"/>
      <c r="K1051" s="9">
        <f t="shared" si="1060"/>
        <v>0</v>
      </c>
      <c r="M1051" s="11">
        <f t="shared" si="1036"/>
        <v>0</v>
      </c>
      <c r="O1051" s="11">
        <f t="shared" si="1037"/>
        <v>0</v>
      </c>
      <c r="Q1051" s="11">
        <f t="shared" si="1038"/>
        <v>0</v>
      </c>
      <c r="Y1051" s="11">
        <f t="shared" si="1039"/>
        <v>0</v>
      </c>
      <c r="AG1051" s="11">
        <f t="shared" si="1040"/>
        <v>0</v>
      </c>
      <c r="AI1051" s="11">
        <f t="shared" si="1041"/>
        <v>0</v>
      </c>
      <c r="AK1051" s="13">
        <f t="shared" si="1042"/>
        <v>0</v>
      </c>
      <c r="AM1051" s="13">
        <f t="shared" si="1043"/>
        <v>0</v>
      </c>
      <c r="AO1051" s="11">
        <f t="shared" si="1044"/>
        <v>0</v>
      </c>
      <c r="AQ1051" s="11">
        <f t="shared" si="1045"/>
        <v>0</v>
      </c>
      <c r="AS1051" s="11">
        <f t="shared" si="1046"/>
        <v>0</v>
      </c>
      <c r="AU1051" s="11">
        <f t="shared" si="1047"/>
        <v>0</v>
      </c>
      <c r="AW1051" s="11">
        <f t="shared" si="1048"/>
        <v>0</v>
      </c>
      <c r="AY1051" s="11">
        <f t="shared" si="1049"/>
        <v>0</v>
      </c>
      <c r="BA1051" s="11">
        <f t="shared" si="1050"/>
        <v>0</v>
      </c>
      <c r="BC1051" s="11">
        <f t="shared" si="1051"/>
        <v>0</v>
      </c>
      <c r="BE1051" s="11">
        <f t="shared" si="1052"/>
        <v>0</v>
      </c>
      <c r="BG1051" s="11">
        <f t="shared" si="1053"/>
        <v>0</v>
      </c>
      <c r="BN1051" s="8">
        <f t="shared" si="1058"/>
        <v>0</v>
      </c>
      <c r="BO1051" s="8">
        <f t="shared" si="1061"/>
        <v>0</v>
      </c>
      <c r="BP1051" s="8">
        <f t="shared" si="996"/>
        <v>0</v>
      </c>
      <c r="BQ1051" s="12">
        <f t="shared" si="997"/>
        <v>0</v>
      </c>
    </row>
    <row r="1052" spans="1:69">
      <c r="A1052" s="28">
        <v>1961</v>
      </c>
      <c r="B1052" s="27" t="s">
        <v>62</v>
      </c>
      <c r="C1052" s="24">
        <f t="shared" si="1062"/>
        <v>1046</v>
      </c>
      <c r="D1052" s="7" t="e">
        <f t="shared" ca="1" si="1035"/>
        <v>#N/A</v>
      </c>
      <c r="E1052" s="26" t="e">
        <f t="array" aca="1" ref="E1052" ca="1">AVERAGE(IF(INDIRECT(DatCol&amp;"$"&amp;TEXT(C1052,"###")):INDIRECT(DatCol&amp;"$"&amp;TEXT(C1052+57,"###"))&gt;0,INDIRECT(DatCol&amp;"$"&amp;TEXT(C1052,"###")):INDIRECT(DatCol&amp;"$"&amp;TEXT(C1052+57,"###"))))</f>
        <v>#DIV/0!</v>
      </c>
      <c r="F1052" s="26" t="str">
        <f t="shared" si="1034"/>
        <v>S</v>
      </c>
      <c r="G1052" s="8"/>
      <c r="K1052" s="9">
        <f t="shared" si="1060"/>
        <v>0</v>
      </c>
      <c r="M1052" s="11">
        <f t="shared" si="1036"/>
        <v>0</v>
      </c>
      <c r="O1052" s="11">
        <f t="shared" si="1037"/>
        <v>0</v>
      </c>
      <c r="Q1052" s="11">
        <f t="shared" si="1038"/>
        <v>0</v>
      </c>
      <c r="Y1052" s="11">
        <f t="shared" si="1039"/>
        <v>0</v>
      </c>
      <c r="AG1052" s="11">
        <f t="shared" si="1040"/>
        <v>0</v>
      </c>
      <c r="AI1052" s="11">
        <f t="shared" si="1041"/>
        <v>0</v>
      </c>
      <c r="AK1052" s="13">
        <f t="shared" si="1042"/>
        <v>0</v>
      </c>
      <c r="AM1052" s="13">
        <f t="shared" si="1043"/>
        <v>0</v>
      </c>
      <c r="AO1052" s="11">
        <f t="shared" si="1044"/>
        <v>0</v>
      </c>
      <c r="AQ1052" s="11">
        <f t="shared" si="1045"/>
        <v>0</v>
      </c>
      <c r="AS1052" s="11">
        <f t="shared" si="1046"/>
        <v>0</v>
      </c>
      <c r="AU1052" s="11">
        <f t="shared" si="1047"/>
        <v>0</v>
      </c>
      <c r="AW1052" s="11">
        <f t="shared" si="1048"/>
        <v>0</v>
      </c>
      <c r="AY1052" s="11">
        <f t="shared" si="1049"/>
        <v>0</v>
      </c>
      <c r="BA1052" s="11">
        <f t="shared" si="1050"/>
        <v>0</v>
      </c>
      <c r="BC1052" s="11">
        <f t="shared" si="1051"/>
        <v>0</v>
      </c>
      <c r="BE1052" s="11">
        <f t="shared" si="1052"/>
        <v>0</v>
      </c>
      <c r="BG1052" s="11">
        <f t="shared" si="1053"/>
        <v>0</v>
      </c>
      <c r="BN1052" s="8">
        <f t="shared" si="1058"/>
        <v>0</v>
      </c>
      <c r="BO1052" s="8">
        <f t="shared" si="1061"/>
        <v>0</v>
      </c>
      <c r="BP1052" s="8">
        <f t="shared" si="996"/>
        <v>0</v>
      </c>
      <c r="BQ1052" s="12">
        <f t="shared" si="997"/>
        <v>0</v>
      </c>
    </row>
    <row r="1053" spans="1:69">
      <c r="A1053" s="28">
        <v>1962</v>
      </c>
      <c r="B1053" s="27" t="s">
        <v>62</v>
      </c>
      <c r="C1053" s="24">
        <f t="shared" si="1062"/>
        <v>1046</v>
      </c>
      <c r="D1053" s="7" t="e">
        <f t="shared" ca="1" si="1035"/>
        <v>#N/A</v>
      </c>
      <c r="E1053" s="26" t="e">
        <f t="array" aca="1" ref="E1053" ca="1">AVERAGE(IF(INDIRECT(DatCol&amp;"$"&amp;TEXT(C1053,"###")):INDIRECT(DatCol&amp;"$"&amp;TEXT(C1053+57,"###"))&gt;0,INDIRECT(DatCol&amp;"$"&amp;TEXT(C1053,"###")):INDIRECT(DatCol&amp;"$"&amp;TEXT(C1053+57,"###"))))</f>
        <v>#DIV/0!</v>
      </c>
      <c r="F1053" s="26" t="str">
        <f t="shared" si="1034"/>
        <v>S</v>
      </c>
      <c r="G1053" s="8"/>
      <c r="K1053" s="9">
        <f t="shared" si="1060"/>
        <v>0</v>
      </c>
      <c r="M1053" s="11">
        <f t="shared" si="1036"/>
        <v>0</v>
      </c>
      <c r="O1053" s="11">
        <f t="shared" si="1037"/>
        <v>0</v>
      </c>
      <c r="Q1053" s="11">
        <f t="shared" si="1038"/>
        <v>0</v>
      </c>
      <c r="Y1053" s="11">
        <f t="shared" si="1039"/>
        <v>0</v>
      </c>
      <c r="AG1053" s="11">
        <f t="shared" si="1040"/>
        <v>0</v>
      </c>
      <c r="AI1053" s="11">
        <f t="shared" si="1041"/>
        <v>0</v>
      </c>
      <c r="AK1053" s="13">
        <f t="shared" si="1042"/>
        <v>0</v>
      </c>
      <c r="AM1053" s="13">
        <f t="shared" si="1043"/>
        <v>0</v>
      </c>
      <c r="AO1053" s="11">
        <f t="shared" si="1044"/>
        <v>0</v>
      </c>
      <c r="AQ1053" s="11">
        <f t="shared" si="1045"/>
        <v>0</v>
      </c>
      <c r="AS1053" s="11">
        <f t="shared" si="1046"/>
        <v>0</v>
      </c>
      <c r="AU1053" s="11">
        <f t="shared" si="1047"/>
        <v>0</v>
      </c>
      <c r="AW1053" s="11">
        <f t="shared" si="1048"/>
        <v>0</v>
      </c>
      <c r="AY1053" s="11">
        <f t="shared" si="1049"/>
        <v>0</v>
      </c>
      <c r="BA1053" s="11">
        <f t="shared" si="1050"/>
        <v>0</v>
      </c>
      <c r="BC1053" s="11">
        <f t="shared" si="1051"/>
        <v>0</v>
      </c>
      <c r="BE1053" s="11">
        <f t="shared" si="1052"/>
        <v>0</v>
      </c>
      <c r="BG1053" s="11">
        <f t="shared" si="1053"/>
        <v>0</v>
      </c>
      <c r="BN1053" s="8">
        <f t="shared" si="1058"/>
        <v>0</v>
      </c>
      <c r="BO1053" s="8">
        <f t="shared" si="1061"/>
        <v>0</v>
      </c>
      <c r="BP1053" s="8">
        <f t="shared" si="996"/>
        <v>0</v>
      </c>
      <c r="BQ1053" s="12">
        <f t="shared" si="997"/>
        <v>0</v>
      </c>
    </row>
    <row r="1054" spans="1:69">
      <c r="A1054" s="28">
        <v>1963</v>
      </c>
      <c r="B1054" s="27" t="s">
        <v>62</v>
      </c>
      <c r="C1054" s="24">
        <f t="shared" si="1062"/>
        <v>1046</v>
      </c>
      <c r="D1054" s="7" t="e">
        <f t="shared" ca="1" si="1035"/>
        <v>#N/A</v>
      </c>
      <c r="E1054" s="26" t="e">
        <f t="array" aca="1" ref="E1054" ca="1">AVERAGE(IF(INDIRECT(DatCol&amp;"$"&amp;TEXT(C1054,"###")):INDIRECT(DatCol&amp;"$"&amp;TEXT(C1054+57,"###"))&gt;0,INDIRECT(DatCol&amp;"$"&amp;TEXT(C1054,"###")):INDIRECT(DatCol&amp;"$"&amp;TEXT(C1054+57,"###"))))</f>
        <v>#DIV/0!</v>
      </c>
      <c r="F1054" s="26" t="str">
        <f t="shared" si="1034"/>
        <v>S</v>
      </c>
      <c r="G1054" s="8"/>
      <c r="K1054" s="9">
        <f t="shared" si="1060"/>
        <v>0</v>
      </c>
      <c r="M1054" s="11">
        <f t="shared" si="1036"/>
        <v>0</v>
      </c>
      <c r="O1054" s="11">
        <f t="shared" si="1037"/>
        <v>0</v>
      </c>
      <c r="Q1054" s="11">
        <f t="shared" si="1038"/>
        <v>0</v>
      </c>
      <c r="Y1054" s="11">
        <f t="shared" si="1039"/>
        <v>0</v>
      </c>
      <c r="AG1054" s="11">
        <f t="shared" si="1040"/>
        <v>0</v>
      </c>
      <c r="AI1054" s="11">
        <f t="shared" si="1041"/>
        <v>0</v>
      </c>
      <c r="AK1054" s="13">
        <f t="shared" si="1042"/>
        <v>0</v>
      </c>
      <c r="AM1054" s="13">
        <f t="shared" si="1043"/>
        <v>0</v>
      </c>
      <c r="AO1054" s="11">
        <f t="shared" si="1044"/>
        <v>0</v>
      </c>
      <c r="AQ1054" s="11">
        <f t="shared" si="1045"/>
        <v>0</v>
      </c>
      <c r="AS1054" s="11">
        <f t="shared" si="1046"/>
        <v>0</v>
      </c>
      <c r="AU1054" s="11">
        <f t="shared" si="1047"/>
        <v>0</v>
      </c>
      <c r="AW1054" s="11">
        <f t="shared" si="1048"/>
        <v>0</v>
      </c>
      <c r="AY1054" s="11">
        <f t="shared" si="1049"/>
        <v>0</v>
      </c>
      <c r="BA1054" s="11">
        <f t="shared" si="1050"/>
        <v>0</v>
      </c>
      <c r="BC1054" s="11">
        <f t="shared" si="1051"/>
        <v>0</v>
      </c>
      <c r="BE1054" s="11">
        <f t="shared" si="1052"/>
        <v>0</v>
      </c>
      <c r="BG1054" s="11">
        <f t="shared" si="1053"/>
        <v>0</v>
      </c>
      <c r="BN1054" s="8">
        <f t="shared" si="1058"/>
        <v>0</v>
      </c>
      <c r="BO1054" s="8">
        <f t="shared" si="1061"/>
        <v>0</v>
      </c>
      <c r="BP1054" s="8">
        <f t="shared" ref="BP1054:BP1118" si="1063">(N1054+X1054+Z1054+AB1054+AD1054+AH1054+AL1054+AP1054+AT1054+AX1054+BB1054+BF1054)</f>
        <v>0</v>
      </c>
      <c r="BQ1054" s="12">
        <f t="shared" ref="BQ1054:BQ1118" si="1064">(O1054+Y1054+AA1054+AC1054+AE1054+AI1054+AM1054+AQ1054+AU1054+AY1054+BC1054+BG1054)</f>
        <v>0</v>
      </c>
    </row>
    <row r="1055" spans="1:69">
      <c r="A1055" s="28">
        <v>1964</v>
      </c>
      <c r="B1055" s="27" t="s">
        <v>62</v>
      </c>
      <c r="C1055" s="24">
        <f t="shared" si="1062"/>
        <v>1046</v>
      </c>
      <c r="D1055" s="7" t="e">
        <f t="shared" ca="1" si="1035"/>
        <v>#N/A</v>
      </c>
      <c r="E1055" s="26" t="e">
        <f t="array" aca="1" ref="E1055" ca="1">AVERAGE(IF(INDIRECT(DatCol&amp;"$"&amp;TEXT(C1055,"###")):INDIRECT(DatCol&amp;"$"&amp;TEXT(C1055+57,"###"))&gt;0,INDIRECT(DatCol&amp;"$"&amp;TEXT(C1055,"###")):INDIRECT(DatCol&amp;"$"&amp;TEXT(C1055+57,"###"))))</f>
        <v>#DIV/0!</v>
      </c>
      <c r="F1055" s="26" t="str">
        <f t="shared" si="1034"/>
        <v>S</v>
      </c>
      <c r="G1055" s="8"/>
      <c r="K1055" s="9">
        <f t="shared" si="1060"/>
        <v>0</v>
      </c>
      <c r="M1055" s="11">
        <f t="shared" si="1036"/>
        <v>0</v>
      </c>
      <c r="O1055" s="11">
        <f t="shared" si="1037"/>
        <v>0</v>
      </c>
      <c r="Q1055" s="11">
        <f t="shared" si="1038"/>
        <v>0</v>
      </c>
      <c r="Y1055" s="11">
        <f t="shared" si="1039"/>
        <v>0</v>
      </c>
      <c r="AG1055" s="11">
        <f t="shared" si="1040"/>
        <v>0</v>
      </c>
      <c r="AI1055" s="11">
        <f t="shared" si="1041"/>
        <v>0</v>
      </c>
      <c r="AK1055" s="13">
        <f t="shared" si="1042"/>
        <v>0</v>
      </c>
      <c r="AM1055" s="13">
        <f t="shared" si="1043"/>
        <v>0</v>
      </c>
      <c r="AO1055" s="11">
        <f t="shared" si="1044"/>
        <v>0</v>
      </c>
      <c r="AQ1055" s="11">
        <f t="shared" si="1045"/>
        <v>0</v>
      </c>
      <c r="AS1055" s="11">
        <f t="shared" si="1046"/>
        <v>0</v>
      </c>
      <c r="AU1055" s="11">
        <f t="shared" si="1047"/>
        <v>0</v>
      </c>
      <c r="AW1055" s="11">
        <f t="shared" si="1048"/>
        <v>0</v>
      </c>
      <c r="AY1055" s="11">
        <f t="shared" si="1049"/>
        <v>0</v>
      </c>
      <c r="BA1055" s="11">
        <f t="shared" si="1050"/>
        <v>0</v>
      </c>
      <c r="BC1055" s="11">
        <f t="shared" si="1051"/>
        <v>0</v>
      </c>
      <c r="BE1055" s="11">
        <f t="shared" si="1052"/>
        <v>0</v>
      </c>
      <c r="BG1055" s="11">
        <f t="shared" si="1053"/>
        <v>0</v>
      </c>
      <c r="BN1055" s="8">
        <f t="shared" si="1058"/>
        <v>0</v>
      </c>
      <c r="BO1055" s="8">
        <f t="shared" si="1061"/>
        <v>0</v>
      </c>
      <c r="BP1055" s="8">
        <f t="shared" si="1063"/>
        <v>0</v>
      </c>
      <c r="BQ1055" s="12">
        <f t="shared" si="1064"/>
        <v>0</v>
      </c>
    </row>
    <row r="1056" spans="1:69">
      <c r="A1056" s="28">
        <v>1965</v>
      </c>
      <c r="B1056" s="27" t="s">
        <v>62</v>
      </c>
      <c r="C1056" s="24">
        <f t="shared" si="1062"/>
        <v>1046</v>
      </c>
      <c r="D1056" s="7" t="e">
        <f t="shared" ca="1" si="1035"/>
        <v>#N/A</v>
      </c>
      <c r="E1056" s="26" t="e">
        <f t="array" aca="1" ref="E1056" ca="1">AVERAGE(IF(INDIRECT(DatCol&amp;"$"&amp;TEXT(C1056,"###")):INDIRECT(DatCol&amp;"$"&amp;TEXT(C1056+57,"###"))&gt;0,INDIRECT(DatCol&amp;"$"&amp;TEXT(C1056,"###")):INDIRECT(DatCol&amp;"$"&amp;TEXT(C1056+57,"###"))))</f>
        <v>#DIV/0!</v>
      </c>
      <c r="F1056" s="26" t="str">
        <f t="shared" si="1034"/>
        <v>S</v>
      </c>
      <c r="G1056" s="8"/>
      <c r="K1056" s="9">
        <f t="shared" si="1060"/>
        <v>0</v>
      </c>
      <c r="M1056" s="11">
        <f t="shared" si="1036"/>
        <v>0</v>
      </c>
      <c r="O1056" s="11">
        <f t="shared" si="1037"/>
        <v>0</v>
      </c>
      <c r="Q1056" s="11">
        <f t="shared" si="1038"/>
        <v>0</v>
      </c>
      <c r="Y1056" s="11">
        <f t="shared" si="1039"/>
        <v>0</v>
      </c>
      <c r="AG1056" s="11">
        <f t="shared" si="1040"/>
        <v>0</v>
      </c>
      <c r="AI1056" s="11">
        <f t="shared" si="1041"/>
        <v>0</v>
      </c>
      <c r="AK1056" s="13">
        <f t="shared" si="1042"/>
        <v>0</v>
      </c>
      <c r="AM1056" s="13">
        <f t="shared" si="1043"/>
        <v>0</v>
      </c>
      <c r="AO1056" s="11">
        <f t="shared" si="1044"/>
        <v>0</v>
      </c>
      <c r="AQ1056" s="11">
        <f t="shared" si="1045"/>
        <v>0</v>
      </c>
      <c r="AS1056" s="11">
        <f t="shared" si="1046"/>
        <v>0</v>
      </c>
      <c r="AU1056" s="11">
        <f t="shared" si="1047"/>
        <v>0</v>
      </c>
      <c r="AW1056" s="11">
        <f t="shared" si="1048"/>
        <v>0</v>
      </c>
      <c r="AY1056" s="11">
        <f t="shared" si="1049"/>
        <v>0</v>
      </c>
      <c r="BA1056" s="11">
        <f t="shared" si="1050"/>
        <v>0</v>
      </c>
      <c r="BC1056" s="11">
        <f t="shared" si="1051"/>
        <v>0</v>
      </c>
      <c r="BE1056" s="11">
        <f t="shared" si="1052"/>
        <v>0</v>
      </c>
      <c r="BG1056" s="11">
        <f t="shared" si="1053"/>
        <v>0</v>
      </c>
      <c r="BN1056" s="8">
        <f t="shared" si="1058"/>
        <v>0</v>
      </c>
      <c r="BO1056" s="8">
        <f t="shared" si="1061"/>
        <v>0</v>
      </c>
      <c r="BP1056" s="8">
        <f t="shared" si="1063"/>
        <v>0</v>
      </c>
      <c r="BQ1056" s="12">
        <f t="shared" si="1064"/>
        <v>0</v>
      </c>
    </row>
    <row r="1057" spans="1:69">
      <c r="A1057" s="28">
        <v>1966</v>
      </c>
      <c r="B1057" s="27" t="s">
        <v>62</v>
      </c>
      <c r="C1057" s="24">
        <f t="shared" si="1062"/>
        <v>1046</v>
      </c>
      <c r="D1057" s="7" t="e">
        <f t="shared" ca="1" si="1035"/>
        <v>#N/A</v>
      </c>
      <c r="E1057" s="26" t="e">
        <f t="array" aca="1" ref="E1057" ca="1">AVERAGE(IF(INDIRECT(DatCol&amp;"$"&amp;TEXT(C1057,"###")):INDIRECT(DatCol&amp;"$"&amp;TEXT(C1057+57,"###"))&gt;0,INDIRECT(DatCol&amp;"$"&amp;TEXT(C1057,"###")):INDIRECT(DatCol&amp;"$"&amp;TEXT(C1057+57,"###"))))</f>
        <v>#DIV/0!</v>
      </c>
      <c r="F1057" s="26" t="str">
        <f t="shared" si="1034"/>
        <v>S</v>
      </c>
      <c r="G1057" s="8"/>
      <c r="K1057" s="9">
        <f t="shared" si="1060"/>
        <v>0</v>
      </c>
      <c r="M1057" s="11">
        <f t="shared" ref="M1057:M1072" si="1065">(L1057*50)</f>
        <v>0</v>
      </c>
      <c r="O1057" s="11">
        <f t="shared" ref="O1057:O1072" si="1066">(N1057*50)</f>
        <v>0</v>
      </c>
      <c r="Q1057" s="11">
        <f t="shared" ref="Q1057:Q1072" si="1067">((P1057*330)/5.5)</f>
        <v>0</v>
      </c>
      <c r="Y1057" s="11">
        <f t="shared" ref="Y1057:Y1072" si="1068">((X1057*330)/5.5)</f>
        <v>0</v>
      </c>
      <c r="AG1057" s="11">
        <f t="shared" ref="AG1057:AG1072" si="1069">(AF1057*65)</f>
        <v>0</v>
      </c>
      <c r="AI1057" s="11">
        <f t="shared" ref="AI1057:AI1072" si="1070">(AH1057*65)</f>
        <v>0</v>
      </c>
      <c r="AK1057" s="13">
        <f t="shared" ref="AK1057:AK1072" si="1071">(AJ1057*9)</f>
        <v>0</v>
      </c>
      <c r="AM1057" s="13">
        <f t="shared" ref="AM1057:AM1072" si="1072">(AL1057*9)</f>
        <v>0</v>
      </c>
      <c r="AO1057" s="11">
        <f t="shared" ref="AO1057:AO1072" si="1073">(AN1057*80)</f>
        <v>0</v>
      </c>
      <c r="AQ1057" s="11">
        <f t="shared" ref="AQ1057:AQ1072" si="1074">(AP1057*80)</f>
        <v>0</v>
      </c>
      <c r="AS1057" s="11">
        <f t="shared" ref="AS1057:AS1072" si="1075">(AR1057*50)</f>
        <v>0</v>
      </c>
      <c r="AU1057" s="11">
        <f t="shared" ref="AU1057:AU1072" si="1076">(AT1057*50)</f>
        <v>0</v>
      </c>
      <c r="AW1057" s="11">
        <f t="shared" ref="AW1057:AW1072" si="1077">(AV1057*60)</f>
        <v>0</v>
      </c>
      <c r="AY1057" s="11">
        <f t="shared" ref="AY1057:AY1072" si="1078">(AX1057*60)</f>
        <v>0</v>
      </c>
      <c r="BA1057" s="11">
        <f t="shared" ref="BA1057:BA1072" si="1079">(AZ1057*40)</f>
        <v>0</v>
      </c>
      <c r="BC1057" s="11">
        <f t="shared" ref="BC1057:BC1072" si="1080">(BB1057*40)</f>
        <v>0</v>
      </c>
      <c r="BE1057" s="11">
        <f t="shared" ref="BE1057:BE1072" si="1081">(BD1057*95)</f>
        <v>0</v>
      </c>
      <c r="BG1057" s="11">
        <f t="shared" ref="BG1057:BG1072" si="1082">(BF1057*95)</f>
        <v>0</v>
      </c>
      <c r="BN1057" s="8">
        <f t="shared" si="1058"/>
        <v>0</v>
      </c>
      <c r="BO1057" s="8">
        <f t="shared" si="1061"/>
        <v>0</v>
      </c>
      <c r="BP1057" s="8">
        <f t="shared" si="1063"/>
        <v>0</v>
      </c>
      <c r="BQ1057" s="12">
        <f t="shared" si="1064"/>
        <v>0</v>
      </c>
    </row>
    <row r="1058" spans="1:69">
      <c r="A1058" s="28">
        <v>1967</v>
      </c>
      <c r="B1058" s="27" t="s">
        <v>62</v>
      </c>
      <c r="C1058" s="24">
        <f t="shared" si="1062"/>
        <v>1046</v>
      </c>
      <c r="D1058" s="7" t="e">
        <f t="shared" ca="1" si="1035"/>
        <v>#N/A</v>
      </c>
      <c r="E1058" s="26" t="e">
        <f t="array" aca="1" ref="E1058" ca="1">AVERAGE(IF(INDIRECT(DatCol&amp;"$"&amp;TEXT(C1058,"###")):INDIRECT(DatCol&amp;"$"&amp;TEXT(C1058+57,"###"))&gt;0,INDIRECT(DatCol&amp;"$"&amp;TEXT(C1058,"###")):INDIRECT(DatCol&amp;"$"&amp;TEXT(C1058+57,"###"))))</f>
        <v>#DIV/0!</v>
      </c>
      <c r="F1058" s="26" t="str">
        <f t="shared" si="1034"/>
        <v>S</v>
      </c>
      <c r="G1058" s="8"/>
      <c r="H1058" s="8">
        <v>23</v>
      </c>
      <c r="I1058" s="8">
        <v>8</v>
      </c>
      <c r="J1058" s="8">
        <v>100</v>
      </c>
      <c r="K1058" s="9">
        <f t="shared" si="1060"/>
        <v>123</v>
      </c>
      <c r="L1058" s="12">
        <v>1124</v>
      </c>
      <c r="M1058" s="11">
        <f t="shared" si="1065"/>
        <v>56200</v>
      </c>
      <c r="O1058" s="11">
        <f t="shared" si="1066"/>
        <v>0</v>
      </c>
      <c r="Q1058" s="11">
        <f t="shared" si="1067"/>
        <v>0</v>
      </c>
      <c r="Y1058" s="11">
        <f t="shared" si="1068"/>
        <v>0</v>
      </c>
      <c r="AG1058" s="11">
        <f t="shared" si="1069"/>
        <v>0</v>
      </c>
      <c r="AI1058" s="11">
        <f t="shared" si="1070"/>
        <v>0</v>
      </c>
      <c r="AK1058" s="13">
        <f t="shared" si="1071"/>
        <v>0</v>
      </c>
      <c r="AM1058" s="13">
        <f t="shared" si="1072"/>
        <v>0</v>
      </c>
      <c r="AO1058" s="11">
        <f t="shared" si="1073"/>
        <v>0</v>
      </c>
      <c r="AQ1058" s="11">
        <f t="shared" si="1074"/>
        <v>0</v>
      </c>
      <c r="AR1058" s="12">
        <v>150</v>
      </c>
      <c r="AS1058" s="11">
        <f t="shared" si="1075"/>
        <v>7500</v>
      </c>
      <c r="AT1058" s="12">
        <v>14</v>
      </c>
      <c r="AU1058" s="11">
        <f t="shared" si="1076"/>
        <v>700</v>
      </c>
      <c r="AW1058" s="11">
        <f t="shared" si="1077"/>
        <v>0</v>
      </c>
      <c r="AY1058" s="11">
        <f t="shared" si="1078"/>
        <v>0</v>
      </c>
      <c r="BA1058" s="11">
        <f t="shared" si="1079"/>
        <v>0</v>
      </c>
      <c r="BB1058" s="12">
        <v>22</v>
      </c>
      <c r="BC1058" s="11">
        <f t="shared" si="1080"/>
        <v>880</v>
      </c>
      <c r="BE1058" s="11">
        <f t="shared" si="1081"/>
        <v>0</v>
      </c>
      <c r="BG1058" s="11">
        <f t="shared" si="1082"/>
        <v>0</v>
      </c>
      <c r="BN1058" s="8">
        <f t="shared" si="1058"/>
        <v>1274</v>
      </c>
      <c r="BO1058" s="8">
        <f t="shared" si="1061"/>
        <v>63700</v>
      </c>
      <c r="BP1058" s="8">
        <f t="shared" si="1063"/>
        <v>36</v>
      </c>
      <c r="BQ1058" s="12">
        <f t="shared" si="1064"/>
        <v>1580</v>
      </c>
    </row>
    <row r="1059" spans="1:69">
      <c r="A1059" s="28">
        <v>1968</v>
      </c>
      <c r="B1059" s="27" t="s">
        <v>62</v>
      </c>
      <c r="C1059" s="24">
        <f t="shared" si="1062"/>
        <v>1046</v>
      </c>
      <c r="D1059" s="7" t="e">
        <f t="shared" ca="1" si="1035"/>
        <v>#N/A</v>
      </c>
      <c r="E1059" s="26" t="e">
        <f t="array" aca="1" ref="E1059" ca="1">AVERAGE(IF(INDIRECT(DatCol&amp;"$"&amp;TEXT(C1059,"###")):INDIRECT(DatCol&amp;"$"&amp;TEXT(C1059+57,"###"))&gt;0,INDIRECT(DatCol&amp;"$"&amp;TEXT(C1059,"###")):INDIRECT(DatCol&amp;"$"&amp;TEXT(C1059+57,"###"))))</f>
        <v>#DIV/0!</v>
      </c>
      <c r="F1059" s="26" t="str">
        <f t="shared" si="1034"/>
        <v>S</v>
      </c>
      <c r="G1059" s="8"/>
      <c r="H1059" s="8">
        <v>20</v>
      </c>
      <c r="I1059" s="8">
        <v>7</v>
      </c>
      <c r="J1059" s="8">
        <v>164</v>
      </c>
      <c r="K1059" s="9">
        <f t="shared" si="1060"/>
        <v>184</v>
      </c>
      <c r="L1059" s="12">
        <v>1100</v>
      </c>
      <c r="M1059" s="11">
        <f t="shared" si="1065"/>
        <v>55000</v>
      </c>
      <c r="O1059" s="11">
        <f t="shared" si="1066"/>
        <v>0</v>
      </c>
      <c r="Q1059" s="11">
        <f t="shared" si="1067"/>
        <v>0</v>
      </c>
      <c r="X1059" s="12">
        <v>10</v>
      </c>
      <c r="Y1059" s="11">
        <f t="shared" si="1068"/>
        <v>600</v>
      </c>
      <c r="AG1059" s="11">
        <f t="shared" si="1069"/>
        <v>0</v>
      </c>
      <c r="AI1059" s="11">
        <f t="shared" si="1070"/>
        <v>0</v>
      </c>
      <c r="AK1059" s="13">
        <f t="shared" si="1071"/>
        <v>0</v>
      </c>
      <c r="AM1059" s="13">
        <f t="shared" si="1072"/>
        <v>0</v>
      </c>
      <c r="AO1059" s="11">
        <f t="shared" si="1073"/>
        <v>0</v>
      </c>
      <c r="AQ1059" s="11">
        <f t="shared" si="1074"/>
        <v>0</v>
      </c>
      <c r="AS1059" s="11">
        <f t="shared" si="1075"/>
        <v>0</v>
      </c>
      <c r="AU1059" s="11">
        <f t="shared" si="1076"/>
        <v>0</v>
      </c>
      <c r="AW1059" s="11">
        <f t="shared" si="1077"/>
        <v>0</v>
      </c>
      <c r="AY1059" s="11">
        <f t="shared" si="1078"/>
        <v>0</v>
      </c>
      <c r="BA1059" s="11">
        <f t="shared" si="1079"/>
        <v>0</v>
      </c>
      <c r="BB1059" s="12">
        <v>14</v>
      </c>
      <c r="BC1059" s="11">
        <f t="shared" si="1080"/>
        <v>560</v>
      </c>
      <c r="BE1059" s="11">
        <f t="shared" si="1081"/>
        <v>0</v>
      </c>
      <c r="BG1059" s="11">
        <f t="shared" si="1082"/>
        <v>0</v>
      </c>
      <c r="BN1059" s="8">
        <f t="shared" si="1058"/>
        <v>1110</v>
      </c>
      <c r="BO1059" s="8">
        <f t="shared" si="1061"/>
        <v>55600</v>
      </c>
      <c r="BP1059" s="8">
        <f t="shared" si="1063"/>
        <v>24</v>
      </c>
      <c r="BQ1059" s="12">
        <f t="shared" si="1064"/>
        <v>1160</v>
      </c>
    </row>
    <row r="1060" spans="1:69">
      <c r="A1060" s="28">
        <v>1969</v>
      </c>
      <c r="B1060" s="27" t="s">
        <v>62</v>
      </c>
      <c r="C1060" s="24">
        <f t="shared" si="1062"/>
        <v>1046</v>
      </c>
      <c r="D1060" s="7" t="e">
        <f t="shared" ca="1" si="1035"/>
        <v>#N/A</v>
      </c>
      <c r="E1060" s="26" t="e">
        <f t="array" aca="1" ref="E1060" ca="1">AVERAGE(IF(INDIRECT(DatCol&amp;"$"&amp;TEXT(C1060,"###")):INDIRECT(DatCol&amp;"$"&amp;TEXT(C1060+57,"###"))&gt;0,INDIRECT(DatCol&amp;"$"&amp;TEXT(C1060,"###")):INDIRECT(DatCol&amp;"$"&amp;TEXT(C1060+57,"###"))))</f>
        <v>#DIV/0!</v>
      </c>
      <c r="F1060" s="26" t="str">
        <f t="shared" si="1034"/>
        <v>S</v>
      </c>
      <c r="G1060" s="8"/>
      <c r="H1060" s="8">
        <v>0</v>
      </c>
      <c r="I1060" s="8">
        <v>4</v>
      </c>
      <c r="J1060" s="8">
        <v>0</v>
      </c>
      <c r="K1060" s="9">
        <f t="shared" si="1060"/>
        <v>0</v>
      </c>
      <c r="L1060" s="12">
        <v>575</v>
      </c>
      <c r="M1060" s="11">
        <f t="shared" si="1065"/>
        <v>28750</v>
      </c>
      <c r="O1060" s="11">
        <f t="shared" si="1066"/>
        <v>0</v>
      </c>
      <c r="Q1060" s="11">
        <f t="shared" si="1067"/>
        <v>0</v>
      </c>
      <c r="Y1060" s="11">
        <f t="shared" si="1068"/>
        <v>0</v>
      </c>
      <c r="AG1060" s="11">
        <f t="shared" si="1069"/>
        <v>0</v>
      </c>
      <c r="AI1060" s="11">
        <f t="shared" si="1070"/>
        <v>0</v>
      </c>
      <c r="AK1060" s="13">
        <f t="shared" si="1071"/>
        <v>0</v>
      </c>
      <c r="AM1060" s="13">
        <f t="shared" si="1072"/>
        <v>0</v>
      </c>
      <c r="AO1060" s="11">
        <f t="shared" si="1073"/>
        <v>0</v>
      </c>
      <c r="AQ1060" s="11">
        <f t="shared" si="1074"/>
        <v>0</v>
      </c>
      <c r="AS1060" s="11">
        <f t="shared" si="1075"/>
        <v>0</v>
      </c>
      <c r="AU1060" s="11">
        <f t="shared" si="1076"/>
        <v>0</v>
      </c>
      <c r="AW1060" s="11">
        <f t="shared" si="1077"/>
        <v>0</v>
      </c>
      <c r="AY1060" s="11">
        <f t="shared" si="1078"/>
        <v>0</v>
      </c>
      <c r="BA1060" s="11">
        <f t="shared" si="1079"/>
        <v>0</v>
      </c>
      <c r="BC1060" s="11">
        <f t="shared" si="1080"/>
        <v>0</v>
      </c>
      <c r="BE1060" s="11">
        <f t="shared" si="1081"/>
        <v>0</v>
      </c>
      <c r="BG1060" s="11">
        <f t="shared" si="1082"/>
        <v>0</v>
      </c>
      <c r="BN1060" s="8">
        <f t="shared" si="1058"/>
        <v>575</v>
      </c>
      <c r="BO1060" s="8">
        <f t="shared" si="1061"/>
        <v>28750</v>
      </c>
      <c r="BP1060" s="8">
        <f t="shared" si="1063"/>
        <v>0</v>
      </c>
      <c r="BQ1060" s="12">
        <f t="shared" si="1064"/>
        <v>0</v>
      </c>
    </row>
    <row r="1061" spans="1:69">
      <c r="A1061" s="28">
        <v>1970</v>
      </c>
      <c r="B1061" s="27" t="s">
        <v>62</v>
      </c>
      <c r="C1061" s="24">
        <f t="shared" si="1062"/>
        <v>1046</v>
      </c>
      <c r="D1061" s="7" t="e">
        <f t="shared" ca="1" si="1035"/>
        <v>#N/A</v>
      </c>
      <c r="E1061" s="26" t="e">
        <f t="array" aca="1" ref="E1061" ca="1">AVERAGE(IF(INDIRECT(DatCol&amp;"$"&amp;TEXT(C1061,"###")):INDIRECT(DatCol&amp;"$"&amp;TEXT(C1061+57,"###"))&gt;0,INDIRECT(DatCol&amp;"$"&amp;TEXT(C1061,"###")):INDIRECT(DatCol&amp;"$"&amp;TEXT(C1061+57,"###"))))</f>
        <v>#DIV/0!</v>
      </c>
      <c r="F1061" s="26" t="str">
        <f t="shared" si="1034"/>
        <v>S</v>
      </c>
      <c r="G1061" s="8"/>
      <c r="H1061" s="8">
        <v>3</v>
      </c>
      <c r="I1061" s="8">
        <v>3</v>
      </c>
      <c r="J1061" s="8">
        <v>9</v>
      </c>
      <c r="K1061" s="9">
        <f t="shared" si="1060"/>
        <v>12</v>
      </c>
      <c r="L1061" s="12">
        <v>290</v>
      </c>
      <c r="M1061" s="11">
        <f t="shared" si="1065"/>
        <v>14500</v>
      </c>
      <c r="O1061" s="11">
        <f t="shared" si="1066"/>
        <v>0</v>
      </c>
      <c r="Q1061" s="11">
        <f t="shared" si="1067"/>
        <v>0</v>
      </c>
      <c r="Y1061" s="11">
        <f t="shared" si="1068"/>
        <v>0</v>
      </c>
      <c r="AG1061" s="11">
        <f t="shared" si="1069"/>
        <v>0</v>
      </c>
      <c r="AI1061" s="11">
        <f t="shared" si="1070"/>
        <v>0</v>
      </c>
      <c r="AK1061" s="13">
        <f t="shared" si="1071"/>
        <v>0</v>
      </c>
      <c r="AM1061" s="13">
        <f t="shared" si="1072"/>
        <v>0</v>
      </c>
      <c r="AO1061" s="11">
        <f t="shared" si="1073"/>
        <v>0</v>
      </c>
      <c r="AQ1061" s="11">
        <f t="shared" si="1074"/>
        <v>0</v>
      </c>
      <c r="AS1061" s="11">
        <f t="shared" si="1075"/>
        <v>0</v>
      </c>
      <c r="AU1061" s="11">
        <f t="shared" si="1076"/>
        <v>0</v>
      </c>
      <c r="AW1061" s="11">
        <f t="shared" si="1077"/>
        <v>0</v>
      </c>
      <c r="AY1061" s="11">
        <f t="shared" si="1078"/>
        <v>0</v>
      </c>
      <c r="BA1061" s="11">
        <f t="shared" si="1079"/>
        <v>0</v>
      </c>
      <c r="BC1061" s="11">
        <f t="shared" si="1080"/>
        <v>0</v>
      </c>
      <c r="BE1061" s="11">
        <f t="shared" si="1081"/>
        <v>0</v>
      </c>
      <c r="BG1061" s="11">
        <f t="shared" si="1082"/>
        <v>0</v>
      </c>
      <c r="BN1061" s="8">
        <f t="shared" si="1058"/>
        <v>290</v>
      </c>
      <c r="BO1061" s="8">
        <f t="shared" si="1061"/>
        <v>14500</v>
      </c>
      <c r="BP1061" s="8">
        <f t="shared" si="1063"/>
        <v>0</v>
      </c>
      <c r="BQ1061" s="12">
        <f t="shared" si="1064"/>
        <v>0</v>
      </c>
    </row>
    <row r="1062" spans="1:69">
      <c r="A1062" s="28">
        <v>1971</v>
      </c>
      <c r="B1062" s="27" t="s">
        <v>62</v>
      </c>
      <c r="C1062" s="24">
        <f t="shared" si="1062"/>
        <v>1046</v>
      </c>
      <c r="D1062" s="7" t="e">
        <f t="shared" ca="1" si="1035"/>
        <v>#N/A</v>
      </c>
      <c r="E1062" s="26" t="e">
        <f t="array" aca="1" ref="E1062" ca="1">AVERAGE(IF(INDIRECT(DatCol&amp;"$"&amp;TEXT(C1062,"###")):INDIRECT(DatCol&amp;"$"&amp;TEXT(C1062+57,"###"))&gt;0,INDIRECT(DatCol&amp;"$"&amp;TEXT(C1062,"###")):INDIRECT(DatCol&amp;"$"&amp;TEXT(C1062+57,"###"))))</f>
        <v>#DIV/0!</v>
      </c>
      <c r="F1062" s="26" t="str">
        <f t="shared" si="1034"/>
        <v>S</v>
      </c>
      <c r="G1062" s="8"/>
      <c r="H1062" s="8">
        <v>0</v>
      </c>
      <c r="I1062" s="8">
        <v>5</v>
      </c>
      <c r="J1062" s="8">
        <v>0</v>
      </c>
      <c r="K1062" s="9">
        <f t="shared" si="1060"/>
        <v>0</v>
      </c>
      <c r="L1062" s="12">
        <v>720</v>
      </c>
      <c r="M1062" s="11">
        <f t="shared" si="1065"/>
        <v>36000</v>
      </c>
      <c r="O1062" s="11">
        <f t="shared" si="1066"/>
        <v>0</v>
      </c>
      <c r="Q1062" s="11">
        <f t="shared" si="1067"/>
        <v>0</v>
      </c>
      <c r="Y1062" s="11">
        <f t="shared" si="1068"/>
        <v>0</v>
      </c>
      <c r="AG1062" s="11">
        <f t="shared" si="1069"/>
        <v>0</v>
      </c>
      <c r="AI1062" s="11">
        <f t="shared" si="1070"/>
        <v>0</v>
      </c>
      <c r="AK1062" s="13">
        <f t="shared" si="1071"/>
        <v>0</v>
      </c>
      <c r="AM1062" s="13">
        <f t="shared" si="1072"/>
        <v>0</v>
      </c>
      <c r="AO1062" s="11">
        <f t="shared" si="1073"/>
        <v>0</v>
      </c>
      <c r="AQ1062" s="11">
        <f t="shared" si="1074"/>
        <v>0</v>
      </c>
      <c r="AS1062" s="11">
        <f t="shared" si="1075"/>
        <v>0</v>
      </c>
      <c r="AU1062" s="11">
        <f t="shared" si="1076"/>
        <v>0</v>
      </c>
      <c r="AW1062" s="11">
        <f t="shared" si="1077"/>
        <v>0</v>
      </c>
      <c r="AY1062" s="11">
        <f t="shared" si="1078"/>
        <v>0</v>
      </c>
      <c r="BA1062" s="11">
        <f t="shared" si="1079"/>
        <v>0</v>
      </c>
      <c r="BC1062" s="11">
        <f t="shared" si="1080"/>
        <v>0</v>
      </c>
      <c r="BE1062" s="11">
        <f t="shared" si="1081"/>
        <v>0</v>
      </c>
      <c r="BG1062" s="11">
        <f t="shared" si="1082"/>
        <v>0</v>
      </c>
      <c r="BN1062" s="8">
        <f t="shared" si="1058"/>
        <v>720</v>
      </c>
      <c r="BO1062" s="8">
        <f t="shared" si="1061"/>
        <v>36000</v>
      </c>
      <c r="BP1062" s="8">
        <f t="shared" si="1063"/>
        <v>0</v>
      </c>
      <c r="BQ1062" s="12">
        <f t="shared" si="1064"/>
        <v>0</v>
      </c>
    </row>
    <row r="1063" spans="1:69">
      <c r="A1063" s="28">
        <v>1972</v>
      </c>
      <c r="B1063" s="27" t="s">
        <v>62</v>
      </c>
      <c r="C1063" s="24">
        <f t="shared" si="1062"/>
        <v>1046</v>
      </c>
      <c r="D1063" s="7" t="e">
        <f t="shared" ca="1" si="1035"/>
        <v>#N/A</v>
      </c>
      <c r="E1063" s="26" t="e">
        <f t="array" aca="1" ref="E1063" ca="1">AVERAGE(IF(INDIRECT(DatCol&amp;"$"&amp;TEXT(C1063,"###")):INDIRECT(DatCol&amp;"$"&amp;TEXT(C1063+57,"###"))&gt;0,INDIRECT(DatCol&amp;"$"&amp;TEXT(C1063,"###")):INDIRECT(DatCol&amp;"$"&amp;TEXT(C1063+57,"###"))))</f>
        <v>#DIV/0!</v>
      </c>
      <c r="F1063" s="26" t="str">
        <f t="shared" si="1034"/>
        <v>S</v>
      </c>
      <c r="G1063" s="8"/>
      <c r="H1063" s="8">
        <v>2</v>
      </c>
      <c r="I1063" s="8">
        <v>7</v>
      </c>
      <c r="J1063" s="8">
        <v>4</v>
      </c>
      <c r="K1063" s="9">
        <f t="shared" si="1060"/>
        <v>6</v>
      </c>
      <c r="L1063" s="12">
        <v>350</v>
      </c>
      <c r="M1063" s="11">
        <f t="shared" si="1065"/>
        <v>17500</v>
      </c>
      <c r="O1063" s="11">
        <f t="shared" si="1066"/>
        <v>0</v>
      </c>
      <c r="Q1063" s="11">
        <f t="shared" si="1067"/>
        <v>0</v>
      </c>
      <c r="Y1063" s="11">
        <f t="shared" si="1068"/>
        <v>0</v>
      </c>
      <c r="AG1063" s="11">
        <f t="shared" si="1069"/>
        <v>0</v>
      </c>
      <c r="AI1063" s="11">
        <f t="shared" si="1070"/>
        <v>0</v>
      </c>
      <c r="AK1063" s="13">
        <f t="shared" si="1071"/>
        <v>0</v>
      </c>
      <c r="AM1063" s="13">
        <f t="shared" si="1072"/>
        <v>0</v>
      </c>
      <c r="AO1063" s="11">
        <f t="shared" si="1073"/>
        <v>0</v>
      </c>
      <c r="AQ1063" s="11">
        <f t="shared" si="1074"/>
        <v>0</v>
      </c>
      <c r="AS1063" s="11">
        <f t="shared" si="1075"/>
        <v>0</v>
      </c>
      <c r="AU1063" s="11">
        <f t="shared" si="1076"/>
        <v>0</v>
      </c>
      <c r="AW1063" s="11">
        <f t="shared" si="1077"/>
        <v>0</v>
      </c>
      <c r="AY1063" s="11">
        <f t="shared" si="1078"/>
        <v>0</v>
      </c>
      <c r="BA1063" s="11">
        <f t="shared" si="1079"/>
        <v>0</v>
      </c>
      <c r="BC1063" s="11">
        <f t="shared" si="1080"/>
        <v>0</v>
      </c>
      <c r="BE1063" s="11">
        <f t="shared" si="1081"/>
        <v>0</v>
      </c>
      <c r="BG1063" s="11">
        <f t="shared" si="1082"/>
        <v>0</v>
      </c>
      <c r="BN1063" s="8">
        <f t="shared" si="1058"/>
        <v>350</v>
      </c>
      <c r="BO1063" s="8">
        <f t="shared" si="1061"/>
        <v>17500</v>
      </c>
      <c r="BP1063" s="8">
        <f t="shared" si="1063"/>
        <v>0</v>
      </c>
      <c r="BQ1063" s="12">
        <f t="shared" si="1064"/>
        <v>0</v>
      </c>
    </row>
    <row r="1064" spans="1:69">
      <c r="A1064" s="28">
        <v>1973</v>
      </c>
      <c r="B1064" s="27" t="s">
        <v>62</v>
      </c>
      <c r="C1064" s="24">
        <f t="shared" si="1062"/>
        <v>1046</v>
      </c>
      <c r="D1064" s="7" t="e">
        <f t="shared" ca="1" si="1035"/>
        <v>#N/A</v>
      </c>
      <c r="E1064" s="26" t="e">
        <f t="array" aca="1" ref="E1064" ca="1">AVERAGE(IF(INDIRECT(DatCol&amp;"$"&amp;TEXT(C1064,"###")):INDIRECT(DatCol&amp;"$"&amp;TEXT(C1064+57,"###"))&gt;0,INDIRECT(DatCol&amp;"$"&amp;TEXT(C1064,"###")):INDIRECT(DatCol&amp;"$"&amp;TEXT(C1064+57,"###"))))</f>
        <v>#DIV/0!</v>
      </c>
      <c r="F1064" s="26" t="str">
        <f t="shared" si="1034"/>
        <v>S</v>
      </c>
      <c r="G1064" s="8"/>
      <c r="H1064" s="8">
        <v>0</v>
      </c>
      <c r="I1064" s="8">
        <v>0</v>
      </c>
      <c r="J1064" s="8">
        <v>0</v>
      </c>
      <c r="K1064" s="9">
        <f t="shared" si="1060"/>
        <v>0</v>
      </c>
      <c r="M1064" s="11">
        <f t="shared" si="1065"/>
        <v>0</v>
      </c>
      <c r="O1064" s="11">
        <f t="shared" si="1066"/>
        <v>0</v>
      </c>
      <c r="Q1064" s="11">
        <f t="shared" si="1067"/>
        <v>0</v>
      </c>
      <c r="Y1064" s="11">
        <f t="shared" si="1068"/>
        <v>0</v>
      </c>
      <c r="AG1064" s="11">
        <f t="shared" si="1069"/>
        <v>0</v>
      </c>
      <c r="AI1064" s="11">
        <f t="shared" si="1070"/>
        <v>0</v>
      </c>
      <c r="AK1064" s="13">
        <f t="shared" si="1071"/>
        <v>0</v>
      </c>
      <c r="AM1064" s="13">
        <f t="shared" si="1072"/>
        <v>0</v>
      </c>
      <c r="AO1064" s="11">
        <f t="shared" si="1073"/>
        <v>0</v>
      </c>
      <c r="AQ1064" s="11">
        <f t="shared" si="1074"/>
        <v>0</v>
      </c>
      <c r="AS1064" s="11">
        <f t="shared" si="1075"/>
        <v>0</v>
      </c>
      <c r="AU1064" s="11">
        <f t="shared" si="1076"/>
        <v>0</v>
      </c>
      <c r="AW1064" s="11">
        <f t="shared" si="1077"/>
        <v>0</v>
      </c>
      <c r="AY1064" s="11">
        <f t="shared" si="1078"/>
        <v>0</v>
      </c>
      <c r="BA1064" s="11">
        <f t="shared" si="1079"/>
        <v>0</v>
      </c>
      <c r="BC1064" s="11">
        <f t="shared" si="1080"/>
        <v>0</v>
      </c>
      <c r="BE1064" s="11">
        <f t="shared" si="1081"/>
        <v>0</v>
      </c>
      <c r="BG1064" s="11">
        <f t="shared" si="1082"/>
        <v>0</v>
      </c>
      <c r="BN1064" s="8">
        <f t="shared" si="1058"/>
        <v>0</v>
      </c>
      <c r="BO1064" s="8">
        <f t="shared" si="1061"/>
        <v>0</v>
      </c>
      <c r="BP1064" s="8">
        <f t="shared" si="1063"/>
        <v>0</v>
      </c>
      <c r="BQ1064" s="12">
        <f t="shared" si="1064"/>
        <v>0</v>
      </c>
    </row>
    <row r="1065" spans="1:69">
      <c r="A1065" s="28">
        <v>1974</v>
      </c>
      <c r="B1065" s="27" t="s">
        <v>62</v>
      </c>
      <c r="C1065" s="24">
        <f t="shared" si="1062"/>
        <v>1046</v>
      </c>
      <c r="D1065" s="7" t="e">
        <f t="shared" ca="1" si="1035"/>
        <v>#N/A</v>
      </c>
      <c r="E1065" s="26" t="e">
        <f t="array" aca="1" ref="E1065" ca="1">AVERAGE(IF(INDIRECT(DatCol&amp;"$"&amp;TEXT(C1065,"###")):INDIRECT(DatCol&amp;"$"&amp;TEXT(C1065+57,"###"))&gt;0,INDIRECT(DatCol&amp;"$"&amp;TEXT(C1065,"###")):INDIRECT(DatCol&amp;"$"&amp;TEXT(C1065+57,"###"))))</f>
        <v>#DIV/0!</v>
      </c>
      <c r="F1065" s="26" t="str">
        <f t="shared" si="1034"/>
        <v>S</v>
      </c>
      <c r="G1065" s="8"/>
      <c r="K1065" s="9">
        <f t="shared" si="1060"/>
        <v>0</v>
      </c>
      <c r="M1065" s="11">
        <f t="shared" si="1065"/>
        <v>0</v>
      </c>
      <c r="O1065" s="11">
        <f t="shared" si="1066"/>
        <v>0</v>
      </c>
      <c r="Q1065" s="11">
        <f t="shared" si="1067"/>
        <v>0</v>
      </c>
      <c r="Y1065" s="11">
        <f t="shared" si="1068"/>
        <v>0</v>
      </c>
      <c r="AG1065" s="11">
        <f t="shared" si="1069"/>
        <v>0</v>
      </c>
      <c r="AI1065" s="11">
        <f t="shared" si="1070"/>
        <v>0</v>
      </c>
      <c r="AK1065" s="13">
        <f t="shared" si="1071"/>
        <v>0</v>
      </c>
      <c r="AM1065" s="13">
        <f t="shared" si="1072"/>
        <v>0</v>
      </c>
      <c r="AO1065" s="11">
        <f t="shared" si="1073"/>
        <v>0</v>
      </c>
      <c r="AQ1065" s="11">
        <f t="shared" si="1074"/>
        <v>0</v>
      </c>
      <c r="AS1065" s="11">
        <f t="shared" si="1075"/>
        <v>0</v>
      </c>
      <c r="AU1065" s="11">
        <f t="shared" si="1076"/>
        <v>0</v>
      </c>
      <c r="AW1065" s="11">
        <f t="shared" si="1077"/>
        <v>0</v>
      </c>
      <c r="AY1065" s="11">
        <f t="shared" si="1078"/>
        <v>0</v>
      </c>
      <c r="BA1065" s="11">
        <f t="shared" si="1079"/>
        <v>0</v>
      </c>
      <c r="BC1065" s="11">
        <f t="shared" si="1080"/>
        <v>0</v>
      </c>
      <c r="BE1065" s="11">
        <f t="shared" si="1081"/>
        <v>0</v>
      </c>
      <c r="BG1065" s="11">
        <f t="shared" si="1082"/>
        <v>0</v>
      </c>
      <c r="BN1065" s="8">
        <f t="shared" si="1058"/>
        <v>0</v>
      </c>
      <c r="BO1065" s="8">
        <f t="shared" si="1061"/>
        <v>0</v>
      </c>
      <c r="BP1065" s="8">
        <f t="shared" si="1063"/>
        <v>0</v>
      </c>
      <c r="BQ1065" s="12">
        <f t="shared" si="1064"/>
        <v>0</v>
      </c>
    </row>
    <row r="1066" spans="1:69">
      <c r="A1066" s="28">
        <v>1975</v>
      </c>
      <c r="B1066" s="27" t="s">
        <v>62</v>
      </c>
      <c r="C1066" s="24">
        <f t="shared" si="1062"/>
        <v>1046</v>
      </c>
      <c r="D1066" s="7" t="e">
        <f t="shared" ca="1" si="1035"/>
        <v>#N/A</v>
      </c>
      <c r="E1066" s="26" t="e">
        <f t="array" aca="1" ref="E1066" ca="1">AVERAGE(IF(INDIRECT(DatCol&amp;"$"&amp;TEXT(C1066,"###")):INDIRECT(DatCol&amp;"$"&amp;TEXT(C1066+57,"###"))&gt;0,INDIRECT(DatCol&amp;"$"&amp;TEXT(C1066,"###")):INDIRECT(DatCol&amp;"$"&amp;TEXT(C1066+57,"###"))))</f>
        <v>#DIV/0!</v>
      </c>
      <c r="F1066" s="26" t="str">
        <f t="shared" si="1034"/>
        <v>S</v>
      </c>
      <c r="G1066" s="8"/>
      <c r="K1066" s="9">
        <f t="shared" si="1060"/>
        <v>0</v>
      </c>
      <c r="M1066" s="11">
        <f t="shared" si="1065"/>
        <v>0</v>
      </c>
      <c r="O1066" s="11">
        <f t="shared" si="1066"/>
        <v>0</v>
      </c>
      <c r="Q1066" s="11">
        <f t="shared" si="1067"/>
        <v>0</v>
      </c>
      <c r="Y1066" s="11">
        <f t="shared" si="1068"/>
        <v>0</v>
      </c>
      <c r="AG1066" s="11">
        <f t="shared" si="1069"/>
        <v>0</v>
      </c>
      <c r="AI1066" s="11">
        <f t="shared" si="1070"/>
        <v>0</v>
      </c>
      <c r="AK1066" s="13">
        <f t="shared" si="1071"/>
        <v>0</v>
      </c>
      <c r="AM1066" s="13">
        <f t="shared" si="1072"/>
        <v>0</v>
      </c>
      <c r="AO1066" s="11">
        <f t="shared" si="1073"/>
        <v>0</v>
      </c>
      <c r="AQ1066" s="11">
        <f t="shared" si="1074"/>
        <v>0</v>
      </c>
      <c r="AS1066" s="11">
        <f t="shared" si="1075"/>
        <v>0</v>
      </c>
      <c r="AU1066" s="11">
        <f t="shared" si="1076"/>
        <v>0</v>
      </c>
      <c r="AW1066" s="11">
        <f t="shared" si="1077"/>
        <v>0</v>
      </c>
      <c r="AY1066" s="11">
        <f t="shared" si="1078"/>
        <v>0</v>
      </c>
      <c r="BA1066" s="11">
        <f t="shared" si="1079"/>
        <v>0</v>
      </c>
      <c r="BC1066" s="11">
        <f t="shared" si="1080"/>
        <v>0</v>
      </c>
      <c r="BE1066" s="11">
        <f t="shared" si="1081"/>
        <v>0</v>
      </c>
      <c r="BG1066" s="11">
        <f t="shared" si="1082"/>
        <v>0</v>
      </c>
      <c r="BN1066" s="8">
        <f t="shared" si="1058"/>
        <v>0</v>
      </c>
      <c r="BO1066" s="8">
        <f t="shared" si="1061"/>
        <v>0</v>
      </c>
      <c r="BP1066" s="8">
        <f t="shared" si="1063"/>
        <v>0</v>
      </c>
      <c r="BQ1066" s="12">
        <f t="shared" si="1064"/>
        <v>0</v>
      </c>
    </row>
    <row r="1067" spans="1:69">
      <c r="A1067" s="28">
        <v>1976</v>
      </c>
      <c r="B1067" s="27" t="s">
        <v>62</v>
      </c>
      <c r="C1067" s="24">
        <f t="shared" si="1062"/>
        <v>1046</v>
      </c>
      <c r="D1067" s="7" t="e">
        <f t="shared" ca="1" si="1035"/>
        <v>#N/A</v>
      </c>
      <c r="E1067" s="26" t="e">
        <f t="array" aca="1" ref="E1067" ca="1">AVERAGE(IF(INDIRECT(DatCol&amp;"$"&amp;TEXT(C1067,"###")):INDIRECT(DatCol&amp;"$"&amp;TEXT(C1067+57,"###"))&gt;0,INDIRECT(DatCol&amp;"$"&amp;TEXT(C1067,"###")):INDIRECT(DatCol&amp;"$"&amp;TEXT(C1067+57,"###"))))</f>
        <v>#DIV/0!</v>
      </c>
      <c r="F1067" s="26" t="str">
        <f t="shared" si="1034"/>
        <v>S</v>
      </c>
      <c r="G1067" s="8"/>
      <c r="H1067" s="8">
        <v>0</v>
      </c>
      <c r="I1067" s="8">
        <v>0</v>
      </c>
      <c r="J1067" s="8">
        <v>0</v>
      </c>
      <c r="K1067" s="9">
        <f t="shared" si="1060"/>
        <v>0</v>
      </c>
      <c r="M1067" s="11">
        <f t="shared" si="1065"/>
        <v>0</v>
      </c>
      <c r="O1067" s="11">
        <f t="shared" si="1066"/>
        <v>0</v>
      </c>
      <c r="Q1067" s="11">
        <f t="shared" si="1067"/>
        <v>0</v>
      </c>
      <c r="Y1067" s="11">
        <f t="shared" si="1068"/>
        <v>0</v>
      </c>
      <c r="AG1067" s="11">
        <f t="shared" si="1069"/>
        <v>0</v>
      </c>
      <c r="AI1067" s="11">
        <f t="shared" si="1070"/>
        <v>0</v>
      </c>
      <c r="AK1067" s="13">
        <f t="shared" si="1071"/>
        <v>0</v>
      </c>
      <c r="AM1067" s="13">
        <f t="shared" si="1072"/>
        <v>0</v>
      </c>
      <c r="AO1067" s="11">
        <f t="shared" si="1073"/>
        <v>0</v>
      </c>
      <c r="AQ1067" s="11">
        <f t="shared" si="1074"/>
        <v>0</v>
      </c>
      <c r="AS1067" s="11">
        <f t="shared" si="1075"/>
        <v>0</v>
      </c>
      <c r="AU1067" s="11">
        <f t="shared" si="1076"/>
        <v>0</v>
      </c>
      <c r="AW1067" s="11">
        <f t="shared" si="1077"/>
        <v>0</v>
      </c>
      <c r="AY1067" s="11">
        <f t="shared" si="1078"/>
        <v>0</v>
      </c>
      <c r="BA1067" s="11">
        <f t="shared" si="1079"/>
        <v>0</v>
      </c>
      <c r="BC1067" s="11">
        <f t="shared" si="1080"/>
        <v>0</v>
      </c>
      <c r="BE1067" s="11">
        <f t="shared" si="1081"/>
        <v>0</v>
      </c>
      <c r="BG1067" s="11">
        <f t="shared" si="1082"/>
        <v>0</v>
      </c>
      <c r="BN1067" s="8">
        <f t="shared" si="1058"/>
        <v>0</v>
      </c>
      <c r="BO1067" s="8">
        <f t="shared" si="1061"/>
        <v>0</v>
      </c>
      <c r="BP1067" s="8">
        <f t="shared" si="1063"/>
        <v>0</v>
      </c>
      <c r="BQ1067" s="12">
        <f t="shared" si="1064"/>
        <v>0</v>
      </c>
    </row>
    <row r="1068" spans="1:69">
      <c r="A1068" s="28">
        <v>1977</v>
      </c>
      <c r="B1068" s="27" t="s">
        <v>62</v>
      </c>
      <c r="C1068" s="24">
        <f t="shared" si="1062"/>
        <v>1046</v>
      </c>
      <c r="D1068" s="7" t="e">
        <f t="shared" ca="1" si="1035"/>
        <v>#N/A</v>
      </c>
      <c r="E1068" s="26" t="e">
        <f t="array" aca="1" ref="E1068" ca="1">AVERAGE(IF(INDIRECT(DatCol&amp;"$"&amp;TEXT(C1068,"###")):INDIRECT(DatCol&amp;"$"&amp;TEXT(C1068+57,"###"))&gt;0,INDIRECT(DatCol&amp;"$"&amp;TEXT(C1068,"###")):INDIRECT(DatCol&amp;"$"&amp;TEXT(C1068+57,"###"))))</f>
        <v>#DIV/0!</v>
      </c>
      <c r="F1068" s="26" t="str">
        <f t="shared" si="1034"/>
        <v>S</v>
      </c>
      <c r="G1068" s="8"/>
      <c r="K1068" s="9">
        <f t="shared" si="1060"/>
        <v>0</v>
      </c>
      <c r="M1068" s="11">
        <f t="shared" si="1065"/>
        <v>0</v>
      </c>
      <c r="O1068" s="11">
        <f t="shared" si="1066"/>
        <v>0</v>
      </c>
      <c r="Q1068" s="11">
        <f t="shared" si="1067"/>
        <v>0</v>
      </c>
      <c r="Y1068" s="11">
        <f t="shared" si="1068"/>
        <v>0</v>
      </c>
      <c r="AG1068" s="11">
        <f t="shared" si="1069"/>
        <v>0</v>
      </c>
      <c r="AI1068" s="11">
        <f t="shared" si="1070"/>
        <v>0</v>
      </c>
      <c r="AK1068" s="13">
        <f t="shared" si="1071"/>
        <v>0</v>
      </c>
      <c r="AM1068" s="13">
        <f t="shared" si="1072"/>
        <v>0</v>
      </c>
      <c r="AO1068" s="11">
        <f t="shared" si="1073"/>
        <v>0</v>
      </c>
      <c r="AQ1068" s="11">
        <f t="shared" si="1074"/>
        <v>0</v>
      </c>
      <c r="AS1068" s="11">
        <f t="shared" si="1075"/>
        <v>0</v>
      </c>
      <c r="AU1068" s="11">
        <f t="shared" si="1076"/>
        <v>0</v>
      </c>
      <c r="AW1068" s="11">
        <f t="shared" si="1077"/>
        <v>0</v>
      </c>
      <c r="AY1068" s="11">
        <f t="shared" si="1078"/>
        <v>0</v>
      </c>
      <c r="BA1068" s="11">
        <f t="shared" si="1079"/>
        <v>0</v>
      </c>
      <c r="BC1068" s="11">
        <f t="shared" si="1080"/>
        <v>0</v>
      </c>
      <c r="BE1068" s="11">
        <f t="shared" si="1081"/>
        <v>0</v>
      </c>
      <c r="BG1068" s="11">
        <f t="shared" si="1082"/>
        <v>0</v>
      </c>
      <c r="BN1068" s="8">
        <f t="shared" si="1058"/>
        <v>0</v>
      </c>
      <c r="BO1068" s="8">
        <f t="shared" si="1061"/>
        <v>0</v>
      </c>
      <c r="BP1068" s="8">
        <f t="shared" si="1063"/>
        <v>0</v>
      </c>
      <c r="BQ1068" s="12">
        <f t="shared" si="1064"/>
        <v>0</v>
      </c>
    </row>
    <row r="1069" spans="1:69">
      <c r="A1069" s="28">
        <v>1978</v>
      </c>
      <c r="B1069" s="27" t="s">
        <v>62</v>
      </c>
      <c r="C1069" s="24">
        <f t="shared" si="1062"/>
        <v>1046</v>
      </c>
      <c r="D1069" s="7" t="e">
        <f t="shared" ca="1" si="1035"/>
        <v>#N/A</v>
      </c>
      <c r="E1069" s="26" t="e">
        <f t="array" aca="1" ref="E1069" ca="1">AVERAGE(IF(INDIRECT(DatCol&amp;"$"&amp;TEXT(C1069,"###")):INDIRECT(DatCol&amp;"$"&amp;TEXT(C1069+57,"###"))&gt;0,INDIRECT(DatCol&amp;"$"&amp;TEXT(C1069,"###")):INDIRECT(DatCol&amp;"$"&amp;TEXT(C1069+57,"###"))))</f>
        <v>#DIV/0!</v>
      </c>
      <c r="F1069" s="26" t="str">
        <f t="shared" si="1034"/>
        <v>S</v>
      </c>
      <c r="G1069" s="8"/>
      <c r="H1069" s="8">
        <v>6</v>
      </c>
      <c r="I1069" s="8">
        <v>33</v>
      </c>
      <c r="J1069" s="8">
        <v>8</v>
      </c>
      <c r="K1069" s="9">
        <f t="shared" si="1060"/>
        <v>14</v>
      </c>
      <c r="L1069" s="12">
        <v>902</v>
      </c>
      <c r="M1069" s="11">
        <f t="shared" si="1065"/>
        <v>45100</v>
      </c>
      <c r="O1069" s="11">
        <f t="shared" si="1066"/>
        <v>0</v>
      </c>
      <c r="Q1069" s="11">
        <f t="shared" si="1067"/>
        <v>0</v>
      </c>
      <c r="Y1069" s="11">
        <f t="shared" si="1068"/>
        <v>0</v>
      </c>
      <c r="AG1069" s="11">
        <f t="shared" si="1069"/>
        <v>0</v>
      </c>
      <c r="AI1069" s="11">
        <f t="shared" si="1070"/>
        <v>0</v>
      </c>
      <c r="AK1069" s="13">
        <f t="shared" si="1071"/>
        <v>0</v>
      </c>
      <c r="AM1069" s="13">
        <f t="shared" si="1072"/>
        <v>0</v>
      </c>
      <c r="AO1069" s="11">
        <f t="shared" si="1073"/>
        <v>0</v>
      </c>
      <c r="AQ1069" s="11">
        <f t="shared" si="1074"/>
        <v>0</v>
      </c>
      <c r="AS1069" s="11">
        <f t="shared" si="1075"/>
        <v>0</v>
      </c>
      <c r="AU1069" s="11">
        <f t="shared" si="1076"/>
        <v>0</v>
      </c>
      <c r="AW1069" s="11">
        <f t="shared" si="1077"/>
        <v>0</v>
      </c>
      <c r="AY1069" s="11">
        <f t="shared" si="1078"/>
        <v>0</v>
      </c>
      <c r="BA1069" s="11">
        <f t="shared" si="1079"/>
        <v>0</v>
      </c>
      <c r="BC1069" s="11">
        <f t="shared" si="1080"/>
        <v>0</v>
      </c>
      <c r="BE1069" s="11">
        <f t="shared" si="1081"/>
        <v>0</v>
      </c>
      <c r="BG1069" s="11">
        <f t="shared" si="1082"/>
        <v>0</v>
      </c>
      <c r="BN1069" s="8">
        <f t="shared" si="1058"/>
        <v>902</v>
      </c>
      <c r="BO1069" s="8">
        <f t="shared" si="1061"/>
        <v>45100</v>
      </c>
      <c r="BP1069" s="8">
        <f t="shared" si="1063"/>
        <v>0</v>
      </c>
      <c r="BQ1069" s="12">
        <f t="shared" si="1064"/>
        <v>0</v>
      </c>
    </row>
    <row r="1070" spans="1:69">
      <c r="A1070" s="28">
        <v>1979</v>
      </c>
      <c r="B1070" s="27" t="s">
        <v>62</v>
      </c>
      <c r="C1070" s="24">
        <f t="shared" si="1062"/>
        <v>1046</v>
      </c>
      <c r="D1070" s="7" t="e">
        <f t="shared" ca="1" si="1035"/>
        <v>#N/A</v>
      </c>
      <c r="E1070" s="26" t="e">
        <f t="array" aca="1" ref="E1070" ca="1">AVERAGE(IF(INDIRECT(DatCol&amp;"$"&amp;TEXT(C1070,"###")):INDIRECT(DatCol&amp;"$"&amp;TEXT(C1070+57,"###"))&gt;0,INDIRECT(DatCol&amp;"$"&amp;TEXT(C1070,"###")):INDIRECT(DatCol&amp;"$"&amp;TEXT(C1070+57,"###"))))</f>
        <v>#DIV/0!</v>
      </c>
      <c r="F1070" s="26" t="str">
        <f t="shared" si="1034"/>
        <v>S</v>
      </c>
      <c r="G1070" s="8"/>
      <c r="I1070" s="8">
        <v>22</v>
      </c>
      <c r="K1070" s="9">
        <f t="shared" si="1060"/>
        <v>0</v>
      </c>
      <c r="L1070" s="12">
        <v>302</v>
      </c>
      <c r="M1070" s="11">
        <f t="shared" si="1065"/>
        <v>15100</v>
      </c>
      <c r="O1070" s="11">
        <f t="shared" si="1066"/>
        <v>0</v>
      </c>
      <c r="Q1070" s="11">
        <f t="shared" si="1067"/>
        <v>0</v>
      </c>
      <c r="Y1070" s="11">
        <f t="shared" si="1068"/>
        <v>0</v>
      </c>
      <c r="AG1070" s="11">
        <f t="shared" si="1069"/>
        <v>0</v>
      </c>
      <c r="AI1070" s="11">
        <f t="shared" si="1070"/>
        <v>0</v>
      </c>
      <c r="AK1070" s="13">
        <f t="shared" si="1071"/>
        <v>0</v>
      </c>
      <c r="AM1070" s="13">
        <f t="shared" si="1072"/>
        <v>0</v>
      </c>
      <c r="AO1070" s="11">
        <f t="shared" si="1073"/>
        <v>0</v>
      </c>
      <c r="AQ1070" s="11">
        <f t="shared" si="1074"/>
        <v>0</v>
      </c>
      <c r="AS1070" s="11">
        <f t="shared" si="1075"/>
        <v>0</v>
      </c>
      <c r="AU1070" s="11">
        <f t="shared" si="1076"/>
        <v>0</v>
      </c>
      <c r="AW1070" s="11">
        <f t="shared" si="1077"/>
        <v>0</v>
      </c>
      <c r="AY1070" s="11">
        <f t="shared" si="1078"/>
        <v>0</v>
      </c>
      <c r="BA1070" s="11">
        <f t="shared" si="1079"/>
        <v>0</v>
      </c>
      <c r="BC1070" s="11">
        <f t="shared" si="1080"/>
        <v>0</v>
      </c>
      <c r="BE1070" s="11">
        <f t="shared" si="1081"/>
        <v>0</v>
      </c>
      <c r="BG1070" s="11">
        <f t="shared" si="1082"/>
        <v>0</v>
      </c>
      <c r="BN1070" s="8">
        <f t="shared" si="1058"/>
        <v>302</v>
      </c>
      <c r="BO1070" s="8">
        <f t="shared" si="1061"/>
        <v>15100</v>
      </c>
      <c r="BP1070" s="8">
        <f t="shared" si="1063"/>
        <v>0</v>
      </c>
      <c r="BQ1070" s="12">
        <f t="shared" si="1064"/>
        <v>0</v>
      </c>
    </row>
    <row r="1071" spans="1:69">
      <c r="A1071" s="28">
        <v>1980</v>
      </c>
      <c r="B1071" s="27" t="s">
        <v>62</v>
      </c>
      <c r="C1071" s="24">
        <f t="shared" si="1062"/>
        <v>1046</v>
      </c>
      <c r="D1071" s="7" t="e">
        <f t="shared" ca="1" si="1035"/>
        <v>#N/A</v>
      </c>
      <c r="E1071" s="26" t="e">
        <f t="array" aca="1" ref="E1071" ca="1">AVERAGE(IF(INDIRECT(DatCol&amp;"$"&amp;TEXT(C1071,"###")):INDIRECT(DatCol&amp;"$"&amp;TEXT(C1071+57,"###"))&gt;0,INDIRECT(DatCol&amp;"$"&amp;TEXT(C1071,"###")):INDIRECT(DatCol&amp;"$"&amp;TEXT(C1071+57,"###"))))</f>
        <v>#DIV/0!</v>
      </c>
      <c r="F1071" s="26" t="str">
        <f t="shared" si="1034"/>
        <v>S</v>
      </c>
      <c r="G1071" s="8"/>
      <c r="H1071" s="8">
        <v>0</v>
      </c>
      <c r="I1071" s="8">
        <v>0</v>
      </c>
      <c r="J1071" s="8">
        <v>0</v>
      </c>
      <c r="K1071" s="9">
        <f t="shared" si="1060"/>
        <v>0</v>
      </c>
      <c r="M1071" s="11">
        <f t="shared" si="1065"/>
        <v>0</v>
      </c>
      <c r="O1071" s="11">
        <f t="shared" si="1066"/>
        <v>0</v>
      </c>
      <c r="Q1071" s="11">
        <f t="shared" si="1067"/>
        <v>0</v>
      </c>
      <c r="Y1071" s="11">
        <f t="shared" si="1068"/>
        <v>0</v>
      </c>
      <c r="AG1071" s="11">
        <f t="shared" si="1069"/>
        <v>0</v>
      </c>
      <c r="AI1071" s="11">
        <f t="shared" si="1070"/>
        <v>0</v>
      </c>
      <c r="AK1071" s="13">
        <f t="shared" si="1071"/>
        <v>0</v>
      </c>
      <c r="AM1071" s="13">
        <f t="shared" si="1072"/>
        <v>0</v>
      </c>
      <c r="AO1071" s="11">
        <f t="shared" si="1073"/>
        <v>0</v>
      </c>
      <c r="AQ1071" s="11">
        <f t="shared" si="1074"/>
        <v>0</v>
      </c>
      <c r="AS1071" s="11">
        <f t="shared" si="1075"/>
        <v>0</v>
      </c>
      <c r="AU1071" s="11">
        <f t="shared" si="1076"/>
        <v>0</v>
      </c>
      <c r="AW1071" s="11">
        <f t="shared" si="1077"/>
        <v>0</v>
      </c>
      <c r="AY1071" s="11">
        <f t="shared" si="1078"/>
        <v>0</v>
      </c>
      <c r="BA1071" s="11">
        <f t="shared" si="1079"/>
        <v>0</v>
      </c>
      <c r="BC1071" s="11">
        <f t="shared" si="1080"/>
        <v>0</v>
      </c>
      <c r="BE1071" s="11">
        <f t="shared" si="1081"/>
        <v>0</v>
      </c>
      <c r="BG1071" s="11">
        <f t="shared" si="1082"/>
        <v>0</v>
      </c>
      <c r="BN1071" s="8">
        <f t="shared" si="1058"/>
        <v>0</v>
      </c>
      <c r="BO1071" s="8">
        <f t="shared" si="1061"/>
        <v>0</v>
      </c>
      <c r="BP1071" s="8">
        <f t="shared" si="1063"/>
        <v>0</v>
      </c>
      <c r="BQ1071" s="12">
        <f t="shared" si="1064"/>
        <v>0</v>
      </c>
    </row>
    <row r="1072" spans="1:69">
      <c r="A1072" s="28">
        <v>1981</v>
      </c>
      <c r="B1072" s="27" t="s">
        <v>62</v>
      </c>
      <c r="C1072" s="24">
        <f t="shared" si="1062"/>
        <v>1046</v>
      </c>
      <c r="D1072" s="7" t="e">
        <f t="shared" ca="1" si="1035"/>
        <v>#N/A</v>
      </c>
      <c r="E1072" s="26" t="e">
        <f t="array" aca="1" ref="E1072" ca="1">AVERAGE(IF(INDIRECT(DatCol&amp;"$"&amp;TEXT(C1072,"###")):INDIRECT(DatCol&amp;"$"&amp;TEXT(C1072+57,"###"))&gt;0,INDIRECT(DatCol&amp;"$"&amp;TEXT(C1072,"###")):INDIRECT(DatCol&amp;"$"&amp;TEXT(C1072+57,"###"))))</f>
        <v>#DIV/0!</v>
      </c>
      <c r="F1072" s="26" t="str">
        <f t="shared" si="1034"/>
        <v>S</v>
      </c>
      <c r="G1072" s="8"/>
      <c r="K1072" s="9">
        <f t="shared" si="1060"/>
        <v>0</v>
      </c>
      <c r="M1072" s="11">
        <f t="shared" si="1065"/>
        <v>0</v>
      </c>
      <c r="O1072" s="11">
        <f t="shared" si="1066"/>
        <v>0</v>
      </c>
      <c r="Q1072" s="11">
        <f t="shared" si="1067"/>
        <v>0</v>
      </c>
      <c r="Y1072" s="11">
        <f t="shared" si="1068"/>
        <v>0</v>
      </c>
      <c r="AG1072" s="11">
        <f t="shared" si="1069"/>
        <v>0</v>
      </c>
      <c r="AI1072" s="11">
        <f t="shared" si="1070"/>
        <v>0</v>
      </c>
      <c r="AK1072" s="13">
        <f t="shared" si="1071"/>
        <v>0</v>
      </c>
      <c r="AM1072" s="13">
        <f t="shared" si="1072"/>
        <v>0</v>
      </c>
      <c r="AO1072" s="11">
        <f t="shared" si="1073"/>
        <v>0</v>
      </c>
      <c r="AQ1072" s="11">
        <f t="shared" si="1074"/>
        <v>0</v>
      </c>
      <c r="AS1072" s="11">
        <f t="shared" si="1075"/>
        <v>0</v>
      </c>
      <c r="AU1072" s="11">
        <f t="shared" si="1076"/>
        <v>0</v>
      </c>
      <c r="AW1072" s="11">
        <f t="shared" si="1077"/>
        <v>0</v>
      </c>
      <c r="AY1072" s="11">
        <f t="shared" si="1078"/>
        <v>0</v>
      </c>
      <c r="BA1072" s="11">
        <f t="shared" si="1079"/>
        <v>0</v>
      </c>
      <c r="BC1072" s="11">
        <f t="shared" si="1080"/>
        <v>0</v>
      </c>
      <c r="BE1072" s="11">
        <f t="shared" si="1081"/>
        <v>0</v>
      </c>
      <c r="BG1072" s="11">
        <f t="shared" si="1082"/>
        <v>0</v>
      </c>
      <c r="BN1072" s="8">
        <f t="shared" si="1058"/>
        <v>0</v>
      </c>
      <c r="BO1072" s="8">
        <f t="shared" si="1061"/>
        <v>0</v>
      </c>
      <c r="BP1072" s="8">
        <f t="shared" si="1063"/>
        <v>0</v>
      </c>
      <c r="BQ1072" s="12">
        <f t="shared" si="1064"/>
        <v>0</v>
      </c>
    </row>
    <row r="1073" spans="1:69">
      <c r="A1073" s="28">
        <v>1982</v>
      </c>
      <c r="B1073" s="27" t="s">
        <v>62</v>
      </c>
      <c r="C1073" s="24">
        <f t="shared" si="1062"/>
        <v>1046</v>
      </c>
      <c r="D1073" s="7" t="e">
        <f t="shared" ca="1" si="1035"/>
        <v>#N/A</v>
      </c>
      <c r="E1073" s="26" t="e">
        <f t="array" aca="1" ref="E1073" ca="1">AVERAGE(IF(INDIRECT(DatCol&amp;"$"&amp;TEXT(C1073,"###")):INDIRECT(DatCol&amp;"$"&amp;TEXT(C1073+57,"###"))&gt;0,INDIRECT(DatCol&amp;"$"&amp;TEXT(C1073,"###")):INDIRECT(DatCol&amp;"$"&amp;TEXT(C1073+57,"###"))))</f>
        <v>#DIV/0!</v>
      </c>
      <c r="F1073" s="26" t="str">
        <f t="shared" si="1034"/>
        <v>S</v>
      </c>
      <c r="G1073" s="8"/>
      <c r="H1073" s="8">
        <v>3</v>
      </c>
      <c r="I1073" s="8">
        <v>0</v>
      </c>
      <c r="J1073" s="8">
        <v>14</v>
      </c>
      <c r="K1073" s="9">
        <f t="shared" si="1060"/>
        <v>17</v>
      </c>
      <c r="M1073" s="11">
        <f t="shared" ref="M1073:M1088" si="1083">(L1073*50)</f>
        <v>0</v>
      </c>
      <c r="O1073" s="11">
        <f t="shared" ref="O1073:O1087" si="1084">(N1073*50)</f>
        <v>0</v>
      </c>
      <c r="Q1073" s="11">
        <f t="shared" ref="Q1073:Q1087" si="1085">((P1073*330)/5.5)</f>
        <v>0</v>
      </c>
      <c r="Y1073" s="11">
        <f t="shared" ref="Y1073:Y1087" si="1086">((X1073*330)/5.5)</f>
        <v>0</v>
      </c>
      <c r="AG1073" s="11">
        <f t="shared" ref="AG1073:AG1087" si="1087">(AF1073*65)</f>
        <v>0</v>
      </c>
      <c r="AI1073" s="11">
        <f t="shared" ref="AI1073:AI1087" si="1088">(AH1073*65)</f>
        <v>0</v>
      </c>
      <c r="AK1073" s="13">
        <f t="shared" ref="AK1073:AK1087" si="1089">(AJ1073*9)</f>
        <v>0</v>
      </c>
      <c r="AM1073" s="13">
        <f t="shared" ref="AM1073:AM1087" si="1090">(AL1073*9)</f>
        <v>0</v>
      </c>
      <c r="AO1073" s="11">
        <f t="shared" ref="AO1073:AO1087" si="1091">(AN1073*80)</f>
        <v>0</v>
      </c>
      <c r="AQ1073" s="11">
        <f t="shared" ref="AQ1073:AQ1087" si="1092">(AP1073*80)</f>
        <v>0</v>
      </c>
      <c r="AS1073" s="11">
        <f t="shared" ref="AS1073:AS1087" si="1093">(AR1073*50)</f>
        <v>0</v>
      </c>
      <c r="AU1073" s="11">
        <f t="shared" ref="AU1073:AU1087" si="1094">(AT1073*50)</f>
        <v>0</v>
      </c>
      <c r="AW1073" s="11">
        <f t="shared" ref="AW1073:AW1087" si="1095">(AV1073*60)</f>
        <v>0</v>
      </c>
      <c r="AY1073" s="11">
        <f t="shared" ref="AY1073:AY1087" si="1096">(AX1073*60)</f>
        <v>0</v>
      </c>
      <c r="BA1073" s="11">
        <f t="shared" ref="BA1073:BA1087" si="1097">(AZ1073*40)</f>
        <v>0</v>
      </c>
      <c r="BC1073" s="11">
        <f t="shared" ref="BC1073:BC1087" si="1098">(BB1073*40)</f>
        <v>0</v>
      </c>
      <c r="BE1073" s="11">
        <f t="shared" ref="BE1073:BE1087" si="1099">(BD1073*95)</f>
        <v>0</v>
      </c>
      <c r="BG1073" s="11">
        <f t="shared" ref="BG1073:BG1087" si="1100">(BF1073*95)</f>
        <v>0</v>
      </c>
      <c r="BN1073" s="8">
        <f t="shared" si="1058"/>
        <v>0</v>
      </c>
      <c r="BO1073" s="8">
        <f t="shared" si="1061"/>
        <v>0</v>
      </c>
      <c r="BP1073" s="8">
        <f t="shared" si="1063"/>
        <v>0</v>
      </c>
      <c r="BQ1073" s="12">
        <f t="shared" si="1064"/>
        <v>0</v>
      </c>
    </row>
    <row r="1074" spans="1:69">
      <c r="A1074" s="28">
        <v>1983</v>
      </c>
      <c r="B1074" s="27" t="s">
        <v>62</v>
      </c>
      <c r="C1074" s="24">
        <f t="shared" si="1062"/>
        <v>1046</v>
      </c>
      <c r="D1074" s="7" t="e">
        <f t="shared" ca="1" si="1035"/>
        <v>#N/A</v>
      </c>
      <c r="E1074" s="26" t="e">
        <f t="array" aca="1" ref="E1074" ca="1">AVERAGE(IF(INDIRECT(DatCol&amp;"$"&amp;TEXT(C1074,"###")):INDIRECT(DatCol&amp;"$"&amp;TEXT(C1074+57,"###"))&gt;0,INDIRECT(DatCol&amp;"$"&amp;TEXT(C1074,"###")):INDIRECT(DatCol&amp;"$"&amp;TEXT(C1074+57,"###"))))</f>
        <v>#DIV/0!</v>
      </c>
      <c r="F1074" s="26" t="str">
        <f t="shared" si="1034"/>
        <v>S</v>
      </c>
      <c r="G1074" s="8"/>
      <c r="K1074" s="9">
        <f t="shared" si="1060"/>
        <v>0</v>
      </c>
      <c r="M1074" s="11">
        <f t="shared" si="1083"/>
        <v>0</v>
      </c>
      <c r="O1074" s="11">
        <f t="shared" si="1084"/>
        <v>0</v>
      </c>
      <c r="Q1074" s="11">
        <f t="shared" si="1085"/>
        <v>0</v>
      </c>
      <c r="Y1074" s="11">
        <f t="shared" si="1086"/>
        <v>0</v>
      </c>
      <c r="AG1074" s="11">
        <f t="shared" si="1087"/>
        <v>0</v>
      </c>
      <c r="AI1074" s="11">
        <f t="shared" si="1088"/>
        <v>0</v>
      </c>
      <c r="AK1074" s="13">
        <f t="shared" si="1089"/>
        <v>0</v>
      </c>
      <c r="AM1074" s="13">
        <f t="shared" si="1090"/>
        <v>0</v>
      </c>
      <c r="AO1074" s="11">
        <f t="shared" si="1091"/>
        <v>0</v>
      </c>
      <c r="AQ1074" s="11">
        <f t="shared" si="1092"/>
        <v>0</v>
      </c>
      <c r="AS1074" s="11">
        <f t="shared" si="1093"/>
        <v>0</v>
      </c>
      <c r="AU1074" s="11">
        <f t="shared" si="1094"/>
        <v>0</v>
      </c>
      <c r="AW1074" s="11">
        <f t="shared" si="1095"/>
        <v>0</v>
      </c>
      <c r="AY1074" s="11">
        <f t="shared" si="1096"/>
        <v>0</v>
      </c>
      <c r="BA1074" s="11">
        <f t="shared" si="1097"/>
        <v>0</v>
      </c>
      <c r="BC1074" s="11">
        <f t="shared" si="1098"/>
        <v>0</v>
      </c>
      <c r="BE1074" s="11">
        <f t="shared" si="1099"/>
        <v>0</v>
      </c>
      <c r="BG1074" s="11">
        <f t="shared" si="1100"/>
        <v>0</v>
      </c>
      <c r="BN1074" s="8">
        <f t="shared" si="1058"/>
        <v>0</v>
      </c>
      <c r="BO1074" s="8">
        <f t="shared" si="1061"/>
        <v>0</v>
      </c>
      <c r="BP1074" s="8">
        <f t="shared" si="1063"/>
        <v>0</v>
      </c>
      <c r="BQ1074" s="12">
        <f t="shared" si="1064"/>
        <v>0</v>
      </c>
    </row>
    <row r="1075" spans="1:69">
      <c r="A1075" s="28">
        <v>1984</v>
      </c>
      <c r="B1075" s="27" t="s">
        <v>62</v>
      </c>
      <c r="C1075" s="24">
        <f t="shared" si="1062"/>
        <v>1046</v>
      </c>
      <c r="D1075" s="7" t="e">
        <f t="shared" ca="1" si="1035"/>
        <v>#N/A</v>
      </c>
      <c r="E1075" s="26" t="e">
        <f t="array" aca="1" ref="E1075" ca="1">AVERAGE(IF(INDIRECT(DatCol&amp;"$"&amp;TEXT(C1075,"###")):INDIRECT(DatCol&amp;"$"&amp;TEXT(C1075+57,"###"))&gt;0,INDIRECT(DatCol&amp;"$"&amp;TEXT(C1075,"###")):INDIRECT(DatCol&amp;"$"&amp;TEXT(C1075+57,"###"))))</f>
        <v>#DIV/0!</v>
      </c>
      <c r="F1075" s="26" t="str">
        <f t="shared" si="1034"/>
        <v>S</v>
      </c>
      <c r="G1075" s="8"/>
      <c r="H1075" s="8">
        <v>0</v>
      </c>
      <c r="I1075" s="8">
        <v>0</v>
      </c>
      <c r="J1075" s="8">
        <v>0</v>
      </c>
      <c r="K1075" s="9">
        <f t="shared" si="1060"/>
        <v>0</v>
      </c>
      <c r="M1075" s="11">
        <f t="shared" si="1083"/>
        <v>0</v>
      </c>
      <c r="O1075" s="11">
        <f t="shared" si="1084"/>
        <v>0</v>
      </c>
      <c r="Q1075" s="11">
        <f t="shared" si="1085"/>
        <v>0</v>
      </c>
      <c r="Y1075" s="11">
        <f t="shared" si="1086"/>
        <v>0</v>
      </c>
      <c r="AG1075" s="11">
        <f t="shared" si="1087"/>
        <v>0</v>
      </c>
      <c r="AI1075" s="11">
        <f t="shared" si="1088"/>
        <v>0</v>
      </c>
      <c r="AK1075" s="13">
        <f t="shared" si="1089"/>
        <v>0</v>
      </c>
      <c r="AM1075" s="13">
        <f t="shared" si="1090"/>
        <v>0</v>
      </c>
      <c r="AO1075" s="11">
        <f t="shared" si="1091"/>
        <v>0</v>
      </c>
      <c r="AQ1075" s="11">
        <f t="shared" si="1092"/>
        <v>0</v>
      </c>
      <c r="AS1075" s="11">
        <f t="shared" si="1093"/>
        <v>0</v>
      </c>
      <c r="AU1075" s="11">
        <f t="shared" si="1094"/>
        <v>0</v>
      </c>
      <c r="AW1075" s="11">
        <f t="shared" si="1095"/>
        <v>0</v>
      </c>
      <c r="AY1075" s="11">
        <f t="shared" si="1096"/>
        <v>0</v>
      </c>
      <c r="BA1075" s="11">
        <f t="shared" si="1097"/>
        <v>0</v>
      </c>
      <c r="BC1075" s="11">
        <f t="shared" si="1098"/>
        <v>0</v>
      </c>
      <c r="BE1075" s="11">
        <f t="shared" si="1099"/>
        <v>0</v>
      </c>
      <c r="BG1075" s="11">
        <f t="shared" si="1100"/>
        <v>0</v>
      </c>
      <c r="BN1075" s="8">
        <f t="shared" si="1058"/>
        <v>0</v>
      </c>
      <c r="BO1075" s="8">
        <f t="shared" si="1061"/>
        <v>0</v>
      </c>
      <c r="BP1075" s="8">
        <f t="shared" si="1063"/>
        <v>0</v>
      </c>
      <c r="BQ1075" s="12">
        <f t="shared" si="1064"/>
        <v>0</v>
      </c>
    </row>
    <row r="1076" spans="1:69">
      <c r="A1076" s="28">
        <v>1985</v>
      </c>
      <c r="B1076" s="27" t="s">
        <v>62</v>
      </c>
      <c r="C1076" s="24">
        <f t="shared" si="1062"/>
        <v>1046</v>
      </c>
      <c r="D1076" s="7" t="e">
        <f t="shared" ca="1" si="1035"/>
        <v>#N/A</v>
      </c>
      <c r="E1076" s="26" t="e">
        <f t="array" aca="1" ref="E1076" ca="1">AVERAGE(IF(INDIRECT(DatCol&amp;"$"&amp;TEXT(C1076,"###")):INDIRECT(DatCol&amp;"$"&amp;TEXT(C1076+57,"###"))&gt;0,INDIRECT(DatCol&amp;"$"&amp;TEXT(C1076,"###")):INDIRECT(DatCol&amp;"$"&amp;TEXT(C1076+57,"###"))))</f>
        <v>#DIV/0!</v>
      </c>
      <c r="F1076" s="26" t="str">
        <f t="shared" si="1034"/>
        <v>S</v>
      </c>
      <c r="G1076" s="8"/>
      <c r="H1076" s="8">
        <v>0</v>
      </c>
      <c r="I1076" s="8">
        <v>0</v>
      </c>
      <c r="J1076" s="8">
        <v>0</v>
      </c>
      <c r="K1076" s="9">
        <f t="shared" si="1060"/>
        <v>0</v>
      </c>
      <c r="M1076" s="11">
        <f t="shared" si="1083"/>
        <v>0</v>
      </c>
      <c r="O1076" s="11">
        <f t="shared" si="1084"/>
        <v>0</v>
      </c>
      <c r="Q1076" s="11">
        <f t="shared" si="1085"/>
        <v>0</v>
      </c>
      <c r="Y1076" s="11">
        <f t="shared" si="1086"/>
        <v>0</v>
      </c>
      <c r="AG1076" s="11">
        <f t="shared" si="1087"/>
        <v>0</v>
      </c>
      <c r="AI1076" s="11">
        <f t="shared" si="1088"/>
        <v>0</v>
      </c>
      <c r="AK1076" s="13">
        <f t="shared" si="1089"/>
        <v>0</v>
      </c>
      <c r="AM1076" s="13">
        <f t="shared" si="1090"/>
        <v>0</v>
      </c>
      <c r="AO1076" s="11">
        <f t="shared" si="1091"/>
        <v>0</v>
      </c>
      <c r="AQ1076" s="11">
        <f t="shared" si="1092"/>
        <v>0</v>
      </c>
      <c r="AS1076" s="11">
        <f t="shared" si="1093"/>
        <v>0</v>
      </c>
      <c r="AU1076" s="11">
        <f t="shared" si="1094"/>
        <v>0</v>
      </c>
      <c r="AW1076" s="11">
        <f t="shared" si="1095"/>
        <v>0</v>
      </c>
      <c r="AY1076" s="11">
        <f t="shared" si="1096"/>
        <v>0</v>
      </c>
      <c r="BA1076" s="11">
        <f t="shared" si="1097"/>
        <v>0</v>
      </c>
      <c r="BC1076" s="11">
        <f t="shared" si="1098"/>
        <v>0</v>
      </c>
      <c r="BE1076" s="11">
        <f t="shared" si="1099"/>
        <v>0</v>
      </c>
      <c r="BG1076" s="11">
        <f t="shared" si="1100"/>
        <v>0</v>
      </c>
      <c r="BN1076" s="8">
        <f t="shared" si="1058"/>
        <v>0</v>
      </c>
      <c r="BO1076" s="8">
        <f t="shared" si="1061"/>
        <v>0</v>
      </c>
      <c r="BP1076" s="8">
        <f t="shared" si="1063"/>
        <v>0</v>
      </c>
      <c r="BQ1076" s="12">
        <f t="shared" si="1064"/>
        <v>0</v>
      </c>
    </row>
    <row r="1077" spans="1:69">
      <c r="A1077" s="28">
        <v>1986</v>
      </c>
      <c r="B1077" s="27" t="s">
        <v>62</v>
      </c>
      <c r="C1077" s="24">
        <f t="shared" si="1062"/>
        <v>1046</v>
      </c>
      <c r="D1077" s="7" t="e">
        <f t="shared" ca="1" si="1035"/>
        <v>#N/A</v>
      </c>
      <c r="E1077" s="26" t="e">
        <f t="array" aca="1" ref="E1077" ca="1">AVERAGE(IF(INDIRECT(DatCol&amp;"$"&amp;TEXT(C1077,"###")):INDIRECT(DatCol&amp;"$"&amp;TEXT(C1077+57,"###"))&gt;0,INDIRECT(DatCol&amp;"$"&amp;TEXT(C1077,"###")):INDIRECT(DatCol&amp;"$"&amp;TEXT(C1077+57,"###"))))</f>
        <v>#DIV/0!</v>
      </c>
      <c r="F1077" s="26" t="str">
        <f t="shared" si="1034"/>
        <v>S</v>
      </c>
      <c r="G1077" s="8"/>
      <c r="H1077" s="8">
        <v>0</v>
      </c>
      <c r="I1077" s="8">
        <v>0</v>
      </c>
      <c r="J1077" s="8">
        <v>0</v>
      </c>
      <c r="K1077" s="9">
        <f t="shared" si="1060"/>
        <v>0</v>
      </c>
      <c r="M1077" s="11">
        <f t="shared" si="1083"/>
        <v>0</v>
      </c>
      <c r="O1077" s="11">
        <f t="shared" si="1084"/>
        <v>0</v>
      </c>
      <c r="Q1077" s="11">
        <f t="shared" si="1085"/>
        <v>0</v>
      </c>
      <c r="Y1077" s="11">
        <f t="shared" si="1086"/>
        <v>0</v>
      </c>
      <c r="AG1077" s="11">
        <f t="shared" si="1087"/>
        <v>0</v>
      </c>
      <c r="AI1077" s="11">
        <f t="shared" si="1088"/>
        <v>0</v>
      </c>
      <c r="AK1077" s="13">
        <f t="shared" si="1089"/>
        <v>0</v>
      </c>
      <c r="AM1077" s="13">
        <f t="shared" si="1090"/>
        <v>0</v>
      </c>
      <c r="AO1077" s="11">
        <f t="shared" si="1091"/>
        <v>0</v>
      </c>
      <c r="AQ1077" s="11">
        <f t="shared" si="1092"/>
        <v>0</v>
      </c>
      <c r="AS1077" s="11">
        <f t="shared" si="1093"/>
        <v>0</v>
      </c>
      <c r="AU1077" s="11">
        <f t="shared" si="1094"/>
        <v>0</v>
      </c>
      <c r="AW1077" s="11">
        <f t="shared" si="1095"/>
        <v>0</v>
      </c>
      <c r="AY1077" s="11">
        <f t="shared" si="1096"/>
        <v>0</v>
      </c>
      <c r="BA1077" s="11">
        <f t="shared" si="1097"/>
        <v>0</v>
      </c>
      <c r="BC1077" s="11">
        <f t="shared" si="1098"/>
        <v>0</v>
      </c>
      <c r="BE1077" s="11">
        <f t="shared" si="1099"/>
        <v>0</v>
      </c>
      <c r="BG1077" s="11">
        <f t="shared" si="1100"/>
        <v>0</v>
      </c>
      <c r="BN1077" s="8">
        <f t="shared" si="1058"/>
        <v>0</v>
      </c>
      <c r="BO1077" s="8">
        <f t="shared" si="1061"/>
        <v>0</v>
      </c>
      <c r="BP1077" s="8">
        <f t="shared" si="1063"/>
        <v>0</v>
      </c>
      <c r="BQ1077" s="12">
        <f t="shared" si="1064"/>
        <v>0</v>
      </c>
    </row>
    <row r="1078" spans="1:69">
      <c r="A1078" s="28">
        <v>1987</v>
      </c>
      <c r="B1078" s="27" t="s">
        <v>62</v>
      </c>
      <c r="C1078" s="24">
        <f t="shared" si="1062"/>
        <v>1046</v>
      </c>
      <c r="D1078" s="7" t="e">
        <f t="shared" ca="1" si="1035"/>
        <v>#N/A</v>
      </c>
      <c r="E1078" s="26" t="e">
        <f t="array" aca="1" ref="E1078" ca="1">AVERAGE(IF(INDIRECT(DatCol&amp;"$"&amp;TEXT(C1078,"###")):INDIRECT(DatCol&amp;"$"&amp;TEXT(C1078+57,"###"))&gt;0,INDIRECT(DatCol&amp;"$"&amp;TEXT(C1078,"###")):INDIRECT(DatCol&amp;"$"&amp;TEXT(C1078+57,"###"))))</f>
        <v>#DIV/0!</v>
      </c>
      <c r="F1078" s="26" t="str">
        <f t="shared" si="1034"/>
        <v>S</v>
      </c>
      <c r="G1078" s="8"/>
      <c r="H1078" s="8">
        <v>0</v>
      </c>
      <c r="I1078" s="8">
        <v>0</v>
      </c>
      <c r="J1078" s="8">
        <v>0</v>
      </c>
      <c r="K1078" s="9">
        <f t="shared" si="1060"/>
        <v>0</v>
      </c>
      <c r="M1078" s="11">
        <f t="shared" si="1083"/>
        <v>0</v>
      </c>
      <c r="O1078" s="11">
        <f t="shared" si="1084"/>
        <v>0</v>
      </c>
      <c r="Q1078" s="11">
        <f t="shared" si="1085"/>
        <v>0</v>
      </c>
      <c r="Y1078" s="11">
        <f t="shared" si="1086"/>
        <v>0</v>
      </c>
      <c r="AG1078" s="11">
        <f t="shared" si="1087"/>
        <v>0</v>
      </c>
      <c r="AI1078" s="11">
        <f t="shared" si="1088"/>
        <v>0</v>
      </c>
      <c r="AK1078" s="13">
        <f t="shared" si="1089"/>
        <v>0</v>
      </c>
      <c r="AM1078" s="13">
        <f t="shared" si="1090"/>
        <v>0</v>
      </c>
      <c r="AO1078" s="11">
        <f t="shared" si="1091"/>
        <v>0</v>
      </c>
      <c r="AQ1078" s="11">
        <f t="shared" si="1092"/>
        <v>0</v>
      </c>
      <c r="AS1078" s="11">
        <f t="shared" si="1093"/>
        <v>0</v>
      </c>
      <c r="AU1078" s="11">
        <f t="shared" si="1094"/>
        <v>0</v>
      </c>
      <c r="AW1078" s="11">
        <f t="shared" si="1095"/>
        <v>0</v>
      </c>
      <c r="AY1078" s="11">
        <f t="shared" si="1096"/>
        <v>0</v>
      </c>
      <c r="BA1078" s="11">
        <f t="shared" si="1097"/>
        <v>0</v>
      </c>
      <c r="BC1078" s="11">
        <f t="shared" si="1098"/>
        <v>0</v>
      </c>
      <c r="BE1078" s="11">
        <f t="shared" si="1099"/>
        <v>0</v>
      </c>
      <c r="BG1078" s="11">
        <f t="shared" si="1100"/>
        <v>0</v>
      </c>
      <c r="BN1078" s="8">
        <f t="shared" si="1058"/>
        <v>0</v>
      </c>
      <c r="BO1078" s="8">
        <f t="shared" si="1061"/>
        <v>0</v>
      </c>
      <c r="BP1078" s="8">
        <f t="shared" si="1063"/>
        <v>0</v>
      </c>
      <c r="BQ1078" s="12">
        <f t="shared" si="1064"/>
        <v>0</v>
      </c>
    </row>
    <row r="1079" spans="1:69">
      <c r="A1079" s="28">
        <v>1988</v>
      </c>
      <c r="B1079" s="27" t="s">
        <v>62</v>
      </c>
      <c r="C1079" s="24">
        <f t="shared" si="1062"/>
        <v>1046</v>
      </c>
      <c r="D1079" s="7" t="e">
        <f t="shared" ca="1" si="1035"/>
        <v>#N/A</v>
      </c>
      <c r="E1079" s="26" t="e">
        <f t="array" aca="1" ref="E1079" ca="1">AVERAGE(IF(INDIRECT(DatCol&amp;"$"&amp;TEXT(C1079,"###")):INDIRECT(DatCol&amp;"$"&amp;TEXT(C1079+57,"###"))&gt;0,INDIRECT(DatCol&amp;"$"&amp;TEXT(C1079,"###")):INDIRECT(DatCol&amp;"$"&amp;TEXT(C1079+57,"###"))))</f>
        <v>#DIV/0!</v>
      </c>
      <c r="F1079" s="26" t="str">
        <f t="shared" si="1034"/>
        <v>S</v>
      </c>
      <c r="G1079" s="8"/>
      <c r="K1079" s="9">
        <f t="shared" si="1060"/>
        <v>0</v>
      </c>
      <c r="M1079" s="11">
        <f t="shared" si="1083"/>
        <v>0</v>
      </c>
      <c r="O1079" s="11">
        <f t="shared" si="1084"/>
        <v>0</v>
      </c>
      <c r="Q1079" s="11">
        <f t="shared" si="1085"/>
        <v>0</v>
      </c>
      <c r="Y1079" s="11">
        <f t="shared" si="1086"/>
        <v>0</v>
      </c>
      <c r="AG1079" s="11">
        <f t="shared" si="1087"/>
        <v>0</v>
      </c>
      <c r="AI1079" s="11">
        <f t="shared" si="1088"/>
        <v>0</v>
      </c>
      <c r="AK1079" s="13">
        <f t="shared" si="1089"/>
        <v>0</v>
      </c>
      <c r="AM1079" s="13">
        <f t="shared" si="1090"/>
        <v>0</v>
      </c>
      <c r="AO1079" s="11">
        <f t="shared" si="1091"/>
        <v>0</v>
      </c>
      <c r="AQ1079" s="11">
        <f t="shared" si="1092"/>
        <v>0</v>
      </c>
      <c r="AS1079" s="11">
        <f t="shared" si="1093"/>
        <v>0</v>
      </c>
      <c r="AU1079" s="11">
        <f t="shared" si="1094"/>
        <v>0</v>
      </c>
      <c r="AW1079" s="11">
        <f t="shared" si="1095"/>
        <v>0</v>
      </c>
      <c r="AY1079" s="11">
        <f t="shared" si="1096"/>
        <v>0</v>
      </c>
      <c r="BA1079" s="11">
        <f t="shared" si="1097"/>
        <v>0</v>
      </c>
      <c r="BC1079" s="11">
        <f t="shared" si="1098"/>
        <v>0</v>
      </c>
      <c r="BE1079" s="11">
        <f t="shared" si="1099"/>
        <v>0</v>
      </c>
      <c r="BG1079" s="11">
        <f t="shared" si="1100"/>
        <v>0</v>
      </c>
      <c r="BN1079" s="8">
        <f t="shared" si="1058"/>
        <v>0</v>
      </c>
      <c r="BO1079" s="8">
        <f t="shared" si="1061"/>
        <v>0</v>
      </c>
      <c r="BP1079" s="8">
        <f t="shared" si="1063"/>
        <v>0</v>
      </c>
      <c r="BQ1079" s="12">
        <f t="shared" si="1064"/>
        <v>0</v>
      </c>
    </row>
    <row r="1080" spans="1:69">
      <c r="A1080" s="28">
        <v>1989</v>
      </c>
      <c r="B1080" s="27" t="s">
        <v>62</v>
      </c>
      <c r="C1080" s="24">
        <f t="shared" si="1062"/>
        <v>1046</v>
      </c>
      <c r="D1080" s="7" t="e">
        <f t="shared" ca="1" si="1035"/>
        <v>#N/A</v>
      </c>
      <c r="E1080" s="26" t="e">
        <f t="array" aca="1" ref="E1080" ca="1">AVERAGE(IF(INDIRECT(DatCol&amp;"$"&amp;TEXT(C1080,"###")):INDIRECT(DatCol&amp;"$"&amp;TEXT(C1080+57,"###"))&gt;0,INDIRECT(DatCol&amp;"$"&amp;TEXT(C1080,"###")):INDIRECT(DatCol&amp;"$"&amp;TEXT(C1080+57,"###"))))</f>
        <v>#DIV/0!</v>
      </c>
      <c r="F1080" s="26" t="str">
        <f t="shared" ref="F1080:F1146" si="1101">VLOOKUP(B1080,town_region,2,FALSE)</f>
        <v>S</v>
      </c>
      <c r="G1080" s="8"/>
      <c r="K1080" s="9">
        <f t="shared" si="1060"/>
        <v>0</v>
      </c>
      <c r="L1080" s="12">
        <v>5068</v>
      </c>
      <c r="M1080" s="11">
        <f t="shared" si="1083"/>
        <v>253400</v>
      </c>
      <c r="O1080" s="11">
        <f t="shared" si="1084"/>
        <v>0</v>
      </c>
      <c r="Q1080" s="11">
        <f t="shared" si="1085"/>
        <v>0</v>
      </c>
      <c r="Y1080" s="11">
        <f t="shared" si="1086"/>
        <v>0</v>
      </c>
      <c r="AG1080" s="11">
        <f t="shared" si="1087"/>
        <v>0</v>
      </c>
      <c r="AI1080" s="11">
        <f t="shared" si="1088"/>
        <v>0</v>
      </c>
      <c r="AK1080" s="13">
        <f t="shared" si="1089"/>
        <v>0</v>
      </c>
      <c r="AM1080" s="13">
        <f t="shared" si="1090"/>
        <v>0</v>
      </c>
      <c r="AO1080" s="11">
        <f t="shared" si="1091"/>
        <v>0</v>
      </c>
      <c r="AQ1080" s="11">
        <f t="shared" si="1092"/>
        <v>0</v>
      </c>
      <c r="AS1080" s="11">
        <f t="shared" si="1093"/>
        <v>0</v>
      </c>
      <c r="AU1080" s="11">
        <f t="shared" si="1094"/>
        <v>0</v>
      </c>
      <c r="AW1080" s="11">
        <f t="shared" si="1095"/>
        <v>0</v>
      </c>
      <c r="AY1080" s="11">
        <f t="shared" si="1096"/>
        <v>0</v>
      </c>
      <c r="BA1080" s="11">
        <f t="shared" si="1097"/>
        <v>0</v>
      </c>
      <c r="BC1080" s="11">
        <f t="shared" si="1098"/>
        <v>0</v>
      </c>
      <c r="BE1080" s="11">
        <f t="shared" si="1099"/>
        <v>0</v>
      </c>
      <c r="BG1080" s="11">
        <f t="shared" si="1100"/>
        <v>0</v>
      </c>
      <c r="BN1080" s="8">
        <f t="shared" si="1058"/>
        <v>5068</v>
      </c>
      <c r="BO1080" s="8">
        <f t="shared" si="1061"/>
        <v>253400</v>
      </c>
      <c r="BP1080" s="8">
        <f t="shared" si="1063"/>
        <v>0</v>
      </c>
      <c r="BQ1080" s="12">
        <f t="shared" si="1064"/>
        <v>0</v>
      </c>
    </row>
    <row r="1081" spans="1:69">
      <c r="A1081" s="28">
        <v>1990</v>
      </c>
      <c r="B1081" s="27" t="s">
        <v>62</v>
      </c>
      <c r="C1081" s="24">
        <f t="shared" si="1062"/>
        <v>1046</v>
      </c>
      <c r="D1081" s="7" t="e">
        <f t="shared" ca="1" si="1035"/>
        <v>#N/A</v>
      </c>
      <c r="E1081" s="26" t="e">
        <f t="array" aca="1" ref="E1081" ca="1">AVERAGE(IF(INDIRECT(DatCol&amp;"$"&amp;TEXT(C1081,"###")):INDIRECT(DatCol&amp;"$"&amp;TEXT(C1081+57,"###"))&gt;0,INDIRECT(DatCol&amp;"$"&amp;TEXT(C1081,"###")):INDIRECT(DatCol&amp;"$"&amp;TEXT(C1081+57,"###"))))</f>
        <v>#DIV/0!</v>
      </c>
      <c r="F1081" s="26" t="str">
        <f t="shared" si="1101"/>
        <v>S</v>
      </c>
      <c r="G1081" s="8"/>
      <c r="I1081" s="8">
        <v>64</v>
      </c>
      <c r="K1081" s="9">
        <f t="shared" si="1060"/>
        <v>0</v>
      </c>
      <c r="L1081" s="12">
        <v>3462</v>
      </c>
      <c r="M1081" s="11">
        <f t="shared" si="1083"/>
        <v>173100</v>
      </c>
      <c r="O1081" s="11">
        <f t="shared" si="1084"/>
        <v>0</v>
      </c>
      <c r="Q1081" s="11">
        <f t="shared" si="1085"/>
        <v>0</v>
      </c>
      <c r="Y1081" s="11">
        <f t="shared" si="1086"/>
        <v>0</v>
      </c>
      <c r="AG1081" s="11">
        <f t="shared" si="1087"/>
        <v>0</v>
      </c>
      <c r="AI1081" s="11">
        <f t="shared" si="1088"/>
        <v>0</v>
      </c>
      <c r="AK1081" s="13">
        <f t="shared" si="1089"/>
        <v>0</v>
      </c>
      <c r="AM1081" s="13">
        <f t="shared" si="1090"/>
        <v>0</v>
      </c>
      <c r="AO1081" s="11">
        <f t="shared" si="1091"/>
        <v>0</v>
      </c>
      <c r="AQ1081" s="11">
        <f t="shared" si="1092"/>
        <v>0</v>
      </c>
      <c r="AS1081" s="11">
        <f t="shared" si="1093"/>
        <v>0</v>
      </c>
      <c r="AU1081" s="11">
        <f t="shared" si="1094"/>
        <v>0</v>
      </c>
      <c r="AW1081" s="11">
        <f t="shared" si="1095"/>
        <v>0</v>
      </c>
      <c r="AY1081" s="11">
        <f t="shared" si="1096"/>
        <v>0</v>
      </c>
      <c r="BA1081" s="11">
        <f t="shared" si="1097"/>
        <v>0</v>
      </c>
      <c r="BC1081" s="11">
        <f t="shared" si="1098"/>
        <v>0</v>
      </c>
      <c r="BE1081" s="11">
        <f t="shared" si="1099"/>
        <v>0</v>
      </c>
      <c r="BG1081" s="11">
        <f t="shared" si="1100"/>
        <v>0</v>
      </c>
      <c r="BN1081" s="8">
        <f t="shared" si="1058"/>
        <v>3462</v>
      </c>
      <c r="BO1081" s="8">
        <f t="shared" si="1061"/>
        <v>173100</v>
      </c>
      <c r="BP1081" s="8">
        <f t="shared" si="1063"/>
        <v>0</v>
      </c>
      <c r="BQ1081" s="12">
        <f t="shared" si="1064"/>
        <v>0</v>
      </c>
    </row>
    <row r="1082" spans="1:69">
      <c r="A1082" s="28">
        <v>1991</v>
      </c>
      <c r="B1082" s="27" t="s">
        <v>62</v>
      </c>
      <c r="C1082" s="24">
        <f t="shared" si="1062"/>
        <v>1046</v>
      </c>
      <c r="D1082" s="7" t="e">
        <f t="shared" ca="1" si="1035"/>
        <v>#N/A</v>
      </c>
      <c r="E1082" s="26" t="e">
        <f t="array" aca="1" ref="E1082" ca="1">AVERAGE(IF(INDIRECT(DatCol&amp;"$"&amp;TEXT(C1082,"###")):INDIRECT(DatCol&amp;"$"&amp;TEXT(C1082+57,"###"))&gt;0,INDIRECT(DatCol&amp;"$"&amp;TEXT(C1082,"###")):INDIRECT(DatCol&amp;"$"&amp;TEXT(C1082+57,"###"))))</f>
        <v>#DIV/0!</v>
      </c>
      <c r="F1082" s="26" t="str">
        <f t="shared" si="1101"/>
        <v>S</v>
      </c>
      <c r="G1082" s="8"/>
      <c r="I1082" s="8">
        <v>62</v>
      </c>
      <c r="J1082" s="8">
        <v>10</v>
      </c>
      <c r="K1082" s="9">
        <f t="shared" si="1060"/>
        <v>10</v>
      </c>
      <c r="L1082" s="12">
        <v>2522</v>
      </c>
      <c r="M1082" s="11">
        <f t="shared" si="1083"/>
        <v>126100</v>
      </c>
      <c r="O1082" s="11">
        <f t="shared" si="1084"/>
        <v>0</v>
      </c>
      <c r="Q1082" s="11">
        <f t="shared" si="1085"/>
        <v>0</v>
      </c>
      <c r="Y1082" s="11">
        <f t="shared" si="1086"/>
        <v>0</v>
      </c>
      <c r="AG1082" s="11">
        <f t="shared" si="1087"/>
        <v>0</v>
      </c>
      <c r="AI1082" s="11">
        <f t="shared" si="1088"/>
        <v>0</v>
      </c>
      <c r="AK1082" s="13">
        <f t="shared" si="1089"/>
        <v>0</v>
      </c>
      <c r="AM1082" s="13">
        <f t="shared" si="1090"/>
        <v>0</v>
      </c>
      <c r="AO1082" s="11">
        <f t="shared" si="1091"/>
        <v>0</v>
      </c>
      <c r="AQ1082" s="11">
        <f t="shared" si="1092"/>
        <v>0</v>
      </c>
      <c r="AS1082" s="11">
        <f t="shared" si="1093"/>
        <v>0</v>
      </c>
      <c r="AU1082" s="11">
        <f t="shared" si="1094"/>
        <v>0</v>
      </c>
      <c r="AW1082" s="11">
        <f t="shared" si="1095"/>
        <v>0</v>
      </c>
      <c r="AY1082" s="11">
        <f t="shared" si="1096"/>
        <v>0</v>
      </c>
      <c r="BA1082" s="11">
        <f t="shared" si="1097"/>
        <v>0</v>
      </c>
      <c r="BC1082" s="11">
        <f t="shared" si="1098"/>
        <v>0</v>
      </c>
      <c r="BE1082" s="11">
        <f t="shared" si="1099"/>
        <v>0</v>
      </c>
      <c r="BG1082" s="11">
        <f t="shared" si="1100"/>
        <v>0</v>
      </c>
      <c r="BN1082" s="8">
        <f t="shared" si="1058"/>
        <v>2522</v>
      </c>
      <c r="BO1082" s="8">
        <f t="shared" si="1061"/>
        <v>126100</v>
      </c>
      <c r="BP1082" s="8">
        <f t="shared" si="1063"/>
        <v>0</v>
      </c>
      <c r="BQ1082" s="12">
        <f t="shared" si="1064"/>
        <v>0</v>
      </c>
    </row>
    <row r="1083" spans="1:69">
      <c r="A1083" s="28">
        <v>1992</v>
      </c>
      <c r="B1083" s="27" t="s">
        <v>62</v>
      </c>
      <c r="C1083" s="24">
        <f t="shared" si="1062"/>
        <v>1046</v>
      </c>
      <c r="D1083" s="7" t="e">
        <f t="shared" ca="1" si="1035"/>
        <v>#N/A</v>
      </c>
      <c r="E1083" s="26" t="e">
        <f t="array" aca="1" ref="E1083" ca="1">AVERAGE(IF(INDIRECT(DatCol&amp;"$"&amp;TEXT(C1083,"###")):INDIRECT(DatCol&amp;"$"&amp;TEXT(C1083+57,"###"))&gt;0,INDIRECT(DatCol&amp;"$"&amp;TEXT(C1083,"###")):INDIRECT(DatCol&amp;"$"&amp;TEXT(C1083+57,"###"))))</f>
        <v>#DIV/0!</v>
      </c>
      <c r="F1083" s="26" t="str">
        <f t="shared" si="1101"/>
        <v>S</v>
      </c>
      <c r="G1083" s="8"/>
      <c r="H1083" s="8">
        <v>0</v>
      </c>
      <c r="I1083" s="8">
        <v>63</v>
      </c>
      <c r="J1083" s="8">
        <v>0</v>
      </c>
      <c r="K1083" s="9">
        <f t="shared" si="1060"/>
        <v>0</v>
      </c>
      <c r="L1083" s="12">
        <v>12818</v>
      </c>
      <c r="M1083" s="11">
        <f t="shared" si="1083"/>
        <v>640900</v>
      </c>
      <c r="O1083" s="11">
        <f t="shared" si="1084"/>
        <v>0</v>
      </c>
      <c r="Q1083" s="11">
        <f t="shared" si="1085"/>
        <v>0</v>
      </c>
      <c r="Y1083" s="11">
        <f t="shared" si="1086"/>
        <v>0</v>
      </c>
      <c r="AG1083" s="11">
        <f t="shared" si="1087"/>
        <v>0</v>
      </c>
      <c r="AI1083" s="11">
        <f t="shared" si="1088"/>
        <v>0</v>
      </c>
      <c r="AK1083" s="13">
        <f t="shared" si="1089"/>
        <v>0</v>
      </c>
      <c r="AM1083" s="13">
        <f t="shared" si="1090"/>
        <v>0</v>
      </c>
      <c r="AO1083" s="11">
        <f t="shared" si="1091"/>
        <v>0</v>
      </c>
      <c r="AQ1083" s="11">
        <f t="shared" si="1092"/>
        <v>0</v>
      </c>
      <c r="AS1083" s="11">
        <f t="shared" si="1093"/>
        <v>0</v>
      </c>
      <c r="AU1083" s="11">
        <f t="shared" si="1094"/>
        <v>0</v>
      </c>
      <c r="AW1083" s="11">
        <f t="shared" si="1095"/>
        <v>0</v>
      </c>
      <c r="AY1083" s="11">
        <f t="shared" si="1096"/>
        <v>0</v>
      </c>
      <c r="BA1083" s="11">
        <f t="shared" si="1097"/>
        <v>0</v>
      </c>
      <c r="BC1083" s="11">
        <f t="shared" si="1098"/>
        <v>0</v>
      </c>
      <c r="BE1083" s="11">
        <f t="shared" si="1099"/>
        <v>0</v>
      </c>
      <c r="BG1083" s="11">
        <f t="shared" si="1100"/>
        <v>0</v>
      </c>
      <c r="BN1083" s="8">
        <f t="shared" si="1058"/>
        <v>12818</v>
      </c>
      <c r="BO1083" s="8">
        <f t="shared" si="1061"/>
        <v>640900</v>
      </c>
      <c r="BP1083" s="8">
        <f t="shared" si="1063"/>
        <v>0</v>
      </c>
      <c r="BQ1083" s="12">
        <f t="shared" si="1064"/>
        <v>0</v>
      </c>
    </row>
    <row r="1084" spans="1:69">
      <c r="A1084" s="28">
        <v>1993</v>
      </c>
      <c r="B1084" s="27" t="s">
        <v>62</v>
      </c>
      <c r="C1084" s="24">
        <f t="shared" si="1062"/>
        <v>1046</v>
      </c>
      <c r="D1084" s="7" t="e">
        <f t="shared" ca="1" si="1035"/>
        <v>#N/A</v>
      </c>
      <c r="E1084" s="26" t="e">
        <f t="array" aca="1" ref="E1084" ca="1">AVERAGE(IF(INDIRECT(DatCol&amp;"$"&amp;TEXT(C1084,"###")):INDIRECT(DatCol&amp;"$"&amp;TEXT(C1084+57,"###"))&gt;0,INDIRECT(DatCol&amp;"$"&amp;TEXT(C1084,"###")):INDIRECT(DatCol&amp;"$"&amp;TEXT(C1084+57,"###"))))</f>
        <v>#DIV/0!</v>
      </c>
      <c r="F1084" s="26" t="str">
        <f t="shared" si="1101"/>
        <v>S</v>
      </c>
      <c r="G1084" s="8"/>
      <c r="H1084" s="8">
        <v>0</v>
      </c>
      <c r="I1084" s="8">
        <v>68</v>
      </c>
      <c r="J1084" s="8">
        <v>0</v>
      </c>
      <c r="K1084" s="9">
        <f t="shared" si="1060"/>
        <v>0</v>
      </c>
      <c r="L1084" s="12">
        <v>10624</v>
      </c>
      <c r="M1084" s="11">
        <f t="shared" si="1083"/>
        <v>531200</v>
      </c>
      <c r="N1084" s="12">
        <v>0</v>
      </c>
      <c r="O1084" s="11">
        <f t="shared" si="1084"/>
        <v>0</v>
      </c>
      <c r="Q1084" s="11">
        <f t="shared" si="1085"/>
        <v>0</v>
      </c>
      <c r="Y1084" s="11">
        <f t="shared" si="1086"/>
        <v>0</v>
      </c>
      <c r="AG1084" s="11">
        <f t="shared" si="1087"/>
        <v>0</v>
      </c>
      <c r="AI1084" s="11">
        <f t="shared" si="1088"/>
        <v>0</v>
      </c>
      <c r="AK1084" s="13">
        <f t="shared" si="1089"/>
        <v>0</v>
      </c>
      <c r="AM1084" s="13">
        <f t="shared" si="1090"/>
        <v>0</v>
      </c>
      <c r="AO1084" s="11">
        <f t="shared" si="1091"/>
        <v>0</v>
      </c>
      <c r="AQ1084" s="11">
        <f t="shared" si="1092"/>
        <v>0</v>
      </c>
      <c r="AS1084" s="11">
        <f t="shared" si="1093"/>
        <v>0</v>
      </c>
      <c r="AU1084" s="11">
        <f t="shared" si="1094"/>
        <v>0</v>
      </c>
      <c r="AW1084" s="11">
        <f t="shared" si="1095"/>
        <v>0</v>
      </c>
      <c r="AY1084" s="11">
        <f t="shared" si="1096"/>
        <v>0</v>
      </c>
      <c r="BA1084" s="11">
        <f t="shared" si="1097"/>
        <v>0</v>
      </c>
      <c r="BC1084" s="11">
        <f t="shared" si="1098"/>
        <v>0</v>
      </c>
      <c r="BE1084" s="11">
        <f t="shared" si="1099"/>
        <v>0</v>
      </c>
      <c r="BG1084" s="11">
        <f t="shared" si="1100"/>
        <v>0</v>
      </c>
      <c r="BN1084" s="8">
        <f t="shared" si="1058"/>
        <v>10624</v>
      </c>
      <c r="BO1084" s="8">
        <f t="shared" si="1061"/>
        <v>531200</v>
      </c>
      <c r="BP1084" s="8">
        <f t="shared" si="1063"/>
        <v>0</v>
      </c>
      <c r="BQ1084" s="12">
        <f t="shared" si="1064"/>
        <v>0</v>
      </c>
    </row>
    <row r="1085" spans="1:69">
      <c r="A1085" s="28">
        <v>1994</v>
      </c>
      <c r="B1085" s="27" t="s">
        <v>62</v>
      </c>
      <c r="C1085" s="24">
        <f t="shared" si="1062"/>
        <v>1046</v>
      </c>
      <c r="D1085" s="7" t="e">
        <f t="shared" ca="1" si="1035"/>
        <v>#N/A</v>
      </c>
      <c r="E1085" s="26" t="e">
        <f t="array" aca="1" ref="E1085" ca="1">AVERAGE(IF(INDIRECT(DatCol&amp;"$"&amp;TEXT(C1085,"###")):INDIRECT(DatCol&amp;"$"&amp;TEXT(C1085+57,"###"))&gt;0,INDIRECT(DatCol&amp;"$"&amp;TEXT(C1085,"###")):INDIRECT(DatCol&amp;"$"&amp;TEXT(C1085+57,"###"))))</f>
        <v>#DIV/0!</v>
      </c>
      <c r="F1085" s="26" t="str">
        <f t="shared" si="1101"/>
        <v>S</v>
      </c>
      <c r="G1085" s="8"/>
      <c r="H1085" s="8">
        <v>0</v>
      </c>
      <c r="I1085" s="8">
        <v>94</v>
      </c>
      <c r="J1085" s="8">
        <v>0</v>
      </c>
      <c r="K1085" s="9">
        <f t="shared" si="1060"/>
        <v>0</v>
      </c>
      <c r="L1085" s="12">
        <v>10123</v>
      </c>
      <c r="M1085" s="11">
        <f t="shared" si="1083"/>
        <v>506150</v>
      </c>
      <c r="O1085" s="11">
        <f t="shared" si="1084"/>
        <v>0</v>
      </c>
      <c r="Q1085" s="11">
        <f t="shared" si="1085"/>
        <v>0</v>
      </c>
      <c r="Y1085" s="11">
        <f t="shared" si="1086"/>
        <v>0</v>
      </c>
      <c r="AG1085" s="11">
        <f t="shared" si="1087"/>
        <v>0</v>
      </c>
      <c r="AI1085" s="11">
        <f t="shared" si="1088"/>
        <v>0</v>
      </c>
      <c r="AK1085" s="13">
        <f t="shared" si="1089"/>
        <v>0</v>
      </c>
      <c r="AM1085" s="13">
        <f t="shared" si="1090"/>
        <v>0</v>
      </c>
      <c r="AO1085" s="11">
        <f t="shared" si="1091"/>
        <v>0</v>
      </c>
      <c r="AQ1085" s="11">
        <f t="shared" si="1092"/>
        <v>0</v>
      </c>
      <c r="AS1085" s="11">
        <f t="shared" si="1093"/>
        <v>0</v>
      </c>
      <c r="AU1085" s="11">
        <f t="shared" si="1094"/>
        <v>0</v>
      </c>
      <c r="AW1085" s="11">
        <f t="shared" si="1095"/>
        <v>0</v>
      </c>
      <c r="AY1085" s="11">
        <f t="shared" si="1096"/>
        <v>0</v>
      </c>
      <c r="BA1085" s="11">
        <f t="shared" si="1097"/>
        <v>0</v>
      </c>
      <c r="BC1085" s="11">
        <f t="shared" si="1098"/>
        <v>0</v>
      </c>
      <c r="BE1085" s="11">
        <f t="shared" si="1099"/>
        <v>0</v>
      </c>
      <c r="BG1085" s="11">
        <f t="shared" si="1100"/>
        <v>0</v>
      </c>
      <c r="BN1085" s="8">
        <f t="shared" si="1058"/>
        <v>10123</v>
      </c>
      <c r="BO1085" s="8">
        <f t="shared" si="1061"/>
        <v>506150</v>
      </c>
      <c r="BP1085" s="8">
        <f t="shared" si="1063"/>
        <v>0</v>
      </c>
      <c r="BQ1085" s="12">
        <f t="shared" si="1064"/>
        <v>0</v>
      </c>
    </row>
    <row r="1086" spans="1:69">
      <c r="A1086" s="28">
        <v>1995</v>
      </c>
      <c r="B1086" s="27" t="s">
        <v>62</v>
      </c>
      <c r="C1086" s="24">
        <f t="shared" si="1062"/>
        <v>1046</v>
      </c>
      <c r="D1086" s="7" t="e">
        <f t="shared" ca="1" si="1035"/>
        <v>#N/A</v>
      </c>
      <c r="E1086" s="26" t="e">
        <f t="array" aca="1" ref="E1086" ca="1">AVERAGE(IF(INDIRECT(DatCol&amp;"$"&amp;TEXT(C1086,"###")):INDIRECT(DatCol&amp;"$"&amp;TEXT(C1086+57,"###"))&gt;0,INDIRECT(DatCol&amp;"$"&amp;TEXT(C1086,"###")):INDIRECT(DatCol&amp;"$"&amp;TEXT(C1086+57,"###"))))</f>
        <v>#DIV/0!</v>
      </c>
      <c r="F1086" s="26" t="str">
        <f t="shared" si="1101"/>
        <v>S</v>
      </c>
      <c r="K1086" s="9">
        <f t="shared" si="1060"/>
        <v>0</v>
      </c>
      <c r="M1086" s="11">
        <f t="shared" si="1083"/>
        <v>0</v>
      </c>
      <c r="O1086" s="11">
        <f t="shared" si="1084"/>
        <v>0</v>
      </c>
      <c r="Q1086" s="11">
        <f t="shared" si="1085"/>
        <v>0</v>
      </c>
      <c r="Y1086" s="11">
        <f t="shared" si="1086"/>
        <v>0</v>
      </c>
      <c r="AG1086" s="11">
        <f t="shared" si="1087"/>
        <v>0</v>
      </c>
      <c r="AI1086" s="11">
        <f t="shared" si="1088"/>
        <v>0</v>
      </c>
      <c r="AK1086" s="13">
        <f t="shared" si="1089"/>
        <v>0</v>
      </c>
      <c r="AM1086" s="13">
        <f t="shared" si="1090"/>
        <v>0</v>
      </c>
      <c r="AO1086" s="11">
        <f t="shared" si="1091"/>
        <v>0</v>
      </c>
      <c r="AQ1086" s="11">
        <f t="shared" si="1092"/>
        <v>0</v>
      </c>
      <c r="AS1086" s="11">
        <f t="shared" si="1093"/>
        <v>0</v>
      </c>
      <c r="AU1086" s="11">
        <f t="shared" si="1094"/>
        <v>0</v>
      </c>
      <c r="AW1086" s="11">
        <f t="shared" si="1095"/>
        <v>0</v>
      </c>
      <c r="AY1086" s="11">
        <f t="shared" si="1096"/>
        <v>0</v>
      </c>
      <c r="BA1086" s="11">
        <f t="shared" si="1097"/>
        <v>0</v>
      </c>
      <c r="BC1086" s="11">
        <f t="shared" si="1098"/>
        <v>0</v>
      </c>
      <c r="BE1086" s="11">
        <f t="shared" si="1099"/>
        <v>0</v>
      </c>
      <c r="BG1086" s="11">
        <f t="shared" si="1100"/>
        <v>0</v>
      </c>
      <c r="BN1086" s="8">
        <f t="shared" si="1058"/>
        <v>0</v>
      </c>
      <c r="BO1086" s="8">
        <f t="shared" si="1061"/>
        <v>0</v>
      </c>
      <c r="BP1086" s="8">
        <f t="shared" si="1063"/>
        <v>0</v>
      </c>
      <c r="BQ1086" s="12">
        <f t="shared" si="1064"/>
        <v>0</v>
      </c>
    </row>
    <row r="1087" spans="1:69">
      <c r="A1087" s="28">
        <v>1996</v>
      </c>
      <c r="B1087" s="27" t="s">
        <v>62</v>
      </c>
      <c r="C1087" s="24">
        <f t="shared" si="1062"/>
        <v>1046</v>
      </c>
      <c r="D1087" s="7" t="e">
        <f t="shared" ca="1" si="1035"/>
        <v>#N/A</v>
      </c>
      <c r="E1087" s="26" t="e">
        <f t="array" aca="1" ref="E1087" ca="1">AVERAGE(IF(INDIRECT(DatCol&amp;"$"&amp;TEXT(C1087,"###")):INDIRECT(DatCol&amp;"$"&amp;TEXT(C1087+57,"###"))&gt;0,INDIRECT(DatCol&amp;"$"&amp;TEXT(C1087,"###")):INDIRECT(DatCol&amp;"$"&amp;TEXT(C1087+57,"###"))))</f>
        <v>#DIV/0!</v>
      </c>
      <c r="F1087" s="26" t="str">
        <f t="shared" si="1101"/>
        <v>S</v>
      </c>
      <c r="K1087" s="9">
        <f t="shared" si="1060"/>
        <v>0</v>
      </c>
      <c r="L1087" s="10">
        <v>10579</v>
      </c>
      <c r="M1087" s="11">
        <f t="shared" si="1083"/>
        <v>528950</v>
      </c>
      <c r="O1087" s="11">
        <f t="shared" si="1084"/>
        <v>0</v>
      </c>
      <c r="Q1087" s="11">
        <f t="shared" si="1085"/>
        <v>0</v>
      </c>
      <c r="Y1087" s="11">
        <f t="shared" si="1086"/>
        <v>0</v>
      </c>
      <c r="AG1087" s="11">
        <f t="shared" si="1087"/>
        <v>0</v>
      </c>
      <c r="AI1087" s="11">
        <f t="shared" si="1088"/>
        <v>0</v>
      </c>
      <c r="AK1087" s="13">
        <f t="shared" si="1089"/>
        <v>0</v>
      </c>
      <c r="AM1087" s="13">
        <f t="shared" si="1090"/>
        <v>0</v>
      </c>
      <c r="AO1087" s="11">
        <f t="shared" si="1091"/>
        <v>0</v>
      </c>
      <c r="AQ1087" s="11">
        <f t="shared" si="1092"/>
        <v>0</v>
      </c>
      <c r="AS1087" s="11">
        <f t="shared" si="1093"/>
        <v>0</v>
      </c>
      <c r="AU1087" s="11">
        <f t="shared" si="1094"/>
        <v>0</v>
      </c>
      <c r="AW1087" s="11">
        <f t="shared" si="1095"/>
        <v>0</v>
      </c>
      <c r="AY1087" s="11">
        <f t="shared" si="1096"/>
        <v>0</v>
      </c>
      <c r="BA1087" s="11">
        <f t="shared" si="1097"/>
        <v>0</v>
      </c>
      <c r="BC1087" s="11">
        <f t="shared" si="1098"/>
        <v>0</v>
      </c>
      <c r="BE1087" s="11">
        <f t="shared" si="1099"/>
        <v>0</v>
      </c>
      <c r="BG1087" s="11">
        <f t="shared" si="1100"/>
        <v>0</v>
      </c>
      <c r="BN1087" s="8">
        <f t="shared" si="1058"/>
        <v>10579</v>
      </c>
      <c r="BO1087" s="8">
        <f t="shared" si="1061"/>
        <v>528950</v>
      </c>
      <c r="BP1087" s="8">
        <f t="shared" si="1063"/>
        <v>0</v>
      </c>
      <c r="BQ1087" s="12">
        <f t="shared" si="1064"/>
        <v>0</v>
      </c>
    </row>
    <row r="1088" spans="1:69">
      <c r="A1088" s="28">
        <v>1997</v>
      </c>
      <c r="B1088" s="27" t="s">
        <v>62</v>
      </c>
      <c r="C1088" s="24">
        <f t="shared" si="1062"/>
        <v>1046</v>
      </c>
      <c r="D1088" s="7" t="e">
        <f t="shared" ca="1" si="1035"/>
        <v>#N/A</v>
      </c>
      <c r="E1088" s="26" t="e">
        <f t="array" aca="1" ref="E1088" ca="1">AVERAGE(IF(INDIRECT(DatCol&amp;"$"&amp;TEXT(C1088,"###")):INDIRECT(DatCol&amp;"$"&amp;TEXT(C1088+57,"###"))&gt;0,INDIRECT(DatCol&amp;"$"&amp;TEXT(C1088,"###")):INDIRECT(DatCol&amp;"$"&amp;TEXT(C1088+57,"###"))))</f>
        <v>#DIV/0!</v>
      </c>
      <c r="F1088" s="26" t="str">
        <f t="shared" si="1101"/>
        <v>S</v>
      </c>
      <c r="H1088" s="9">
        <v>0</v>
      </c>
      <c r="K1088" s="9">
        <f t="shared" si="1060"/>
        <v>0</v>
      </c>
      <c r="L1088" s="10">
        <f>19483*0.8</f>
        <v>15586.400000000001</v>
      </c>
      <c r="M1088" s="11">
        <f t="shared" si="1083"/>
        <v>779320.00000000012</v>
      </c>
      <c r="AK1088" s="13"/>
      <c r="AM1088" s="13"/>
      <c r="BN1088" s="8">
        <f t="shared" si="1058"/>
        <v>15586.400000000001</v>
      </c>
      <c r="BO1088" s="8">
        <f t="shared" si="1061"/>
        <v>779320.00000000012</v>
      </c>
      <c r="BP1088" s="8">
        <f t="shared" si="1063"/>
        <v>0</v>
      </c>
      <c r="BQ1088" s="12">
        <f t="shared" si="1064"/>
        <v>0</v>
      </c>
    </row>
    <row r="1089" spans="1:69">
      <c r="A1089" s="28">
        <v>1998</v>
      </c>
      <c r="B1089" s="27" t="s">
        <v>62</v>
      </c>
      <c r="C1089" s="24">
        <f t="shared" si="1062"/>
        <v>1046</v>
      </c>
      <c r="D1089" s="7" t="e">
        <f t="shared" ca="1" si="1035"/>
        <v>#N/A</v>
      </c>
      <c r="E1089" s="26" t="e">
        <f t="array" aca="1" ref="E1089" ca="1">AVERAGE(IF(INDIRECT(DatCol&amp;"$"&amp;TEXT(C1089,"###")):INDIRECT(DatCol&amp;"$"&amp;TEXT(C1089+57,"###"))&gt;0,INDIRECT(DatCol&amp;"$"&amp;TEXT(C1089,"###")):INDIRECT(DatCol&amp;"$"&amp;TEXT(C1089+57,"###"))))</f>
        <v>#DIV/0!</v>
      </c>
      <c r="F1089" s="26" t="str">
        <f t="shared" si="1101"/>
        <v>S</v>
      </c>
      <c r="K1089" s="9">
        <f t="shared" si="1060"/>
        <v>0</v>
      </c>
      <c r="L1089" s="10">
        <v>7512</v>
      </c>
      <c r="M1089" s="11">
        <f>7515*50</f>
        <v>375750</v>
      </c>
      <c r="AK1089" s="13"/>
      <c r="AM1089" s="13"/>
      <c r="BN1089" s="8">
        <f t="shared" si="1058"/>
        <v>7512</v>
      </c>
      <c r="BO1089" s="8">
        <f t="shared" si="1061"/>
        <v>375750</v>
      </c>
      <c r="BP1089" s="8">
        <f t="shared" si="1063"/>
        <v>0</v>
      </c>
      <c r="BQ1089" s="12">
        <f t="shared" si="1064"/>
        <v>0</v>
      </c>
    </row>
    <row r="1090" spans="1:69">
      <c r="A1090" s="28">
        <v>1999</v>
      </c>
      <c r="B1090" s="27" t="s">
        <v>62</v>
      </c>
      <c r="C1090" s="24">
        <f t="shared" si="1062"/>
        <v>1046</v>
      </c>
      <c r="D1090" s="7" t="e">
        <f t="shared" ref="D1090:D1153" ca="1" si="1102">IF(AND((INDIRECT(DatCol&amp;TEXT(ROW(),"###"))&gt;0),((F1090=RegionSelect)+(RegionSelect="A"))),INDIRECT(DatCol&amp;TEXT(ROW(),"###"))/E1090,NA())</f>
        <v>#N/A</v>
      </c>
      <c r="E1090" s="26" t="e">
        <f t="array" aca="1" ref="E1090" ca="1">AVERAGE(IF(INDIRECT(DatCol&amp;"$"&amp;TEXT(C1090,"###")):INDIRECT(DatCol&amp;"$"&amp;TEXT(C1090+57,"###"))&gt;0,INDIRECT(DatCol&amp;"$"&amp;TEXT(C1090,"###")):INDIRECT(DatCol&amp;"$"&amp;TEXT(C1090+57,"###"))))</f>
        <v>#DIV/0!</v>
      </c>
      <c r="F1090" s="26" t="str">
        <f t="shared" si="1101"/>
        <v>S</v>
      </c>
      <c r="K1090" s="9">
        <f t="shared" si="1060"/>
        <v>0</v>
      </c>
      <c r="L1090" s="10">
        <f>13284-85</f>
        <v>13199</v>
      </c>
      <c r="M1090" s="11">
        <f>L1090*50</f>
        <v>659950</v>
      </c>
      <c r="AK1090" s="13"/>
      <c r="AM1090" s="13"/>
      <c r="BN1090" s="8">
        <f t="shared" si="1058"/>
        <v>13199</v>
      </c>
      <c r="BO1090" s="8">
        <f t="shared" si="1061"/>
        <v>659950</v>
      </c>
      <c r="BP1090" s="8">
        <f t="shared" si="1063"/>
        <v>0</v>
      </c>
      <c r="BQ1090" s="12">
        <f t="shared" si="1064"/>
        <v>0</v>
      </c>
    </row>
    <row r="1091" spans="1:69">
      <c r="A1091" s="28">
        <v>2000</v>
      </c>
      <c r="B1091" s="27" t="s">
        <v>62</v>
      </c>
      <c r="C1091" s="24">
        <f t="shared" si="1062"/>
        <v>1046</v>
      </c>
      <c r="D1091" s="7" t="e">
        <f t="shared" ca="1" si="1102"/>
        <v>#N/A</v>
      </c>
      <c r="E1091" s="26" t="e">
        <f t="array" aca="1" ref="E1091" ca="1">AVERAGE(IF(INDIRECT(DatCol&amp;"$"&amp;TEXT(C1091,"###")):INDIRECT(DatCol&amp;"$"&amp;TEXT(C1091+57,"###"))&gt;0,INDIRECT(DatCol&amp;"$"&amp;TEXT(C1091,"###")):INDIRECT(DatCol&amp;"$"&amp;TEXT(C1091+57,"###"))))</f>
        <v>#DIV/0!</v>
      </c>
      <c r="F1091" s="26" t="str">
        <f t="shared" si="1101"/>
        <v>S</v>
      </c>
      <c r="K1091" s="9">
        <f t="shared" si="1060"/>
        <v>0</v>
      </c>
      <c r="L1091" s="10">
        <f>1463*0.8</f>
        <v>1170.4000000000001</v>
      </c>
      <c r="M1091" s="11">
        <f>L1091*50</f>
        <v>58520.000000000007</v>
      </c>
      <c r="AK1091" s="13"/>
      <c r="AM1091" s="13"/>
      <c r="BN1091" s="8">
        <f t="shared" si="1058"/>
        <v>1170.4000000000001</v>
      </c>
      <c r="BO1091" s="8">
        <f t="shared" si="1061"/>
        <v>58520.000000000007</v>
      </c>
      <c r="BP1091" s="8">
        <f t="shared" si="1063"/>
        <v>0</v>
      </c>
      <c r="BQ1091" s="12">
        <f t="shared" si="1064"/>
        <v>0</v>
      </c>
    </row>
    <row r="1092" spans="1:69">
      <c r="A1092" s="28">
        <v>2001</v>
      </c>
      <c r="B1092" s="27" t="s">
        <v>62</v>
      </c>
      <c r="C1092" s="24">
        <f t="shared" si="1062"/>
        <v>1046</v>
      </c>
      <c r="D1092" s="7" t="e">
        <f t="shared" ca="1" si="1102"/>
        <v>#N/A</v>
      </c>
      <c r="E1092" s="26" t="e">
        <f t="array" aca="1" ref="E1092" ca="1">AVERAGE(IF(INDIRECT(DatCol&amp;"$"&amp;TEXT(C1092,"###")):INDIRECT(DatCol&amp;"$"&amp;TEXT(C1092+57,"###"))&gt;0,INDIRECT(DatCol&amp;"$"&amp;TEXT(C1092,"###")):INDIRECT(DatCol&amp;"$"&amp;TEXT(C1092+57,"###"))))</f>
        <v>#DIV/0!</v>
      </c>
      <c r="F1092" s="26" t="str">
        <f t="shared" si="1101"/>
        <v>S</v>
      </c>
      <c r="K1092" s="9">
        <f t="shared" si="1060"/>
        <v>0</v>
      </c>
      <c r="L1092" s="10">
        <f>3807*0.8</f>
        <v>3045.6000000000004</v>
      </c>
      <c r="M1092" s="11">
        <f>L1092*50</f>
        <v>152280.00000000003</v>
      </c>
      <c r="AK1092" s="13"/>
      <c r="AM1092" s="13"/>
      <c r="BN1092" s="8">
        <f t="shared" si="1058"/>
        <v>3045.6000000000004</v>
      </c>
      <c r="BO1092" s="8">
        <f t="shared" si="1061"/>
        <v>152280.00000000003</v>
      </c>
      <c r="BP1092" s="8">
        <f t="shared" si="1063"/>
        <v>0</v>
      </c>
      <c r="BQ1092" s="12">
        <f t="shared" si="1064"/>
        <v>0</v>
      </c>
    </row>
    <row r="1093" spans="1:69">
      <c r="A1093" s="28">
        <v>2002</v>
      </c>
      <c r="B1093" s="27" t="s">
        <v>62</v>
      </c>
      <c r="C1093" s="24">
        <f t="shared" si="1062"/>
        <v>1046</v>
      </c>
      <c r="D1093" s="7" t="e">
        <f t="shared" ca="1" si="1102"/>
        <v>#N/A</v>
      </c>
      <c r="E1093" s="26" t="e">
        <f t="array" aca="1" ref="E1093" ca="1">AVERAGE(IF(INDIRECT(DatCol&amp;"$"&amp;TEXT(C1093,"###")):INDIRECT(DatCol&amp;"$"&amp;TEXT(C1093+57,"###"))&gt;0,INDIRECT(DatCol&amp;"$"&amp;TEXT(C1093,"###")):INDIRECT(DatCol&amp;"$"&amp;TEXT(C1093+57,"###"))))</f>
        <v>#DIV/0!</v>
      </c>
      <c r="F1093" s="26" t="str">
        <f t="shared" si="1101"/>
        <v>S</v>
      </c>
      <c r="K1093" s="9">
        <f t="shared" si="1060"/>
        <v>0</v>
      </c>
      <c r="L1093" s="10">
        <f>2115*0.8</f>
        <v>1692</v>
      </c>
      <c r="M1093" s="11">
        <f>L1093*50</f>
        <v>84600</v>
      </c>
      <c r="AK1093" s="13"/>
      <c r="AM1093" s="13"/>
      <c r="BN1093" s="8">
        <f t="shared" si="1058"/>
        <v>1692</v>
      </c>
      <c r="BO1093" s="8">
        <f t="shared" si="1061"/>
        <v>84600</v>
      </c>
      <c r="BP1093" s="8">
        <f t="shared" si="1063"/>
        <v>0</v>
      </c>
      <c r="BQ1093" s="12">
        <f t="shared" si="1064"/>
        <v>0</v>
      </c>
    </row>
    <row r="1094" spans="1:69">
      <c r="A1094" s="28">
        <v>2003</v>
      </c>
      <c r="B1094" s="27" t="s">
        <v>62</v>
      </c>
      <c r="C1094" s="24">
        <f t="shared" si="1062"/>
        <v>1046</v>
      </c>
      <c r="D1094" s="7" t="e">
        <f t="shared" ca="1" si="1102"/>
        <v>#N/A</v>
      </c>
      <c r="E1094" s="26" t="e">
        <f t="array" aca="1" ref="E1094" ca="1">AVERAGE(IF(INDIRECT(DatCol&amp;"$"&amp;TEXT(C1094,"###")):INDIRECT(DatCol&amp;"$"&amp;TEXT(C1094+57,"###"))&gt;0,INDIRECT(DatCol&amp;"$"&amp;TEXT(C1094,"###")):INDIRECT(DatCol&amp;"$"&amp;TEXT(C1094+57,"###"))))</f>
        <v>#DIV/0!</v>
      </c>
      <c r="F1094" s="26" t="str">
        <f t="shared" si="1101"/>
        <v>S</v>
      </c>
      <c r="K1094" s="9">
        <f t="shared" si="1060"/>
        <v>0</v>
      </c>
      <c r="AK1094" s="13"/>
      <c r="AM1094" s="13"/>
      <c r="BN1094" s="8">
        <f t="shared" si="1058"/>
        <v>0</v>
      </c>
      <c r="BO1094" s="8">
        <f t="shared" si="1061"/>
        <v>0</v>
      </c>
      <c r="BP1094" s="8">
        <f t="shared" si="1063"/>
        <v>0</v>
      </c>
      <c r="BQ1094" s="12">
        <f t="shared" si="1064"/>
        <v>0</v>
      </c>
    </row>
    <row r="1095" spans="1:69">
      <c r="A1095" s="28">
        <v>2004</v>
      </c>
      <c r="B1095" s="27" t="s">
        <v>62</v>
      </c>
      <c r="C1095" s="24">
        <f t="shared" si="1062"/>
        <v>1046</v>
      </c>
      <c r="D1095" s="7" t="e">
        <f t="shared" ca="1" si="1102"/>
        <v>#N/A</v>
      </c>
      <c r="E1095" s="26" t="e">
        <f t="array" aca="1" ref="E1095" ca="1">AVERAGE(IF(INDIRECT(DatCol&amp;"$"&amp;TEXT(C1095,"###")):INDIRECT(DatCol&amp;"$"&amp;TEXT(C1095+57,"###"))&gt;0,INDIRECT(DatCol&amp;"$"&amp;TEXT(C1095,"###")):INDIRECT(DatCol&amp;"$"&amp;TEXT(C1095+57,"###"))))</f>
        <v>#DIV/0!</v>
      </c>
      <c r="F1095" s="26" t="str">
        <f t="shared" si="1101"/>
        <v>S</v>
      </c>
      <c r="K1095" s="9">
        <f t="shared" si="1060"/>
        <v>0</v>
      </c>
      <c r="AK1095" s="13"/>
      <c r="AM1095" s="13"/>
      <c r="BN1095" s="8">
        <f t="shared" si="1058"/>
        <v>0</v>
      </c>
      <c r="BO1095" s="8">
        <f t="shared" si="1061"/>
        <v>0</v>
      </c>
      <c r="BP1095" s="8">
        <f t="shared" si="1063"/>
        <v>0</v>
      </c>
      <c r="BQ1095" s="12">
        <f t="shared" si="1064"/>
        <v>0</v>
      </c>
    </row>
    <row r="1096" spans="1:69">
      <c r="A1096" s="28">
        <v>2005</v>
      </c>
      <c r="B1096" s="27" t="s">
        <v>62</v>
      </c>
      <c r="C1096" s="24">
        <f t="shared" si="1062"/>
        <v>1046</v>
      </c>
      <c r="D1096" s="7" t="e">
        <f t="shared" ca="1" si="1102"/>
        <v>#N/A</v>
      </c>
      <c r="E1096" s="26" t="e">
        <f t="array" aca="1" ref="E1096" ca="1">AVERAGE(IF(INDIRECT(DatCol&amp;"$"&amp;TEXT(C1096,"###")):INDIRECT(DatCol&amp;"$"&amp;TEXT(C1096+57,"###"))&gt;0,INDIRECT(DatCol&amp;"$"&amp;TEXT(C1096,"###")):INDIRECT(DatCol&amp;"$"&amp;TEXT(C1096+57,"###"))))</f>
        <v>#DIV/0!</v>
      </c>
      <c r="F1096" s="26" t="str">
        <f t="shared" si="1101"/>
        <v>S</v>
      </c>
      <c r="K1096" s="9">
        <f t="shared" si="1060"/>
        <v>0</v>
      </c>
      <c r="AK1096" s="13"/>
      <c r="AM1096" s="13"/>
      <c r="BN1096" s="8">
        <f t="shared" si="1058"/>
        <v>0</v>
      </c>
      <c r="BO1096" s="8">
        <f t="shared" si="1061"/>
        <v>0</v>
      </c>
      <c r="BP1096" s="8">
        <f t="shared" si="1063"/>
        <v>0</v>
      </c>
      <c r="BQ1096" s="12">
        <f t="shared" si="1064"/>
        <v>0</v>
      </c>
    </row>
    <row r="1097" spans="1:69">
      <c r="A1097" s="28">
        <v>2006</v>
      </c>
      <c r="B1097" s="27" t="s">
        <v>62</v>
      </c>
      <c r="C1097" s="24">
        <f t="shared" si="1062"/>
        <v>1046</v>
      </c>
      <c r="D1097" s="7" t="e">
        <f t="shared" ca="1" si="1102"/>
        <v>#N/A</v>
      </c>
      <c r="E1097" s="26" t="e">
        <f t="array" aca="1" ref="E1097" ca="1">AVERAGE(IF(INDIRECT(DatCol&amp;"$"&amp;TEXT(C1097,"###")):INDIRECT(DatCol&amp;"$"&amp;TEXT(C1097+57,"###"))&gt;0,INDIRECT(DatCol&amp;"$"&amp;TEXT(C1097,"###")):INDIRECT(DatCol&amp;"$"&amp;TEXT(C1097+57,"###"))))</f>
        <v>#DIV/0!</v>
      </c>
      <c r="F1097" s="26" t="str">
        <f t="shared" si="1101"/>
        <v>S</v>
      </c>
      <c r="K1097" s="9">
        <f t="shared" si="1060"/>
        <v>0</v>
      </c>
      <c r="AK1097" s="13"/>
      <c r="AM1097" s="13"/>
      <c r="BN1097" s="8">
        <f t="shared" si="1058"/>
        <v>0</v>
      </c>
      <c r="BO1097" s="8">
        <f t="shared" si="1061"/>
        <v>0</v>
      </c>
      <c r="BP1097" s="8">
        <f t="shared" si="1063"/>
        <v>0</v>
      </c>
      <c r="BQ1097" s="12">
        <f t="shared" si="1064"/>
        <v>0</v>
      </c>
    </row>
    <row r="1098" spans="1:69">
      <c r="A1098" s="28">
        <v>2007</v>
      </c>
      <c r="B1098" s="27" t="s">
        <v>62</v>
      </c>
      <c r="C1098" s="24">
        <f t="shared" si="1062"/>
        <v>1046</v>
      </c>
      <c r="D1098" s="7" t="e">
        <f t="shared" ca="1" si="1102"/>
        <v>#N/A</v>
      </c>
      <c r="E1098" s="26" t="e">
        <f t="array" aca="1" ref="E1098" ca="1">AVERAGE(IF(INDIRECT(DatCol&amp;"$"&amp;TEXT(C1098,"###")):INDIRECT(DatCol&amp;"$"&amp;TEXT(C1098+57,"###"))&gt;0,INDIRECT(DatCol&amp;"$"&amp;TEXT(C1098,"###")):INDIRECT(DatCol&amp;"$"&amp;TEXT(C1098+57,"###"))))</f>
        <v>#DIV/0!</v>
      </c>
      <c r="F1098" s="26" t="str">
        <f t="shared" si="1101"/>
        <v>S</v>
      </c>
      <c r="I1098" s="9">
        <v>15</v>
      </c>
      <c r="K1098" s="9">
        <f t="shared" si="1060"/>
        <v>0</v>
      </c>
      <c r="L1098" s="10">
        <f>M1098/50</f>
        <v>12390</v>
      </c>
      <c r="M1098" s="11">
        <v>619500</v>
      </c>
      <c r="AK1098" s="13"/>
      <c r="AM1098" s="13"/>
      <c r="BN1098" s="8">
        <f t="shared" si="1058"/>
        <v>12390</v>
      </c>
      <c r="BO1098" s="8">
        <f t="shared" si="1061"/>
        <v>619500</v>
      </c>
      <c r="BP1098" s="8">
        <f t="shared" si="1063"/>
        <v>0</v>
      </c>
      <c r="BQ1098" s="12">
        <f t="shared" si="1064"/>
        <v>0</v>
      </c>
    </row>
    <row r="1099" spans="1:69">
      <c r="A1099" s="28">
        <v>2008</v>
      </c>
      <c r="B1099" s="27" t="s">
        <v>62</v>
      </c>
      <c r="C1099" s="24">
        <f t="shared" si="1062"/>
        <v>1046</v>
      </c>
      <c r="D1099" s="7" t="e">
        <f t="shared" ca="1" si="1102"/>
        <v>#N/A</v>
      </c>
      <c r="E1099" s="26" t="e">
        <f t="array" aca="1" ref="E1099" ca="1">AVERAGE(IF(INDIRECT(DatCol&amp;"$"&amp;TEXT(C1099,"###")):INDIRECT(DatCol&amp;"$"&amp;TEXT(C1099+57,"###"))&gt;0,INDIRECT(DatCol&amp;"$"&amp;TEXT(C1099,"###")):INDIRECT(DatCol&amp;"$"&amp;TEXT(C1099+57,"###"))))</f>
        <v>#DIV/0!</v>
      </c>
      <c r="F1099" s="26" t="str">
        <f t="shared" si="1101"/>
        <v>S</v>
      </c>
      <c r="K1099" s="9">
        <f t="shared" si="1060"/>
        <v>0</v>
      </c>
      <c r="AK1099" s="13"/>
      <c r="AM1099" s="13"/>
      <c r="BN1099" s="8">
        <f t="shared" si="1058"/>
        <v>0</v>
      </c>
      <c r="BO1099" s="8">
        <f t="shared" si="1061"/>
        <v>0</v>
      </c>
      <c r="BP1099" s="8">
        <f t="shared" si="1063"/>
        <v>0</v>
      </c>
      <c r="BQ1099" s="12">
        <f t="shared" si="1064"/>
        <v>0</v>
      </c>
    </row>
    <row r="1100" spans="1:69">
      <c r="A1100" s="28">
        <v>2009</v>
      </c>
      <c r="B1100" s="27" t="s">
        <v>62</v>
      </c>
      <c r="C1100" s="24">
        <f t="shared" si="1062"/>
        <v>1046</v>
      </c>
      <c r="D1100" s="7" t="e">
        <f t="shared" ca="1" si="1102"/>
        <v>#N/A</v>
      </c>
      <c r="E1100" s="26" t="e">
        <f t="array" aca="1" ref="E1100" ca="1">AVERAGE(IF(INDIRECT(DatCol&amp;"$"&amp;TEXT(C1100,"###")):INDIRECT(DatCol&amp;"$"&amp;TEXT(C1100+57,"###"))&gt;0,INDIRECT(DatCol&amp;"$"&amp;TEXT(C1100,"###")):INDIRECT(DatCol&amp;"$"&amp;TEXT(C1100+57,"###"))))</f>
        <v>#DIV/0!</v>
      </c>
      <c r="F1100" s="26" t="str">
        <f t="shared" si="1101"/>
        <v>S</v>
      </c>
      <c r="I1100" s="9">
        <v>6</v>
      </c>
      <c r="K1100" s="9">
        <f t="shared" si="1060"/>
        <v>0</v>
      </c>
      <c r="L1100" s="10">
        <f>M1100/50</f>
        <v>1146</v>
      </c>
      <c r="M1100" s="11">
        <f>9550+40250+700+6800</f>
        <v>57300</v>
      </c>
      <c r="AK1100" s="13"/>
      <c r="AM1100" s="13"/>
      <c r="BN1100" s="8">
        <f t="shared" si="1058"/>
        <v>1146</v>
      </c>
      <c r="BO1100" s="8">
        <f t="shared" si="1061"/>
        <v>57300</v>
      </c>
      <c r="BP1100" s="8">
        <f t="shared" si="1063"/>
        <v>0</v>
      </c>
      <c r="BQ1100" s="12">
        <f t="shared" si="1064"/>
        <v>0</v>
      </c>
    </row>
    <row r="1101" spans="1:69">
      <c r="A1101" s="28">
        <v>2010</v>
      </c>
      <c r="B1101" s="27" t="s">
        <v>62</v>
      </c>
      <c r="C1101" s="24">
        <f t="shared" si="1062"/>
        <v>1046</v>
      </c>
      <c r="D1101" s="7" t="e">
        <f t="shared" ca="1" si="1102"/>
        <v>#N/A</v>
      </c>
      <c r="E1101" s="26" t="e">
        <f t="array" aca="1" ref="E1101" ca="1">AVERAGE(IF(INDIRECT(DatCol&amp;"$"&amp;TEXT(C1101,"###")):INDIRECT(DatCol&amp;"$"&amp;TEXT(C1101+57,"###"))&gt;0,INDIRECT(DatCol&amp;"$"&amp;TEXT(C1101,"###")):INDIRECT(DatCol&amp;"$"&amp;TEXT(C1101+57,"###"))))</f>
        <v>#DIV/0!</v>
      </c>
      <c r="F1101" s="26" t="str">
        <f t="shared" ref="F1101:F1103" si="1103">VLOOKUP(B1101,town_region,2,FALSE)</f>
        <v>S</v>
      </c>
      <c r="AK1101" s="13"/>
      <c r="AM1101" s="13"/>
      <c r="BN1101" s="8"/>
      <c r="BO1101" s="8"/>
      <c r="BP1101" s="8"/>
      <c r="BQ1101" s="12"/>
    </row>
    <row r="1102" spans="1:69">
      <c r="A1102" s="28">
        <v>2011</v>
      </c>
      <c r="B1102" s="27" t="s">
        <v>62</v>
      </c>
      <c r="C1102" s="24">
        <f t="shared" si="1062"/>
        <v>1046</v>
      </c>
      <c r="D1102" s="7" t="e">
        <f t="shared" ca="1" si="1102"/>
        <v>#N/A</v>
      </c>
      <c r="E1102" s="26" t="e">
        <f t="array" aca="1" ref="E1102" ca="1">AVERAGE(IF(INDIRECT(DatCol&amp;"$"&amp;TEXT(C1102,"###")):INDIRECT(DatCol&amp;"$"&amp;TEXT(C1102+57,"###"))&gt;0,INDIRECT(DatCol&amp;"$"&amp;TEXT(C1102,"###")):INDIRECT(DatCol&amp;"$"&amp;TEXT(C1102+57,"###"))))</f>
        <v>#DIV/0!</v>
      </c>
      <c r="F1102" s="26" t="str">
        <f t="shared" si="1103"/>
        <v>S</v>
      </c>
      <c r="AK1102" s="13"/>
      <c r="AM1102" s="13"/>
      <c r="BN1102" s="8"/>
      <c r="BO1102" s="8"/>
      <c r="BP1102" s="8"/>
      <c r="BQ1102" s="12"/>
    </row>
    <row r="1103" spans="1:69">
      <c r="A1103" s="28">
        <v>2012</v>
      </c>
      <c r="B1103" s="27" t="s">
        <v>62</v>
      </c>
      <c r="C1103" s="24">
        <f t="shared" si="1062"/>
        <v>1046</v>
      </c>
      <c r="D1103" s="7" t="e">
        <f t="shared" ca="1" si="1102"/>
        <v>#N/A</v>
      </c>
      <c r="E1103" s="26" t="e">
        <f t="array" aca="1" ref="E1103" ca="1">AVERAGE(IF(INDIRECT(DatCol&amp;"$"&amp;TEXT(C1103,"###")):INDIRECT(DatCol&amp;"$"&amp;TEXT(C1103+57,"###"))&gt;0,INDIRECT(DatCol&amp;"$"&amp;TEXT(C1103,"###")):INDIRECT(DatCol&amp;"$"&amp;TEXT(C1103+57,"###"))))</f>
        <v>#DIV/0!</v>
      </c>
      <c r="F1103" s="26" t="str">
        <f t="shared" si="1103"/>
        <v>S</v>
      </c>
      <c r="AK1103" s="13"/>
      <c r="AM1103" s="13"/>
      <c r="BN1103" s="8"/>
      <c r="BO1103" s="8"/>
      <c r="BP1103" s="8"/>
      <c r="BQ1103" s="12"/>
    </row>
    <row r="1104" spans="1:69">
      <c r="A1104" s="28">
        <v>1955</v>
      </c>
      <c r="B1104" s="27" t="s">
        <v>63</v>
      </c>
      <c r="C1104" s="24">
        <f>ROW()</f>
        <v>1104</v>
      </c>
      <c r="D1104" s="7" t="e">
        <f t="shared" ca="1" si="1102"/>
        <v>#N/A</v>
      </c>
      <c r="E1104" s="26">
        <f t="array" aca="1" ref="E1104" ca="1">AVERAGE(IF(INDIRECT(DatCol&amp;"$"&amp;TEXT(C1104,"###")):INDIRECT(DatCol&amp;"$"&amp;TEXT(C1104+57,"###"))&gt;0,INDIRECT(DatCol&amp;"$"&amp;TEXT(C1104,"###")):INDIRECT(DatCol&amp;"$"&amp;TEXT(C1104+57,"###"))))</f>
        <v>209</v>
      </c>
      <c r="F1104" s="26" t="str">
        <f t="shared" si="1101"/>
        <v>S</v>
      </c>
      <c r="G1104" s="8"/>
      <c r="K1104" s="9">
        <f t="shared" si="1060"/>
        <v>0</v>
      </c>
      <c r="M1104" s="11">
        <f t="shared" ref="M1104:M1119" si="1104">(L1104*50)</f>
        <v>0</v>
      </c>
      <c r="O1104" s="11">
        <f t="shared" ref="O1104:O1119" si="1105">(N1104*50)</f>
        <v>0</v>
      </c>
      <c r="Q1104" s="11">
        <f t="shared" ref="Q1104:Q1119" si="1106">((P1104*330)/5.5)</f>
        <v>0</v>
      </c>
      <c r="Y1104" s="11">
        <f t="shared" ref="Y1104:Y1119" si="1107">((X1104*330)/5.5)</f>
        <v>0</v>
      </c>
      <c r="AG1104" s="11">
        <f t="shared" ref="AG1104:AG1119" si="1108">(AF1104*65)</f>
        <v>0</v>
      </c>
      <c r="AI1104" s="11">
        <f t="shared" ref="AI1104:AI1119" si="1109">(AH1104*65)</f>
        <v>0</v>
      </c>
      <c r="AK1104" s="13">
        <f t="shared" ref="AK1104:AK1119" si="1110">(AJ1104*9)</f>
        <v>0</v>
      </c>
      <c r="AM1104" s="13">
        <f t="shared" ref="AM1104:AM1119" si="1111">(AL1104*9)</f>
        <v>0</v>
      </c>
      <c r="AO1104" s="11">
        <f t="shared" ref="AO1104:AO1119" si="1112">(AN1104*80)</f>
        <v>0</v>
      </c>
      <c r="AQ1104" s="11">
        <f t="shared" ref="AQ1104:AQ1119" si="1113">(AP1104*80)</f>
        <v>0</v>
      </c>
      <c r="AS1104" s="11">
        <f t="shared" ref="AS1104:AS1119" si="1114">(AR1104*50)</f>
        <v>0</v>
      </c>
      <c r="AU1104" s="11">
        <f t="shared" ref="AU1104:AU1119" si="1115">(AT1104*50)</f>
        <v>0</v>
      </c>
      <c r="AW1104" s="11">
        <f t="shared" ref="AW1104:AW1119" si="1116">(AV1104*60)</f>
        <v>0</v>
      </c>
      <c r="AY1104" s="11">
        <f t="shared" ref="AY1104:AY1119" si="1117">(AX1104*60)</f>
        <v>0</v>
      </c>
      <c r="BA1104" s="11">
        <f t="shared" ref="BA1104:BA1119" si="1118">(AZ1104*40)</f>
        <v>0</v>
      </c>
      <c r="BC1104" s="11">
        <f t="shared" ref="BC1104:BC1119" si="1119">(BB1104*40)</f>
        <v>0</v>
      </c>
      <c r="BE1104" s="11">
        <f t="shared" ref="BE1104:BE1119" si="1120">(BD1104*95)</f>
        <v>0</v>
      </c>
      <c r="BG1104" s="11">
        <f t="shared" ref="BG1104:BG1119" si="1121">(BF1104*95)</f>
        <v>0</v>
      </c>
      <c r="BN1104" s="8">
        <f t="shared" si="1058"/>
        <v>0</v>
      </c>
      <c r="BO1104" s="8">
        <f t="shared" si="1061"/>
        <v>0</v>
      </c>
      <c r="BP1104" s="8">
        <f t="shared" si="1063"/>
        <v>0</v>
      </c>
      <c r="BQ1104" s="12">
        <f t="shared" si="1064"/>
        <v>0</v>
      </c>
    </row>
    <row r="1105" spans="1:69">
      <c r="A1105" s="28">
        <v>1956</v>
      </c>
      <c r="B1105" s="27" t="s">
        <v>63</v>
      </c>
      <c r="C1105" s="24">
        <f t="shared" ref="C1105:C1161" si="1122">C1104</f>
        <v>1104</v>
      </c>
      <c r="D1105" s="7" t="e">
        <f t="shared" ca="1" si="1102"/>
        <v>#N/A</v>
      </c>
      <c r="E1105" s="26">
        <f t="array" aca="1" ref="E1105" ca="1">AVERAGE(IF(INDIRECT(DatCol&amp;"$"&amp;TEXT(C1105,"###")):INDIRECT(DatCol&amp;"$"&amp;TEXT(C1105+57,"###"))&gt;0,INDIRECT(DatCol&amp;"$"&amp;TEXT(C1105,"###")):INDIRECT(DatCol&amp;"$"&amp;TEXT(C1105+57,"###"))))</f>
        <v>209</v>
      </c>
      <c r="F1105" s="26" t="str">
        <f t="shared" si="1101"/>
        <v>S</v>
      </c>
      <c r="G1105" s="8"/>
      <c r="K1105" s="9">
        <f t="shared" si="1060"/>
        <v>0</v>
      </c>
      <c r="M1105" s="11">
        <f t="shared" si="1104"/>
        <v>0</v>
      </c>
      <c r="O1105" s="11">
        <f t="shared" si="1105"/>
        <v>0</v>
      </c>
      <c r="Q1105" s="11">
        <f t="shared" si="1106"/>
        <v>0</v>
      </c>
      <c r="Y1105" s="11">
        <f t="shared" si="1107"/>
        <v>0</v>
      </c>
      <c r="AG1105" s="11">
        <f t="shared" si="1108"/>
        <v>0</v>
      </c>
      <c r="AI1105" s="11">
        <f t="shared" si="1109"/>
        <v>0</v>
      </c>
      <c r="AK1105" s="13">
        <f t="shared" si="1110"/>
        <v>0</v>
      </c>
      <c r="AM1105" s="13">
        <f t="shared" si="1111"/>
        <v>0</v>
      </c>
      <c r="AO1105" s="11">
        <f t="shared" si="1112"/>
        <v>0</v>
      </c>
      <c r="AQ1105" s="11">
        <f t="shared" si="1113"/>
        <v>0</v>
      </c>
      <c r="AS1105" s="11">
        <f t="shared" si="1114"/>
        <v>0</v>
      </c>
      <c r="AU1105" s="11">
        <f t="shared" si="1115"/>
        <v>0</v>
      </c>
      <c r="AW1105" s="11">
        <f t="shared" si="1116"/>
        <v>0</v>
      </c>
      <c r="AY1105" s="11">
        <f t="shared" si="1117"/>
        <v>0</v>
      </c>
      <c r="BA1105" s="11">
        <f t="shared" si="1118"/>
        <v>0</v>
      </c>
      <c r="BC1105" s="11">
        <f t="shared" si="1119"/>
        <v>0</v>
      </c>
      <c r="BE1105" s="11">
        <f t="shared" si="1120"/>
        <v>0</v>
      </c>
      <c r="BG1105" s="11">
        <f t="shared" si="1121"/>
        <v>0</v>
      </c>
      <c r="BN1105" s="8">
        <f t="shared" si="1058"/>
        <v>0</v>
      </c>
      <c r="BO1105" s="8">
        <f t="shared" si="1061"/>
        <v>0</v>
      </c>
      <c r="BP1105" s="8">
        <f t="shared" si="1063"/>
        <v>0</v>
      </c>
      <c r="BQ1105" s="12">
        <f t="shared" si="1064"/>
        <v>0</v>
      </c>
    </row>
    <row r="1106" spans="1:69">
      <c r="A1106" s="28">
        <v>1957</v>
      </c>
      <c r="B1106" s="27" t="s">
        <v>63</v>
      </c>
      <c r="C1106" s="24">
        <f t="shared" si="1122"/>
        <v>1104</v>
      </c>
      <c r="D1106" s="7" t="e">
        <f t="shared" ca="1" si="1102"/>
        <v>#N/A</v>
      </c>
      <c r="E1106" s="26">
        <f t="array" aca="1" ref="E1106" ca="1">AVERAGE(IF(INDIRECT(DatCol&amp;"$"&amp;TEXT(C1106,"###")):INDIRECT(DatCol&amp;"$"&amp;TEXT(C1106+57,"###"))&gt;0,INDIRECT(DatCol&amp;"$"&amp;TEXT(C1106,"###")):INDIRECT(DatCol&amp;"$"&amp;TEXT(C1106+57,"###"))))</f>
        <v>209</v>
      </c>
      <c r="F1106" s="26" t="str">
        <f t="shared" si="1101"/>
        <v>S</v>
      </c>
      <c r="G1106" s="8"/>
      <c r="K1106" s="9">
        <f t="shared" si="1060"/>
        <v>0</v>
      </c>
      <c r="M1106" s="11">
        <f t="shared" si="1104"/>
        <v>0</v>
      </c>
      <c r="O1106" s="11">
        <f t="shared" si="1105"/>
        <v>0</v>
      </c>
      <c r="Q1106" s="11">
        <f t="shared" si="1106"/>
        <v>0</v>
      </c>
      <c r="Y1106" s="11">
        <f t="shared" si="1107"/>
        <v>0</v>
      </c>
      <c r="AG1106" s="11">
        <f t="shared" si="1108"/>
        <v>0</v>
      </c>
      <c r="AI1106" s="11">
        <f t="shared" si="1109"/>
        <v>0</v>
      </c>
      <c r="AK1106" s="13">
        <f t="shared" si="1110"/>
        <v>0</v>
      </c>
      <c r="AM1106" s="13">
        <f t="shared" si="1111"/>
        <v>0</v>
      </c>
      <c r="AO1106" s="11">
        <f t="shared" si="1112"/>
        <v>0</v>
      </c>
      <c r="AQ1106" s="11">
        <f t="shared" si="1113"/>
        <v>0</v>
      </c>
      <c r="AS1106" s="11">
        <f t="shared" si="1114"/>
        <v>0</v>
      </c>
      <c r="AU1106" s="11">
        <f t="shared" si="1115"/>
        <v>0</v>
      </c>
      <c r="AW1106" s="11">
        <f t="shared" si="1116"/>
        <v>0</v>
      </c>
      <c r="AY1106" s="11">
        <f t="shared" si="1117"/>
        <v>0</v>
      </c>
      <c r="BA1106" s="11">
        <f t="shared" si="1118"/>
        <v>0</v>
      </c>
      <c r="BC1106" s="11">
        <f t="shared" si="1119"/>
        <v>0</v>
      </c>
      <c r="BE1106" s="11">
        <f t="shared" si="1120"/>
        <v>0</v>
      </c>
      <c r="BG1106" s="11">
        <f t="shared" si="1121"/>
        <v>0</v>
      </c>
      <c r="BN1106" s="8">
        <f t="shared" si="1058"/>
        <v>0</v>
      </c>
      <c r="BO1106" s="8">
        <f t="shared" si="1061"/>
        <v>0</v>
      </c>
      <c r="BP1106" s="8">
        <f t="shared" si="1063"/>
        <v>0</v>
      </c>
      <c r="BQ1106" s="12">
        <f t="shared" si="1064"/>
        <v>0</v>
      </c>
    </row>
    <row r="1107" spans="1:69">
      <c r="A1107" s="28">
        <v>1958</v>
      </c>
      <c r="B1107" s="27" t="s">
        <v>63</v>
      </c>
      <c r="C1107" s="24">
        <f t="shared" si="1122"/>
        <v>1104</v>
      </c>
      <c r="D1107" s="7" t="e">
        <f t="shared" ca="1" si="1102"/>
        <v>#N/A</v>
      </c>
      <c r="E1107" s="26">
        <f t="array" aca="1" ref="E1107" ca="1">AVERAGE(IF(INDIRECT(DatCol&amp;"$"&amp;TEXT(C1107,"###")):INDIRECT(DatCol&amp;"$"&amp;TEXT(C1107+57,"###"))&gt;0,INDIRECT(DatCol&amp;"$"&amp;TEXT(C1107,"###")):INDIRECT(DatCol&amp;"$"&amp;TEXT(C1107+57,"###"))))</f>
        <v>209</v>
      </c>
      <c r="F1107" s="26" t="str">
        <f t="shared" si="1101"/>
        <v>S</v>
      </c>
      <c r="G1107" s="8"/>
      <c r="K1107" s="9">
        <f t="shared" si="1060"/>
        <v>0</v>
      </c>
      <c r="M1107" s="11">
        <f t="shared" si="1104"/>
        <v>0</v>
      </c>
      <c r="O1107" s="11">
        <f t="shared" si="1105"/>
        <v>0</v>
      </c>
      <c r="Q1107" s="11">
        <f t="shared" si="1106"/>
        <v>0</v>
      </c>
      <c r="Y1107" s="11">
        <f t="shared" si="1107"/>
        <v>0</v>
      </c>
      <c r="AG1107" s="11">
        <f t="shared" si="1108"/>
        <v>0</v>
      </c>
      <c r="AI1107" s="11">
        <f t="shared" si="1109"/>
        <v>0</v>
      </c>
      <c r="AK1107" s="13">
        <f t="shared" si="1110"/>
        <v>0</v>
      </c>
      <c r="AM1107" s="13">
        <f t="shared" si="1111"/>
        <v>0</v>
      </c>
      <c r="AO1107" s="11">
        <f t="shared" si="1112"/>
        <v>0</v>
      </c>
      <c r="AQ1107" s="11">
        <f t="shared" si="1113"/>
        <v>0</v>
      </c>
      <c r="AS1107" s="11">
        <f t="shared" si="1114"/>
        <v>0</v>
      </c>
      <c r="AU1107" s="11">
        <f t="shared" si="1115"/>
        <v>0</v>
      </c>
      <c r="AW1107" s="11">
        <f t="shared" si="1116"/>
        <v>0</v>
      </c>
      <c r="AY1107" s="11">
        <f t="shared" si="1117"/>
        <v>0</v>
      </c>
      <c r="BA1107" s="11">
        <f t="shared" si="1118"/>
        <v>0</v>
      </c>
      <c r="BC1107" s="11">
        <f t="shared" si="1119"/>
        <v>0</v>
      </c>
      <c r="BE1107" s="11">
        <f t="shared" si="1120"/>
        <v>0</v>
      </c>
      <c r="BG1107" s="11">
        <f t="shared" si="1121"/>
        <v>0</v>
      </c>
      <c r="BN1107" s="8">
        <f t="shared" si="1058"/>
        <v>0</v>
      </c>
      <c r="BO1107" s="8">
        <f t="shared" si="1061"/>
        <v>0</v>
      </c>
      <c r="BP1107" s="8">
        <f t="shared" si="1063"/>
        <v>0</v>
      </c>
      <c r="BQ1107" s="12">
        <f t="shared" si="1064"/>
        <v>0</v>
      </c>
    </row>
    <row r="1108" spans="1:69">
      <c r="A1108" s="28">
        <v>1959</v>
      </c>
      <c r="B1108" s="27" t="s">
        <v>63</v>
      </c>
      <c r="C1108" s="24">
        <f t="shared" si="1122"/>
        <v>1104</v>
      </c>
      <c r="D1108" s="7" t="e">
        <f t="shared" ca="1" si="1102"/>
        <v>#N/A</v>
      </c>
      <c r="E1108" s="26">
        <f t="array" aca="1" ref="E1108" ca="1">AVERAGE(IF(INDIRECT(DatCol&amp;"$"&amp;TEXT(C1108,"###")):INDIRECT(DatCol&amp;"$"&amp;TEXT(C1108+57,"###"))&gt;0,INDIRECT(DatCol&amp;"$"&amp;TEXT(C1108,"###")):INDIRECT(DatCol&amp;"$"&amp;TEXT(C1108+57,"###"))))</f>
        <v>209</v>
      </c>
      <c r="F1108" s="26" t="str">
        <f t="shared" si="1101"/>
        <v>S</v>
      </c>
      <c r="G1108" s="8"/>
      <c r="K1108" s="9">
        <f t="shared" si="1060"/>
        <v>0</v>
      </c>
      <c r="M1108" s="11">
        <f t="shared" si="1104"/>
        <v>0</v>
      </c>
      <c r="O1108" s="11">
        <f t="shared" si="1105"/>
        <v>0</v>
      </c>
      <c r="Q1108" s="11">
        <f t="shared" si="1106"/>
        <v>0</v>
      </c>
      <c r="Y1108" s="11">
        <f t="shared" si="1107"/>
        <v>0</v>
      </c>
      <c r="AG1108" s="11">
        <f t="shared" si="1108"/>
        <v>0</v>
      </c>
      <c r="AI1108" s="11">
        <f t="shared" si="1109"/>
        <v>0</v>
      </c>
      <c r="AK1108" s="13">
        <f t="shared" si="1110"/>
        <v>0</v>
      </c>
      <c r="AM1108" s="13">
        <f t="shared" si="1111"/>
        <v>0</v>
      </c>
      <c r="AO1108" s="11">
        <f t="shared" si="1112"/>
        <v>0</v>
      </c>
      <c r="AQ1108" s="11">
        <f t="shared" si="1113"/>
        <v>0</v>
      </c>
      <c r="AS1108" s="11">
        <f t="shared" si="1114"/>
        <v>0</v>
      </c>
      <c r="AU1108" s="11">
        <f t="shared" si="1115"/>
        <v>0</v>
      </c>
      <c r="AW1108" s="11">
        <f t="shared" si="1116"/>
        <v>0</v>
      </c>
      <c r="AY1108" s="11">
        <f t="shared" si="1117"/>
        <v>0</v>
      </c>
      <c r="BA1108" s="11">
        <f t="shared" si="1118"/>
        <v>0</v>
      </c>
      <c r="BC1108" s="11">
        <f t="shared" si="1119"/>
        <v>0</v>
      </c>
      <c r="BE1108" s="11">
        <f t="shared" si="1120"/>
        <v>0</v>
      </c>
      <c r="BG1108" s="11">
        <f t="shared" si="1121"/>
        <v>0</v>
      </c>
      <c r="BN1108" s="8">
        <f t="shared" ref="BN1108:BN1172" si="1123">(L1108+P1108+R1108+T1108+V1108+X1108+Z1108+AB1108+AD1108+AF1108+AJ1108+AN1108+AR1108+AV1108+AZ1108+BD1108)</f>
        <v>0</v>
      </c>
      <c r="BO1108" s="8">
        <f t="shared" si="1061"/>
        <v>0</v>
      </c>
      <c r="BP1108" s="8">
        <f t="shared" si="1063"/>
        <v>0</v>
      </c>
      <c r="BQ1108" s="12">
        <f t="shared" si="1064"/>
        <v>0</v>
      </c>
    </row>
    <row r="1109" spans="1:69">
      <c r="A1109" s="28">
        <v>1960</v>
      </c>
      <c r="B1109" s="27" t="s">
        <v>63</v>
      </c>
      <c r="C1109" s="24">
        <f t="shared" si="1122"/>
        <v>1104</v>
      </c>
      <c r="D1109" s="7" t="e">
        <f t="shared" ca="1" si="1102"/>
        <v>#N/A</v>
      </c>
      <c r="E1109" s="26">
        <f t="array" aca="1" ref="E1109" ca="1">AVERAGE(IF(INDIRECT(DatCol&amp;"$"&amp;TEXT(C1109,"###")):INDIRECT(DatCol&amp;"$"&amp;TEXT(C1109+57,"###"))&gt;0,INDIRECT(DatCol&amp;"$"&amp;TEXT(C1109,"###")):INDIRECT(DatCol&amp;"$"&amp;TEXT(C1109+57,"###"))))</f>
        <v>209</v>
      </c>
      <c r="F1109" s="26" t="str">
        <f t="shared" si="1101"/>
        <v>S</v>
      </c>
      <c r="G1109" s="8"/>
      <c r="K1109" s="9">
        <f t="shared" si="1060"/>
        <v>0</v>
      </c>
      <c r="M1109" s="11">
        <f t="shared" si="1104"/>
        <v>0</v>
      </c>
      <c r="O1109" s="11">
        <f t="shared" si="1105"/>
        <v>0</v>
      </c>
      <c r="Q1109" s="11">
        <f t="shared" si="1106"/>
        <v>0</v>
      </c>
      <c r="Y1109" s="11">
        <f t="shared" si="1107"/>
        <v>0</v>
      </c>
      <c r="AG1109" s="11">
        <f t="shared" si="1108"/>
        <v>0</v>
      </c>
      <c r="AI1109" s="11">
        <f t="shared" si="1109"/>
        <v>0</v>
      </c>
      <c r="AK1109" s="13">
        <f t="shared" si="1110"/>
        <v>0</v>
      </c>
      <c r="AM1109" s="13">
        <f t="shared" si="1111"/>
        <v>0</v>
      </c>
      <c r="AO1109" s="11">
        <f t="shared" si="1112"/>
        <v>0</v>
      </c>
      <c r="AQ1109" s="11">
        <f t="shared" si="1113"/>
        <v>0</v>
      </c>
      <c r="AS1109" s="11">
        <f t="shared" si="1114"/>
        <v>0</v>
      </c>
      <c r="AU1109" s="11">
        <f t="shared" si="1115"/>
        <v>0</v>
      </c>
      <c r="AW1109" s="11">
        <f t="shared" si="1116"/>
        <v>0</v>
      </c>
      <c r="AY1109" s="11">
        <f t="shared" si="1117"/>
        <v>0</v>
      </c>
      <c r="BA1109" s="11">
        <f t="shared" si="1118"/>
        <v>0</v>
      </c>
      <c r="BC1109" s="11">
        <f t="shared" si="1119"/>
        <v>0</v>
      </c>
      <c r="BE1109" s="11">
        <f t="shared" si="1120"/>
        <v>0</v>
      </c>
      <c r="BG1109" s="11">
        <f t="shared" si="1121"/>
        <v>0</v>
      </c>
      <c r="BN1109" s="8">
        <f t="shared" si="1123"/>
        <v>0</v>
      </c>
      <c r="BO1109" s="8">
        <f t="shared" ref="BO1109:BO1173" si="1124">(M1109+Q1109+S1109+U1109+W1109+Y1109+AA1109+AC1109+AG1109+AK1109+AO1109+AS1109+AW1109+BA1109+BE1109)</f>
        <v>0</v>
      </c>
      <c r="BP1109" s="8">
        <f t="shared" si="1063"/>
        <v>0</v>
      </c>
      <c r="BQ1109" s="12">
        <f t="shared" si="1064"/>
        <v>0</v>
      </c>
    </row>
    <row r="1110" spans="1:69">
      <c r="A1110" s="28">
        <v>1961</v>
      </c>
      <c r="B1110" s="27" t="s">
        <v>63</v>
      </c>
      <c r="C1110" s="24">
        <f t="shared" si="1122"/>
        <v>1104</v>
      </c>
      <c r="D1110" s="7" t="e">
        <f t="shared" ca="1" si="1102"/>
        <v>#N/A</v>
      </c>
      <c r="E1110" s="26">
        <f t="array" aca="1" ref="E1110" ca="1">AVERAGE(IF(INDIRECT(DatCol&amp;"$"&amp;TEXT(C1110,"###")):INDIRECT(DatCol&amp;"$"&amp;TEXT(C1110+57,"###"))&gt;0,INDIRECT(DatCol&amp;"$"&amp;TEXT(C1110,"###")):INDIRECT(DatCol&amp;"$"&amp;TEXT(C1110+57,"###"))))</f>
        <v>209</v>
      </c>
      <c r="F1110" s="26" t="str">
        <f t="shared" si="1101"/>
        <v>S</v>
      </c>
      <c r="G1110" s="8"/>
      <c r="K1110" s="9">
        <f t="shared" ref="K1110:K1174" si="1125">G1110+H1110+J1110</f>
        <v>0</v>
      </c>
      <c r="M1110" s="11">
        <f t="shared" si="1104"/>
        <v>0</v>
      </c>
      <c r="O1110" s="11">
        <f t="shared" si="1105"/>
        <v>0</v>
      </c>
      <c r="Q1110" s="11">
        <f t="shared" si="1106"/>
        <v>0</v>
      </c>
      <c r="Y1110" s="11">
        <f t="shared" si="1107"/>
        <v>0</v>
      </c>
      <c r="AG1110" s="11">
        <f t="shared" si="1108"/>
        <v>0</v>
      </c>
      <c r="AI1110" s="11">
        <f t="shared" si="1109"/>
        <v>0</v>
      </c>
      <c r="AK1110" s="13">
        <f t="shared" si="1110"/>
        <v>0</v>
      </c>
      <c r="AM1110" s="13">
        <f t="shared" si="1111"/>
        <v>0</v>
      </c>
      <c r="AO1110" s="11">
        <f t="shared" si="1112"/>
        <v>0</v>
      </c>
      <c r="AQ1110" s="11">
        <f t="shared" si="1113"/>
        <v>0</v>
      </c>
      <c r="AS1110" s="11">
        <f t="shared" si="1114"/>
        <v>0</v>
      </c>
      <c r="AU1110" s="11">
        <f t="shared" si="1115"/>
        <v>0</v>
      </c>
      <c r="AW1110" s="11">
        <f t="shared" si="1116"/>
        <v>0</v>
      </c>
      <c r="AY1110" s="11">
        <f t="shared" si="1117"/>
        <v>0</v>
      </c>
      <c r="BA1110" s="11">
        <f t="shared" si="1118"/>
        <v>0</v>
      </c>
      <c r="BC1110" s="11">
        <f t="shared" si="1119"/>
        <v>0</v>
      </c>
      <c r="BE1110" s="11">
        <f t="shared" si="1120"/>
        <v>0</v>
      </c>
      <c r="BG1110" s="11">
        <f t="shared" si="1121"/>
        <v>0</v>
      </c>
      <c r="BN1110" s="8">
        <f t="shared" si="1123"/>
        <v>0</v>
      </c>
      <c r="BO1110" s="8">
        <f t="shared" si="1124"/>
        <v>0</v>
      </c>
      <c r="BP1110" s="8">
        <f t="shared" si="1063"/>
        <v>0</v>
      </c>
      <c r="BQ1110" s="12">
        <f t="shared" si="1064"/>
        <v>0</v>
      </c>
    </row>
    <row r="1111" spans="1:69">
      <c r="A1111" s="28">
        <v>1962</v>
      </c>
      <c r="B1111" s="27" t="s">
        <v>63</v>
      </c>
      <c r="C1111" s="24">
        <f t="shared" si="1122"/>
        <v>1104</v>
      </c>
      <c r="D1111" s="7" t="e">
        <f t="shared" ca="1" si="1102"/>
        <v>#N/A</v>
      </c>
      <c r="E1111" s="26">
        <f t="array" aca="1" ref="E1111" ca="1">AVERAGE(IF(INDIRECT(DatCol&amp;"$"&amp;TEXT(C1111,"###")):INDIRECT(DatCol&amp;"$"&amp;TEXT(C1111+57,"###"))&gt;0,INDIRECT(DatCol&amp;"$"&amp;TEXT(C1111,"###")):INDIRECT(DatCol&amp;"$"&amp;TEXT(C1111+57,"###"))))</f>
        <v>209</v>
      </c>
      <c r="F1111" s="26" t="str">
        <f t="shared" si="1101"/>
        <v>S</v>
      </c>
      <c r="G1111" s="8"/>
      <c r="K1111" s="9">
        <f t="shared" si="1125"/>
        <v>0</v>
      </c>
      <c r="M1111" s="11">
        <f t="shared" si="1104"/>
        <v>0</v>
      </c>
      <c r="O1111" s="11">
        <f t="shared" si="1105"/>
        <v>0</v>
      </c>
      <c r="Q1111" s="11">
        <f t="shared" si="1106"/>
        <v>0</v>
      </c>
      <c r="Y1111" s="11">
        <f t="shared" si="1107"/>
        <v>0</v>
      </c>
      <c r="AG1111" s="11">
        <f t="shared" si="1108"/>
        <v>0</v>
      </c>
      <c r="AI1111" s="11">
        <f t="shared" si="1109"/>
        <v>0</v>
      </c>
      <c r="AK1111" s="13">
        <f t="shared" si="1110"/>
        <v>0</v>
      </c>
      <c r="AM1111" s="13">
        <f t="shared" si="1111"/>
        <v>0</v>
      </c>
      <c r="AO1111" s="11">
        <f t="shared" si="1112"/>
        <v>0</v>
      </c>
      <c r="AQ1111" s="11">
        <f t="shared" si="1113"/>
        <v>0</v>
      </c>
      <c r="AS1111" s="11">
        <f t="shared" si="1114"/>
        <v>0</v>
      </c>
      <c r="AU1111" s="11">
        <f t="shared" si="1115"/>
        <v>0</v>
      </c>
      <c r="AW1111" s="11">
        <f t="shared" si="1116"/>
        <v>0</v>
      </c>
      <c r="AY1111" s="11">
        <f t="shared" si="1117"/>
        <v>0</v>
      </c>
      <c r="BA1111" s="11">
        <f t="shared" si="1118"/>
        <v>0</v>
      </c>
      <c r="BC1111" s="11">
        <f t="shared" si="1119"/>
        <v>0</v>
      </c>
      <c r="BE1111" s="11">
        <f t="shared" si="1120"/>
        <v>0</v>
      </c>
      <c r="BG1111" s="11">
        <f t="shared" si="1121"/>
        <v>0</v>
      </c>
      <c r="BN1111" s="8">
        <f t="shared" si="1123"/>
        <v>0</v>
      </c>
      <c r="BO1111" s="8">
        <f t="shared" si="1124"/>
        <v>0</v>
      </c>
      <c r="BP1111" s="8">
        <f t="shared" si="1063"/>
        <v>0</v>
      </c>
      <c r="BQ1111" s="12">
        <f t="shared" si="1064"/>
        <v>0</v>
      </c>
    </row>
    <row r="1112" spans="1:69">
      <c r="A1112" s="28">
        <v>1963</v>
      </c>
      <c r="B1112" s="27" t="s">
        <v>63</v>
      </c>
      <c r="C1112" s="24">
        <f t="shared" si="1122"/>
        <v>1104</v>
      </c>
      <c r="D1112" s="7" t="e">
        <f t="shared" ca="1" si="1102"/>
        <v>#N/A</v>
      </c>
      <c r="E1112" s="26">
        <f t="array" aca="1" ref="E1112" ca="1">AVERAGE(IF(INDIRECT(DatCol&amp;"$"&amp;TEXT(C1112,"###")):INDIRECT(DatCol&amp;"$"&amp;TEXT(C1112+57,"###"))&gt;0,INDIRECT(DatCol&amp;"$"&amp;TEXT(C1112,"###")):INDIRECT(DatCol&amp;"$"&amp;TEXT(C1112+57,"###"))))</f>
        <v>209</v>
      </c>
      <c r="F1112" s="26" t="str">
        <f t="shared" si="1101"/>
        <v>S</v>
      </c>
      <c r="G1112" s="8"/>
      <c r="K1112" s="9">
        <f t="shared" si="1125"/>
        <v>0</v>
      </c>
      <c r="M1112" s="11">
        <f t="shared" si="1104"/>
        <v>0</v>
      </c>
      <c r="O1112" s="11">
        <f t="shared" si="1105"/>
        <v>0</v>
      </c>
      <c r="Q1112" s="11">
        <f t="shared" si="1106"/>
        <v>0</v>
      </c>
      <c r="Y1112" s="11">
        <f t="shared" si="1107"/>
        <v>0</v>
      </c>
      <c r="AG1112" s="11">
        <f t="shared" si="1108"/>
        <v>0</v>
      </c>
      <c r="AI1112" s="11">
        <f t="shared" si="1109"/>
        <v>0</v>
      </c>
      <c r="AK1112" s="13">
        <f t="shared" si="1110"/>
        <v>0</v>
      </c>
      <c r="AM1112" s="13">
        <f t="shared" si="1111"/>
        <v>0</v>
      </c>
      <c r="AO1112" s="11">
        <f t="shared" si="1112"/>
        <v>0</v>
      </c>
      <c r="AQ1112" s="11">
        <f t="shared" si="1113"/>
        <v>0</v>
      </c>
      <c r="AS1112" s="11">
        <f t="shared" si="1114"/>
        <v>0</v>
      </c>
      <c r="AU1112" s="11">
        <f t="shared" si="1115"/>
        <v>0</v>
      </c>
      <c r="AW1112" s="11">
        <f t="shared" si="1116"/>
        <v>0</v>
      </c>
      <c r="AY1112" s="11">
        <f t="shared" si="1117"/>
        <v>0</v>
      </c>
      <c r="BA1112" s="11">
        <f t="shared" si="1118"/>
        <v>0</v>
      </c>
      <c r="BC1112" s="11">
        <f t="shared" si="1119"/>
        <v>0</v>
      </c>
      <c r="BE1112" s="11">
        <f t="shared" si="1120"/>
        <v>0</v>
      </c>
      <c r="BG1112" s="11">
        <f t="shared" si="1121"/>
        <v>0</v>
      </c>
      <c r="BN1112" s="8">
        <f t="shared" si="1123"/>
        <v>0</v>
      </c>
      <c r="BO1112" s="8">
        <f t="shared" si="1124"/>
        <v>0</v>
      </c>
      <c r="BP1112" s="8">
        <f t="shared" si="1063"/>
        <v>0</v>
      </c>
      <c r="BQ1112" s="12">
        <f t="shared" si="1064"/>
        <v>0</v>
      </c>
    </row>
    <row r="1113" spans="1:69">
      <c r="A1113" s="28">
        <v>1964</v>
      </c>
      <c r="B1113" s="27" t="s">
        <v>63</v>
      </c>
      <c r="C1113" s="24">
        <f t="shared" si="1122"/>
        <v>1104</v>
      </c>
      <c r="D1113" s="7" t="e">
        <f t="shared" ca="1" si="1102"/>
        <v>#N/A</v>
      </c>
      <c r="E1113" s="26">
        <f t="array" aca="1" ref="E1113" ca="1">AVERAGE(IF(INDIRECT(DatCol&amp;"$"&amp;TEXT(C1113,"###")):INDIRECT(DatCol&amp;"$"&amp;TEXT(C1113+57,"###"))&gt;0,INDIRECT(DatCol&amp;"$"&amp;TEXT(C1113,"###")):INDIRECT(DatCol&amp;"$"&amp;TEXT(C1113+57,"###"))))</f>
        <v>209</v>
      </c>
      <c r="F1113" s="26" t="str">
        <f t="shared" si="1101"/>
        <v>S</v>
      </c>
      <c r="G1113" s="8"/>
      <c r="K1113" s="9">
        <f t="shared" si="1125"/>
        <v>0</v>
      </c>
      <c r="M1113" s="11">
        <f t="shared" si="1104"/>
        <v>0</v>
      </c>
      <c r="O1113" s="11">
        <f t="shared" si="1105"/>
        <v>0</v>
      </c>
      <c r="Q1113" s="11">
        <f t="shared" si="1106"/>
        <v>0</v>
      </c>
      <c r="Y1113" s="11">
        <f t="shared" si="1107"/>
        <v>0</v>
      </c>
      <c r="AG1113" s="11">
        <f t="shared" si="1108"/>
        <v>0</v>
      </c>
      <c r="AI1113" s="11">
        <f t="shared" si="1109"/>
        <v>0</v>
      </c>
      <c r="AK1113" s="13">
        <f t="shared" si="1110"/>
        <v>0</v>
      </c>
      <c r="AM1113" s="13">
        <f t="shared" si="1111"/>
        <v>0</v>
      </c>
      <c r="AO1113" s="11">
        <f t="shared" si="1112"/>
        <v>0</v>
      </c>
      <c r="AQ1113" s="11">
        <f t="shared" si="1113"/>
        <v>0</v>
      </c>
      <c r="AS1113" s="11">
        <f t="shared" si="1114"/>
        <v>0</v>
      </c>
      <c r="AU1113" s="11">
        <f t="shared" si="1115"/>
        <v>0</v>
      </c>
      <c r="AW1113" s="11">
        <f t="shared" si="1116"/>
        <v>0</v>
      </c>
      <c r="AY1113" s="11">
        <f t="shared" si="1117"/>
        <v>0</v>
      </c>
      <c r="BA1113" s="11">
        <f t="shared" si="1118"/>
        <v>0</v>
      </c>
      <c r="BC1113" s="11">
        <f t="shared" si="1119"/>
        <v>0</v>
      </c>
      <c r="BE1113" s="11">
        <f t="shared" si="1120"/>
        <v>0</v>
      </c>
      <c r="BG1113" s="11">
        <f t="shared" si="1121"/>
        <v>0</v>
      </c>
      <c r="BN1113" s="8">
        <f t="shared" si="1123"/>
        <v>0</v>
      </c>
      <c r="BO1113" s="8">
        <f t="shared" si="1124"/>
        <v>0</v>
      </c>
      <c r="BP1113" s="8">
        <f t="shared" si="1063"/>
        <v>0</v>
      </c>
      <c r="BQ1113" s="12">
        <f t="shared" si="1064"/>
        <v>0</v>
      </c>
    </row>
    <row r="1114" spans="1:69">
      <c r="A1114" s="28">
        <v>1965</v>
      </c>
      <c r="B1114" s="27" t="s">
        <v>63</v>
      </c>
      <c r="C1114" s="24">
        <f t="shared" si="1122"/>
        <v>1104</v>
      </c>
      <c r="D1114" s="7" t="e">
        <f t="shared" ca="1" si="1102"/>
        <v>#N/A</v>
      </c>
      <c r="E1114" s="26">
        <f t="array" aca="1" ref="E1114" ca="1">AVERAGE(IF(INDIRECT(DatCol&amp;"$"&amp;TEXT(C1114,"###")):INDIRECT(DatCol&amp;"$"&amp;TEXT(C1114+57,"###"))&gt;0,INDIRECT(DatCol&amp;"$"&amp;TEXT(C1114,"###")):INDIRECT(DatCol&amp;"$"&amp;TEXT(C1114+57,"###"))))</f>
        <v>209</v>
      </c>
      <c r="F1114" s="26" t="str">
        <f t="shared" si="1101"/>
        <v>S</v>
      </c>
      <c r="G1114" s="8"/>
      <c r="K1114" s="9">
        <f t="shared" si="1125"/>
        <v>0</v>
      </c>
      <c r="M1114" s="11">
        <f t="shared" si="1104"/>
        <v>0</v>
      </c>
      <c r="O1114" s="11">
        <f t="shared" si="1105"/>
        <v>0</v>
      </c>
      <c r="Q1114" s="11">
        <f t="shared" si="1106"/>
        <v>0</v>
      </c>
      <c r="Y1114" s="11">
        <f t="shared" si="1107"/>
        <v>0</v>
      </c>
      <c r="AG1114" s="11">
        <f t="shared" si="1108"/>
        <v>0</v>
      </c>
      <c r="AI1114" s="11">
        <f t="shared" si="1109"/>
        <v>0</v>
      </c>
      <c r="AK1114" s="13">
        <f t="shared" si="1110"/>
        <v>0</v>
      </c>
      <c r="AM1114" s="13">
        <f t="shared" si="1111"/>
        <v>0</v>
      </c>
      <c r="AO1114" s="11">
        <f t="shared" si="1112"/>
        <v>0</v>
      </c>
      <c r="AQ1114" s="11">
        <f t="shared" si="1113"/>
        <v>0</v>
      </c>
      <c r="AS1114" s="11">
        <f t="shared" si="1114"/>
        <v>0</v>
      </c>
      <c r="AU1114" s="11">
        <f t="shared" si="1115"/>
        <v>0</v>
      </c>
      <c r="AW1114" s="11">
        <f t="shared" si="1116"/>
        <v>0</v>
      </c>
      <c r="AY1114" s="11">
        <f t="shared" si="1117"/>
        <v>0</v>
      </c>
      <c r="BA1114" s="11">
        <f t="shared" si="1118"/>
        <v>0</v>
      </c>
      <c r="BC1114" s="11">
        <f t="shared" si="1119"/>
        <v>0</v>
      </c>
      <c r="BE1114" s="11">
        <f t="shared" si="1120"/>
        <v>0</v>
      </c>
      <c r="BG1114" s="11">
        <f t="shared" si="1121"/>
        <v>0</v>
      </c>
      <c r="BN1114" s="8">
        <f t="shared" si="1123"/>
        <v>0</v>
      </c>
      <c r="BO1114" s="8">
        <f t="shared" si="1124"/>
        <v>0</v>
      </c>
      <c r="BP1114" s="8">
        <f t="shared" si="1063"/>
        <v>0</v>
      </c>
      <c r="BQ1114" s="12">
        <f t="shared" si="1064"/>
        <v>0</v>
      </c>
    </row>
    <row r="1115" spans="1:69">
      <c r="A1115" s="28">
        <v>1966</v>
      </c>
      <c r="B1115" s="27" t="s">
        <v>63</v>
      </c>
      <c r="C1115" s="24">
        <f t="shared" si="1122"/>
        <v>1104</v>
      </c>
      <c r="D1115" s="7" t="e">
        <f t="shared" ca="1" si="1102"/>
        <v>#N/A</v>
      </c>
      <c r="E1115" s="26">
        <f t="array" aca="1" ref="E1115" ca="1">AVERAGE(IF(INDIRECT(DatCol&amp;"$"&amp;TEXT(C1115,"###")):INDIRECT(DatCol&amp;"$"&amp;TEXT(C1115+57,"###"))&gt;0,INDIRECT(DatCol&amp;"$"&amp;TEXT(C1115,"###")):INDIRECT(DatCol&amp;"$"&amp;TEXT(C1115+57,"###"))))</f>
        <v>209</v>
      </c>
      <c r="F1115" s="26" t="str">
        <f t="shared" si="1101"/>
        <v>S</v>
      </c>
      <c r="G1115" s="8"/>
      <c r="K1115" s="9">
        <f t="shared" si="1125"/>
        <v>0</v>
      </c>
      <c r="M1115" s="11">
        <f t="shared" si="1104"/>
        <v>0</v>
      </c>
      <c r="O1115" s="11">
        <f t="shared" si="1105"/>
        <v>0</v>
      </c>
      <c r="Q1115" s="11">
        <f t="shared" si="1106"/>
        <v>0</v>
      </c>
      <c r="Y1115" s="11">
        <f t="shared" si="1107"/>
        <v>0</v>
      </c>
      <c r="AG1115" s="11">
        <f t="shared" si="1108"/>
        <v>0</v>
      </c>
      <c r="AI1115" s="11">
        <f t="shared" si="1109"/>
        <v>0</v>
      </c>
      <c r="AK1115" s="13">
        <f t="shared" si="1110"/>
        <v>0</v>
      </c>
      <c r="AM1115" s="13">
        <f t="shared" si="1111"/>
        <v>0</v>
      </c>
      <c r="AO1115" s="11">
        <f t="shared" si="1112"/>
        <v>0</v>
      </c>
      <c r="AQ1115" s="11">
        <f t="shared" si="1113"/>
        <v>0</v>
      </c>
      <c r="AS1115" s="11">
        <f t="shared" si="1114"/>
        <v>0</v>
      </c>
      <c r="AU1115" s="11">
        <f t="shared" si="1115"/>
        <v>0</v>
      </c>
      <c r="AW1115" s="11">
        <f t="shared" si="1116"/>
        <v>0</v>
      </c>
      <c r="AY1115" s="11">
        <f t="shared" si="1117"/>
        <v>0</v>
      </c>
      <c r="BA1115" s="11">
        <f t="shared" si="1118"/>
        <v>0</v>
      </c>
      <c r="BC1115" s="11">
        <f t="shared" si="1119"/>
        <v>0</v>
      </c>
      <c r="BE1115" s="11">
        <f t="shared" si="1120"/>
        <v>0</v>
      </c>
      <c r="BG1115" s="11">
        <f t="shared" si="1121"/>
        <v>0</v>
      </c>
      <c r="BN1115" s="8">
        <f t="shared" si="1123"/>
        <v>0</v>
      </c>
      <c r="BO1115" s="8">
        <f t="shared" si="1124"/>
        <v>0</v>
      </c>
      <c r="BP1115" s="8">
        <f t="shared" si="1063"/>
        <v>0</v>
      </c>
      <c r="BQ1115" s="12">
        <f t="shared" si="1064"/>
        <v>0</v>
      </c>
    </row>
    <row r="1116" spans="1:69">
      <c r="A1116" s="28">
        <v>1967</v>
      </c>
      <c r="B1116" s="27" t="s">
        <v>63</v>
      </c>
      <c r="C1116" s="24">
        <f t="shared" si="1122"/>
        <v>1104</v>
      </c>
      <c r="D1116" s="7" t="e">
        <f t="shared" ca="1" si="1102"/>
        <v>#N/A</v>
      </c>
      <c r="E1116" s="26">
        <f t="array" aca="1" ref="E1116" ca="1">AVERAGE(IF(INDIRECT(DatCol&amp;"$"&amp;TEXT(C1116,"###")):INDIRECT(DatCol&amp;"$"&amp;TEXT(C1116+57,"###"))&gt;0,INDIRECT(DatCol&amp;"$"&amp;TEXT(C1116,"###")):INDIRECT(DatCol&amp;"$"&amp;TEXT(C1116+57,"###"))))</f>
        <v>209</v>
      </c>
      <c r="F1116" s="26" t="str">
        <f t="shared" si="1101"/>
        <v>S</v>
      </c>
      <c r="G1116" s="8"/>
      <c r="H1116" s="8">
        <v>539</v>
      </c>
      <c r="I1116" s="8">
        <v>2</v>
      </c>
      <c r="J1116" s="8">
        <v>341</v>
      </c>
      <c r="K1116" s="9">
        <f t="shared" si="1125"/>
        <v>880</v>
      </c>
      <c r="L1116" s="12">
        <v>353</v>
      </c>
      <c r="M1116" s="11">
        <f t="shared" si="1104"/>
        <v>17650</v>
      </c>
      <c r="N1116" s="12">
        <v>209</v>
      </c>
      <c r="O1116" s="11">
        <f t="shared" si="1105"/>
        <v>10450</v>
      </c>
      <c r="Q1116" s="11">
        <f t="shared" si="1106"/>
        <v>0</v>
      </c>
      <c r="Y1116" s="11">
        <f t="shared" si="1107"/>
        <v>0</v>
      </c>
      <c r="AG1116" s="11">
        <f t="shared" si="1108"/>
        <v>0</v>
      </c>
      <c r="AI1116" s="11">
        <f t="shared" si="1109"/>
        <v>0</v>
      </c>
      <c r="AK1116" s="13">
        <f t="shared" si="1110"/>
        <v>0</v>
      </c>
      <c r="AM1116" s="13">
        <f t="shared" si="1111"/>
        <v>0</v>
      </c>
      <c r="AO1116" s="11">
        <f t="shared" si="1112"/>
        <v>0</v>
      </c>
      <c r="AP1116" s="12">
        <v>938</v>
      </c>
      <c r="AQ1116" s="11">
        <f t="shared" si="1113"/>
        <v>75040</v>
      </c>
      <c r="AS1116" s="11">
        <f t="shared" si="1114"/>
        <v>0</v>
      </c>
      <c r="AU1116" s="11">
        <f t="shared" si="1115"/>
        <v>0</v>
      </c>
      <c r="AW1116" s="11">
        <f t="shared" si="1116"/>
        <v>0</v>
      </c>
      <c r="AY1116" s="11">
        <f t="shared" si="1117"/>
        <v>0</v>
      </c>
      <c r="AZ1116" s="12">
        <v>29</v>
      </c>
      <c r="BA1116" s="11">
        <f t="shared" si="1118"/>
        <v>1160</v>
      </c>
      <c r="BC1116" s="11">
        <f t="shared" si="1119"/>
        <v>0</v>
      </c>
      <c r="BE1116" s="11">
        <f t="shared" si="1120"/>
        <v>0</v>
      </c>
      <c r="BG1116" s="11">
        <f t="shared" si="1121"/>
        <v>0</v>
      </c>
      <c r="BN1116" s="8">
        <f t="shared" si="1123"/>
        <v>382</v>
      </c>
      <c r="BO1116" s="8">
        <f t="shared" si="1124"/>
        <v>18810</v>
      </c>
      <c r="BP1116" s="8">
        <f t="shared" si="1063"/>
        <v>1147</v>
      </c>
      <c r="BQ1116" s="12">
        <f t="shared" si="1064"/>
        <v>85490</v>
      </c>
    </row>
    <row r="1117" spans="1:69">
      <c r="A1117" s="28">
        <v>1968</v>
      </c>
      <c r="B1117" s="27" t="s">
        <v>63</v>
      </c>
      <c r="C1117" s="24">
        <f t="shared" si="1122"/>
        <v>1104</v>
      </c>
      <c r="D1117" s="7" t="e">
        <f t="shared" ca="1" si="1102"/>
        <v>#N/A</v>
      </c>
      <c r="E1117" s="26">
        <f t="array" aca="1" ref="E1117" ca="1">AVERAGE(IF(INDIRECT(DatCol&amp;"$"&amp;TEXT(C1117,"###")):INDIRECT(DatCol&amp;"$"&amp;TEXT(C1117+57,"###"))&gt;0,INDIRECT(DatCol&amp;"$"&amp;TEXT(C1117,"###")):INDIRECT(DatCol&amp;"$"&amp;TEXT(C1117+57,"###"))))</f>
        <v>209</v>
      </c>
      <c r="F1117" s="26" t="str">
        <f t="shared" si="1101"/>
        <v>S</v>
      </c>
      <c r="G1117" s="8"/>
      <c r="H1117" s="8">
        <v>539</v>
      </c>
      <c r="I1117" s="8">
        <v>1</v>
      </c>
      <c r="J1117" s="8">
        <v>341</v>
      </c>
      <c r="K1117" s="9">
        <f t="shared" si="1125"/>
        <v>880</v>
      </c>
      <c r="L1117" s="12">
        <v>263</v>
      </c>
      <c r="M1117" s="11">
        <f t="shared" si="1104"/>
        <v>13150</v>
      </c>
      <c r="N1117" s="12">
        <v>209</v>
      </c>
      <c r="O1117" s="11">
        <f t="shared" si="1105"/>
        <v>10450</v>
      </c>
      <c r="Q1117" s="11">
        <f t="shared" si="1106"/>
        <v>0</v>
      </c>
      <c r="Y1117" s="11">
        <f t="shared" si="1107"/>
        <v>0</v>
      </c>
      <c r="AG1117" s="11">
        <f t="shared" si="1108"/>
        <v>0</v>
      </c>
      <c r="AI1117" s="11">
        <f t="shared" si="1109"/>
        <v>0</v>
      </c>
      <c r="AK1117" s="13">
        <f t="shared" si="1110"/>
        <v>0</v>
      </c>
      <c r="AM1117" s="13">
        <f t="shared" si="1111"/>
        <v>0</v>
      </c>
      <c r="AO1117" s="11">
        <f t="shared" si="1112"/>
        <v>0</v>
      </c>
      <c r="AP1117" s="12">
        <v>719</v>
      </c>
      <c r="AQ1117" s="11">
        <f t="shared" si="1113"/>
        <v>57520</v>
      </c>
      <c r="AS1117" s="11">
        <f t="shared" si="1114"/>
        <v>0</v>
      </c>
      <c r="AU1117" s="11">
        <f t="shared" si="1115"/>
        <v>0</v>
      </c>
      <c r="AW1117" s="11">
        <f t="shared" si="1116"/>
        <v>0</v>
      </c>
      <c r="AY1117" s="11">
        <f t="shared" si="1117"/>
        <v>0</v>
      </c>
      <c r="AZ1117" s="12">
        <v>28</v>
      </c>
      <c r="BA1117" s="11">
        <f t="shared" si="1118"/>
        <v>1120</v>
      </c>
      <c r="BC1117" s="11">
        <f t="shared" si="1119"/>
        <v>0</v>
      </c>
      <c r="BE1117" s="11">
        <f t="shared" si="1120"/>
        <v>0</v>
      </c>
      <c r="BG1117" s="11">
        <f t="shared" si="1121"/>
        <v>0</v>
      </c>
      <c r="BN1117" s="8">
        <f t="shared" si="1123"/>
        <v>291</v>
      </c>
      <c r="BO1117" s="8">
        <f t="shared" si="1124"/>
        <v>14270</v>
      </c>
      <c r="BP1117" s="8">
        <f t="shared" si="1063"/>
        <v>928</v>
      </c>
      <c r="BQ1117" s="12">
        <f t="shared" si="1064"/>
        <v>67970</v>
      </c>
    </row>
    <row r="1118" spans="1:69">
      <c r="A1118" s="28">
        <v>1969</v>
      </c>
      <c r="B1118" s="27" t="s">
        <v>63</v>
      </c>
      <c r="C1118" s="24">
        <f t="shared" si="1122"/>
        <v>1104</v>
      </c>
      <c r="D1118" s="7" t="e">
        <f t="shared" ca="1" si="1102"/>
        <v>#N/A</v>
      </c>
      <c r="E1118" s="26">
        <f t="array" aca="1" ref="E1118" ca="1">AVERAGE(IF(INDIRECT(DatCol&amp;"$"&amp;TEXT(C1118,"###")):INDIRECT(DatCol&amp;"$"&amp;TEXT(C1118+57,"###"))&gt;0,INDIRECT(DatCol&amp;"$"&amp;TEXT(C1118,"###")):INDIRECT(DatCol&amp;"$"&amp;TEXT(C1118+57,"###"))))</f>
        <v>209</v>
      </c>
      <c r="F1118" s="26" t="str">
        <f t="shared" si="1101"/>
        <v>S</v>
      </c>
      <c r="G1118" s="8"/>
      <c r="H1118" s="8">
        <v>450</v>
      </c>
      <c r="I1118" s="8">
        <v>0</v>
      </c>
      <c r="J1118" s="8">
        <v>147</v>
      </c>
      <c r="K1118" s="9">
        <f t="shared" si="1125"/>
        <v>597</v>
      </c>
      <c r="M1118" s="11">
        <f t="shared" si="1104"/>
        <v>0</v>
      </c>
      <c r="O1118" s="11">
        <f t="shared" si="1105"/>
        <v>0</v>
      </c>
      <c r="Q1118" s="11">
        <f t="shared" si="1106"/>
        <v>0</v>
      </c>
      <c r="Y1118" s="11">
        <f t="shared" si="1107"/>
        <v>0</v>
      </c>
      <c r="AG1118" s="11">
        <f t="shared" si="1108"/>
        <v>0</v>
      </c>
      <c r="AI1118" s="11">
        <f t="shared" si="1109"/>
        <v>0</v>
      </c>
      <c r="AK1118" s="13">
        <f t="shared" si="1110"/>
        <v>0</v>
      </c>
      <c r="AM1118" s="13">
        <f t="shared" si="1111"/>
        <v>0</v>
      </c>
      <c r="AO1118" s="11">
        <f t="shared" si="1112"/>
        <v>0</v>
      </c>
      <c r="AP1118" s="12">
        <v>800</v>
      </c>
      <c r="AQ1118" s="11">
        <f t="shared" si="1113"/>
        <v>64000</v>
      </c>
      <c r="AS1118" s="11">
        <f t="shared" si="1114"/>
        <v>0</v>
      </c>
      <c r="AU1118" s="11">
        <f t="shared" si="1115"/>
        <v>0</v>
      </c>
      <c r="AW1118" s="11">
        <f t="shared" si="1116"/>
        <v>0</v>
      </c>
      <c r="AY1118" s="11">
        <f t="shared" si="1117"/>
        <v>0</v>
      </c>
      <c r="AZ1118" s="12">
        <v>3</v>
      </c>
      <c r="BA1118" s="11">
        <f t="shared" si="1118"/>
        <v>120</v>
      </c>
      <c r="BC1118" s="11">
        <f t="shared" si="1119"/>
        <v>0</v>
      </c>
      <c r="BE1118" s="11">
        <f t="shared" si="1120"/>
        <v>0</v>
      </c>
      <c r="BG1118" s="11">
        <f t="shared" si="1121"/>
        <v>0</v>
      </c>
      <c r="BN1118" s="8">
        <f t="shared" si="1123"/>
        <v>3</v>
      </c>
      <c r="BO1118" s="8">
        <f t="shared" si="1124"/>
        <v>120</v>
      </c>
      <c r="BP1118" s="8">
        <f t="shared" si="1063"/>
        <v>800</v>
      </c>
      <c r="BQ1118" s="12">
        <f t="shared" si="1064"/>
        <v>64000</v>
      </c>
    </row>
    <row r="1119" spans="1:69">
      <c r="A1119" s="28">
        <v>1970</v>
      </c>
      <c r="B1119" s="27" t="s">
        <v>63</v>
      </c>
      <c r="C1119" s="24">
        <f t="shared" si="1122"/>
        <v>1104</v>
      </c>
      <c r="D1119" s="7" t="e">
        <f t="shared" ca="1" si="1102"/>
        <v>#N/A</v>
      </c>
      <c r="E1119" s="26">
        <f t="array" aca="1" ref="E1119" ca="1">AVERAGE(IF(INDIRECT(DatCol&amp;"$"&amp;TEXT(C1119,"###")):INDIRECT(DatCol&amp;"$"&amp;TEXT(C1119+57,"###"))&gt;0,INDIRECT(DatCol&amp;"$"&amp;TEXT(C1119,"###")):INDIRECT(DatCol&amp;"$"&amp;TEXT(C1119+57,"###"))))</f>
        <v>209</v>
      </c>
      <c r="F1119" s="26" t="str">
        <f t="shared" si="1101"/>
        <v>S</v>
      </c>
      <c r="G1119" s="8"/>
      <c r="H1119" s="8">
        <v>402</v>
      </c>
      <c r="I1119" s="8">
        <v>0</v>
      </c>
      <c r="J1119" s="8">
        <v>133</v>
      </c>
      <c r="K1119" s="9">
        <f t="shared" si="1125"/>
        <v>535</v>
      </c>
      <c r="M1119" s="11">
        <f t="shared" si="1104"/>
        <v>0</v>
      </c>
      <c r="O1119" s="11">
        <f t="shared" si="1105"/>
        <v>0</v>
      </c>
      <c r="Q1119" s="11">
        <f t="shared" si="1106"/>
        <v>0</v>
      </c>
      <c r="Y1119" s="11">
        <f t="shared" si="1107"/>
        <v>0</v>
      </c>
      <c r="AG1119" s="11">
        <f t="shared" si="1108"/>
        <v>0</v>
      </c>
      <c r="AI1119" s="11">
        <f t="shared" si="1109"/>
        <v>0</v>
      </c>
      <c r="AK1119" s="13">
        <f t="shared" si="1110"/>
        <v>0</v>
      </c>
      <c r="AM1119" s="13">
        <f t="shared" si="1111"/>
        <v>0</v>
      </c>
      <c r="AO1119" s="11">
        <f t="shared" si="1112"/>
        <v>0</v>
      </c>
      <c r="AP1119" s="12">
        <v>250</v>
      </c>
      <c r="AQ1119" s="11">
        <f t="shared" si="1113"/>
        <v>20000</v>
      </c>
      <c r="AS1119" s="11">
        <f t="shared" si="1114"/>
        <v>0</v>
      </c>
      <c r="AU1119" s="11">
        <f t="shared" si="1115"/>
        <v>0</v>
      </c>
      <c r="AW1119" s="11">
        <f t="shared" si="1116"/>
        <v>0</v>
      </c>
      <c r="AY1119" s="11">
        <f t="shared" si="1117"/>
        <v>0</v>
      </c>
      <c r="BA1119" s="11">
        <f t="shared" si="1118"/>
        <v>0</v>
      </c>
      <c r="BC1119" s="11">
        <f t="shared" si="1119"/>
        <v>0</v>
      </c>
      <c r="BE1119" s="11">
        <f t="shared" si="1120"/>
        <v>0</v>
      </c>
      <c r="BF1119" s="12">
        <v>8</v>
      </c>
      <c r="BG1119" s="11">
        <f t="shared" si="1121"/>
        <v>760</v>
      </c>
      <c r="BN1119" s="8">
        <f t="shared" si="1123"/>
        <v>0</v>
      </c>
      <c r="BO1119" s="8">
        <f t="shared" si="1124"/>
        <v>0</v>
      </c>
      <c r="BP1119" s="8">
        <f t="shared" ref="BP1119:BP1183" si="1126">(N1119+X1119+Z1119+AB1119+AD1119+AH1119+AL1119+AP1119+AT1119+AX1119+BB1119+BF1119)</f>
        <v>258</v>
      </c>
      <c r="BQ1119" s="12">
        <f t="shared" ref="BQ1119:BQ1183" si="1127">(O1119+Y1119+AA1119+AC1119+AE1119+AI1119+AM1119+AQ1119+AU1119+AY1119+BC1119+BG1119)</f>
        <v>20760</v>
      </c>
    </row>
    <row r="1120" spans="1:69">
      <c r="A1120" s="28">
        <v>1971</v>
      </c>
      <c r="B1120" s="27" t="s">
        <v>63</v>
      </c>
      <c r="C1120" s="24">
        <f t="shared" si="1122"/>
        <v>1104</v>
      </c>
      <c r="D1120" s="7" t="e">
        <f t="shared" ca="1" si="1102"/>
        <v>#N/A</v>
      </c>
      <c r="E1120" s="26">
        <f t="array" aca="1" ref="E1120" ca="1">AVERAGE(IF(INDIRECT(DatCol&amp;"$"&amp;TEXT(C1120,"###")):INDIRECT(DatCol&amp;"$"&amp;TEXT(C1120+57,"###"))&gt;0,INDIRECT(DatCol&amp;"$"&amp;TEXT(C1120,"###")):INDIRECT(DatCol&amp;"$"&amp;TEXT(C1120+57,"###"))))</f>
        <v>209</v>
      </c>
      <c r="F1120" s="26" t="str">
        <f t="shared" si="1101"/>
        <v>S</v>
      </c>
      <c r="G1120" s="8"/>
      <c r="K1120" s="9">
        <f t="shared" si="1125"/>
        <v>0</v>
      </c>
      <c r="M1120" s="11">
        <f t="shared" ref="M1120:M1135" si="1128">(L1120*50)</f>
        <v>0</v>
      </c>
      <c r="O1120" s="11">
        <f t="shared" ref="O1120:O1135" si="1129">(N1120*50)</f>
        <v>0</v>
      </c>
      <c r="Q1120" s="11">
        <f t="shared" ref="Q1120:Q1135" si="1130">((P1120*330)/5.5)</f>
        <v>0</v>
      </c>
      <c r="Y1120" s="11">
        <f t="shared" ref="Y1120:Y1135" si="1131">((X1120*330)/5.5)</f>
        <v>0</v>
      </c>
      <c r="AG1120" s="11">
        <f t="shared" ref="AG1120:AG1135" si="1132">(AF1120*65)</f>
        <v>0</v>
      </c>
      <c r="AI1120" s="11">
        <f t="shared" ref="AI1120:AI1135" si="1133">(AH1120*65)</f>
        <v>0</v>
      </c>
      <c r="AK1120" s="13">
        <f t="shared" ref="AK1120:AK1135" si="1134">(AJ1120*9)</f>
        <v>0</v>
      </c>
      <c r="AM1120" s="13">
        <f t="shared" ref="AM1120:AM1135" si="1135">(AL1120*9)</f>
        <v>0</v>
      </c>
      <c r="AO1120" s="11">
        <f t="shared" ref="AO1120:AO1135" si="1136">(AN1120*80)</f>
        <v>0</v>
      </c>
      <c r="AQ1120" s="11">
        <f t="shared" ref="AQ1120:AQ1135" si="1137">(AP1120*80)</f>
        <v>0</v>
      </c>
      <c r="AS1120" s="11">
        <f t="shared" ref="AS1120:AS1135" si="1138">(AR1120*50)</f>
        <v>0</v>
      </c>
      <c r="AU1120" s="11">
        <f t="shared" ref="AU1120:AU1135" si="1139">(AT1120*50)</f>
        <v>0</v>
      </c>
      <c r="AW1120" s="11">
        <f t="shared" ref="AW1120:AW1135" si="1140">(AV1120*60)</f>
        <v>0</v>
      </c>
      <c r="AY1120" s="11">
        <f t="shared" ref="AY1120:AY1135" si="1141">(AX1120*60)</f>
        <v>0</v>
      </c>
      <c r="BA1120" s="11">
        <f t="shared" ref="BA1120:BA1135" si="1142">(AZ1120*40)</f>
        <v>0</v>
      </c>
      <c r="BC1120" s="11">
        <f t="shared" ref="BC1120:BC1135" si="1143">(BB1120*40)</f>
        <v>0</v>
      </c>
      <c r="BE1120" s="11">
        <f t="shared" ref="BE1120:BE1135" si="1144">(BD1120*95)</f>
        <v>0</v>
      </c>
      <c r="BG1120" s="11">
        <f t="shared" ref="BG1120:BG1135" si="1145">(BF1120*95)</f>
        <v>0</v>
      </c>
      <c r="BN1120" s="8">
        <f t="shared" si="1123"/>
        <v>0</v>
      </c>
      <c r="BO1120" s="8">
        <f t="shared" si="1124"/>
        <v>0</v>
      </c>
      <c r="BP1120" s="8">
        <f t="shared" si="1126"/>
        <v>0</v>
      </c>
      <c r="BQ1120" s="12">
        <f t="shared" si="1127"/>
        <v>0</v>
      </c>
    </row>
    <row r="1121" spans="1:69">
      <c r="A1121" s="28">
        <v>1972</v>
      </c>
      <c r="B1121" s="27" t="s">
        <v>63</v>
      </c>
      <c r="C1121" s="24">
        <f t="shared" si="1122"/>
        <v>1104</v>
      </c>
      <c r="D1121" s="7" t="e">
        <f t="shared" ca="1" si="1102"/>
        <v>#N/A</v>
      </c>
      <c r="E1121" s="26">
        <f t="array" aca="1" ref="E1121" ca="1">AVERAGE(IF(INDIRECT(DatCol&amp;"$"&amp;TEXT(C1121,"###")):INDIRECT(DatCol&amp;"$"&amp;TEXT(C1121+57,"###"))&gt;0,INDIRECT(DatCol&amp;"$"&amp;TEXT(C1121,"###")):INDIRECT(DatCol&amp;"$"&amp;TEXT(C1121+57,"###"))))</f>
        <v>209</v>
      </c>
      <c r="F1121" s="26" t="str">
        <f t="shared" si="1101"/>
        <v>S</v>
      </c>
      <c r="G1121" s="8"/>
      <c r="H1121" s="8">
        <v>0</v>
      </c>
      <c r="I1121" s="8">
        <v>5</v>
      </c>
      <c r="J1121" s="8">
        <v>0</v>
      </c>
      <c r="K1121" s="9">
        <f t="shared" si="1125"/>
        <v>0</v>
      </c>
      <c r="L1121" s="12">
        <v>94</v>
      </c>
      <c r="M1121" s="11">
        <f t="shared" si="1128"/>
        <v>4700</v>
      </c>
      <c r="O1121" s="11">
        <f t="shared" si="1129"/>
        <v>0</v>
      </c>
      <c r="Q1121" s="11">
        <f t="shared" si="1130"/>
        <v>0</v>
      </c>
      <c r="Y1121" s="11">
        <f t="shared" si="1131"/>
        <v>0</v>
      </c>
      <c r="AG1121" s="11">
        <f t="shared" si="1132"/>
        <v>0</v>
      </c>
      <c r="AI1121" s="11">
        <f t="shared" si="1133"/>
        <v>0</v>
      </c>
      <c r="AK1121" s="13">
        <f t="shared" si="1134"/>
        <v>0</v>
      </c>
      <c r="AM1121" s="13">
        <f t="shared" si="1135"/>
        <v>0</v>
      </c>
      <c r="AO1121" s="11">
        <f t="shared" si="1136"/>
        <v>0</v>
      </c>
      <c r="AQ1121" s="11">
        <f t="shared" si="1137"/>
        <v>0</v>
      </c>
      <c r="AS1121" s="11">
        <f t="shared" si="1138"/>
        <v>0</v>
      </c>
      <c r="AU1121" s="11">
        <f t="shared" si="1139"/>
        <v>0</v>
      </c>
      <c r="AW1121" s="11">
        <f t="shared" si="1140"/>
        <v>0</v>
      </c>
      <c r="AY1121" s="11">
        <f t="shared" si="1141"/>
        <v>0</v>
      </c>
      <c r="BA1121" s="11">
        <f t="shared" si="1142"/>
        <v>0</v>
      </c>
      <c r="BC1121" s="11">
        <f t="shared" si="1143"/>
        <v>0</v>
      </c>
      <c r="BE1121" s="11">
        <f t="shared" si="1144"/>
        <v>0</v>
      </c>
      <c r="BG1121" s="11">
        <f t="shared" si="1145"/>
        <v>0</v>
      </c>
      <c r="BN1121" s="8">
        <f t="shared" si="1123"/>
        <v>94</v>
      </c>
      <c r="BO1121" s="8">
        <f t="shared" si="1124"/>
        <v>4700</v>
      </c>
      <c r="BP1121" s="8">
        <f t="shared" si="1126"/>
        <v>0</v>
      </c>
      <c r="BQ1121" s="12">
        <f t="shared" si="1127"/>
        <v>0</v>
      </c>
    </row>
    <row r="1122" spans="1:69">
      <c r="A1122" s="28">
        <v>1973</v>
      </c>
      <c r="B1122" s="27" t="s">
        <v>63</v>
      </c>
      <c r="C1122" s="24">
        <f t="shared" si="1122"/>
        <v>1104</v>
      </c>
      <c r="D1122" s="7" t="e">
        <f t="shared" ca="1" si="1102"/>
        <v>#N/A</v>
      </c>
      <c r="E1122" s="26">
        <f t="array" aca="1" ref="E1122" ca="1">AVERAGE(IF(INDIRECT(DatCol&amp;"$"&amp;TEXT(C1122,"###")):INDIRECT(DatCol&amp;"$"&amp;TEXT(C1122+57,"###"))&gt;0,INDIRECT(DatCol&amp;"$"&amp;TEXT(C1122,"###")):INDIRECT(DatCol&amp;"$"&amp;TEXT(C1122+57,"###"))))</f>
        <v>209</v>
      </c>
      <c r="F1122" s="26" t="str">
        <f t="shared" si="1101"/>
        <v>S</v>
      </c>
      <c r="G1122" s="8"/>
      <c r="K1122" s="9">
        <f t="shared" si="1125"/>
        <v>0</v>
      </c>
      <c r="M1122" s="11">
        <f t="shared" si="1128"/>
        <v>0</v>
      </c>
      <c r="O1122" s="11">
        <f t="shared" si="1129"/>
        <v>0</v>
      </c>
      <c r="Q1122" s="11">
        <f t="shared" si="1130"/>
        <v>0</v>
      </c>
      <c r="Y1122" s="11">
        <f t="shared" si="1131"/>
        <v>0</v>
      </c>
      <c r="AG1122" s="11">
        <f t="shared" si="1132"/>
        <v>0</v>
      </c>
      <c r="AI1122" s="11">
        <f t="shared" si="1133"/>
        <v>0</v>
      </c>
      <c r="AK1122" s="13">
        <f t="shared" si="1134"/>
        <v>0</v>
      </c>
      <c r="AM1122" s="13">
        <f t="shared" si="1135"/>
        <v>0</v>
      </c>
      <c r="AO1122" s="11">
        <f t="shared" si="1136"/>
        <v>0</v>
      </c>
      <c r="AQ1122" s="11">
        <f t="shared" si="1137"/>
        <v>0</v>
      </c>
      <c r="AS1122" s="11">
        <f t="shared" si="1138"/>
        <v>0</v>
      </c>
      <c r="AU1122" s="11">
        <f t="shared" si="1139"/>
        <v>0</v>
      </c>
      <c r="AW1122" s="11">
        <f t="shared" si="1140"/>
        <v>0</v>
      </c>
      <c r="AY1122" s="11">
        <f t="shared" si="1141"/>
        <v>0</v>
      </c>
      <c r="BA1122" s="11">
        <f t="shared" si="1142"/>
        <v>0</v>
      </c>
      <c r="BC1122" s="11">
        <f t="shared" si="1143"/>
        <v>0</v>
      </c>
      <c r="BE1122" s="11">
        <f t="shared" si="1144"/>
        <v>0</v>
      </c>
      <c r="BG1122" s="11">
        <f t="shared" si="1145"/>
        <v>0</v>
      </c>
      <c r="BN1122" s="8">
        <f t="shared" si="1123"/>
        <v>0</v>
      </c>
      <c r="BO1122" s="8">
        <f t="shared" si="1124"/>
        <v>0</v>
      </c>
      <c r="BP1122" s="8">
        <f t="shared" si="1126"/>
        <v>0</v>
      </c>
      <c r="BQ1122" s="12">
        <f t="shared" si="1127"/>
        <v>0</v>
      </c>
    </row>
    <row r="1123" spans="1:69">
      <c r="A1123" s="28">
        <v>1974</v>
      </c>
      <c r="B1123" s="27" t="s">
        <v>63</v>
      </c>
      <c r="C1123" s="24">
        <f t="shared" si="1122"/>
        <v>1104</v>
      </c>
      <c r="D1123" s="7" t="e">
        <f t="shared" ca="1" si="1102"/>
        <v>#N/A</v>
      </c>
      <c r="E1123" s="26">
        <f t="array" aca="1" ref="E1123" ca="1">AVERAGE(IF(INDIRECT(DatCol&amp;"$"&amp;TEXT(C1123,"###")):INDIRECT(DatCol&amp;"$"&amp;TEXT(C1123+57,"###"))&gt;0,INDIRECT(DatCol&amp;"$"&amp;TEXT(C1123,"###")):INDIRECT(DatCol&amp;"$"&amp;TEXT(C1123+57,"###"))))</f>
        <v>209</v>
      </c>
      <c r="F1123" s="26" t="str">
        <f t="shared" si="1101"/>
        <v>S</v>
      </c>
      <c r="G1123" s="8"/>
      <c r="K1123" s="9">
        <f t="shared" si="1125"/>
        <v>0</v>
      </c>
      <c r="M1123" s="11">
        <f t="shared" si="1128"/>
        <v>0</v>
      </c>
      <c r="O1123" s="11">
        <f t="shared" si="1129"/>
        <v>0</v>
      </c>
      <c r="Q1123" s="11">
        <f t="shared" si="1130"/>
        <v>0</v>
      </c>
      <c r="Y1123" s="11">
        <f t="shared" si="1131"/>
        <v>0</v>
      </c>
      <c r="AG1123" s="11">
        <f t="shared" si="1132"/>
        <v>0</v>
      </c>
      <c r="AI1123" s="11">
        <f t="shared" si="1133"/>
        <v>0</v>
      </c>
      <c r="AK1123" s="13">
        <f t="shared" si="1134"/>
        <v>0</v>
      </c>
      <c r="AM1123" s="13">
        <f t="shared" si="1135"/>
        <v>0</v>
      </c>
      <c r="AO1123" s="11">
        <f t="shared" si="1136"/>
        <v>0</v>
      </c>
      <c r="AQ1123" s="11">
        <f t="shared" si="1137"/>
        <v>0</v>
      </c>
      <c r="AS1123" s="11">
        <f t="shared" si="1138"/>
        <v>0</v>
      </c>
      <c r="AU1123" s="11">
        <f t="shared" si="1139"/>
        <v>0</v>
      </c>
      <c r="AW1123" s="11">
        <f t="shared" si="1140"/>
        <v>0</v>
      </c>
      <c r="AY1123" s="11">
        <f t="shared" si="1141"/>
        <v>0</v>
      </c>
      <c r="BA1123" s="11">
        <f t="shared" si="1142"/>
        <v>0</v>
      </c>
      <c r="BC1123" s="11">
        <f t="shared" si="1143"/>
        <v>0</v>
      </c>
      <c r="BE1123" s="11">
        <f t="shared" si="1144"/>
        <v>0</v>
      </c>
      <c r="BG1123" s="11">
        <f t="shared" si="1145"/>
        <v>0</v>
      </c>
      <c r="BN1123" s="8">
        <f t="shared" si="1123"/>
        <v>0</v>
      </c>
      <c r="BO1123" s="8">
        <f t="shared" si="1124"/>
        <v>0</v>
      </c>
      <c r="BP1123" s="8">
        <f t="shared" si="1126"/>
        <v>0</v>
      </c>
      <c r="BQ1123" s="12">
        <f t="shared" si="1127"/>
        <v>0</v>
      </c>
    </row>
    <row r="1124" spans="1:69">
      <c r="A1124" s="28">
        <v>1975</v>
      </c>
      <c r="B1124" s="27" t="s">
        <v>63</v>
      </c>
      <c r="C1124" s="24">
        <f t="shared" si="1122"/>
        <v>1104</v>
      </c>
      <c r="D1124" s="7" t="e">
        <f t="shared" ca="1" si="1102"/>
        <v>#N/A</v>
      </c>
      <c r="E1124" s="26">
        <f t="array" aca="1" ref="E1124" ca="1">AVERAGE(IF(INDIRECT(DatCol&amp;"$"&amp;TEXT(C1124,"###")):INDIRECT(DatCol&amp;"$"&amp;TEXT(C1124+57,"###"))&gt;0,INDIRECT(DatCol&amp;"$"&amp;TEXT(C1124,"###")):INDIRECT(DatCol&amp;"$"&amp;TEXT(C1124+57,"###"))))</f>
        <v>209</v>
      </c>
      <c r="F1124" s="26" t="str">
        <f t="shared" si="1101"/>
        <v>S</v>
      </c>
      <c r="G1124" s="8"/>
      <c r="K1124" s="9">
        <f t="shared" si="1125"/>
        <v>0</v>
      </c>
      <c r="M1124" s="11">
        <f t="shared" si="1128"/>
        <v>0</v>
      </c>
      <c r="O1124" s="11">
        <f t="shared" si="1129"/>
        <v>0</v>
      </c>
      <c r="Q1124" s="11">
        <f t="shared" si="1130"/>
        <v>0</v>
      </c>
      <c r="Y1124" s="11">
        <f t="shared" si="1131"/>
        <v>0</v>
      </c>
      <c r="AG1124" s="11">
        <f t="shared" si="1132"/>
        <v>0</v>
      </c>
      <c r="AI1124" s="11">
        <f t="shared" si="1133"/>
        <v>0</v>
      </c>
      <c r="AK1124" s="13">
        <f t="shared" si="1134"/>
        <v>0</v>
      </c>
      <c r="AM1124" s="13">
        <f t="shared" si="1135"/>
        <v>0</v>
      </c>
      <c r="AO1124" s="11">
        <f t="shared" si="1136"/>
        <v>0</v>
      </c>
      <c r="AQ1124" s="11">
        <f t="shared" si="1137"/>
        <v>0</v>
      </c>
      <c r="AS1124" s="11">
        <f t="shared" si="1138"/>
        <v>0</v>
      </c>
      <c r="AU1124" s="11">
        <f t="shared" si="1139"/>
        <v>0</v>
      </c>
      <c r="AW1124" s="11">
        <f t="shared" si="1140"/>
        <v>0</v>
      </c>
      <c r="AY1124" s="11">
        <f t="shared" si="1141"/>
        <v>0</v>
      </c>
      <c r="BA1124" s="11">
        <f t="shared" si="1142"/>
        <v>0</v>
      </c>
      <c r="BC1124" s="11">
        <f t="shared" si="1143"/>
        <v>0</v>
      </c>
      <c r="BE1124" s="11">
        <f t="shared" si="1144"/>
        <v>0</v>
      </c>
      <c r="BG1124" s="11">
        <f t="shared" si="1145"/>
        <v>0</v>
      </c>
      <c r="BN1124" s="8">
        <f t="shared" si="1123"/>
        <v>0</v>
      </c>
      <c r="BO1124" s="8">
        <f t="shared" si="1124"/>
        <v>0</v>
      </c>
      <c r="BP1124" s="8">
        <f t="shared" si="1126"/>
        <v>0</v>
      </c>
      <c r="BQ1124" s="12">
        <f t="shared" si="1127"/>
        <v>0</v>
      </c>
    </row>
    <row r="1125" spans="1:69">
      <c r="A1125" s="28">
        <v>1976</v>
      </c>
      <c r="B1125" s="27" t="s">
        <v>63</v>
      </c>
      <c r="C1125" s="24">
        <f t="shared" si="1122"/>
        <v>1104</v>
      </c>
      <c r="D1125" s="7" t="e">
        <f t="shared" ca="1" si="1102"/>
        <v>#N/A</v>
      </c>
      <c r="E1125" s="26">
        <f t="array" aca="1" ref="E1125" ca="1">AVERAGE(IF(INDIRECT(DatCol&amp;"$"&amp;TEXT(C1125,"###")):INDIRECT(DatCol&amp;"$"&amp;TEXT(C1125+57,"###"))&gt;0,INDIRECT(DatCol&amp;"$"&amp;TEXT(C1125,"###")):INDIRECT(DatCol&amp;"$"&amp;TEXT(C1125+57,"###"))))</f>
        <v>209</v>
      </c>
      <c r="F1125" s="26" t="str">
        <f t="shared" si="1101"/>
        <v>S</v>
      </c>
      <c r="G1125" s="8"/>
      <c r="K1125" s="9">
        <f t="shared" si="1125"/>
        <v>0</v>
      </c>
      <c r="M1125" s="11">
        <f t="shared" si="1128"/>
        <v>0</v>
      </c>
      <c r="O1125" s="11">
        <f t="shared" si="1129"/>
        <v>0</v>
      </c>
      <c r="Q1125" s="11">
        <f t="shared" si="1130"/>
        <v>0</v>
      </c>
      <c r="Y1125" s="11">
        <f t="shared" si="1131"/>
        <v>0</v>
      </c>
      <c r="AG1125" s="11">
        <f t="shared" si="1132"/>
        <v>0</v>
      </c>
      <c r="AI1125" s="11">
        <f t="shared" si="1133"/>
        <v>0</v>
      </c>
      <c r="AK1125" s="13">
        <f t="shared" si="1134"/>
        <v>0</v>
      </c>
      <c r="AM1125" s="13">
        <f t="shared" si="1135"/>
        <v>0</v>
      </c>
      <c r="AO1125" s="11">
        <f t="shared" si="1136"/>
        <v>0</v>
      </c>
      <c r="AQ1125" s="11">
        <f t="shared" si="1137"/>
        <v>0</v>
      </c>
      <c r="AS1125" s="11">
        <f t="shared" si="1138"/>
        <v>0</v>
      </c>
      <c r="AU1125" s="11">
        <f t="shared" si="1139"/>
        <v>0</v>
      </c>
      <c r="AW1125" s="11">
        <f t="shared" si="1140"/>
        <v>0</v>
      </c>
      <c r="AY1125" s="11">
        <f t="shared" si="1141"/>
        <v>0</v>
      </c>
      <c r="BA1125" s="11">
        <f t="shared" si="1142"/>
        <v>0</v>
      </c>
      <c r="BC1125" s="11">
        <f t="shared" si="1143"/>
        <v>0</v>
      </c>
      <c r="BE1125" s="11">
        <f t="shared" si="1144"/>
        <v>0</v>
      </c>
      <c r="BG1125" s="11">
        <f t="shared" si="1145"/>
        <v>0</v>
      </c>
      <c r="BN1125" s="8">
        <f t="shared" si="1123"/>
        <v>0</v>
      </c>
      <c r="BO1125" s="8">
        <f t="shared" si="1124"/>
        <v>0</v>
      </c>
      <c r="BP1125" s="8">
        <f t="shared" si="1126"/>
        <v>0</v>
      </c>
      <c r="BQ1125" s="12">
        <f t="shared" si="1127"/>
        <v>0</v>
      </c>
    </row>
    <row r="1126" spans="1:69">
      <c r="A1126" s="28">
        <v>1977</v>
      </c>
      <c r="B1126" s="27" t="s">
        <v>63</v>
      </c>
      <c r="C1126" s="24">
        <f t="shared" si="1122"/>
        <v>1104</v>
      </c>
      <c r="D1126" s="7" t="e">
        <f t="shared" ca="1" si="1102"/>
        <v>#N/A</v>
      </c>
      <c r="E1126" s="26">
        <f t="array" aca="1" ref="E1126" ca="1">AVERAGE(IF(INDIRECT(DatCol&amp;"$"&amp;TEXT(C1126,"###")):INDIRECT(DatCol&amp;"$"&amp;TEXT(C1126+57,"###"))&gt;0,INDIRECT(DatCol&amp;"$"&amp;TEXT(C1126,"###")):INDIRECT(DatCol&amp;"$"&amp;TEXT(C1126+57,"###"))))</f>
        <v>209</v>
      </c>
      <c r="F1126" s="26" t="str">
        <f t="shared" si="1101"/>
        <v>S</v>
      </c>
      <c r="G1126" s="8"/>
      <c r="K1126" s="9">
        <f t="shared" si="1125"/>
        <v>0</v>
      </c>
      <c r="M1126" s="11">
        <f t="shared" si="1128"/>
        <v>0</v>
      </c>
      <c r="O1126" s="11">
        <f t="shared" si="1129"/>
        <v>0</v>
      </c>
      <c r="Q1126" s="11">
        <f t="shared" si="1130"/>
        <v>0</v>
      </c>
      <c r="Y1126" s="11">
        <f t="shared" si="1131"/>
        <v>0</v>
      </c>
      <c r="AG1126" s="11">
        <f t="shared" si="1132"/>
        <v>0</v>
      </c>
      <c r="AI1126" s="11">
        <f t="shared" si="1133"/>
        <v>0</v>
      </c>
      <c r="AK1126" s="13">
        <f t="shared" si="1134"/>
        <v>0</v>
      </c>
      <c r="AM1126" s="13">
        <f t="shared" si="1135"/>
        <v>0</v>
      </c>
      <c r="AO1126" s="11">
        <f t="shared" si="1136"/>
        <v>0</v>
      </c>
      <c r="AQ1126" s="11">
        <f t="shared" si="1137"/>
        <v>0</v>
      </c>
      <c r="AS1126" s="11">
        <f t="shared" si="1138"/>
        <v>0</v>
      </c>
      <c r="AU1126" s="11">
        <f t="shared" si="1139"/>
        <v>0</v>
      </c>
      <c r="AW1126" s="11">
        <f t="shared" si="1140"/>
        <v>0</v>
      </c>
      <c r="AY1126" s="11">
        <f t="shared" si="1141"/>
        <v>0</v>
      </c>
      <c r="BA1126" s="11">
        <f t="shared" si="1142"/>
        <v>0</v>
      </c>
      <c r="BC1126" s="11">
        <f t="shared" si="1143"/>
        <v>0</v>
      </c>
      <c r="BE1126" s="11">
        <f t="shared" si="1144"/>
        <v>0</v>
      </c>
      <c r="BG1126" s="11">
        <f t="shared" si="1145"/>
        <v>0</v>
      </c>
      <c r="BN1126" s="8">
        <f t="shared" si="1123"/>
        <v>0</v>
      </c>
      <c r="BO1126" s="8">
        <f t="shared" si="1124"/>
        <v>0</v>
      </c>
      <c r="BP1126" s="8">
        <f t="shared" si="1126"/>
        <v>0</v>
      </c>
      <c r="BQ1126" s="12">
        <f t="shared" si="1127"/>
        <v>0</v>
      </c>
    </row>
    <row r="1127" spans="1:69">
      <c r="A1127" s="28">
        <v>1978</v>
      </c>
      <c r="B1127" s="27" t="s">
        <v>63</v>
      </c>
      <c r="C1127" s="24">
        <f t="shared" si="1122"/>
        <v>1104</v>
      </c>
      <c r="D1127" s="7" t="e">
        <f t="shared" ca="1" si="1102"/>
        <v>#N/A</v>
      </c>
      <c r="E1127" s="26">
        <f t="array" aca="1" ref="E1127" ca="1">AVERAGE(IF(INDIRECT(DatCol&amp;"$"&amp;TEXT(C1127,"###")):INDIRECT(DatCol&amp;"$"&amp;TEXT(C1127+57,"###"))&gt;0,INDIRECT(DatCol&amp;"$"&amp;TEXT(C1127,"###")):INDIRECT(DatCol&amp;"$"&amp;TEXT(C1127+57,"###"))))</f>
        <v>209</v>
      </c>
      <c r="F1127" s="26" t="str">
        <f t="shared" si="1101"/>
        <v>S</v>
      </c>
      <c r="G1127" s="8"/>
      <c r="I1127" s="8">
        <v>2</v>
      </c>
      <c r="K1127" s="9">
        <f t="shared" si="1125"/>
        <v>0</v>
      </c>
      <c r="L1127" s="12">
        <v>625</v>
      </c>
      <c r="M1127" s="11">
        <f t="shared" si="1128"/>
        <v>31250</v>
      </c>
      <c r="O1127" s="11">
        <f t="shared" si="1129"/>
        <v>0</v>
      </c>
      <c r="Q1127" s="11">
        <f t="shared" si="1130"/>
        <v>0</v>
      </c>
      <c r="Y1127" s="11">
        <f t="shared" si="1131"/>
        <v>0</v>
      </c>
      <c r="AG1127" s="11">
        <f t="shared" si="1132"/>
        <v>0</v>
      </c>
      <c r="AI1127" s="11">
        <f t="shared" si="1133"/>
        <v>0</v>
      </c>
      <c r="AK1127" s="13">
        <f t="shared" si="1134"/>
        <v>0</v>
      </c>
      <c r="AM1127" s="13">
        <f t="shared" si="1135"/>
        <v>0</v>
      </c>
      <c r="AO1127" s="11">
        <f t="shared" si="1136"/>
        <v>0</v>
      </c>
      <c r="AQ1127" s="11">
        <f t="shared" si="1137"/>
        <v>0</v>
      </c>
      <c r="AS1127" s="11">
        <f t="shared" si="1138"/>
        <v>0</v>
      </c>
      <c r="AU1127" s="11">
        <f t="shared" si="1139"/>
        <v>0</v>
      </c>
      <c r="AW1127" s="11">
        <f t="shared" si="1140"/>
        <v>0</v>
      </c>
      <c r="AY1127" s="11">
        <f t="shared" si="1141"/>
        <v>0</v>
      </c>
      <c r="BA1127" s="11">
        <f t="shared" si="1142"/>
        <v>0</v>
      </c>
      <c r="BC1127" s="11">
        <f t="shared" si="1143"/>
        <v>0</v>
      </c>
      <c r="BE1127" s="11">
        <f t="shared" si="1144"/>
        <v>0</v>
      </c>
      <c r="BG1127" s="11">
        <f t="shared" si="1145"/>
        <v>0</v>
      </c>
      <c r="BN1127" s="8">
        <f t="shared" si="1123"/>
        <v>625</v>
      </c>
      <c r="BO1127" s="8">
        <f t="shared" si="1124"/>
        <v>31250</v>
      </c>
      <c r="BP1127" s="8">
        <f t="shared" si="1126"/>
        <v>0</v>
      </c>
      <c r="BQ1127" s="12">
        <f t="shared" si="1127"/>
        <v>0</v>
      </c>
    </row>
    <row r="1128" spans="1:69">
      <c r="A1128" s="28">
        <v>1979</v>
      </c>
      <c r="B1128" s="27" t="s">
        <v>63</v>
      </c>
      <c r="C1128" s="24">
        <f t="shared" si="1122"/>
        <v>1104</v>
      </c>
      <c r="D1128" s="7" t="e">
        <f t="shared" ca="1" si="1102"/>
        <v>#N/A</v>
      </c>
      <c r="E1128" s="26">
        <f t="array" aca="1" ref="E1128" ca="1">AVERAGE(IF(INDIRECT(DatCol&amp;"$"&amp;TEXT(C1128,"###")):INDIRECT(DatCol&amp;"$"&amp;TEXT(C1128+57,"###"))&gt;0,INDIRECT(DatCol&amp;"$"&amp;TEXT(C1128,"###")):INDIRECT(DatCol&amp;"$"&amp;TEXT(C1128+57,"###"))))</f>
        <v>209</v>
      </c>
      <c r="F1128" s="26" t="str">
        <f t="shared" si="1101"/>
        <v>S</v>
      </c>
      <c r="G1128" s="8"/>
      <c r="I1128" s="8">
        <v>34</v>
      </c>
      <c r="K1128" s="9">
        <f t="shared" si="1125"/>
        <v>0</v>
      </c>
      <c r="L1128" s="12">
        <v>1788</v>
      </c>
      <c r="M1128" s="11">
        <f t="shared" si="1128"/>
        <v>89400</v>
      </c>
      <c r="O1128" s="11">
        <f t="shared" si="1129"/>
        <v>0</v>
      </c>
      <c r="Q1128" s="11">
        <f t="shared" si="1130"/>
        <v>0</v>
      </c>
      <c r="Y1128" s="11">
        <f t="shared" si="1131"/>
        <v>0</v>
      </c>
      <c r="AG1128" s="11">
        <f t="shared" si="1132"/>
        <v>0</v>
      </c>
      <c r="AI1128" s="11">
        <f t="shared" si="1133"/>
        <v>0</v>
      </c>
      <c r="AK1128" s="13">
        <f t="shared" si="1134"/>
        <v>0</v>
      </c>
      <c r="AM1128" s="13">
        <f t="shared" si="1135"/>
        <v>0</v>
      </c>
      <c r="AO1128" s="11">
        <f t="shared" si="1136"/>
        <v>0</v>
      </c>
      <c r="AQ1128" s="11">
        <f t="shared" si="1137"/>
        <v>0</v>
      </c>
      <c r="AS1128" s="11">
        <f t="shared" si="1138"/>
        <v>0</v>
      </c>
      <c r="AU1128" s="11">
        <f t="shared" si="1139"/>
        <v>0</v>
      </c>
      <c r="AW1128" s="11">
        <f t="shared" si="1140"/>
        <v>0</v>
      </c>
      <c r="AY1128" s="11">
        <f t="shared" si="1141"/>
        <v>0</v>
      </c>
      <c r="BA1128" s="11">
        <f t="shared" si="1142"/>
        <v>0</v>
      </c>
      <c r="BC1128" s="11">
        <f t="shared" si="1143"/>
        <v>0</v>
      </c>
      <c r="BE1128" s="11">
        <f t="shared" si="1144"/>
        <v>0</v>
      </c>
      <c r="BG1128" s="11">
        <f t="shared" si="1145"/>
        <v>0</v>
      </c>
      <c r="BN1128" s="8">
        <f t="shared" si="1123"/>
        <v>1788</v>
      </c>
      <c r="BO1128" s="8">
        <f t="shared" si="1124"/>
        <v>89400</v>
      </c>
      <c r="BP1128" s="8">
        <f t="shared" si="1126"/>
        <v>0</v>
      </c>
      <c r="BQ1128" s="12">
        <f t="shared" si="1127"/>
        <v>0</v>
      </c>
    </row>
    <row r="1129" spans="1:69">
      <c r="A1129" s="28">
        <v>1980</v>
      </c>
      <c r="B1129" s="27" t="s">
        <v>63</v>
      </c>
      <c r="C1129" s="24">
        <f t="shared" si="1122"/>
        <v>1104</v>
      </c>
      <c r="D1129" s="7" t="e">
        <f t="shared" ca="1" si="1102"/>
        <v>#N/A</v>
      </c>
      <c r="E1129" s="26">
        <f t="array" aca="1" ref="E1129" ca="1">AVERAGE(IF(INDIRECT(DatCol&amp;"$"&amp;TEXT(C1129,"###")):INDIRECT(DatCol&amp;"$"&amp;TEXT(C1129+57,"###"))&gt;0,INDIRECT(DatCol&amp;"$"&amp;TEXT(C1129,"###")):INDIRECT(DatCol&amp;"$"&amp;TEXT(C1129+57,"###"))))</f>
        <v>209</v>
      </c>
      <c r="F1129" s="26" t="str">
        <f t="shared" si="1101"/>
        <v>S</v>
      </c>
      <c r="G1129" s="8"/>
      <c r="K1129" s="9">
        <f t="shared" si="1125"/>
        <v>0</v>
      </c>
      <c r="M1129" s="11">
        <f t="shared" si="1128"/>
        <v>0</v>
      </c>
      <c r="O1129" s="11">
        <f t="shared" si="1129"/>
        <v>0</v>
      </c>
      <c r="Q1129" s="11">
        <f t="shared" si="1130"/>
        <v>0</v>
      </c>
      <c r="Y1129" s="11">
        <f t="shared" si="1131"/>
        <v>0</v>
      </c>
      <c r="AG1129" s="11">
        <f t="shared" si="1132"/>
        <v>0</v>
      </c>
      <c r="AI1129" s="11">
        <f t="shared" si="1133"/>
        <v>0</v>
      </c>
      <c r="AK1129" s="13">
        <f t="shared" si="1134"/>
        <v>0</v>
      </c>
      <c r="AM1129" s="13">
        <f t="shared" si="1135"/>
        <v>0</v>
      </c>
      <c r="AO1129" s="11">
        <f t="shared" si="1136"/>
        <v>0</v>
      </c>
      <c r="AQ1129" s="11">
        <f t="shared" si="1137"/>
        <v>0</v>
      </c>
      <c r="AS1129" s="11">
        <f t="shared" si="1138"/>
        <v>0</v>
      </c>
      <c r="AU1129" s="11">
        <f t="shared" si="1139"/>
        <v>0</v>
      </c>
      <c r="AW1129" s="11">
        <f t="shared" si="1140"/>
        <v>0</v>
      </c>
      <c r="AY1129" s="11">
        <f t="shared" si="1141"/>
        <v>0</v>
      </c>
      <c r="BA1129" s="11">
        <f t="shared" si="1142"/>
        <v>0</v>
      </c>
      <c r="BC1129" s="11">
        <f t="shared" si="1143"/>
        <v>0</v>
      </c>
      <c r="BE1129" s="11">
        <f t="shared" si="1144"/>
        <v>0</v>
      </c>
      <c r="BG1129" s="11">
        <f t="shared" si="1145"/>
        <v>0</v>
      </c>
      <c r="BN1129" s="8">
        <f t="shared" si="1123"/>
        <v>0</v>
      </c>
      <c r="BO1129" s="8">
        <f t="shared" si="1124"/>
        <v>0</v>
      </c>
      <c r="BP1129" s="8">
        <f t="shared" si="1126"/>
        <v>0</v>
      </c>
      <c r="BQ1129" s="12">
        <f t="shared" si="1127"/>
        <v>0</v>
      </c>
    </row>
    <row r="1130" spans="1:69">
      <c r="A1130" s="28">
        <v>1981</v>
      </c>
      <c r="B1130" s="27" t="s">
        <v>63</v>
      </c>
      <c r="C1130" s="24">
        <f t="shared" si="1122"/>
        <v>1104</v>
      </c>
      <c r="D1130" s="7" t="e">
        <f t="shared" ca="1" si="1102"/>
        <v>#N/A</v>
      </c>
      <c r="E1130" s="26">
        <f t="array" aca="1" ref="E1130" ca="1">AVERAGE(IF(INDIRECT(DatCol&amp;"$"&amp;TEXT(C1130,"###")):INDIRECT(DatCol&amp;"$"&amp;TEXT(C1130+57,"###"))&gt;0,INDIRECT(DatCol&amp;"$"&amp;TEXT(C1130,"###")):INDIRECT(DatCol&amp;"$"&amp;TEXT(C1130+57,"###"))))</f>
        <v>209</v>
      </c>
      <c r="F1130" s="26" t="str">
        <f t="shared" si="1101"/>
        <v>S</v>
      </c>
      <c r="G1130" s="8"/>
      <c r="I1130" s="8">
        <v>16</v>
      </c>
      <c r="K1130" s="9">
        <f t="shared" si="1125"/>
        <v>0</v>
      </c>
      <c r="L1130" s="12">
        <v>1198</v>
      </c>
      <c r="M1130" s="11">
        <f t="shared" si="1128"/>
        <v>59900</v>
      </c>
      <c r="O1130" s="11">
        <f t="shared" si="1129"/>
        <v>0</v>
      </c>
      <c r="Q1130" s="11">
        <f t="shared" si="1130"/>
        <v>0</v>
      </c>
      <c r="Y1130" s="11">
        <f t="shared" si="1131"/>
        <v>0</v>
      </c>
      <c r="AG1130" s="11">
        <f t="shared" si="1132"/>
        <v>0</v>
      </c>
      <c r="AI1130" s="11">
        <f t="shared" si="1133"/>
        <v>0</v>
      </c>
      <c r="AK1130" s="13">
        <f t="shared" si="1134"/>
        <v>0</v>
      </c>
      <c r="AM1130" s="13">
        <f t="shared" si="1135"/>
        <v>0</v>
      </c>
      <c r="AO1130" s="11">
        <f t="shared" si="1136"/>
        <v>0</v>
      </c>
      <c r="AQ1130" s="11">
        <f t="shared" si="1137"/>
        <v>0</v>
      </c>
      <c r="AS1130" s="11">
        <f t="shared" si="1138"/>
        <v>0</v>
      </c>
      <c r="AU1130" s="11">
        <f t="shared" si="1139"/>
        <v>0</v>
      </c>
      <c r="AW1130" s="11">
        <f t="shared" si="1140"/>
        <v>0</v>
      </c>
      <c r="AY1130" s="11">
        <f t="shared" si="1141"/>
        <v>0</v>
      </c>
      <c r="BA1130" s="11">
        <f t="shared" si="1142"/>
        <v>0</v>
      </c>
      <c r="BC1130" s="11">
        <f t="shared" si="1143"/>
        <v>0</v>
      </c>
      <c r="BE1130" s="11">
        <f t="shared" si="1144"/>
        <v>0</v>
      </c>
      <c r="BG1130" s="11">
        <f t="shared" si="1145"/>
        <v>0</v>
      </c>
      <c r="BN1130" s="8">
        <f t="shared" si="1123"/>
        <v>1198</v>
      </c>
      <c r="BO1130" s="8">
        <f t="shared" si="1124"/>
        <v>59900</v>
      </c>
      <c r="BP1130" s="8">
        <f t="shared" si="1126"/>
        <v>0</v>
      </c>
      <c r="BQ1130" s="12">
        <f t="shared" si="1127"/>
        <v>0</v>
      </c>
    </row>
    <row r="1131" spans="1:69">
      <c r="A1131" s="28">
        <v>1982</v>
      </c>
      <c r="B1131" s="27" t="s">
        <v>63</v>
      </c>
      <c r="C1131" s="24">
        <f t="shared" si="1122"/>
        <v>1104</v>
      </c>
      <c r="D1131" s="7" t="e">
        <f t="shared" ca="1" si="1102"/>
        <v>#N/A</v>
      </c>
      <c r="E1131" s="26">
        <f t="array" aca="1" ref="E1131" ca="1">AVERAGE(IF(INDIRECT(DatCol&amp;"$"&amp;TEXT(C1131,"###")):INDIRECT(DatCol&amp;"$"&amp;TEXT(C1131+57,"###"))&gt;0,INDIRECT(DatCol&amp;"$"&amp;TEXT(C1131,"###")):INDIRECT(DatCol&amp;"$"&amp;TEXT(C1131+57,"###"))))</f>
        <v>209</v>
      </c>
      <c r="F1131" s="26" t="str">
        <f t="shared" si="1101"/>
        <v>S</v>
      </c>
      <c r="G1131" s="8"/>
      <c r="H1131" s="8">
        <v>66</v>
      </c>
      <c r="I1131" s="8">
        <v>22</v>
      </c>
      <c r="J1131" s="8">
        <v>29</v>
      </c>
      <c r="K1131" s="9">
        <f t="shared" si="1125"/>
        <v>95</v>
      </c>
      <c r="L1131" s="12">
        <v>424</v>
      </c>
      <c r="M1131" s="11">
        <f t="shared" si="1128"/>
        <v>21200</v>
      </c>
      <c r="O1131" s="11">
        <f t="shared" si="1129"/>
        <v>0</v>
      </c>
      <c r="Q1131" s="11">
        <f t="shared" si="1130"/>
        <v>0</v>
      </c>
      <c r="Y1131" s="11">
        <f t="shared" si="1131"/>
        <v>0</v>
      </c>
      <c r="AG1131" s="11">
        <f t="shared" si="1132"/>
        <v>0</v>
      </c>
      <c r="AI1131" s="11">
        <f t="shared" si="1133"/>
        <v>0</v>
      </c>
      <c r="AK1131" s="13">
        <f t="shared" si="1134"/>
        <v>0</v>
      </c>
      <c r="AM1131" s="13">
        <f t="shared" si="1135"/>
        <v>0</v>
      </c>
      <c r="AN1131" s="12">
        <v>5000</v>
      </c>
      <c r="AO1131" s="11">
        <f t="shared" si="1136"/>
        <v>400000</v>
      </c>
      <c r="AP1131" s="12">
        <v>168</v>
      </c>
      <c r="AQ1131" s="11">
        <f t="shared" si="1137"/>
        <v>13440</v>
      </c>
      <c r="AS1131" s="11">
        <f t="shared" si="1138"/>
        <v>0</v>
      </c>
      <c r="AU1131" s="11">
        <f t="shared" si="1139"/>
        <v>0</v>
      </c>
      <c r="AW1131" s="11">
        <f t="shared" si="1140"/>
        <v>0</v>
      </c>
      <c r="AY1131" s="11">
        <f t="shared" si="1141"/>
        <v>0</v>
      </c>
      <c r="BA1131" s="11">
        <f t="shared" si="1142"/>
        <v>0</v>
      </c>
      <c r="BC1131" s="11">
        <f t="shared" si="1143"/>
        <v>0</v>
      </c>
      <c r="BE1131" s="11">
        <f t="shared" si="1144"/>
        <v>0</v>
      </c>
      <c r="BG1131" s="11">
        <f t="shared" si="1145"/>
        <v>0</v>
      </c>
      <c r="BN1131" s="8">
        <f t="shared" si="1123"/>
        <v>5424</v>
      </c>
      <c r="BO1131" s="8">
        <f t="shared" si="1124"/>
        <v>421200</v>
      </c>
      <c r="BP1131" s="8">
        <f t="shared" si="1126"/>
        <v>168</v>
      </c>
      <c r="BQ1131" s="12">
        <f t="shared" si="1127"/>
        <v>13440</v>
      </c>
    </row>
    <row r="1132" spans="1:69">
      <c r="A1132" s="28">
        <v>1983</v>
      </c>
      <c r="B1132" s="27" t="s">
        <v>63</v>
      </c>
      <c r="C1132" s="24">
        <f t="shared" si="1122"/>
        <v>1104</v>
      </c>
      <c r="D1132" s="7" t="e">
        <f t="shared" ca="1" si="1102"/>
        <v>#N/A</v>
      </c>
      <c r="E1132" s="26">
        <f t="array" aca="1" ref="E1132" ca="1">AVERAGE(IF(INDIRECT(DatCol&amp;"$"&amp;TEXT(C1132,"###")):INDIRECT(DatCol&amp;"$"&amp;TEXT(C1132+57,"###"))&gt;0,INDIRECT(DatCol&amp;"$"&amp;TEXT(C1132,"###")):INDIRECT(DatCol&amp;"$"&amp;TEXT(C1132+57,"###"))))</f>
        <v>209</v>
      </c>
      <c r="F1132" s="26" t="str">
        <f t="shared" si="1101"/>
        <v>S</v>
      </c>
      <c r="G1132" s="8"/>
      <c r="H1132" s="8">
        <v>74</v>
      </c>
      <c r="I1132" s="8">
        <v>21</v>
      </c>
      <c r="J1132" s="8">
        <v>43</v>
      </c>
      <c r="K1132" s="9">
        <f t="shared" si="1125"/>
        <v>117</v>
      </c>
      <c r="L1132" s="12">
        <v>2001</v>
      </c>
      <c r="M1132" s="11">
        <f t="shared" si="1128"/>
        <v>100050</v>
      </c>
      <c r="O1132" s="11">
        <f t="shared" si="1129"/>
        <v>0</v>
      </c>
      <c r="Q1132" s="11">
        <f t="shared" si="1130"/>
        <v>0</v>
      </c>
      <c r="Y1132" s="11">
        <f t="shared" si="1131"/>
        <v>0</v>
      </c>
      <c r="AG1132" s="11">
        <f t="shared" si="1132"/>
        <v>0</v>
      </c>
      <c r="AI1132" s="11">
        <f t="shared" si="1133"/>
        <v>0</v>
      </c>
      <c r="AK1132" s="13">
        <f t="shared" si="1134"/>
        <v>0</v>
      </c>
      <c r="AM1132" s="13">
        <f t="shared" si="1135"/>
        <v>0</v>
      </c>
      <c r="AO1132" s="11">
        <f t="shared" si="1136"/>
        <v>0</v>
      </c>
      <c r="AP1132" s="12">
        <v>348</v>
      </c>
      <c r="AQ1132" s="11">
        <f t="shared" si="1137"/>
        <v>27840</v>
      </c>
      <c r="AS1132" s="11">
        <f t="shared" si="1138"/>
        <v>0</v>
      </c>
      <c r="AU1132" s="11">
        <f t="shared" si="1139"/>
        <v>0</v>
      </c>
      <c r="AW1132" s="11">
        <f t="shared" si="1140"/>
        <v>0</v>
      </c>
      <c r="AY1132" s="11">
        <f t="shared" si="1141"/>
        <v>0</v>
      </c>
      <c r="BA1132" s="11">
        <f t="shared" si="1142"/>
        <v>0</v>
      </c>
      <c r="BC1132" s="11">
        <f t="shared" si="1143"/>
        <v>0</v>
      </c>
      <c r="BE1132" s="11">
        <f t="shared" si="1144"/>
        <v>0</v>
      </c>
      <c r="BG1132" s="11">
        <f t="shared" si="1145"/>
        <v>0</v>
      </c>
      <c r="BN1132" s="8">
        <f t="shared" si="1123"/>
        <v>2001</v>
      </c>
      <c r="BO1132" s="8">
        <f t="shared" si="1124"/>
        <v>100050</v>
      </c>
      <c r="BP1132" s="8">
        <f t="shared" si="1126"/>
        <v>348</v>
      </c>
      <c r="BQ1132" s="12">
        <f t="shared" si="1127"/>
        <v>27840</v>
      </c>
    </row>
    <row r="1133" spans="1:69">
      <c r="A1133" s="28">
        <v>1984</v>
      </c>
      <c r="B1133" s="27" t="s">
        <v>63</v>
      </c>
      <c r="C1133" s="24">
        <f t="shared" si="1122"/>
        <v>1104</v>
      </c>
      <c r="D1133" s="7" t="e">
        <f t="shared" ca="1" si="1102"/>
        <v>#N/A</v>
      </c>
      <c r="E1133" s="26">
        <f t="array" aca="1" ref="E1133" ca="1">AVERAGE(IF(INDIRECT(DatCol&amp;"$"&amp;TEXT(C1133,"###")):INDIRECT(DatCol&amp;"$"&amp;TEXT(C1133+57,"###"))&gt;0,INDIRECT(DatCol&amp;"$"&amp;TEXT(C1133,"###")):INDIRECT(DatCol&amp;"$"&amp;TEXT(C1133+57,"###"))))</f>
        <v>209</v>
      </c>
      <c r="F1133" s="26" t="str">
        <f t="shared" si="1101"/>
        <v>S</v>
      </c>
      <c r="G1133" s="8"/>
      <c r="H1133" s="8">
        <v>48</v>
      </c>
      <c r="I1133" s="8">
        <v>45</v>
      </c>
      <c r="J1133" s="8">
        <v>20</v>
      </c>
      <c r="K1133" s="9">
        <f t="shared" si="1125"/>
        <v>68</v>
      </c>
      <c r="L1133" s="12">
        <v>1686</v>
      </c>
      <c r="M1133" s="11">
        <f t="shared" si="1128"/>
        <v>84300</v>
      </c>
      <c r="O1133" s="11">
        <f t="shared" si="1129"/>
        <v>0</v>
      </c>
      <c r="Q1133" s="11">
        <f t="shared" si="1130"/>
        <v>0</v>
      </c>
      <c r="Y1133" s="11">
        <f t="shared" si="1131"/>
        <v>0</v>
      </c>
      <c r="AG1133" s="11">
        <f t="shared" si="1132"/>
        <v>0</v>
      </c>
      <c r="AI1133" s="11">
        <f t="shared" si="1133"/>
        <v>0</v>
      </c>
      <c r="AK1133" s="13">
        <f t="shared" si="1134"/>
        <v>0</v>
      </c>
      <c r="AM1133" s="13">
        <f t="shared" si="1135"/>
        <v>0</v>
      </c>
      <c r="AN1133" s="12" t="s">
        <v>64</v>
      </c>
      <c r="AO1133" s="11">
        <f t="shared" si="1136"/>
        <v>0</v>
      </c>
      <c r="AP1133" s="12">
        <v>3407</v>
      </c>
      <c r="AQ1133" s="11">
        <f t="shared" si="1137"/>
        <v>272560</v>
      </c>
      <c r="AS1133" s="11">
        <f t="shared" si="1138"/>
        <v>0</v>
      </c>
      <c r="AU1133" s="11">
        <f t="shared" si="1139"/>
        <v>0</v>
      </c>
      <c r="AW1133" s="11">
        <f t="shared" si="1140"/>
        <v>0</v>
      </c>
      <c r="AY1133" s="11">
        <f t="shared" si="1141"/>
        <v>0</v>
      </c>
      <c r="BA1133" s="11">
        <f t="shared" si="1142"/>
        <v>0</v>
      </c>
      <c r="BC1133" s="11">
        <f t="shared" si="1143"/>
        <v>0</v>
      </c>
      <c r="BE1133" s="11">
        <f t="shared" si="1144"/>
        <v>0</v>
      </c>
      <c r="BG1133" s="11">
        <f t="shared" si="1145"/>
        <v>0</v>
      </c>
      <c r="BN1133" s="8">
        <f t="shared" si="1123"/>
        <v>1686</v>
      </c>
      <c r="BO1133" s="8">
        <f t="shared" si="1124"/>
        <v>84300</v>
      </c>
      <c r="BP1133" s="8">
        <f t="shared" si="1126"/>
        <v>3407</v>
      </c>
      <c r="BQ1133" s="12">
        <f t="shared" si="1127"/>
        <v>272560</v>
      </c>
    </row>
    <row r="1134" spans="1:69">
      <c r="A1134" s="28">
        <v>1985</v>
      </c>
      <c r="B1134" s="27" t="s">
        <v>63</v>
      </c>
      <c r="C1134" s="24">
        <f t="shared" si="1122"/>
        <v>1104</v>
      </c>
      <c r="D1134" s="7" t="e">
        <f t="shared" ca="1" si="1102"/>
        <v>#N/A</v>
      </c>
      <c r="E1134" s="26">
        <f t="array" aca="1" ref="E1134" ca="1">AVERAGE(IF(INDIRECT(DatCol&amp;"$"&amp;TEXT(C1134,"###")):INDIRECT(DatCol&amp;"$"&amp;TEXT(C1134+57,"###"))&gt;0,INDIRECT(DatCol&amp;"$"&amp;TEXT(C1134,"###")):INDIRECT(DatCol&amp;"$"&amp;TEXT(C1134+57,"###"))))</f>
        <v>209</v>
      </c>
      <c r="F1134" s="26" t="str">
        <f t="shared" si="1101"/>
        <v>S</v>
      </c>
      <c r="G1134" s="8">
        <v>3</v>
      </c>
      <c r="H1134" s="8">
        <v>32</v>
      </c>
      <c r="I1134" s="8">
        <v>53</v>
      </c>
      <c r="J1134" s="8">
        <v>21</v>
      </c>
      <c r="K1134" s="9">
        <f t="shared" si="1125"/>
        <v>56</v>
      </c>
      <c r="L1134" s="12">
        <v>2865.5</v>
      </c>
      <c r="M1134" s="11">
        <f t="shared" si="1128"/>
        <v>143275</v>
      </c>
      <c r="O1134" s="11">
        <f t="shared" si="1129"/>
        <v>0</v>
      </c>
      <c r="Q1134" s="11">
        <f t="shared" si="1130"/>
        <v>0</v>
      </c>
      <c r="Y1134" s="11">
        <f t="shared" si="1131"/>
        <v>0</v>
      </c>
      <c r="AG1134" s="11">
        <f t="shared" si="1132"/>
        <v>0</v>
      </c>
      <c r="AI1134" s="11">
        <f t="shared" si="1133"/>
        <v>0</v>
      </c>
      <c r="AK1134" s="13">
        <f t="shared" si="1134"/>
        <v>0</v>
      </c>
      <c r="AM1134" s="13">
        <f t="shared" si="1135"/>
        <v>0</v>
      </c>
      <c r="AO1134" s="11">
        <f t="shared" si="1136"/>
        <v>0</v>
      </c>
      <c r="AP1134" s="12">
        <v>500</v>
      </c>
      <c r="AQ1134" s="11">
        <f t="shared" si="1137"/>
        <v>40000</v>
      </c>
      <c r="AS1134" s="11">
        <f t="shared" si="1138"/>
        <v>0</v>
      </c>
      <c r="AU1134" s="11">
        <f t="shared" si="1139"/>
        <v>0</v>
      </c>
      <c r="AW1134" s="11">
        <f t="shared" si="1140"/>
        <v>0</v>
      </c>
      <c r="AY1134" s="11">
        <f t="shared" si="1141"/>
        <v>0</v>
      </c>
      <c r="BA1134" s="11">
        <f t="shared" si="1142"/>
        <v>0</v>
      </c>
      <c r="BC1134" s="11">
        <f t="shared" si="1143"/>
        <v>0</v>
      </c>
      <c r="BE1134" s="11">
        <f t="shared" si="1144"/>
        <v>0</v>
      </c>
      <c r="BG1134" s="11">
        <f t="shared" si="1145"/>
        <v>0</v>
      </c>
      <c r="BN1134" s="8">
        <f t="shared" si="1123"/>
        <v>2865.5</v>
      </c>
      <c r="BO1134" s="8">
        <f t="shared" si="1124"/>
        <v>143275</v>
      </c>
      <c r="BP1134" s="8">
        <f t="shared" si="1126"/>
        <v>500</v>
      </c>
      <c r="BQ1134" s="12">
        <f t="shared" si="1127"/>
        <v>40000</v>
      </c>
    </row>
    <row r="1135" spans="1:69">
      <c r="A1135" s="28">
        <v>1986</v>
      </c>
      <c r="B1135" s="27" t="s">
        <v>63</v>
      </c>
      <c r="C1135" s="24">
        <f t="shared" si="1122"/>
        <v>1104</v>
      </c>
      <c r="D1135" s="7" t="e">
        <f t="shared" ca="1" si="1102"/>
        <v>#N/A</v>
      </c>
      <c r="E1135" s="26">
        <f t="array" aca="1" ref="E1135" ca="1">AVERAGE(IF(INDIRECT(DatCol&amp;"$"&amp;TEXT(C1135,"###")):INDIRECT(DatCol&amp;"$"&amp;TEXT(C1135+57,"###"))&gt;0,INDIRECT(DatCol&amp;"$"&amp;TEXT(C1135,"###")):INDIRECT(DatCol&amp;"$"&amp;TEXT(C1135+57,"###"))))</f>
        <v>209</v>
      </c>
      <c r="F1135" s="26" t="str">
        <f t="shared" si="1101"/>
        <v>S</v>
      </c>
      <c r="G1135" s="8">
        <v>4</v>
      </c>
      <c r="H1135" s="8">
        <v>15</v>
      </c>
      <c r="I1135" s="8">
        <v>83</v>
      </c>
      <c r="J1135" s="8">
        <v>9</v>
      </c>
      <c r="K1135" s="9">
        <f t="shared" si="1125"/>
        <v>28</v>
      </c>
      <c r="L1135" s="12">
        <v>5204</v>
      </c>
      <c r="M1135" s="11">
        <f t="shared" si="1128"/>
        <v>260200</v>
      </c>
      <c r="O1135" s="11">
        <f t="shared" si="1129"/>
        <v>0</v>
      </c>
      <c r="Q1135" s="11">
        <f t="shared" si="1130"/>
        <v>0</v>
      </c>
      <c r="Y1135" s="11">
        <f t="shared" si="1131"/>
        <v>0</v>
      </c>
      <c r="AG1135" s="11">
        <f t="shared" si="1132"/>
        <v>0</v>
      </c>
      <c r="AI1135" s="11">
        <f t="shared" si="1133"/>
        <v>0</v>
      </c>
      <c r="AK1135" s="13">
        <f t="shared" si="1134"/>
        <v>0</v>
      </c>
      <c r="AM1135" s="13">
        <f t="shared" si="1135"/>
        <v>0</v>
      </c>
      <c r="AO1135" s="11">
        <f t="shared" si="1136"/>
        <v>0</v>
      </c>
      <c r="AP1135" s="12">
        <v>144</v>
      </c>
      <c r="AQ1135" s="11">
        <f t="shared" si="1137"/>
        <v>11520</v>
      </c>
      <c r="AS1135" s="11">
        <f t="shared" si="1138"/>
        <v>0</v>
      </c>
      <c r="AU1135" s="11">
        <f t="shared" si="1139"/>
        <v>0</v>
      </c>
      <c r="AW1135" s="11">
        <f t="shared" si="1140"/>
        <v>0</v>
      </c>
      <c r="AY1135" s="11">
        <f t="shared" si="1141"/>
        <v>0</v>
      </c>
      <c r="BA1135" s="11">
        <f t="shared" si="1142"/>
        <v>0</v>
      </c>
      <c r="BC1135" s="11">
        <f t="shared" si="1143"/>
        <v>0</v>
      </c>
      <c r="BE1135" s="11">
        <f t="shared" si="1144"/>
        <v>0</v>
      </c>
      <c r="BG1135" s="11">
        <f t="shared" si="1145"/>
        <v>0</v>
      </c>
      <c r="BN1135" s="8">
        <f t="shared" si="1123"/>
        <v>5204</v>
      </c>
      <c r="BO1135" s="8">
        <f t="shared" si="1124"/>
        <v>260200</v>
      </c>
      <c r="BP1135" s="8">
        <f t="shared" si="1126"/>
        <v>144</v>
      </c>
      <c r="BQ1135" s="12">
        <f t="shared" si="1127"/>
        <v>11520</v>
      </c>
    </row>
    <row r="1136" spans="1:69">
      <c r="A1136" s="28">
        <v>1987</v>
      </c>
      <c r="B1136" s="27" t="s">
        <v>63</v>
      </c>
      <c r="C1136" s="24">
        <f t="shared" si="1122"/>
        <v>1104</v>
      </c>
      <c r="D1136" s="7" t="e">
        <f t="shared" ca="1" si="1102"/>
        <v>#N/A</v>
      </c>
      <c r="E1136" s="26">
        <f t="array" aca="1" ref="E1136" ca="1">AVERAGE(IF(INDIRECT(DatCol&amp;"$"&amp;TEXT(C1136,"###")):INDIRECT(DatCol&amp;"$"&amp;TEXT(C1136+57,"###"))&gt;0,INDIRECT(DatCol&amp;"$"&amp;TEXT(C1136,"###")):INDIRECT(DatCol&amp;"$"&amp;TEXT(C1136+57,"###"))))</f>
        <v>209</v>
      </c>
      <c r="F1136" s="26" t="str">
        <f t="shared" si="1101"/>
        <v>S</v>
      </c>
      <c r="G1136" s="8">
        <v>1</v>
      </c>
      <c r="H1136" s="8">
        <v>0</v>
      </c>
      <c r="I1136" s="8">
        <v>87</v>
      </c>
      <c r="J1136" s="8">
        <v>0</v>
      </c>
      <c r="K1136" s="9">
        <f t="shared" si="1125"/>
        <v>1</v>
      </c>
      <c r="L1136" s="12">
        <v>12438</v>
      </c>
      <c r="M1136" s="11">
        <f t="shared" ref="M1136:M1144" si="1146">(L1136*50)</f>
        <v>621900</v>
      </c>
      <c r="O1136" s="11">
        <f t="shared" ref="O1136:O1144" si="1147">(N1136*50)</f>
        <v>0</v>
      </c>
      <c r="Q1136" s="11">
        <f t="shared" ref="Q1136:Q1144" si="1148">((P1136*330)/5.5)</f>
        <v>0</v>
      </c>
      <c r="Y1136" s="11">
        <f t="shared" ref="Y1136:Y1144" si="1149">((X1136*330)/5.5)</f>
        <v>0</v>
      </c>
      <c r="AG1136" s="11">
        <f t="shared" ref="AG1136:AG1144" si="1150">(AF1136*65)</f>
        <v>0</v>
      </c>
      <c r="AI1136" s="11">
        <f t="shared" ref="AI1136:AI1144" si="1151">(AH1136*65)</f>
        <v>0</v>
      </c>
      <c r="AK1136" s="13">
        <f t="shared" ref="AK1136:AK1144" si="1152">(AJ1136*9)</f>
        <v>0</v>
      </c>
      <c r="AM1136" s="13">
        <f t="shared" ref="AM1136:AM1144" si="1153">(AL1136*9)</f>
        <v>0</v>
      </c>
      <c r="AO1136" s="11">
        <f t="shared" ref="AO1136:AO1144" si="1154">(AN1136*80)</f>
        <v>0</v>
      </c>
      <c r="AP1136" s="12">
        <v>100</v>
      </c>
      <c r="AQ1136" s="11">
        <f t="shared" ref="AQ1136:AQ1144" si="1155">(AP1136*80)</f>
        <v>8000</v>
      </c>
      <c r="AS1136" s="11">
        <f t="shared" ref="AS1136:AS1144" si="1156">(AR1136*50)</f>
        <v>0</v>
      </c>
      <c r="AU1136" s="11">
        <f t="shared" ref="AU1136:AU1144" si="1157">(AT1136*50)</f>
        <v>0</v>
      </c>
      <c r="AW1136" s="11">
        <f t="shared" ref="AW1136:AW1144" si="1158">(AV1136*60)</f>
        <v>0</v>
      </c>
      <c r="AY1136" s="11">
        <f t="shared" ref="AY1136:AY1144" si="1159">(AX1136*60)</f>
        <v>0</v>
      </c>
      <c r="BA1136" s="11">
        <f t="shared" ref="BA1136:BA1144" si="1160">(AZ1136*40)</f>
        <v>0</v>
      </c>
      <c r="BC1136" s="11">
        <f t="shared" ref="BC1136:BC1144" si="1161">(BB1136*40)</f>
        <v>0</v>
      </c>
      <c r="BE1136" s="11">
        <f t="shared" ref="BE1136:BE1144" si="1162">(BD1136*95)</f>
        <v>0</v>
      </c>
      <c r="BG1136" s="11">
        <f t="shared" ref="BG1136:BG1144" si="1163">(BF1136*95)</f>
        <v>0</v>
      </c>
      <c r="BN1136" s="8">
        <f t="shared" si="1123"/>
        <v>12438</v>
      </c>
      <c r="BO1136" s="8">
        <f t="shared" si="1124"/>
        <v>621900</v>
      </c>
      <c r="BP1136" s="8">
        <f t="shared" si="1126"/>
        <v>100</v>
      </c>
      <c r="BQ1136" s="12">
        <f t="shared" si="1127"/>
        <v>8000</v>
      </c>
    </row>
    <row r="1137" spans="1:69">
      <c r="A1137" s="28">
        <v>1988</v>
      </c>
      <c r="B1137" s="27" t="s">
        <v>63</v>
      </c>
      <c r="C1137" s="24">
        <f t="shared" si="1122"/>
        <v>1104</v>
      </c>
      <c r="D1137" s="7" t="e">
        <f t="shared" ca="1" si="1102"/>
        <v>#N/A</v>
      </c>
      <c r="E1137" s="26">
        <f t="array" aca="1" ref="E1137" ca="1">AVERAGE(IF(INDIRECT(DatCol&amp;"$"&amp;TEXT(C1137,"###")):INDIRECT(DatCol&amp;"$"&amp;TEXT(C1137+57,"###"))&gt;0,INDIRECT(DatCol&amp;"$"&amp;TEXT(C1137,"###")):INDIRECT(DatCol&amp;"$"&amp;TEXT(C1137+57,"###"))))</f>
        <v>209</v>
      </c>
      <c r="F1137" s="26" t="str">
        <f t="shared" si="1101"/>
        <v>S</v>
      </c>
      <c r="G1137" s="8">
        <v>7</v>
      </c>
      <c r="H1137" s="8">
        <v>18</v>
      </c>
      <c r="I1137" s="8">
        <v>53</v>
      </c>
      <c r="J1137" s="8">
        <v>17</v>
      </c>
      <c r="K1137" s="9">
        <f t="shared" si="1125"/>
        <v>42</v>
      </c>
      <c r="L1137" s="12">
        <v>6575</v>
      </c>
      <c r="M1137" s="11">
        <f t="shared" si="1146"/>
        <v>328750</v>
      </c>
      <c r="O1137" s="11">
        <f t="shared" si="1147"/>
        <v>0</v>
      </c>
      <c r="Q1137" s="11">
        <f t="shared" si="1148"/>
        <v>0</v>
      </c>
      <c r="Y1137" s="11">
        <f t="shared" si="1149"/>
        <v>0</v>
      </c>
      <c r="AG1137" s="11">
        <f t="shared" si="1150"/>
        <v>0</v>
      </c>
      <c r="AI1137" s="11">
        <f t="shared" si="1151"/>
        <v>0</v>
      </c>
      <c r="AK1137" s="13">
        <f t="shared" si="1152"/>
        <v>0</v>
      </c>
      <c r="AM1137" s="13">
        <f t="shared" si="1153"/>
        <v>0</v>
      </c>
      <c r="AO1137" s="11">
        <f t="shared" si="1154"/>
        <v>0</v>
      </c>
      <c r="AP1137" s="12">
        <v>85</v>
      </c>
      <c r="AQ1137" s="11">
        <f t="shared" si="1155"/>
        <v>6800</v>
      </c>
      <c r="AS1137" s="11">
        <f t="shared" si="1156"/>
        <v>0</v>
      </c>
      <c r="AU1137" s="11">
        <f t="shared" si="1157"/>
        <v>0</v>
      </c>
      <c r="AW1137" s="11">
        <f t="shared" si="1158"/>
        <v>0</v>
      </c>
      <c r="AY1137" s="11">
        <f t="shared" si="1159"/>
        <v>0</v>
      </c>
      <c r="BA1137" s="11">
        <f t="shared" si="1160"/>
        <v>0</v>
      </c>
      <c r="BC1137" s="11">
        <f t="shared" si="1161"/>
        <v>0</v>
      </c>
      <c r="BE1137" s="11">
        <f t="shared" si="1162"/>
        <v>0</v>
      </c>
      <c r="BG1137" s="11">
        <f t="shared" si="1163"/>
        <v>0</v>
      </c>
      <c r="BN1137" s="8">
        <f t="shared" si="1123"/>
        <v>6575</v>
      </c>
      <c r="BO1137" s="8">
        <f t="shared" si="1124"/>
        <v>328750</v>
      </c>
      <c r="BP1137" s="8">
        <f t="shared" si="1126"/>
        <v>85</v>
      </c>
      <c r="BQ1137" s="12">
        <f t="shared" si="1127"/>
        <v>6800</v>
      </c>
    </row>
    <row r="1138" spans="1:69">
      <c r="A1138" s="28">
        <v>1989</v>
      </c>
      <c r="B1138" s="27" t="s">
        <v>63</v>
      </c>
      <c r="C1138" s="24">
        <f t="shared" si="1122"/>
        <v>1104</v>
      </c>
      <c r="D1138" s="7" t="e">
        <f t="shared" ca="1" si="1102"/>
        <v>#N/A</v>
      </c>
      <c r="E1138" s="26">
        <f t="array" aca="1" ref="E1138" ca="1">AVERAGE(IF(INDIRECT(DatCol&amp;"$"&amp;TEXT(C1138,"###")):INDIRECT(DatCol&amp;"$"&amp;TEXT(C1138+57,"###"))&gt;0,INDIRECT(DatCol&amp;"$"&amp;TEXT(C1138,"###")):INDIRECT(DatCol&amp;"$"&amp;TEXT(C1138+57,"###"))))</f>
        <v>209</v>
      </c>
      <c r="F1138" s="26" t="str">
        <f t="shared" si="1101"/>
        <v>S</v>
      </c>
      <c r="G1138" s="8"/>
      <c r="H1138" s="8">
        <v>0</v>
      </c>
      <c r="I1138" s="8">
        <v>0</v>
      </c>
      <c r="J1138" s="8">
        <v>0</v>
      </c>
      <c r="K1138" s="9">
        <f t="shared" si="1125"/>
        <v>0</v>
      </c>
      <c r="L1138" s="12">
        <v>9191</v>
      </c>
      <c r="M1138" s="11">
        <f t="shared" si="1146"/>
        <v>459550</v>
      </c>
      <c r="O1138" s="11">
        <f t="shared" si="1147"/>
        <v>0</v>
      </c>
      <c r="Q1138" s="11">
        <f t="shared" si="1148"/>
        <v>0</v>
      </c>
      <c r="Y1138" s="11">
        <f t="shared" si="1149"/>
        <v>0</v>
      </c>
      <c r="AG1138" s="11">
        <f t="shared" si="1150"/>
        <v>0</v>
      </c>
      <c r="AI1138" s="11">
        <f t="shared" si="1151"/>
        <v>0</v>
      </c>
      <c r="AK1138" s="13">
        <f t="shared" si="1152"/>
        <v>0</v>
      </c>
      <c r="AM1138" s="13">
        <f t="shared" si="1153"/>
        <v>0</v>
      </c>
      <c r="AO1138" s="11">
        <f t="shared" si="1154"/>
        <v>0</v>
      </c>
      <c r="AQ1138" s="11">
        <f t="shared" si="1155"/>
        <v>0</v>
      </c>
      <c r="AS1138" s="11">
        <f t="shared" si="1156"/>
        <v>0</v>
      </c>
      <c r="AU1138" s="11">
        <f t="shared" si="1157"/>
        <v>0</v>
      </c>
      <c r="AW1138" s="11">
        <f t="shared" si="1158"/>
        <v>0</v>
      </c>
      <c r="AY1138" s="11">
        <f t="shared" si="1159"/>
        <v>0</v>
      </c>
      <c r="BA1138" s="11">
        <f t="shared" si="1160"/>
        <v>0</v>
      </c>
      <c r="BC1138" s="11">
        <f t="shared" si="1161"/>
        <v>0</v>
      </c>
      <c r="BE1138" s="11">
        <f t="shared" si="1162"/>
        <v>0</v>
      </c>
      <c r="BG1138" s="11">
        <f t="shared" si="1163"/>
        <v>0</v>
      </c>
      <c r="BN1138" s="8">
        <f t="shared" si="1123"/>
        <v>9191</v>
      </c>
      <c r="BO1138" s="8">
        <f t="shared" si="1124"/>
        <v>459550</v>
      </c>
      <c r="BP1138" s="8">
        <f t="shared" si="1126"/>
        <v>0</v>
      </c>
      <c r="BQ1138" s="12">
        <f t="shared" si="1127"/>
        <v>0</v>
      </c>
    </row>
    <row r="1139" spans="1:69">
      <c r="A1139" s="28">
        <v>1990</v>
      </c>
      <c r="B1139" s="27" t="s">
        <v>63</v>
      </c>
      <c r="C1139" s="24">
        <f t="shared" si="1122"/>
        <v>1104</v>
      </c>
      <c r="D1139" s="7" t="e">
        <f t="shared" ca="1" si="1102"/>
        <v>#N/A</v>
      </c>
      <c r="E1139" s="26">
        <f t="array" aca="1" ref="E1139" ca="1">AVERAGE(IF(INDIRECT(DatCol&amp;"$"&amp;TEXT(C1139,"###")):INDIRECT(DatCol&amp;"$"&amp;TEXT(C1139+57,"###"))&gt;0,INDIRECT(DatCol&amp;"$"&amp;TEXT(C1139,"###")):INDIRECT(DatCol&amp;"$"&amp;TEXT(C1139+57,"###"))))</f>
        <v>209</v>
      </c>
      <c r="F1139" s="26" t="str">
        <f t="shared" si="1101"/>
        <v>S</v>
      </c>
      <c r="G1139" s="8"/>
      <c r="H1139" s="8">
        <v>0</v>
      </c>
      <c r="I1139" s="8">
        <v>0</v>
      </c>
      <c r="J1139" s="8">
        <v>0</v>
      </c>
      <c r="K1139" s="9">
        <f t="shared" si="1125"/>
        <v>0</v>
      </c>
      <c r="L1139" s="12">
        <v>5563</v>
      </c>
      <c r="M1139" s="11">
        <f t="shared" si="1146"/>
        <v>278150</v>
      </c>
      <c r="O1139" s="11">
        <f t="shared" si="1147"/>
        <v>0</v>
      </c>
      <c r="Q1139" s="11">
        <f t="shared" si="1148"/>
        <v>0</v>
      </c>
      <c r="Y1139" s="11">
        <f t="shared" si="1149"/>
        <v>0</v>
      </c>
      <c r="AG1139" s="11">
        <f t="shared" si="1150"/>
        <v>0</v>
      </c>
      <c r="AI1139" s="11">
        <f t="shared" si="1151"/>
        <v>0</v>
      </c>
      <c r="AK1139" s="13">
        <f t="shared" si="1152"/>
        <v>0</v>
      </c>
      <c r="AM1139" s="13">
        <f t="shared" si="1153"/>
        <v>0</v>
      </c>
      <c r="AO1139" s="11">
        <f t="shared" si="1154"/>
        <v>0</v>
      </c>
      <c r="AQ1139" s="11">
        <f t="shared" si="1155"/>
        <v>0</v>
      </c>
      <c r="AS1139" s="11">
        <f t="shared" si="1156"/>
        <v>0</v>
      </c>
      <c r="AU1139" s="11">
        <f t="shared" si="1157"/>
        <v>0</v>
      </c>
      <c r="AW1139" s="11">
        <f t="shared" si="1158"/>
        <v>0</v>
      </c>
      <c r="AY1139" s="11">
        <f t="shared" si="1159"/>
        <v>0</v>
      </c>
      <c r="BA1139" s="11">
        <f t="shared" si="1160"/>
        <v>0</v>
      </c>
      <c r="BC1139" s="11">
        <f t="shared" si="1161"/>
        <v>0</v>
      </c>
      <c r="BE1139" s="11">
        <f t="shared" si="1162"/>
        <v>0</v>
      </c>
      <c r="BG1139" s="11">
        <f t="shared" si="1163"/>
        <v>0</v>
      </c>
      <c r="BN1139" s="8">
        <f t="shared" si="1123"/>
        <v>5563</v>
      </c>
      <c r="BO1139" s="8">
        <f t="shared" si="1124"/>
        <v>278150</v>
      </c>
      <c r="BP1139" s="8">
        <f t="shared" si="1126"/>
        <v>0</v>
      </c>
      <c r="BQ1139" s="12">
        <f t="shared" si="1127"/>
        <v>0</v>
      </c>
    </row>
    <row r="1140" spans="1:69">
      <c r="A1140" s="28">
        <v>1991</v>
      </c>
      <c r="B1140" s="27" t="s">
        <v>63</v>
      </c>
      <c r="C1140" s="24">
        <f t="shared" si="1122"/>
        <v>1104</v>
      </c>
      <c r="D1140" s="7" t="e">
        <f t="shared" ca="1" si="1102"/>
        <v>#N/A</v>
      </c>
      <c r="E1140" s="26">
        <f t="array" aca="1" ref="E1140" ca="1">AVERAGE(IF(INDIRECT(DatCol&amp;"$"&amp;TEXT(C1140,"###")):INDIRECT(DatCol&amp;"$"&amp;TEXT(C1140+57,"###"))&gt;0,INDIRECT(DatCol&amp;"$"&amp;TEXT(C1140,"###")):INDIRECT(DatCol&amp;"$"&amp;TEXT(C1140+57,"###"))))</f>
        <v>209</v>
      </c>
      <c r="F1140" s="26" t="str">
        <f t="shared" si="1101"/>
        <v>S</v>
      </c>
      <c r="G1140" s="8"/>
      <c r="H1140" s="8">
        <v>0</v>
      </c>
      <c r="I1140" s="8">
        <v>0</v>
      </c>
      <c r="J1140" s="8">
        <v>0</v>
      </c>
      <c r="K1140" s="9">
        <f t="shared" si="1125"/>
        <v>0</v>
      </c>
      <c r="L1140" s="12">
        <v>2950.5</v>
      </c>
      <c r="M1140" s="11">
        <f t="shared" si="1146"/>
        <v>147525</v>
      </c>
      <c r="O1140" s="11">
        <f t="shared" si="1147"/>
        <v>0</v>
      </c>
      <c r="Q1140" s="11">
        <f t="shared" si="1148"/>
        <v>0</v>
      </c>
      <c r="Y1140" s="11">
        <f t="shared" si="1149"/>
        <v>0</v>
      </c>
      <c r="AG1140" s="11">
        <f t="shared" si="1150"/>
        <v>0</v>
      </c>
      <c r="AI1140" s="11">
        <f t="shared" si="1151"/>
        <v>0</v>
      </c>
      <c r="AK1140" s="13">
        <f t="shared" si="1152"/>
        <v>0</v>
      </c>
      <c r="AM1140" s="13">
        <f t="shared" si="1153"/>
        <v>0</v>
      </c>
      <c r="AO1140" s="11">
        <f t="shared" si="1154"/>
        <v>0</v>
      </c>
      <c r="AQ1140" s="11">
        <f t="shared" si="1155"/>
        <v>0</v>
      </c>
      <c r="AS1140" s="11">
        <f t="shared" si="1156"/>
        <v>0</v>
      </c>
      <c r="AU1140" s="11">
        <f t="shared" si="1157"/>
        <v>0</v>
      </c>
      <c r="AW1140" s="11">
        <f t="shared" si="1158"/>
        <v>0</v>
      </c>
      <c r="AY1140" s="11">
        <f t="shared" si="1159"/>
        <v>0</v>
      </c>
      <c r="BA1140" s="11">
        <f t="shared" si="1160"/>
        <v>0</v>
      </c>
      <c r="BC1140" s="11">
        <f t="shared" si="1161"/>
        <v>0</v>
      </c>
      <c r="BE1140" s="11">
        <f t="shared" si="1162"/>
        <v>0</v>
      </c>
      <c r="BG1140" s="11">
        <f t="shared" si="1163"/>
        <v>0</v>
      </c>
      <c r="BN1140" s="8">
        <f t="shared" si="1123"/>
        <v>2950.5</v>
      </c>
      <c r="BO1140" s="8">
        <f t="shared" si="1124"/>
        <v>147525</v>
      </c>
      <c r="BP1140" s="8">
        <f t="shared" si="1126"/>
        <v>0</v>
      </c>
      <c r="BQ1140" s="12">
        <f t="shared" si="1127"/>
        <v>0</v>
      </c>
    </row>
    <row r="1141" spans="1:69">
      <c r="A1141" s="28">
        <v>1992</v>
      </c>
      <c r="B1141" s="27" t="s">
        <v>63</v>
      </c>
      <c r="C1141" s="24">
        <f t="shared" si="1122"/>
        <v>1104</v>
      </c>
      <c r="D1141" s="7" t="e">
        <f t="shared" ca="1" si="1102"/>
        <v>#N/A</v>
      </c>
      <c r="E1141" s="26">
        <f t="array" aca="1" ref="E1141" ca="1">AVERAGE(IF(INDIRECT(DatCol&amp;"$"&amp;TEXT(C1141,"###")):INDIRECT(DatCol&amp;"$"&amp;TEXT(C1141+57,"###"))&gt;0,INDIRECT(DatCol&amp;"$"&amp;TEXT(C1141,"###")):INDIRECT(DatCol&amp;"$"&amp;TEXT(C1141+57,"###"))))</f>
        <v>209</v>
      </c>
      <c r="F1141" s="26" t="str">
        <f t="shared" si="1101"/>
        <v>S</v>
      </c>
      <c r="G1141" s="8"/>
      <c r="H1141" s="8">
        <v>0</v>
      </c>
      <c r="J1141" s="8">
        <v>0</v>
      </c>
      <c r="K1141" s="9">
        <f t="shared" si="1125"/>
        <v>0</v>
      </c>
      <c r="L1141" s="12">
        <v>0</v>
      </c>
      <c r="M1141" s="11">
        <f t="shared" si="1146"/>
        <v>0</v>
      </c>
      <c r="O1141" s="11">
        <f t="shared" si="1147"/>
        <v>0</v>
      </c>
      <c r="Q1141" s="11">
        <f t="shared" si="1148"/>
        <v>0</v>
      </c>
      <c r="Y1141" s="11">
        <f t="shared" si="1149"/>
        <v>0</v>
      </c>
      <c r="AG1141" s="11">
        <f t="shared" si="1150"/>
        <v>0</v>
      </c>
      <c r="AI1141" s="11">
        <f t="shared" si="1151"/>
        <v>0</v>
      </c>
      <c r="AK1141" s="13">
        <f t="shared" si="1152"/>
        <v>0</v>
      </c>
      <c r="AM1141" s="13">
        <f t="shared" si="1153"/>
        <v>0</v>
      </c>
      <c r="AO1141" s="11">
        <f t="shared" si="1154"/>
        <v>0</v>
      </c>
      <c r="AQ1141" s="11">
        <f t="shared" si="1155"/>
        <v>0</v>
      </c>
      <c r="AS1141" s="11">
        <f t="shared" si="1156"/>
        <v>0</v>
      </c>
      <c r="AU1141" s="11">
        <f t="shared" si="1157"/>
        <v>0</v>
      </c>
      <c r="AW1141" s="11">
        <f t="shared" si="1158"/>
        <v>0</v>
      </c>
      <c r="AY1141" s="11">
        <f t="shared" si="1159"/>
        <v>0</v>
      </c>
      <c r="BA1141" s="11">
        <f t="shared" si="1160"/>
        <v>0</v>
      </c>
      <c r="BC1141" s="11">
        <f t="shared" si="1161"/>
        <v>0</v>
      </c>
      <c r="BE1141" s="11">
        <f t="shared" si="1162"/>
        <v>0</v>
      </c>
      <c r="BG1141" s="11">
        <f t="shared" si="1163"/>
        <v>0</v>
      </c>
      <c r="BN1141" s="8">
        <f t="shared" si="1123"/>
        <v>0</v>
      </c>
      <c r="BO1141" s="8">
        <f t="shared" si="1124"/>
        <v>0</v>
      </c>
      <c r="BP1141" s="8">
        <f t="shared" si="1126"/>
        <v>0</v>
      </c>
      <c r="BQ1141" s="12">
        <f t="shared" si="1127"/>
        <v>0</v>
      </c>
    </row>
    <row r="1142" spans="1:69">
      <c r="A1142" s="28">
        <v>1993</v>
      </c>
      <c r="B1142" s="27" t="s">
        <v>63</v>
      </c>
      <c r="C1142" s="24">
        <f t="shared" si="1122"/>
        <v>1104</v>
      </c>
      <c r="D1142" s="7" t="e">
        <f t="shared" ca="1" si="1102"/>
        <v>#N/A</v>
      </c>
      <c r="E1142" s="26">
        <f t="array" aca="1" ref="E1142" ca="1">AVERAGE(IF(INDIRECT(DatCol&amp;"$"&amp;TEXT(C1142,"###")):INDIRECT(DatCol&amp;"$"&amp;TEXT(C1142+57,"###"))&gt;0,INDIRECT(DatCol&amp;"$"&amp;TEXT(C1142,"###")):INDIRECT(DatCol&amp;"$"&amp;TEXT(C1142+57,"###"))))</f>
        <v>209</v>
      </c>
      <c r="F1142" s="26" t="str">
        <f t="shared" si="1101"/>
        <v>S</v>
      </c>
      <c r="G1142" s="8"/>
      <c r="K1142" s="9">
        <f t="shared" si="1125"/>
        <v>0</v>
      </c>
      <c r="L1142" s="12">
        <f>9834*0.8</f>
        <v>7867.2000000000007</v>
      </c>
      <c r="M1142" s="11">
        <f t="shared" si="1146"/>
        <v>393360.00000000006</v>
      </c>
      <c r="O1142" s="11">
        <f t="shared" si="1147"/>
        <v>0</v>
      </c>
      <c r="Q1142" s="11">
        <f t="shared" si="1148"/>
        <v>0</v>
      </c>
      <c r="Y1142" s="11">
        <f t="shared" si="1149"/>
        <v>0</v>
      </c>
      <c r="AG1142" s="11">
        <f t="shared" si="1150"/>
        <v>0</v>
      </c>
      <c r="AI1142" s="11">
        <f t="shared" si="1151"/>
        <v>0</v>
      </c>
      <c r="AK1142" s="13">
        <f t="shared" si="1152"/>
        <v>0</v>
      </c>
      <c r="AM1142" s="13">
        <f t="shared" si="1153"/>
        <v>0</v>
      </c>
      <c r="AO1142" s="11">
        <f t="shared" si="1154"/>
        <v>0</v>
      </c>
      <c r="AQ1142" s="11">
        <f t="shared" si="1155"/>
        <v>0</v>
      </c>
      <c r="AS1142" s="11">
        <f t="shared" si="1156"/>
        <v>0</v>
      </c>
      <c r="AU1142" s="11">
        <f t="shared" si="1157"/>
        <v>0</v>
      </c>
      <c r="AW1142" s="11">
        <f t="shared" si="1158"/>
        <v>0</v>
      </c>
      <c r="AY1142" s="11">
        <f t="shared" si="1159"/>
        <v>0</v>
      </c>
      <c r="BA1142" s="11">
        <f t="shared" si="1160"/>
        <v>0</v>
      </c>
      <c r="BC1142" s="11">
        <f t="shared" si="1161"/>
        <v>0</v>
      </c>
      <c r="BE1142" s="11">
        <f t="shared" si="1162"/>
        <v>0</v>
      </c>
      <c r="BG1142" s="11">
        <f t="shared" si="1163"/>
        <v>0</v>
      </c>
      <c r="BN1142" s="8">
        <f t="shared" si="1123"/>
        <v>7867.2000000000007</v>
      </c>
      <c r="BO1142" s="8">
        <f t="shared" si="1124"/>
        <v>393360.00000000006</v>
      </c>
      <c r="BP1142" s="8">
        <f t="shared" si="1126"/>
        <v>0</v>
      </c>
      <c r="BQ1142" s="12">
        <f t="shared" si="1127"/>
        <v>0</v>
      </c>
    </row>
    <row r="1143" spans="1:69">
      <c r="A1143" s="28">
        <v>1994</v>
      </c>
      <c r="B1143" s="27" t="s">
        <v>63</v>
      </c>
      <c r="C1143" s="24">
        <f t="shared" si="1122"/>
        <v>1104</v>
      </c>
      <c r="D1143" s="7" t="e">
        <f t="shared" ca="1" si="1102"/>
        <v>#N/A</v>
      </c>
      <c r="E1143" s="26">
        <f t="array" aca="1" ref="E1143" ca="1">AVERAGE(IF(INDIRECT(DatCol&amp;"$"&amp;TEXT(C1143,"###")):INDIRECT(DatCol&amp;"$"&amp;TEXT(C1143+57,"###"))&gt;0,INDIRECT(DatCol&amp;"$"&amp;TEXT(C1143,"###")):INDIRECT(DatCol&amp;"$"&amp;TEXT(C1143+57,"###"))))</f>
        <v>209</v>
      </c>
      <c r="F1143" s="26" t="str">
        <f t="shared" si="1101"/>
        <v>S</v>
      </c>
      <c r="G1143" s="8"/>
      <c r="H1143" s="8">
        <v>0</v>
      </c>
      <c r="I1143" s="8">
        <v>0</v>
      </c>
      <c r="J1143" s="8">
        <v>0</v>
      </c>
      <c r="K1143" s="9">
        <f t="shared" si="1125"/>
        <v>0</v>
      </c>
      <c r="L1143" s="12">
        <v>0</v>
      </c>
      <c r="M1143" s="11">
        <f t="shared" si="1146"/>
        <v>0</v>
      </c>
      <c r="O1143" s="11">
        <f t="shared" si="1147"/>
        <v>0</v>
      </c>
      <c r="Q1143" s="11">
        <f t="shared" si="1148"/>
        <v>0</v>
      </c>
      <c r="Y1143" s="11">
        <f t="shared" si="1149"/>
        <v>0</v>
      </c>
      <c r="AG1143" s="11">
        <f t="shared" si="1150"/>
        <v>0</v>
      </c>
      <c r="AI1143" s="11">
        <f t="shared" si="1151"/>
        <v>0</v>
      </c>
      <c r="AK1143" s="13">
        <f t="shared" si="1152"/>
        <v>0</v>
      </c>
      <c r="AM1143" s="13">
        <f t="shared" si="1153"/>
        <v>0</v>
      </c>
      <c r="AO1143" s="11">
        <f t="shared" si="1154"/>
        <v>0</v>
      </c>
      <c r="AQ1143" s="11">
        <f t="shared" si="1155"/>
        <v>0</v>
      </c>
      <c r="AS1143" s="11">
        <f t="shared" si="1156"/>
        <v>0</v>
      </c>
      <c r="AU1143" s="11">
        <f t="shared" si="1157"/>
        <v>0</v>
      </c>
      <c r="AW1143" s="11">
        <f t="shared" si="1158"/>
        <v>0</v>
      </c>
      <c r="AY1143" s="11">
        <f t="shared" si="1159"/>
        <v>0</v>
      </c>
      <c r="BA1143" s="11">
        <f t="shared" si="1160"/>
        <v>0</v>
      </c>
      <c r="BC1143" s="11">
        <f t="shared" si="1161"/>
        <v>0</v>
      </c>
      <c r="BE1143" s="11">
        <f t="shared" si="1162"/>
        <v>0</v>
      </c>
      <c r="BG1143" s="11">
        <f t="shared" si="1163"/>
        <v>0</v>
      </c>
      <c r="BN1143" s="8">
        <f t="shared" si="1123"/>
        <v>0</v>
      </c>
      <c r="BO1143" s="8">
        <f t="shared" si="1124"/>
        <v>0</v>
      </c>
      <c r="BP1143" s="8">
        <f t="shared" si="1126"/>
        <v>0</v>
      </c>
      <c r="BQ1143" s="12">
        <f t="shared" si="1127"/>
        <v>0</v>
      </c>
    </row>
    <row r="1144" spans="1:69">
      <c r="A1144" s="28">
        <v>1995</v>
      </c>
      <c r="B1144" s="27" t="s">
        <v>63</v>
      </c>
      <c r="C1144" s="24">
        <f t="shared" si="1122"/>
        <v>1104</v>
      </c>
      <c r="D1144" s="7" t="e">
        <f t="shared" ca="1" si="1102"/>
        <v>#N/A</v>
      </c>
      <c r="E1144" s="26">
        <f t="array" aca="1" ref="E1144" ca="1">AVERAGE(IF(INDIRECT(DatCol&amp;"$"&amp;TEXT(C1144,"###")):INDIRECT(DatCol&amp;"$"&amp;TEXT(C1144+57,"###"))&gt;0,INDIRECT(DatCol&amp;"$"&amp;TEXT(C1144,"###")):INDIRECT(DatCol&amp;"$"&amp;TEXT(C1144+57,"###"))))</f>
        <v>209</v>
      </c>
      <c r="F1144" s="26" t="str">
        <f t="shared" si="1101"/>
        <v>S</v>
      </c>
      <c r="K1144" s="9">
        <f t="shared" si="1125"/>
        <v>0</v>
      </c>
      <c r="M1144" s="11">
        <f t="shared" si="1146"/>
        <v>0</v>
      </c>
      <c r="O1144" s="11">
        <f t="shared" si="1147"/>
        <v>0</v>
      </c>
      <c r="Q1144" s="11">
        <f t="shared" si="1148"/>
        <v>0</v>
      </c>
      <c r="Y1144" s="11">
        <f t="shared" si="1149"/>
        <v>0</v>
      </c>
      <c r="AG1144" s="11">
        <f t="shared" si="1150"/>
        <v>0</v>
      </c>
      <c r="AI1144" s="11">
        <f t="shared" si="1151"/>
        <v>0</v>
      </c>
      <c r="AK1144" s="13">
        <f t="shared" si="1152"/>
        <v>0</v>
      </c>
      <c r="AM1144" s="13">
        <f t="shared" si="1153"/>
        <v>0</v>
      </c>
      <c r="AO1144" s="11">
        <f t="shared" si="1154"/>
        <v>0</v>
      </c>
      <c r="AQ1144" s="11">
        <f t="shared" si="1155"/>
        <v>0</v>
      </c>
      <c r="AS1144" s="11">
        <f t="shared" si="1156"/>
        <v>0</v>
      </c>
      <c r="AU1144" s="11">
        <f t="shared" si="1157"/>
        <v>0</v>
      </c>
      <c r="AW1144" s="11">
        <f t="shared" si="1158"/>
        <v>0</v>
      </c>
      <c r="AY1144" s="11">
        <f t="shared" si="1159"/>
        <v>0</v>
      </c>
      <c r="BA1144" s="11">
        <f t="shared" si="1160"/>
        <v>0</v>
      </c>
      <c r="BC1144" s="11">
        <f t="shared" si="1161"/>
        <v>0</v>
      </c>
      <c r="BE1144" s="11">
        <f t="shared" si="1162"/>
        <v>0</v>
      </c>
      <c r="BG1144" s="11">
        <f t="shared" si="1163"/>
        <v>0</v>
      </c>
      <c r="BN1144" s="8">
        <f t="shared" si="1123"/>
        <v>0</v>
      </c>
      <c r="BO1144" s="8">
        <f t="shared" si="1124"/>
        <v>0</v>
      </c>
      <c r="BP1144" s="8">
        <f t="shared" si="1126"/>
        <v>0</v>
      </c>
      <c r="BQ1144" s="12">
        <f t="shared" si="1127"/>
        <v>0</v>
      </c>
    </row>
    <row r="1145" spans="1:69">
      <c r="A1145" s="28">
        <v>1996</v>
      </c>
      <c r="B1145" s="27" t="s">
        <v>63</v>
      </c>
      <c r="C1145" s="24">
        <f t="shared" si="1122"/>
        <v>1104</v>
      </c>
      <c r="D1145" s="7" t="e">
        <f t="shared" ca="1" si="1102"/>
        <v>#N/A</v>
      </c>
      <c r="E1145" s="26">
        <f t="array" aca="1" ref="E1145" ca="1">AVERAGE(IF(INDIRECT(DatCol&amp;"$"&amp;TEXT(C1145,"###")):INDIRECT(DatCol&amp;"$"&amp;TEXT(C1145+57,"###"))&gt;0,INDIRECT(DatCol&amp;"$"&amp;TEXT(C1145,"###")):INDIRECT(DatCol&amp;"$"&amp;TEXT(C1145+57,"###"))))</f>
        <v>209</v>
      </c>
      <c r="F1145" s="26" t="str">
        <f t="shared" si="1101"/>
        <v>S</v>
      </c>
      <c r="H1145" s="9">
        <v>0</v>
      </c>
      <c r="I1145" s="9">
        <v>0</v>
      </c>
      <c r="J1145" s="9">
        <v>0</v>
      </c>
      <c r="K1145" s="9">
        <f t="shared" si="1125"/>
        <v>0</v>
      </c>
      <c r="L1145" s="10">
        <v>0</v>
      </c>
      <c r="M1145" s="11">
        <v>0</v>
      </c>
      <c r="AK1145" s="13"/>
      <c r="AM1145" s="13"/>
      <c r="BN1145" s="8">
        <f t="shared" si="1123"/>
        <v>0</v>
      </c>
      <c r="BO1145" s="8">
        <f t="shared" si="1124"/>
        <v>0</v>
      </c>
      <c r="BP1145" s="8">
        <f t="shared" si="1126"/>
        <v>0</v>
      </c>
      <c r="BQ1145" s="12">
        <f t="shared" si="1127"/>
        <v>0</v>
      </c>
    </row>
    <row r="1146" spans="1:69">
      <c r="A1146" s="28">
        <v>1997</v>
      </c>
      <c r="B1146" s="27" t="s">
        <v>63</v>
      </c>
      <c r="C1146" s="24">
        <f t="shared" si="1122"/>
        <v>1104</v>
      </c>
      <c r="D1146" s="7" t="e">
        <f t="shared" ca="1" si="1102"/>
        <v>#N/A</v>
      </c>
      <c r="E1146" s="26">
        <f t="array" aca="1" ref="E1146" ca="1">AVERAGE(IF(INDIRECT(DatCol&amp;"$"&amp;TEXT(C1146,"###")):INDIRECT(DatCol&amp;"$"&amp;TEXT(C1146+57,"###"))&gt;0,INDIRECT(DatCol&amp;"$"&amp;TEXT(C1146,"###")):INDIRECT(DatCol&amp;"$"&amp;TEXT(C1146+57,"###"))))</f>
        <v>209</v>
      </c>
      <c r="F1146" s="26" t="str">
        <f t="shared" si="1101"/>
        <v>S</v>
      </c>
      <c r="K1146" s="9">
        <f t="shared" si="1125"/>
        <v>0</v>
      </c>
      <c r="L1146" s="10">
        <v>0</v>
      </c>
      <c r="M1146" s="11">
        <v>0</v>
      </c>
      <c r="AK1146" s="13"/>
      <c r="AM1146" s="13"/>
      <c r="BN1146" s="8">
        <f t="shared" si="1123"/>
        <v>0</v>
      </c>
      <c r="BO1146" s="8">
        <f t="shared" si="1124"/>
        <v>0</v>
      </c>
      <c r="BP1146" s="8">
        <f t="shared" si="1126"/>
        <v>0</v>
      </c>
      <c r="BQ1146" s="12">
        <f t="shared" si="1127"/>
        <v>0</v>
      </c>
    </row>
    <row r="1147" spans="1:69">
      <c r="A1147" s="28">
        <v>1998</v>
      </c>
      <c r="B1147" s="27" t="s">
        <v>63</v>
      </c>
      <c r="C1147" s="24">
        <f t="shared" si="1122"/>
        <v>1104</v>
      </c>
      <c r="D1147" s="7" t="e">
        <f t="shared" ca="1" si="1102"/>
        <v>#N/A</v>
      </c>
      <c r="E1147" s="26">
        <f t="array" aca="1" ref="E1147" ca="1">AVERAGE(IF(INDIRECT(DatCol&amp;"$"&amp;TEXT(C1147,"###")):INDIRECT(DatCol&amp;"$"&amp;TEXT(C1147+57,"###"))&gt;0,INDIRECT(DatCol&amp;"$"&amp;TEXT(C1147,"###")):INDIRECT(DatCol&amp;"$"&amp;TEXT(C1147+57,"###"))))</f>
        <v>209</v>
      </c>
      <c r="F1147" s="26" t="str">
        <f t="shared" ref="F1147:F1213" si="1164">VLOOKUP(B1147,town_region,2,FALSE)</f>
        <v>S</v>
      </c>
      <c r="K1147" s="9">
        <f t="shared" si="1125"/>
        <v>0</v>
      </c>
      <c r="L1147" s="10">
        <f>M1147/50</f>
        <v>132.69999999999999</v>
      </c>
      <c r="M1147" s="11">
        <v>6635</v>
      </c>
      <c r="AK1147" s="13"/>
      <c r="AM1147" s="13"/>
      <c r="BN1147" s="8">
        <f t="shared" si="1123"/>
        <v>132.69999999999999</v>
      </c>
      <c r="BO1147" s="8">
        <f t="shared" si="1124"/>
        <v>6635</v>
      </c>
      <c r="BP1147" s="8">
        <f t="shared" si="1126"/>
        <v>0</v>
      </c>
      <c r="BQ1147" s="12">
        <f t="shared" si="1127"/>
        <v>0</v>
      </c>
    </row>
    <row r="1148" spans="1:69">
      <c r="A1148" s="28">
        <v>1999</v>
      </c>
      <c r="B1148" s="27" t="s">
        <v>63</v>
      </c>
      <c r="C1148" s="24">
        <f t="shared" si="1122"/>
        <v>1104</v>
      </c>
      <c r="D1148" s="7" t="e">
        <f t="shared" ca="1" si="1102"/>
        <v>#N/A</v>
      </c>
      <c r="E1148" s="26">
        <f t="array" aca="1" ref="E1148" ca="1">AVERAGE(IF(INDIRECT(DatCol&amp;"$"&amp;TEXT(C1148,"###")):INDIRECT(DatCol&amp;"$"&amp;TEXT(C1148+57,"###"))&gt;0,INDIRECT(DatCol&amp;"$"&amp;TEXT(C1148,"###")):INDIRECT(DatCol&amp;"$"&amp;TEXT(C1148+57,"###"))))</f>
        <v>209</v>
      </c>
      <c r="F1148" s="26" t="str">
        <f t="shared" si="1164"/>
        <v>S</v>
      </c>
      <c r="G1148" s="9">
        <v>0</v>
      </c>
      <c r="H1148" s="9">
        <v>0</v>
      </c>
      <c r="I1148" s="9">
        <v>0</v>
      </c>
      <c r="J1148" s="9">
        <v>0</v>
      </c>
      <c r="K1148" s="9">
        <f t="shared" si="1125"/>
        <v>0</v>
      </c>
      <c r="L1148" s="10">
        <v>85</v>
      </c>
      <c r="M1148" s="11">
        <f>85*50</f>
        <v>4250</v>
      </c>
      <c r="AK1148" s="13"/>
      <c r="AM1148" s="13"/>
      <c r="BN1148" s="8">
        <f t="shared" si="1123"/>
        <v>85</v>
      </c>
      <c r="BO1148" s="8">
        <f t="shared" si="1124"/>
        <v>4250</v>
      </c>
      <c r="BP1148" s="8">
        <f t="shared" si="1126"/>
        <v>0</v>
      </c>
      <c r="BQ1148" s="12">
        <f t="shared" si="1127"/>
        <v>0</v>
      </c>
    </row>
    <row r="1149" spans="1:69">
      <c r="A1149" s="28">
        <v>2000</v>
      </c>
      <c r="B1149" s="27" t="s">
        <v>63</v>
      </c>
      <c r="C1149" s="24">
        <f t="shared" si="1122"/>
        <v>1104</v>
      </c>
      <c r="D1149" s="7" t="e">
        <f t="shared" ca="1" si="1102"/>
        <v>#N/A</v>
      </c>
      <c r="E1149" s="26">
        <f t="array" aca="1" ref="E1149" ca="1">AVERAGE(IF(INDIRECT(DatCol&amp;"$"&amp;TEXT(C1149,"###")):INDIRECT(DatCol&amp;"$"&amp;TEXT(C1149+57,"###"))&gt;0,INDIRECT(DatCol&amp;"$"&amp;TEXT(C1149,"###")):INDIRECT(DatCol&amp;"$"&amp;TEXT(C1149+57,"###"))))</f>
        <v>209</v>
      </c>
      <c r="F1149" s="26" t="str">
        <f t="shared" si="1164"/>
        <v>S</v>
      </c>
      <c r="K1149" s="9">
        <f t="shared" si="1125"/>
        <v>0</v>
      </c>
      <c r="L1149" s="10">
        <f>4152*0.8</f>
        <v>3321.6000000000004</v>
      </c>
      <c r="M1149" s="11">
        <f>L1149*50</f>
        <v>166080.00000000003</v>
      </c>
      <c r="AK1149" s="13"/>
      <c r="AM1149" s="13"/>
      <c r="BN1149" s="8">
        <f t="shared" si="1123"/>
        <v>3321.6000000000004</v>
      </c>
      <c r="BO1149" s="8">
        <f t="shared" si="1124"/>
        <v>166080.00000000003</v>
      </c>
      <c r="BP1149" s="8">
        <f t="shared" si="1126"/>
        <v>0</v>
      </c>
      <c r="BQ1149" s="12">
        <f t="shared" si="1127"/>
        <v>0</v>
      </c>
    </row>
    <row r="1150" spans="1:69">
      <c r="A1150" s="28">
        <v>2001</v>
      </c>
      <c r="B1150" s="27" t="s">
        <v>63</v>
      </c>
      <c r="C1150" s="24">
        <f t="shared" si="1122"/>
        <v>1104</v>
      </c>
      <c r="D1150" s="7" t="e">
        <f t="shared" ca="1" si="1102"/>
        <v>#N/A</v>
      </c>
      <c r="E1150" s="26">
        <f t="array" aca="1" ref="E1150" ca="1">AVERAGE(IF(INDIRECT(DatCol&amp;"$"&amp;TEXT(C1150,"###")):INDIRECT(DatCol&amp;"$"&amp;TEXT(C1150+57,"###"))&gt;0,INDIRECT(DatCol&amp;"$"&amp;TEXT(C1150,"###")):INDIRECT(DatCol&amp;"$"&amp;TEXT(C1150+57,"###"))))</f>
        <v>209</v>
      </c>
      <c r="F1150" s="26" t="str">
        <f t="shared" si="1164"/>
        <v>S</v>
      </c>
      <c r="G1150" s="9">
        <v>0</v>
      </c>
      <c r="H1150" s="9">
        <v>0</v>
      </c>
      <c r="I1150" s="9">
        <v>41</v>
      </c>
      <c r="J1150" s="9">
        <v>0</v>
      </c>
      <c r="K1150" s="9">
        <f t="shared" si="1125"/>
        <v>0</v>
      </c>
      <c r="L1150" s="10">
        <f>4812*0.8</f>
        <v>3849.6000000000004</v>
      </c>
      <c r="M1150" s="11">
        <f>L1150*50</f>
        <v>192480.00000000003</v>
      </c>
      <c r="AK1150" s="13"/>
      <c r="AM1150" s="13"/>
      <c r="BN1150" s="8">
        <f t="shared" si="1123"/>
        <v>3849.6000000000004</v>
      </c>
      <c r="BO1150" s="8">
        <f t="shared" si="1124"/>
        <v>192480.00000000003</v>
      </c>
      <c r="BP1150" s="8">
        <f t="shared" si="1126"/>
        <v>0</v>
      </c>
      <c r="BQ1150" s="12">
        <f t="shared" si="1127"/>
        <v>0</v>
      </c>
    </row>
    <row r="1151" spans="1:69">
      <c r="A1151" s="28">
        <v>2002</v>
      </c>
      <c r="B1151" s="27" t="s">
        <v>63</v>
      </c>
      <c r="C1151" s="24">
        <f t="shared" si="1122"/>
        <v>1104</v>
      </c>
      <c r="D1151" s="7" t="e">
        <f t="shared" ca="1" si="1102"/>
        <v>#N/A</v>
      </c>
      <c r="E1151" s="26">
        <f t="array" aca="1" ref="E1151" ca="1">AVERAGE(IF(INDIRECT(DatCol&amp;"$"&amp;TEXT(C1151,"###")):INDIRECT(DatCol&amp;"$"&amp;TEXT(C1151+57,"###"))&gt;0,INDIRECT(DatCol&amp;"$"&amp;TEXT(C1151,"###")):INDIRECT(DatCol&amp;"$"&amp;TEXT(C1151+57,"###"))))</f>
        <v>209</v>
      </c>
      <c r="F1151" s="26" t="str">
        <f t="shared" si="1164"/>
        <v>S</v>
      </c>
      <c r="G1151" s="9">
        <v>0</v>
      </c>
      <c r="H1151" s="9">
        <v>0</v>
      </c>
      <c r="I1151" s="9">
        <v>0</v>
      </c>
      <c r="J1151" s="9">
        <v>0</v>
      </c>
      <c r="K1151" s="9">
        <f t="shared" si="1125"/>
        <v>0</v>
      </c>
      <c r="L1151" s="14">
        <v>0</v>
      </c>
      <c r="M1151" s="11">
        <v>0</v>
      </c>
      <c r="AK1151" s="13"/>
      <c r="AM1151" s="13"/>
      <c r="BN1151" s="8">
        <f t="shared" si="1123"/>
        <v>0</v>
      </c>
      <c r="BO1151" s="8">
        <f t="shared" si="1124"/>
        <v>0</v>
      </c>
      <c r="BP1151" s="8">
        <f t="shared" si="1126"/>
        <v>0</v>
      </c>
      <c r="BQ1151" s="12">
        <f t="shared" si="1127"/>
        <v>0</v>
      </c>
    </row>
    <row r="1152" spans="1:69">
      <c r="A1152" s="28">
        <v>2003</v>
      </c>
      <c r="B1152" s="27" t="s">
        <v>63</v>
      </c>
      <c r="C1152" s="24">
        <f t="shared" si="1122"/>
        <v>1104</v>
      </c>
      <c r="D1152" s="7" t="e">
        <f t="shared" ca="1" si="1102"/>
        <v>#N/A</v>
      </c>
      <c r="E1152" s="26">
        <f t="array" aca="1" ref="E1152" ca="1">AVERAGE(IF(INDIRECT(DatCol&amp;"$"&amp;TEXT(C1152,"###")):INDIRECT(DatCol&amp;"$"&amp;TEXT(C1152+57,"###"))&gt;0,INDIRECT(DatCol&amp;"$"&amp;TEXT(C1152,"###")):INDIRECT(DatCol&amp;"$"&amp;TEXT(C1152+57,"###"))))</f>
        <v>209</v>
      </c>
      <c r="F1152" s="26" t="str">
        <f t="shared" si="1164"/>
        <v>S</v>
      </c>
      <c r="K1152" s="9">
        <f t="shared" si="1125"/>
        <v>0</v>
      </c>
      <c r="L1152" s="14"/>
      <c r="AK1152" s="13"/>
      <c r="AM1152" s="13"/>
      <c r="BN1152" s="8">
        <f t="shared" si="1123"/>
        <v>0</v>
      </c>
      <c r="BO1152" s="8">
        <f t="shared" si="1124"/>
        <v>0</v>
      </c>
      <c r="BP1152" s="8">
        <f t="shared" si="1126"/>
        <v>0</v>
      </c>
      <c r="BQ1152" s="12">
        <f t="shared" si="1127"/>
        <v>0</v>
      </c>
    </row>
    <row r="1153" spans="1:69">
      <c r="A1153" s="28">
        <v>2004</v>
      </c>
      <c r="B1153" s="27" t="s">
        <v>63</v>
      </c>
      <c r="C1153" s="24">
        <f t="shared" si="1122"/>
        <v>1104</v>
      </c>
      <c r="D1153" s="7" t="e">
        <f t="shared" ca="1" si="1102"/>
        <v>#N/A</v>
      </c>
      <c r="E1153" s="26">
        <f t="array" aca="1" ref="E1153" ca="1">AVERAGE(IF(INDIRECT(DatCol&amp;"$"&amp;TEXT(C1153,"###")):INDIRECT(DatCol&amp;"$"&amp;TEXT(C1153+57,"###"))&gt;0,INDIRECT(DatCol&amp;"$"&amp;TEXT(C1153,"###")):INDIRECT(DatCol&amp;"$"&amp;TEXT(C1153+57,"###"))))</f>
        <v>209</v>
      </c>
      <c r="F1153" s="26" t="str">
        <f t="shared" si="1164"/>
        <v>S</v>
      </c>
      <c r="K1153" s="9">
        <f t="shared" si="1125"/>
        <v>0</v>
      </c>
      <c r="L1153" s="14"/>
      <c r="AK1153" s="13"/>
      <c r="AM1153" s="13"/>
      <c r="BN1153" s="8">
        <f t="shared" si="1123"/>
        <v>0</v>
      </c>
      <c r="BO1153" s="8">
        <f t="shared" si="1124"/>
        <v>0</v>
      </c>
      <c r="BP1153" s="8">
        <f t="shared" si="1126"/>
        <v>0</v>
      </c>
      <c r="BQ1153" s="12">
        <f t="shared" si="1127"/>
        <v>0</v>
      </c>
    </row>
    <row r="1154" spans="1:69">
      <c r="A1154" s="28">
        <v>2005</v>
      </c>
      <c r="B1154" s="27" t="s">
        <v>63</v>
      </c>
      <c r="C1154" s="24">
        <f t="shared" si="1122"/>
        <v>1104</v>
      </c>
      <c r="D1154" s="7" t="e">
        <f t="shared" ref="D1154:D1217" ca="1" si="1165">IF(AND((INDIRECT(DatCol&amp;TEXT(ROW(),"###"))&gt;0),((F1154=RegionSelect)+(RegionSelect="A"))),INDIRECT(DatCol&amp;TEXT(ROW(),"###"))/E1154,NA())</f>
        <v>#N/A</v>
      </c>
      <c r="E1154" s="26">
        <f t="array" aca="1" ref="E1154" ca="1">AVERAGE(IF(INDIRECT(DatCol&amp;"$"&amp;TEXT(C1154,"###")):INDIRECT(DatCol&amp;"$"&amp;TEXT(C1154+57,"###"))&gt;0,INDIRECT(DatCol&amp;"$"&amp;TEXT(C1154,"###")):INDIRECT(DatCol&amp;"$"&amp;TEXT(C1154+57,"###"))))</f>
        <v>209</v>
      </c>
      <c r="F1154" s="26" t="str">
        <f t="shared" si="1164"/>
        <v>S</v>
      </c>
      <c r="K1154" s="9">
        <f t="shared" si="1125"/>
        <v>0</v>
      </c>
      <c r="L1154" s="14"/>
      <c r="AK1154" s="13"/>
      <c r="AM1154" s="13"/>
      <c r="BN1154" s="8">
        <f t="shared" si="1123"/>
        <v>0</v>
      </c>
      <c r="BO1154" s="8">
        <f t="shared" si="1124"/>
        <v>0</v>
      </c>
      <c r="BP1154" s="8">
        <f t="shared" si="1126"/>
        <v>0</v>
      </c>
      <c r="BQ1154" s="12">
        <f t="shared" si="1127"/>
        <v>0</v>
      </c>
    </row>
    <row r="1155" spans="1:69">
      <c r="A1155" s="28">
        <v>2006</v>
      </c>
      <c r="B1155" s="27" t="s">
        <v>63</v>
      </c>
      <c r="C1155" s="24">
        <f t="shared" si="1122"/>
        <v>1104</v>
      </c>
      <c r="D1155" s="7" t="e">
        <f t="shared" ca="1" si="1165"/>
        <v>#N/A</v>
      </c>
      <c r="E1155" s="26">
        <f t="array" aca="1" ref="E1155" ca="1">AVERAGE(IF(INDIRECT(DatCol&amp;"$"&amp;TEXT(C1155,"###")):INDIRECT(DatCol&amp;"$"&amp;TEXT(C1155+57,"###"))&gt;0,INDIRECT(DatCol&amp;"$"&amp;TEXT(C1155,"###")):INDIRECT(DatCol&amp;"$"&amp;TEXT(C1155+57,"###"))))</f>
        <v>209</v>
      </c>
      <c r="F1155" s="26" t="str">
        <f t="shared" si="1164"/>
        <v>S</v>
      </c>
      <c r="K1155" s="9">
        <f t="shared" si="1125"/>
        <v>0</v>
      </c>
      <c r="L1155" s="14"/>
      <c r="AK1155" s="13"/>
      <c r="AM1155" s="13"/>
      <c r="BN1155" s="8">
        <f t="shared" si="1123"/>
        <v>0</v>
      </c>
      <c r="BO1155" s="8">
        <f t="shared" si="1124"/>
        <v>0</v>
      </c>
      <c r="BP1155" s="8">
        <f t="shared" si="1126"/>
        <v>0</v>
      </c>
      <c r="BQ1155" s="12">
        <f t="shared" si="1127"/>
        <v>0</v>
      </c>
    </row>
    <row r="1156" spans="1:69">
      <c r="A1156" s="28">
        <v>2007</v>
      </c>
      <c r="B1156" s="27" t="s">
        <v>63</v>
      </c>
      <c r="C1156" s="24">
        <f t="shared" si="1122"/>
        <v>1104</v>
      </c>
      <c r="D1156" s="7" t="e">
        <f t="shared" ca="1" si="1165"/>
        <v>#N/A</v>
      </c>
      <c r="E1156" s="26">
        <f t="array" aca="1" ref="E1156" ca="1">AVERAGE(IF(INDIRECT(DatCol&amp;"$"&amp;TEXT(C1156,"###")):INDIRECT(DatCol&amp;"$"&amp;TEXT(C1156+57,"###"))&gt;0,INDIRECT(DatCol&amp;"$"&amp;TEXT(C1156,"###")):INDIRECT(DatCol&amp;"$"&amp;TEXT(C1156+57,"###"))))</f>
        <v>209</v>
      </c>
      <c r="F1156" s="26" t="str">
        <f t="shared" si="1164"/>
        <v>S</v>
      </c>
      <c r="K1156" s="9">
        <f t="shared" si="1125"/>
        <v>0</v>
      </c>
      <c r="L1156" s="14"/>
      <c r="AK1156" s="13"/>
      <c r="AM1156" s="13"/>
      <c r="BN1156" s="8">
        <f t="shared" si="1123"/>
        <v>0</v>
      </c>
      <c r="BO1156" s="8">
        <f t="shared" si="1124"/>
        <v>0</v>
      </c>
      <c r="BP1156" s="8">
        <f t="shared" si="1126"/>
        <v>0</v>
      </c>
      <c r="BQ1156" s="12">
        <f t="shared" si="1127"/>
        <v>0</v>
      </c>
    </row>
    <row r="1157" spans="1:69">
      <c r="A1157" s="28">
        <v>2008</v>
      </c>
      <c r="B1157" s="27" t="s">
        <v>63</v>
      </c>
      <c r="C1157" s="24">
        <f t="shared" si="1122"/>
        <v>1104</v>
      </c>
      <c r="D1157" s="7" t="e">
        <f t="shared" ca="1" si="1165"/>
        <v>#N/A</v>
      </c>
      <c r="E1157" s="26">
        <f t="array" aca="1" ref="E1157" ca="1">AVERAGE(IF(INDIRECT(DatCol&amp;"$"&amp;TEXT(C1157,"###")):INDIRECT(DatCol&amp;"$"&amp;TEXT(C1157+57,"###"))&gt;0,INDIRECT(DatCol&amp;"$"&amp;TEXT(C1157,"###")):INDIRECT(DatCol&amp;"$"&amp;TEXT(C1157+57,"###"))))</f>
        <v>209</v>
      </c>
      <c r="F1157" s="26" t="str">
        <f t="shared" si="1164"/>
        <v>S</v>
      </c>
      <c r="K1157" s="9">
        <f t="shared" si="1125"/>
        <v>0</v>
      </c>
      <c r="L1157" s="14"/>
      <c r="AK1157" s="13"/>
      <c r="AM1157" s="13"/>
      <c r="BN1157" s="8">
        <f t="shared" si="1123"/>
        <v>0</v>
      </c>
      <c r="BO1157" s="8">
        <f t="shared" si="1124"/>
        <v>0</v>
      </c>
      <c r="BP1157" s="8">
        <f t="shared" si="1126"/>
        <v>0</v>
      </c>
      <c r="BQ1157" s="12">
        <f t="shared" si="1127"/>
        <v>0</v>
      </c>
    </row>
    <row r="1158" spans="1:69">
      <c r="A1158" s="28">
        <v>2009</v>
      </c>
      <c r="B1158" s="27" t="s">
        <v>63</v>
      </c>
      <c r="C1158" s="24">
        <f t="shared" si="1122"/>
        <v>1104</v>
      </c>
      <c r="D1158" s="7" t="e">
        <f t="shared" ca="1" si="1165"/>
        <v>#N/A</v>
      </c>
      <c r="E1158" s="26">
        <f t="array" aca="1" ref="E1158" ca="1">AVERAGE(IF(INDIRECT(DatCol&amp;"$"&amp;TEXT(C1158,"###")):INDIRECT(DatCol&amp;"$"&amp;TEXT(C1158+57,"###"))&gt;0,INDIRECT(DatCol&amp;"$"&amp;TEXT(C1158,"###")):INDIRECT(DatCol&amp;"$"&amp;TEXT(C1158+57,"###"))))</f>
        <v>209</v>
      </c>
      <c r="F1158" s="26" t="str">
        <f t="shared" si="1164"/>
        <v>S</v>
      </c>
      <c r="K1158" s="9">
        <f t="shared" si="1125"/>
        <v>0</v>
      </c>
      <c r="AK1158" s="13"/>
      <c r="AM1158" s="13"/>
      <c r="BN1158" s="8">
        <f t="shared" si="1123"/>
        <v>0</v>
      </c>
      <c r="BO1158" s="8">
        <f t="shared" si="1124"/>
        <v>0</v>
      </c>
      <c r="BP1158" s="8">
        <f t="shared" si="1126"/>
        <v>0</v>
      </c>
      <c r="BQ1158" s="12">
        <f t="shared" si="1127"/>
        <v>0</v>
      </c>
    </row>
    <row r="1159" spans="1:69">
      <c r="A1159" s="28">
        <v>2010</v>
      </c>
      <c r="B1159" s="27" t="s">
        <v>63</v>
      </c>
      <c r="C1159" s="24">
        <f t="shared" si="1122"/>
        <v>1104</v>
      </c>
      <c r="D1159" s="7" t="e">
        <f t="shared" ca="1" si="1165"/>
        <v>#N/A</v>
      </c>
      <c r="E1159" s="26">
        <f t="array" aca="1" ref="E1159" ca="1">AVERAGE(IF(INDIRECT(DatCol&amp;"$"&amp;TEXT(C1159,"###")):INDIRECT(DatCol&amp;"$"&amp;TEXT(C1159+57,"###"))&gt;0,INDIRECT(DatCol&amp;"$"&amp;TEXT(C1159,"###")):INDIRECT(DatCol&amp;"$"&amp;TEXT(C1159+57,"###"))))</f>
        <v>209</v>
      </c>
      <c r="F1159" s="26" t="str">
        <f t="shared" ref="F1159:F1161" si="1166">VLOOKUP(B1159,town_region,2,FALSE)</f>
        <v>S</v>
      </c>
      <c r="AK1159" s="13"/>
      <c r="AM1159" s="13"/>
      <c r="BN1159" s="8"/>
      <c r="BO1159" s="8"/>
      <c r="BP1159" s="8"/>
      <c r="BQ1159" s="12"/>
    </row>
    <row r="1160" spans="1:69">
      <c r="A1160" s="28">
        <v>2011</v>
      </c>
      <c r="B1160" s="27" t="s">
        <v>63</v>
      </c>
      <c r="C1160" s="24">
        <f t="shared" si="1122"/>
        <v>1104</v>
      </c>
      <c r="D1160" s="7" t="e">
        <f t="shared" ca="1" si="1165"/>
        <v>#N/A</v>
      </c>
      <c r="E1160" s="26">
        <f t="array" aca="1" ref="E1160" ca="1">AVERAGE(IF(INDIRECT(DatCol&amp;"$"&amp;TEXT(C1160,"###")):INDIRECT(DatCol&amp;"$"&amp;TEXT(C1160+57,"###"))&gt;0,INDIRECT(DatCol&amp;"$"&amp;TEXT(C1160,"###")):INDIRECT(DatCol&amp;"$"&amp;TEXT(C1160+57,"###"))))</f>
        <v>209</v>
      </c>
      <c r="F1160" s="26" t="str">
        <f t="shared" si="1166"/>
        <v>S</v>
      </c>
      <c r="AK1160" s="13"/>
      <c r="AM1160" s="13"/>
      <c r="BN1160" s="8"/>
      <c r="BO1160" s="8"/>
      <c r="BP1160" s="8"/>
      <c r="BQ1160" s="12"/>
    </row>
    <row r="1161" spans="1:69">
      <c r="A1161" s="28">
        <v>2012</v>
      </c>
      <c r="B1161" s="27" t="s">
        <v>63</v>
      </c>
      <c r="C1161" s="24">
        <f t="shared" si="1122"/>
        <v>1104</v>
      </c>
      <c r="D1161" s="7" t="e">
        <f t="shared" ca="1" si="1165"/>
        <v>#N/A</v>
      </c>
      <c r="E1161" s="26">
        <f t="array" aca="1" ref="E1161" ca="1">AVERAGE(IF(INDIRECT(DatCol&amp;"$"&amp;TEXT(C1161,"###")):INDIRECT(DatCol&amp;"$"&amp;TEXT(C1161+57,"###"))&gt;0,INDIRECT(DatCol&amp;"$"&amp;TEXT(C1161,"###")):INDIRECT(DatCol&amp;"$"&amp;TEXT(C1161+57,"###"))))</f>
        <v>209</v>
      </c>
      <c r="F1161" s="26" t="str">
        <f t="shared" si="1166"/>
        <v>S</v>
      </c>
      <c r="AK1161" s="13"/>
      <c r="AM1161" s="13"/>
      <c r="BN1161" s="8"/>
      <c r="BO1161" s="8"/>
      <c r="BP1161" s="8"/>
      <c r="BQ1161" s="12"/>
    </row>
    <row r="1162" spans="1:69">
      <c r="A1162" s="28">
        <v>1955</v>
      </c>
      <c r="B1162" s="27" t="s">
        <v>65</v>
      </c>
      <c r="C1162" s="24">
        <f>ROW()</f>
        <v>1162</v>
      </c>
      <c r="D1162" s="7" t="e">
        <f t="shared" ca="1" si="1165"/>
        <v>#N/A</v>
      </c>
      <c r="E1162" s="26">
        <f t="array" aca="1" ref="E1162" ca="1">AVERAGE(IF(INDIRECT(DatCol&amp;"$"&amp;TEXT(C1162,"###")):INDIRECT(DatCol&amp;"$"&amp;TEXT(C1162+57,"###"))&gt;0,INDIRECT(DatCol&amp;"$"&amp;TEXT(C1162,"###")):INDIRECT(DatCol&amp;"$"&amp;TEXT(C1162+57,"###"))))</f>
        <v>3336.5151515151515</v>
      </c>
      <c r="F1162" s="26" t="str">
        <f t="shared" si="1164"/>
        <v>N</v>
      </c>
      <c r="G1162" s="8"/>
      <c r="K1162" s="9">
        <f t="shared" si="1125"/>
        <v>0</v>
      </c>
      <c r="M1162" s="11">
        <f>(L1162*50)</f>
        <v>0</v>
      </c>
      <c r="O1162" s="11">
        <f>(N1162*50)</f>
        <v>0</v>
      </c>
      <c r="Q1162" s="11">
        <f>((P1162*330)/5.5)</f>
        <v>0</v>
      </c>
      <c r="Y1162" s="11">
        <f>((X1162*330)/5.5)</f>
        <v>0</v>
      </c>
      <c r="AG1162" s="11">
        <f>(AF1162*65)</f>
        <v>0</v>
      </c>
      <c r="AI1162" s="11">
        <f>(AH1162*65)</f>
        <v>0</v>
      </c>
      <c r="AK1162" s="13">
        <f>(AJ1162*9)</f>
        <v>0</v>
      </c>
      <c r="AM1162" s="13">
        <f>(AL1162*9)</f>
        <v>0</v>
      </c>
      <c r="AO1162" s="11">
        <f>(AN1162*80)</f>
        <v>0</v>
      </c>
      <c r="AQ1162" s="11">
        <f>(AP1162*80)</f>
        <v>0</v>
      </c>
      <c r="AS1162" s="11">
        <f>(AR1162*50)</f>
        <v>0</v>
      </c>
      <c r="AU1162" s="11">
        <f>(AT1162*50)</f>
        <v>0</v>
      </c>
      <c r="AW1162" s="11">
        <f>(AV1162*60)</f>
        <v>0</v>
      </c>
      <c r="AY1162" s="11">
        <f>(AX1162*60)</f>
        <v>0</v>
      </c>
      <c r="BA1162" s="11">
        <f>(AZ1162*40)</f>
        <v>0</v>
      </c>
      <c r="BC1162" s="11">
        <f>(BB1162*40)</f>
        <v>0</v>
      </c>
      <c r="BE1162" s="11">
        <f>(BD1162*95)</f>
        <v>0</v>
      </c>
      <c r="BG1162" s="11">
        <f>(BF1162*95)</f>
        <v>0</v>
      </c>
      <c r="BN1162" s="8">
        <f t="shared" si="1123"/>
        <v>0</v>
      </c>
      <c r="BO1162" s="8">
        <f t="shared" si="1124"/>
        <v>0</v>
      </c>
      <c r="BP1162" s="8">
        <f t="shared" si="1126"/>
        <v>0</v>
      </c>
      <c r="BQ1162" s="12">
        <f t="shared" si="1127"/>
        <v>0</v>
      </c>
    </row>
    <row r="1163" spans="1:69">
      <c r="A1163" s="28">
        <v>1956</v>
      </c>
      <c r="B1163" s="27" t="s">
        <v>65</v>
      </c>
      <c r="C1163" s="24">
        <f t="shared" ref="C1163:C1219" si="1167">C1162</f>
        <v>1162</v>
      </c>
      <c r="D1163" s="7" t="e">
        <f t="shared" ca="1" si="1165"/>
        <v>#N/A</v>
      </c>
      <c r="E1163" s="26">
        <f t="array" aca="1" ref="E1163" ca="1">AVERAGE(IF(INDIRECT(DatCol&amp;"$"&amp;TEXT(C1163,"###")):INDIRECT(DatCol&amp;"$"&amp;TEXT(C1163+57,"###"))&gt;0,INDIRECT(DatCol&amp;"$"&amp;TEXT(C1163,"###")):INDIRECT(DatCol&amp;"$"&amp;TEXT(C1163+57,"###"))))</f>
        <v>3336.5151515151515</v>
      </c>
      <c r="F1163" s="26" t="str">
        <f t="shared" si="1164"/>
        <v>N</v>
      </c>
      <c r="G1163" s="8"/>
      <c r="K1163" s="9">
        <f t="shared" si="1125"/>
        <v>0</v>
      </c>
      <c r="M1163" s="11">
        <f>(L1163*50)</f>
        <v>0</v>
      </c>
      <c r="O1163" s="11">
        <f>(N1163*50)</f>
        <v>0</v>
      </c>
      <c r="Q1163" s="11">
        <f>((P1163*330)/5.5)</f>
        <v>0</v>
      </c>
      <c r="Y1163" s="11">
        <f>((X1163*330)/5.5)</f>
        <v>0</v>
      </c>
      <c r="AG1163" s="11">
        <f>(AF1163*65)</f>
        <v>0</v>
      </c>
      <c r="AI1163" s="11">
        <f>(AH1163*65)</f>
        <v>0</v>
      </c>
      <c r="AK1163" s="13">
        <f>(AJ1163*9)</f>
        <v>0</v>
      </c>
      <c r="AM1163" s="13">
        <f>(AL1163*9)</f>
        <v>0</v>
      </c>
      <c r="AO1163" s="11">
        <f>(AN1163*80)</f>
        <v>0</v>
      </c>
      <c r="AQ1163" s="11">
        <f>(AP1163*80)</f>
        <v>0</v>
      </c>
      <c r="AS1163" s="11">
        <f>(AR1163*50)</f>
        <v>0</v>
      </c>
      <c r="AU1163" s="11">
        <f>(AT1163*50)</f>
        <v>0</v>
      </c>
      <c r="AW1163" s="11">
        <f>(AV1163*60)</f>
        <v>0</v>
      </c>
      <c r="AY1163" s="11">
        <f>(AX1163*60)</f>
        <v>0</v>
      </c>
      <c r="BA1163" s="11">
        <f>(AZ1163*40)</f>
        <v>0</v>
      </c>
      <c r="BC1163" s="11">
        <f>(BB1163*40)</f>
        <v>0</v>
      </c>
      <c r="BE1163" s="11">
        <f>(BD1163*95)</f>
        <v>0</v>
      </c>
      <c r="BG1163" s="11">
        <f>(BF1163*95)</f>
        <v>0</v>
      </c>
      <c r="BN1163" s="8">
        <f t="shared" si="1123"/>
        <v>0</v>
      </c>
      <c r="BO1163" s="8">
        <f t="shared" si="1124"/>
        <v>0</v>
      </c>
      <c r="BP1163" s="8">
        <f t="shared" si="1126"/>
        <v>0</v>
      </c>
      <c r="BQ1163" s="12">
        <f t="shared" si="1127"/>
        <v>0</v>
      </c>
    </row>
    <row r="1164" spans="1:69">
      <c r="A1164" s="28">
        <v>1957</v>
      </c>
      <c r="B1164" s="27" t="s">
        <v>65</v>
      </c>
      <c r="C1164" s="24">
        <f t="shared" si="1167"/>
        <v>1162</v>
      </c>
      <c r="D1164" s="7" t="e">
        <f t="shared" ca="1" si="1165"/>
        <v>#N/A</v>
      </c>
      <c r="E1164" s="26">
        <f t="array" aca="1" ref="E1164" ca="1">AVERAGE(IF(INDIRECT(DatCol&amp;"$"&amp;TEXT(C1164,"###")):INDIRECT(DatCol&amp;"$"&amp;TEXT(C1164+57,"###"))&gt;0,INDIRECT(DatCol&amp;"$"&amp;TEXT(C1164,"###")):INDIRECT(DatCol&amp;"$"&amp;TEXT(C1164+57,"###"))))</f>
        <v>3336.5151515151515</v>
      </c>
      <c r="F1164" s="26" t="str">
        <f t="shared" si="1164"/>
        <v>N</v>
      </c>
      <c r="G1164" s="8"/>
      <c r="K1164" s="9">
        <f t="shared" si="1125"/>
        <v>0</v>
      </c>
      <c r="M1164" s="11">
        <f>(L1164*50)</f>
        <v>0</v>
      </c>
      <c r="O1164" s="11">
        <f>(N1164*50)</f>
        <v>0</v>
      </c>
      <c r="Q1164" s="11">
        <f>((P1164*330)/5.5)</f>
        <v>0</v>
      </c>
      <c r="Y1164" s="11">
        <f>((X1164*330)/5.5)</f>
        <v>0</v>
      </c>
      <c r="AG1164" s="11">
        <f>(AF1164*65)</f>
        <v>0</v>
      </c>
      <c r="AI1164" s="11">
        <f>(AH1164*65)</f>
        <v>0</v>
      </c>
      <c r="AK1164" s="13">
        <f>(AJ1164*9)</f>
        <v>0</v>
      </c>
      <c r="AM1164" s="13">
        <f>(AL1164*9)</f>
        <v>0</v>
      </c>
      <c r="AO1164" s="11">
        <f>(AN1164*80)</f>
        <v>0</v>
      </c>
      <c r="AQ1164" s="11">
        <f>(AP1164*80)</f>
        <v>0</v>
      </c>
      <c r="AS1164" s="11">
        <f>(AR1164*50)</f>
        <v>0</v>
      </c>
      <c r="AU1164" s="11">
        <f>(AT1164*50)</f>
        <v>0</v>
      </c>
      <c r="AW1164" s="11">
        <f>(AV1164*60)</f>
        <v>0</v>
      </c>
      <c r="AY1164" s="11">
        <f>(AX1164*60)</f>
        <v>0</v>
      </c>
      <c r="BA1164" s="11">
        <f>(AZ1164*40)</f>
        <v>0</v>
      </c>
      <c r="BC1164" s="11">
        <f>(BB1164*40)</f>
        <v>0</v>
      </c>
      <c r="BE1164" s="11">
        <f>(BD1164*95)</f>
        <v>0</v>
      </c>
      <c r="BG1164" s="11">
        <f>(BF1164*95)</f>
        <v>0</v>
      </c>
      <c r="BN1164" s="8">
        <f t="shared" si="1123"/>
        <v>0</v>
      </c>
      <c r="BO1164" s="8">
        <f t="shared" si="1124"/>
        <v>0</v>
      </c>
      <c r="BP1164" s="8">
        <f t="shared" si="1126"/>
        <v>0</v>
      </c>
      <c r="BQ1164" s="12">
        <f t="shared" si="1127"/>
        <v>0</v>
      </c>
    </row>
    <row r="1165" spans="1:69">
      <c r="A1165" s="28">
        <v>1958</v>
      </c>
      <c r="B1165" s="27" t="s">
        <v>65</v>
      </c>
      <c r="C1165" s="24">
        <f t="shared" si="1167"/>
        <v>1162</v>
      </c>
      <c r="D1165" s="7" t="e">
        <f t="shared" ca="1" si="1165"/>
        <v>#N/A</v>
      </c>
      <c r="E1165" s="26">
        <f t="array" aca="1" ref="E1165" ca="1">AVERAGE(IF(INDIRECT(DatCol&amp;"$"&amp;TEXT(C1165,"###")):INDIRECT(DatCol&amp;"$"&amp;TEXT(C1165+57,"###"))&gt;0,INDIRECT(DatCol&amp;"$"&amp;TEXT(C1165,"###")):INDIRECT(DatCol&amp;"$"&amp;TEXT(C1165+57,"###"))))</f>
        <v>3336.5151515151515</v>
      </c>
      <c r="F1165" s="26" t="str">
        <f t="shared" si="1164"/>
        <v>N</v>
      </c>
      <c r="G1165" s="8"/>
      <c r="K1165" s="9">
        <f t="shared" si="1125"/>
        <v>0</v>
      </c>
      <c r="M1165" s="11">
        <f>(L1165*50)</f>
        <v>0</v>
      </c>
      <c r="O1165" s="11">
        <f>(N1165*50)</f>
        <v>0</v>
      </c>
      <c r="Q1165" s="11">
        <f>((P1165*330)/5.5)</f>
        <v>0</v>
      </c>
      <c r="Y1165" s="11">
        <f>((X1165*330)/5.5)</f>
        <v>0</v>
      </c>
      <c r="AG1165" s="11">
        <f>(AF1165*65)</f>
        <v>0</v>
      </c>
      <c r="AI1165" s="11">
        <f>(AH1165*65)</f>
        <v>0</v>
      </c>
      <c r="AK1165" s="13">
        <f>(AJ1165*9)</f>
        <v>0</v>
      </c>
      <c r="AM1165" s="13">
        <f>(AL1165*9)</f>
        <v>0</v>
      </c>
      <c r="AO1165" s="11">
        <f>(AN1165*80)</f>
        <v>0</v>
      </c>
      <c r="AQ1165" s="11">
        <f>(AP1165*80)</f>
        <v>0</v>
      </c>
      <c r="AS1165" s="11">
        <f>(AR1165*50)</f>
        <v>0</v>
      </c>
      <c r="AU1165" s="11">
        <f>(AT1165*50)</f>
        <v>0</v>
      </c>
      <c r="AW1165" s="11">
        <f>(AV1165*60)</f>
        <v>0</v>
      </c>
      <c r="AY1165" s="11">
        <f>(AX1165*60)</f>
        <v>0</v>
      </c>
      <c r="BA1165" s="11">
        <f>(AZ1165*40)</f>
        <v>0</v>
      </c>
      <c r="BC1165" s="11">
        <f>(BB1165*40)</f>
        <v>0</v>
      </c>
      <c r="BE1165" s="11">
        <f>(BD1165*95)</f>
        <v>0</v>
      </c>
      <c r="BG1165" s="11">
        <f>(BF1165*95)</f>
        <v>0</v>
      </c>
      <c r="BN1165" s="8">
        <f t="shared" si="1123"/>
        <v>0</v>
      </c>
      <c r="BO1165" s="8">
        <f t="shared" si="1124"/>
        <v>0</v>
      </c>
      <c r="BP1165" s="8">
        <f t="shared" si="1126"/>
        <v>0</v>
      </c>
      <c r="BQ1165" s="12">
        <f t="shared" si="1127"/>
        <v>0</v>
      </c>
    </row>
    <row r="1166" spans="1:69">
      <c r="A1166" s="28">
        <v>1959</v>
      </c>
      <c r="B1166" s="27" t="s">
        <v>65</v>
      </c>
      <c r="C1166" s="24">
        <f t="shared" si="1167"/>
        <v>1162</v>
      </c>
      <c r="D1166" s="7" t="e">
        <f t="shared" ca="1" si="1165"/>
        <v>#N/A</v>
      </c>
      <c r="E1166" s="26">
        <f t="array" aca="1" ref="E1166" ca="1">AVERAGE(IF(INDIRECT(DatCol&amp;"$"&amp;TEXT(C1166,"###")):INDIRECT(DatCol&amp;"$"&amp;TEXT(C1166+57,"###"))&gt;0,INDIRECT(DatCol&amp;"$"&amp;TEXT(C1166,"###")):INDIRECT(DatCol&amp;"$"&amp;TEXT(C1166+57,"###"))))</f>
        <v>3336.5151515151515</v>
      </c>
      <c r="F1166" s="26" t="str">
        <f t="shared" si="1164"/>
        <v>N</v>
      </c>
      <c r="G1166" s="8"/>
      <c r="K1166" s="9">
        <f t="shared" si="1125"/>
        <v>0</v>
      </c>
      <c r="M1166" s="11">
        <f>(L1166*50)</f>
        <v>0</v>
      </c>
      <c r="O1166" s="11">
        <f>(N1166*50)</f>
        <v>0</v>
      </c>
      <c r="Q1166" s="11">
        <f>((P1166*330)/5.5)</f>
        <v>0</v>
      </c>
      <c r="Y1166" s="11">
        <f>((X1166*330)/5.5)</f>
        <v>0</v>
      </c>
      <c r="AG1166" s="11">
        <f>(AF1166*65)</f>
        <v>0</v>
      </c>
      <c r="AI1166" s="11">
        <f>(AH1166*65)</f>
        <v>0</v>
      </c>
      <c r="AK1166" s="13">
        <f>(AJ1166*9)</f>
        <v>0</v>
      </c>
      <c r="AM1166" s="13">
        <f>(AL1166*9)</f>
        <v>0</v>
      </c>
      <c r="AO1166" s="11">
        <f>(AN1166*80)</f>
        <v>0</v>
      </c>
      <c r="AQ1166" s="11">
        <f>(AP1166*80)</f>
        <v>0</v>
      </c>
      <c r="AS1166" s="11">
        <f>(AR1166*50)</f>
        <v>0</v>
      </c>
      <c r="AU1166" s="11">
        <f>(AT1166*50)</f>
        <v>0</v>
      </c>
      <c r="AW1166" s="11">
        <f>(AV1166*60)</f>
        <v>0</v>
      </c>
      <c r="AY1166" s="11">
        <f>(AX1166*60)</f>
        <v>0</v>
      </c>
      <c r="BA1166" s="11">
        <f>(AZ1166*40)</f>
        <v>0</v>
      </c>
      <c r="BC1166" s="11">
        <f>(BB1166*40)</f>
        <v>0</v>
      </c>
      <c r="BE1166" s="11">
        <f>(BD1166*95)</f>
        <v>0</v>
      </c>
      <c r="BG1166" s="11">
        <f>(BF1166*95)</f>
        <v>0</v>
      </c>
      <c r="BN1166" s="8">
        <f t="shared" si="1123"/>
        <v>0</v>
      </c>
      <c r="BO1166" s="8">
        <f t="shared" si="1124"/>
        <v>0</v>
      </c>
      <c r="BP1166" s="8">
        <f t="shared" si="1126"/>
        <v>0</v>
      </c>
      <c r="BQ1166" s="12">
        <f t="shared" si="1127"/>
        <v>0</v>
      </c>
    </row>
    <row r="1167" spans="1:69">
      <c r="A1167" s="28">
        <v>1960</v>
      </c>
      <c r="B1167" s="27" t="s">
        <v>65</v>
      </c>
      <c r="C1167" s="24">
        <f t="shared" si="1167"/>
        <v>1162</v>
      </c>
      <c r="D1167" s="7" t="e">
        <f t="shared" ca="1" si="1165"/>
        <v>#N/A</v>
      </c>
      <c r="E1167" s="26">
        <f t="array" aca="1" ref="E1167" ca="1">AVERAGE(IF(INDIRECT(DatCol&amp;"$"&amp;TEXT(C1167,"###")):INDIRECT(DatCol&amp;"$"&amp;TEXT(C1167+57,"###"))&gt;0,INDIRECT(DatCol&amp;"$"&amp;TEXT(C1167,"###")):INDIRECT(DatCol&amp;"$"&amp;TEXT(C1167+57,"###"))))</f>
        <v>3336.5151515151515</v>
      </c>
      <c r="F1167" s="26" t="str">
        <f t="shared" si="1164"/>
        <v>N</v>
      </c>
      <c r="G1167" s="8"/>
      <c r="K1167" s="9">
        <f t="shared" si="1125"/>
        <v>0</v>
      </c>
      <c r="M1167" s="11">
        <f t="shared" ref="M1167:M1182" si="1168">(L1167*50)</f>
        <v>0</v>
      </c>
      <c r="O1167" s="11">
        <f t="shared" ref="O1167:O1182" si="1169">(N1167*50)</f>
        <v>0</v>
      </c>
      <c r="Q1167" s="11">
        <f t="shared" ref="Q1167:Q1182" si="1170">((P1167*330)/5.5)</f>
        <v>0</v>
      </c>
      <c r="Y1167" s="11">
        <f t="shared" ref="Y1167:Y1182" si="1171">((X1167*330)/5.5)</f>
        <v>0</v>
      </c>
      <c r="AG1167" s="11">
        <f t="shared" ref="AG1167:AG1182" si="1172">(AF1167*65)</f>
        <v>0</v>
      </c>
      <c r="AI1167" s="11">
        <f t="shared" ref="AI1167:AI1182" si="1173">(AH1167*65)</f>
        <v>0</v>
      </c>
      <c r="AK1167" s="13">
        <f t="shared" ref="AK1167:AK1182" si="1174">(AJ1167*9)</f>
        <v>0</v>
      </c>
      <c r="AM1167" s="13">
        <f t="shared" ref="AM1167:AM1182" si="1175">(AL1167*9)</f>
        <v>0</v>
      </c>
      <c r="AO1167" s="11">
        <f t="shared" ref="AO1167:AO1182" si="1176">(AN1167*80)</f>
        <v>0</v>
      </c>
      <c r="AQ1167" s="11">
        <f t="shared" ref="AQ1167:AQ1182" si="1177">(AP1167*80)</f>
        <v>0</v>
      </c>
      <c r="AS1167" s="11">
        <f t="shared" ref="AS1167:AS1182" si="1178">(AR1167*50)</f>
        <v>0</v>
      </c>
      <c r="AU1167" s="11">
        <f t="shared" ref="AU1167:AU1182" si="1179">(AT1167*50)</f>
        <v>0</v>
      </c>
      <c r="AW1167" s="11">
        <f t="shared" ref="AW1167:AW1182" si="1180">(AV1167*60)</f>
        <v>0</v>
      </c>
      <c r="AY1167" s="11">
        <f t="shared" ref="AY1167:AY1182" si="1181">(AX1167*60)</f>
        <v>0</v>
      </c>
      <c r="BA1167" s="11">
        <f t="shared" ref="BA1167:BA1182" si="1182">(AZ1167*40)</f>
        <v>0</v>
      </c>
      <c r="BC1167" s="11">
        <f t="shared" ref="BC1167:BC1182" si="1183">(BB1167*40)</f>
        <v>0</v>
      </c>
      <c r="BE1167" s="11">
        <f t="shared" ref="BE1167:BE1182" si="1184">(BD1167*95)</f>
        <v>0</v>
      </c>
      <c r="BG1167" s="11">
        <f t="shared" ref="BG1167:BG1182" si="1185">(BF1167*95)</f>
        <v>0</v>
      </c>
      <c r="BN1167" s="8">
        <f t="shared" si="1123"/>
        <v>0</v>
      </c>
      <c r="BO1167" s="8">
        <f t="shared" si="1124"/>
        <v>0</v>
      </c>
      <c r="BP1167" s="8">
        <f t="shared" si="1126"/>
        <v>0</v>
      </c>
      <c r="BQ1167" s="12">
        <f t="shared" si="1127"/>
        <v>0</v>
      </c>
    </row>
    <row r="1168" spans="1:69">
      <c r="A1168" s="28">
        <v>1961</v>
      </c>
      <c r="B1168" s="27" t="s">
        <v>65</v>
      </c>
      <c r="C1168" s="24">
        <f t="shared" si="1167"/>
        <v>1162</v>
      </c>
      <c r="D1168" s="7" t="e">
        <f t="shared" ca="1" si="1165"/>
        <v>#N/A</v>
      </c>
      <c r="E1168" s="26">
        <f t="array" aca="1" ref="E1168" ca="1">AVERAGE(IF(INDIRECT(DatCol&amp;"$"&amp;TEXT(C1168,"###")):INDIRECT(DatCol&amp;"$"&amp;TEXT(C1168+57,"###"))&gt;0,INDIRECT(DatCol&amp;"$"&amp;TEXT(C1168,"###")):INDIRECT(DatCol&amp;"$"&amp;TEXT(C1168+57,"###"))))</f>
        <v>3336.5151515151515</v>
      </c>
      <c r="F1168" s="26" t="str">
        <f t="shared" si="1164"/>
        <v>N</v>
      </c>
      <c r="G1168" s="8"/>
      <c r="K1168" s="9">
        <f t="shared" si="1125"/>
        <v>0</v>
      </c>
      <c r="M1168" s="11">
        <f t="shared" si="1168"/>
        <v>0</v>
      </c>
      <c r="O1168" s="11">
        <f t="shared" si="1169"/>
        <v>0</v>
      </c>
      <c r="Q1168" s="11">
        <f t="shared" si="1170"/>
        <v>0</v>
      </c>
      <c r="Y1168" s="11">
        <f t="shared" si="1171"/>
        <v>0</v>
      </c>
      <c r="AG1168" s="11">
        <f t="shared" si="1172"/>
        <v>0</v>
      </c>
      <c r="AI1168" s="11">
        <f t="shared" si="1173"/>
        <v>0</v>
      </c>
      <c r="AK1168" s="13">
        <f t="shared" si="1174"/>
        <v>0</v>
      </c>
      <c r="AM1168" s="13">
        <f t="shared" si="1175"/>
        <v>0</v>
      </c>
      <c r="AO1168" s="11">
        <f t="shared" si="1176"/>
        <v>0</v>
      </c>
      <c r="AQ1168" s="11">
        <f t="shared" si="1177"/>
        <v>0</v>
      </c>
      <c r="AS1168" s="11">
        <f t="shared" si="1178"/>
        <v>0</v>
      </c>
      <c r="AU1168" s="11">
        <f t="shared" si="1179"/>
        <v>0</v>
      </c>
      <c r="AW1168" s="11">
        <f t="shared" si="1180"/>
        <v>0</v>
      </c>
      <c r="AY1168" s="11">
        <f t="shared" si="1181"/>
        <v>0</v>
      </c>
      <c r="BA1168" s="11">
        <f t="shared" si="1182"/>
        <v>0</v>
      </c>
      <c r="BC1168" s="11">
        <f t="shared" si="1183"/>
        <v>0</v>
      </c>
      <c r="BE1168" s="11">
        <f t="shared" si="1184"/>
        <v>0</v>
      </c>
      <c r="BG1168" s="11">
        <f t="shared" si="1185"/>
        <v>0</v>
      </c>
      <c r="BN1168" s="8">
        <f t="shared" si="1123"/>
        <v>0</v>
      </c>
      <c r="BO1168" s="8">
        <f t="shared" si="1124"/>
        <v>0</v>
      </c>
      <c r="BP1168" s="8">
        <f t="shared" si="1126"/>
        <v>0</v>
      </c>
      <c r="BQ1168" s="12">
        <f t="shared" si="1127"/>
        <v>0</v>
      </c>
    </row>
    <row r="1169" spans="1:69">
      <c r="A1169" s="28">
        <v>1962</v>
      </c>
      <c r="B1169" s="27" t="s">
        <v>65</v>
      </c>
      <c r="C1169" s="24">
        <f t="shared" si="1167"/>
        <v>1162</v>
      </c>
      <c r="D1169" s="7" t="e">
        <f t="shared" ca="1" si="1165"/>
        <v>#N/A</v>
      </c>
      <c r="E1169" s="26">
        <f t="array" aca="1" ref="E1169" ca="1">AVERAGE(IF(INDIRECT(DatCol&amp;"$"&amp;TEXT(C1169,"###")):INDIRECT(DatCol&amp;"$"&amp;TEXT(C1169+57,"###"))&gt;0,INDIRECT(DatCol&amp;"$"&amp;TEXT(C1169,"###")):INDIRECT(DatCol&amp;"$"&amp;TEXT(C1169+57,"###"))))</f>
        <v>3336.5151515151515</v>
      </c>
      <c r="F1169" s="26" t="str">
        <f t="shared" si="1164"/>
        <v>N</v>
      </c>
      <c r="G1169" s="8"/>
      <c r="K1169" s="9">
        <f t="shared" si="1125"/>
        <v>0</v>
      </c>
      <c r="M1169" s="11">
        <f t="shared" si="1168"/>
        <v>0</v>
      </c>
      <c r="O1169" s="11">
        <f t="shared" si="1169"/>
        <v>0</v>
      </c>
      <c r="Q1169" s="11">
        <f t="shared" si="1170"/>
        <v>0</v>
      </c>
      <c r="Y1169" s="11">
        <f t="shared" si="1171"/>
        <v>0</v>
      </c>
      <c r="AG1169" s="11">
        <f t="shared" si="1172"/>
        <v>0</v>
      </c>
      <c r="AI1169" s="11">
        <f t="shared" si="1173"/>
        <v>0</v>
      </c>
      <c r="AK1169" s="13">
        <f t="shared" si="1174"/>
        <v>0</v>
      </c>
      <c r="AM1169" s="13">
        <f t="shared" si="1175"/>
        <v>0</v>
      </c>
      <c r="AO1169" s="11">
        <f t="shared" si="1176"/>
        <v>0</v>
      </c>
      <c r="AQ1169" s="11">
        <f t="shared" si="1177"/>
        <v>0</v>
      </c>
      <c r="AS1169" s="11">
        <f t="shared" si="1178"/>
        <v>0</v>
      </c>
      <c r="AU1169" s="11">
        <f t="shared" si="1179"/>
        <v>0</v>
      </c>
      <c r="AW1169" s="11">
        <f t="shared" si="1180"/>
        <v>0</v>
      </c>
      <c r="AY1169" s="11">
        <f t="shared" si="1181"/>
        <v>0</v>
      </c>
      <c r="BA1169" s="11">
        <f t="shared" si="1182"/>
        <v>0</v>
      </c>
      <c r="BC1169" s="11">
        <f t="shared" si="1183"/>
        <v>0</v>
      </c>
      <c r="BE1169" s="11">
        <f t="shared" si="1184"/>
        <v>0</v>
      </c>
      <c r="BG1169" s="11">
        <f t="shared" si="1185"/>
        <v>0</v>
      </c>
      <c r="BN1169" s="8">
        <f t="shared" si="1123"/>
        <v>0</v>
      </c>
      <c r="BO1169" s="8">
        <f t="shared" si="1124"/>
        <v>0</v>
      </c>
      <c r="BP1169" s="8">
        <f t="shared" si="1126"/>
        <v>0</v>
      </c>
      <c r="BQ1169" s="12">
        <f t="shared" si="1127"/>
        <v>0</v>
      </c>
    </row>
    <row r="1170" spans="1:69">
      <c r="A1170" s="28">
        <v>1963</v>
      </c>
      <c r="B1170" s="27" t="s">
        <v>65</v>
      </c>
      <c r="C1170" s="24">
        <f t="shared" si="1167"/>
        <v>1162</v>
      </c>
      <c r="D1170" s="7" t="e">
        <f t="shared" ca="1" si="1165"/>
        <v>#N/A</v>
      </c>
      <c r="E1170" s="26">
        <f t="array" aca="1" ref="E1170" ca="1">AVERAGE(IF(INDIRECT(DatCol&amp;"$"&amp;TEXT(C1170,"###")):INDIRECT(DatCol&amp;"$"&amp;TEXT(C1170+57,"###"))&gt;0,INDIRECT(DatCol&amp;"$"&amp;TEXT(C1170,"###")):INDIRECT(DatCol&amp;"$"&amp;TEXT(C1170+57,"###"))))</f>
        <v>3336.5151515151515</v>
      </c>
      <c r="F1170" s="26" t="str">
        <f t="shared" si="1164"/>
        <v>N</v>
      </c>
      <c r="G1170" s="8"/>
      <c r="K1170" s="9">
        <f t="shared" si="1125"/>
        <v>0</v>
      </c>
      <c r="M1170" s="11">
        <f t="shared" si="1168"/>
        <v>0</v>
      </c>
      <c r="O1170" s="11">
        <f t="shared" si="1169"/>
        <v>0</v>
      </c>
      <c r="Q1170" s="11">
        <f t="shared" si="1170"/>
        <v>0</v>
      </c>
      <c r="Y1170" s="11">
        <f t="shared" si="1171"/>
        <v>0</v>
      </c>
      <c r="AG1170" s="11">
        <f t="shared" si="1172"/>
        <v>0</v>
      </c>
      <c r="AI1170" s="11">
        <f t="shared" si="1173"/>
        <v>0</v>
      </c>
      <c r="AK1170" s="13">
        <f t="shared" si="1174"/>
        <v>0</v>
      </c>
      <c r="AM1170" s="13">
        <f t="shared" si="1175"/>
        <v>0</v>
      </c>
      <c r="AO1170" s="11">
        <f t="shared" si="1176"/>
        <v>0</v>
      </c>
      <c r="AQ1170" s="11">
        <f t="shared" si="1177"/>
        <v>0</v>
      </c>
      <c r="AS1170" s="11">
        <f t="shared" si="1178"/>
        <v>0</v>
      </c>
      <c r="AU1170" s="11">
        <f t="shared" si="1179"/>
        <v>0</v>
      </c>
      <c r="AW1170" s="11">
        <f t="shared" si="1180"/>
        <v>0</v>
      </c>
      <c r="AY1170" s="11">
        <f t="shared" si="1181"/>
        <v>0</v>
      </c>
      <c r="BA1170" s="11">
        <f t="shared" si="1182"/>
        <v>0</v>
      </c>
      <c r="BC1170" s="11">
        <f t="shared" si="1183"/>
        <v>0</v>
      </c>
      <c r="BE1170" s="11">
        <f t="shared" si="1184"/>
        <v>0</v>
      </c>
      <c r="BG1170" s="11">
        <f t="shared" si="1185"/>
        <v>0</v>
      </c>
      <c r="BN1170" s="8">
        <f t="shared" si="1123"/>
        <v>0</v>
      </c>
      <c r="BO1170" s="8">
        <f t="shared" si="1124"/>
        <v>0</v>
      </c>
      <c r="BP1170" s="8">
        <f t="shared" si="1126"/>
        <v>0</v>
      </c>
      <c r="BQ1170" s="12">
        <f t="shared" si="1127"/>
        <v>0</v>
      </c>
    </row>
    <row r="1171" spans="1:69">
      <c r="A1171" s="28">
        <v>1964</v>
      </c>
      <c r="B1171" s="27" t="s">
        <v>65</v>
      </c>
      <c r="C1171" s="24">
        <f t="shared" si="1167"/>
        <v>1162</v>
      </c>
      <c r="D1171" s="7" t="e">
        <f t="shared" ca="1" si="1165"/>
        <v>#N/A</v>
      </c>
      <c r="E1171" s="26">
        <f t="array" aca="1" ref="E1171" ca="1">AVERAGE(IF(INDIRECT(DatCol&amp;"$"&amp;TEXT(C1171,"###")):INDIRECT(DatCol&amp;"$"&amp;TEXT(C1171+57,"###"))&gt;0,INDIRECT(DatCol&amp;"$"&amp;TEXT(C1171,"###")):INDIRECT(DatCol&amp;"$"&amp;TEXT(C1171+57,"###"))))</f>
        <v>3336.5151515151515</v>
      </c>
      <c r="F1171" s="26" t="str">
        <f t="shared" si="1164"/>
        <v>N</v>
      </c>
      <c r="G1171" s="8"/>
      <c r="K1171" s="9">
        <f t="shared" si="1125"/>
        <v>0</v>
      </c>
      <c r="M1171" s="11">
        <f t="shared" si="1168"/>
        <v>0</v>
      </c>
      <c r="O1171" s="11">
        <f t="shared" si="1169"/>
        <v>0</v>
      </c>
      <c r="Q1171" s="11">
        <f t="shared" si="1170"/>
        <v>0</v>
      </c>
      <c r="Y1171" s="11">
        <f t="shared" si="1171"/>
        <v>0</v>
      </c>
      <c r="AG1171" s="11">
        <f t="shared" si="1172"/>
        <v>0</v>
      </c>
      <c r="AI1171" s="11">
        <f t="shared" si="1173"/>
        <v>0</v>
      </c>
      <c r="AK1171" s="13">
        <f t="shared" si="1174"/>
        <v>0</v>
      </c>
      <c r="AM1171" s="13">
        <f t="shared" si="1175"/>
        <v>0</v>
      </c>
      <c r="AO1171" s="11">
        <f t="shared" si="1176"/>
        <v>0</v>
      </c>
      <c r="AQ1171" s="11">
        <f t="shared" si="1177"/>
        <v>0</v>
      </c>
      <c r="AS1171" s="11">
        <f t="shared" si="1178"/>
        <v>0</v>
      </c>
      <c r="AU1171" s="11">
        <f t="shared" si="1179"/>
        <v>0</v>
      </c>
      <c r="AW1171" s="11">
        <f t="shared" si="1180"/>
        <v>0</v>
      </c>
      <c r="AY1171" s="11">
        <f t="shared" si="1181"/>
        <v>0</v>
      </c>
      <c r="BA1171" s="11">
        <f t="shared" si="1182"/>
        <v>0</v>
      </c>
      <c r="BC1171" s="11">
        <f t="shared" si="1183"/>
        <v>0</v>
      </c>
      <c r="BE1171" s="11">
        <f t="shared" si="1184"/>
        <v>0</v>
      </c>
      <c r="BG1171" s="11">
        <f t="shared" si="1185"/>
        <v>0</v>
      </c>
      <c r="BN1171" s="8">
        <f t="shared" si="1123"/>
        <v>0</v>
      </c>
      <c r="BO1171" s="8">
        <f t="shared" si="1124"/>
        <v>0</v>
      </c>
      <c r="BP1171" s="8">
        <f t="shared" si="1126"/>
        <v>0</v>
      </c>
      <c r="BQ1171" s="12">
        <f t="shared" si="1127"/>
        <v>0</v>
      </c>
    </row>
    <row r="1172" spans="1:69">
      <c r="A1172" s="28">
        <v>1965</v>
      </c>
      <c r="B1172" s="27" t="s">
        <v>65</v>
      </c>
      <c r="C1172" s="24">
        <f t="shared" si="1167"/>
        <v>1162</v>
      </c>
      <c r="D1172" s="7" t="e">
        <f t="shared" ca="1" si="1165"/>
        <v>#N/A</v>
      </c>
      <c r="E1172" s="26">
        <f t="array" aca="1" ref="E1172" ca="1">AVERAGE(IF(INDIRECT(DatCol&amp;"$"&amp;TEXT(C1172,"###")):INDIRECT(DatCol&amp;"$"&amp;TEXT(C1172+57,"###"))&gt;0,INDIRECT(DatCol&amp;"$"&amp;TEXT(C1172,"###")):INDIRECT(DatCol&amp;"$"&amp;TEXT(C1172+57,"###"))))</f>
        <v>3336.5151515151515</v>
      </c>
      <c r="F1172" s="26" t="str">
        <f t="shared" si="1164"/>
        <v>N</v>
      </c>
      <c r="G1172" s="8"/>
      <c r="K1172" s="9">
        <f t="shared" si="1125"/>
        <v>0</v>
      </c>
      <c r="M1172" s="11">
        <f t="shared" si="1168"/>
        <v>0</v>
      </c>
      <c r="O1172" s="11">
        <f t="shared" si="1169"/>
        <v>0</v>
      </c>
      <c r="Q1172" s="11">
        <f t="shared" si="1170"/>
        <v>0</v>
      </c>
      <c r="Y1172" s="11">
        <f t="shared" si="1171"/>
        <v>0</v>
      </c>
      <c r="AG1172" s="11">
        <f t="shared" si="1172"/>
        <v>0</v>
      </c>
      <c r="AI1172" s="11">
        <f t="shared" si="1173"/>
        <v>0</v>
      </c>
      <c r="AK1172" s="13">
        <f t="shared" si="1174"/>
        <v>0</v>
      </c>
      <c r="AM1172" s="13">
        <f t="shared" si="1175"/>
        <v>0</v>
      </c>
      <c r="AO1172" s="11">
        <f t="shared" si="1176"/>
        <v>0</v>
      </c>
      <c r="AQ1172" s="11">
        <f t="shared" si="1177"/>
        <v>0</v>
      </c>
      <c r="AS1172" s="11">
        <f t="shared" si="1178"/>
        <v>0</v>
      </c>
      <c r="AU1172" s="11">
        <f t="shared" si="1179"/>
        <v>0</v>
      </c>
      <c r="AW1172" s="11">
        <f t="shared" si="1180"/>
        <v>0</v>
      </c>
      <c r="AY1172" s="11">
        <f t="shared" si="1181"/>
        <v>0</v>
      </c>
      <c r="BA1172" s="11">
        <f t="shared" si="1182"/>
        <v>0</v>
      </c>
      <c r="BC1172" s="11">
        <f t="shared" si="1183"/>
        <v>0</v>
      </c>
      <c r="BE1172" s="11">
        <f t="shared" si="1184"/>
        <v>0</v>
      </c>
      <c r="BG1172" s="11">
        <f t="shared" si="1185"/>
        <v>0</v>
      </c>
      <c r="BN1172" s="8">
        <f t="shared" si="1123"/>
        <v>0</v>
      </c>
      <c r="BO1172" s="8">
        <f t="shared" si="1124"/>
        <v>0</v>
      </c>
      <c r="BP1172" s="8">
        <f t="shared" si="1126"/>
        <v>0</v>
      </c>
      <c r="BQ1172" s="12">
        <f t="shared" si="1127"/>
        <v>0</v>
      </c>
    </row>
    <row r="1173" spans="1:69">
      <c r="A1173" s="28">
        <v>1966</v>
      </c>
      <c r="B1173" s="27" t="s">
        <v>65</v>
      </c>
      <c r="C1173" s="24">
        <f t="shared" si="1167"/>
        <v>1162</v>
      </c>
      <c r="D1173" s="7" t="e">
        <f t="shared" ca="1" si="1165"/>
        <v>#N/A</v>
      </c>
      <c r="E1173" s="26">
        <f t="array" aca="1" ref="E1173" ca="1">AVERAGE(IF(INDIRECT(DatCol&amp;"$"&amp;TEXT(C1173,"###")):INDIRECT(DatCol&amp;"$"&amp;TEXT(C1173+57,"###"))&gt;0,INDIRECT(DatCol&amp;"$"&amp;TEXT(C1173,"###")):INDIRECT(DatCol&amp;"$"&amp;TEXT(C1173+57,"###"))))</f>
        <v>3336.5151515151515</v>
      </c>
      <c r="F1173" s="26" t="str">
        <f t="shared" si="1164"/>
        <v>N</v>
      </c>
      <c r="G1173" s="8"/>
      <c r="K1173" s="9">
        <f t="shared" si="1125"/>
        <v>0</v>
      </c>
      <c r="M1173" s="11">
        <f t="shared" si="1168"/>
        <v>0</v>
      </c>
      <c r="O1173" s="11">
        <f t="shared" si="1169"/>
        <v>0</v>
      </c>
      <c r="Q1173" s="11">
        <f t="shared" si="1170"/>
        <v>0</v>
      </c>
      <c r="Y1173" s="11">
        <f t="shared" si="1171"/>
        <v>0</v>
      </c>
      <c r="AG1173" s="11">
        <f t="shared" si="1172"/>
        <v>0</v>
      </c>
      <c r="AI1173" s="11">
        <f t="shared" si="1173"/>
        <v>0</v>
      </c>
      <c r="AK1173" s="13">
        <f t="shared" si="1174"/>
        <v>0</v>
      </c>
      <c r="AM1173" s="13">
        <f t="shared" si="1175"/>
        <v>0</v>
      </c>
      <c r="AO1173" s="11">
        <f t="shared" si="1176"/>
        <v>0</v>
      </c>
      <c r="AQ1173" s="11">
        <f t="shared" si="1177"/>
        <v>0</v>
      </c>
      <c r="AS1173" s="11">
        <f t="shared" si="1178"/>
        <v>0</v>
      </c>
      <c r="AU1173" s="11">
        <f t="shared" si="1179"/>
        <v>0</v>
      </c>
      <c r="AW1173" s="11">
        <f t="shared" si="1180"/>
        <v>0</v>
      </c>
      <c r="AY1173" s="11">
        <f t="shared" si="1181"/>
        <v>0</v>
      </c>
      <c r="BA1173" s="11">
        <f t="shared" si="1182"/>
        <v>0</v>
      </c>
      <c r="BC1173" s="11">
        <f t="shared" si="1183"/>
        <v>0</v>
      </c>
      <c r="BE1173" s="11">
        <f t="shared" si="1184"/>
        <v>0</v>
      </c>
      <c r="BG1173" s="11">
        <f t="shared" si="1185"/>
        <v>0</v>
      </c>
      <c r="BN1173" s="8">
        <f t="shared" ref="BN1173:BN1237" si="1186">(L1173+P1173+R1173+T1173+V1173+X1173+Z1173+AB1173+AD1173+AF1173+AJ1173+AN1173+AR1173+AV1173+AZ1173+BD1173)</f>
        <v>0</v>
      </c>
      <c r="BO1173" s="8">
        <f t="shared" si="1124"/>
        <v>0</v>
      </c>
      <c r="BP1173" s="8">
        <f t="shared" si="1126"/>
        <v>0</v>
      </c>
      <c r="BQ1173" s="12">
        <f t="shared" si="1127"/>
        <v>0</v>
      </c>
    </row>
    <row r="1174" spans="1:69">
      <c r="A1174" s="28">
        <v>1967</v>
      </c>
      <c r="B1174" s="27" t="s">
        <v>65</v>
      </c>
      <c r="C1174" s="24">
        <f t="shared" si="1167"/>
        <v>1162</v>
      </c>
      <c r="D1174" s="7" t="e">
        <f t="shared" ca="1" si="1165"/>
        <v>#N/A</v>
      </c>
      <c r="E1174" s="26">
        <f t="array" aca="1" ref="E1174" ca="1">AVERAGE(IF(INDIRECT(DatCol&amp;"$"&amp;TEXT(C1174,"###")):INDIRECT(DatCol&amp;"$"&amp;TEXT(C1174+57,"###"))&gt;0,INDIRECT(DatCol&amp;"$"&amp;TEXT(C1174,"###")):INDIRECT(DatCol&amp;"$"&amp;TEXT(C1174+57,"###"))))</f>
        <v>3336.5151515151515</v>
      </c>
      <c r="F1174" s="26" t="str">
        <f t="shared" si="1164"/>
        <v>N</v>
      </c>
      <c r="G1174" s="8"/>
      <c r="K1174" s="9">
        <f t="shared" si="1125"/>
        <v>0</v>
      </c>
      <c r="M1174" s="11">
        <f t="shared" si="1168"/>
        <v>0</v>
      </c>
      <c r="O1174" s="11">
        <f t="shared" si="1169"/>
        <v>0</v>
      </c>
      <c r="Q1174" s="11">
        <f t="shared" si="1170"/>
        <v>0</v>
      </c>
      <c r="Y1174" s="11">
        <f t="shared" si="1171"/>
        <v>0</v>
      </c>
      <c r="AG1174" s="11">
        <f t="shared" si="1172"/>
        <v>0</v>
      </c>
      <c r="AI1174" s="11">
        <f t="shared" si="1173"/>
        <v>0</v>
      </c>
      <c r="AK1174" s="13">
        <f t="shared" si="1174"/>
        <v>0</v>
      </c>
      <c r="AM1174" s="13">
        <f t="shared" si="1175"/>
        <v>0</v>
      </c>
      <c r="AO1174" s="11">
        <f t="shared" si="1176"/>
        <v>0</v>
      </c>
      <c r="AQ1174" s="11">
        <f t="shared" si="1177"/>
        <v>0</v>
      </c>
      <c r="AS1174" s="11">
        <f t="shared" si="1178"/>
        <v>0</v>
      </c>
      <c r="AU1174" s="11">
        <f t="shared" si="1179"/>
        <v>0</v>
      </c>
      <c r="AW1174" s="11">
        <f t="shared" si="1180"/>
        <v>0</v>
      </c>
      <c r="AY1174" s="11">
        <f t="shared" si="1181"/>
        <v>0</v>
      </c>
      <c r="BA1174" s="11">
        <f t="shared" si="1182"/>
        <v>0</v>
      </c>
      <c r="BC1174" s="11">
        <f t="shared" si="1183"/>
        <v>0</v>
      </c>
      <c r="BE1174" s="11">
        <f t="shared" si="1184"/>
        <v>0</v>
      </c>
      <c r="BG1174" s="11">
        <f t="shared" si="1185"/>
        <v>0</v>
      </c>
      <c r="BN1174" s="8">
        <f t="shared" si="1186"/>
        <v>0</v>
      </c>
      <c r="BO1174" s="8">
        <f t="shared" ref="BO1174:BO1238" si="1187">(M1174+Q1174+S1174+U1174+W1174+Y1174+AA1174+AC1174+AG1174+AK1174+AO1174+AS1174+AW1174+BA1174+BE1174)</f>
        <v>0</v>
      </c>
      <c r="BP1174" s="8">
        <f t="shared" si="1126"/>
        <v>0</v>
      </c>
      <c r="BQ1174" s="12">
        <f t="shared" si="1127"/>
        <v>0</v>
      </c>
    </row>
    <row r="1175" spans="1:69">
      <c r="A1175" s="28">
        <v>1968</v>
      </c>
      <c r="B1175" s="27" t="s">
        <v>65</v>
      </c>
      <c r="C1175" s="24">
        <f t="shared" si="1167"/>
        <v>1162</v>
      </c>
      <c r="D1175" s="7" t="e">
        <f t="shared" ca="1" si="1165"/>
        <v>#N/A</v>
      </c>
      <c r="E1175" s="26">
        <f t="array" aca="1" ref="E1175" ca="1">AVERAGE(IF(INDIRECT(DatCol&amp;"$"&amp;TEXT(C1175,"###")):INDIRECT(DatCol&amp;"$"&amp;TEXT(C1175+57,"###"))&gt;0,INDIRECT(DatCol&amp;"$"&amp;TEXT(C1175,"###")):INDIRECT(DatCol&amp;"$"&amp;TEXT(C1175+57,"###"))))</f>
        <v>3336.5151515151515</v>
      </c>
      <c r="F1175" s="26" t="str">
        <f t="shared" si="1164"/>
        <v>N</v>
      </c>
      <c r="G1175" s="8"/>
      <c r="H1175" s="8">
        <v>184</v>
      </c>
      <c r="I1175" s="8">
        <v>126</v>
      </c>
      <c r="J1175" s="8">
        <v>594</v>
      </c>
      <c r="K1175" s="9">
        <f t="shared" ref="K1175:K1239" si="1188">G1175+H1175+J1175</f>
        <v>778</v>
      </c>
      <c r="L1175" s="12">
        <v>24346</v>
      </c>
      <c r="M1175" s="11">
        <f t="shared" si="1168"/>
        <v>1217300</v>
      </c>
      <c r="N1175" s="12">
        <v>3763</v>
      </c>
      <c r="O1175" s="11">
        <f t="shared" si="1169"/>
        <v>188150</v>
      </c>
      <c r="Q1175" s="11">
        <f t="shared" si="1170"/>
        <v>0</v>
      </c>
      <c r="X1175" s="12">
        <v>7</v>
      </c>
      <c r="Y1175" s="11">
        <f t="shared" si="1171"/>
        <v>420</v>
      </c>
      <c r="AG1175" s="11">
        <f t="shared" si="1172"/>
        <v>0</v>
      </c>
      <c r="AI1175" s="11">
        <f t="shared" si="1173"/>
        <v>0</v>
      </c>
      <c r="AK1175" s="13">
        <f t="shared" si="1174"/>
        <v>0</v>
      </c>
      <c r="AM1175" s="13">
        <f t="shared" si="1175"/>
        <v>0</v>
      </c>
      <c r="AO1175" s="11">
        <f t="shared" si="1176"/>
        <v>0</v>
      </c>
      <c r="AP1175" s="12">
        <v>1325</v>
      </c>
      <c r="AQ1175" s="11">
        <f t="shared" si="1177"/>
        <v>106000</v>
      </c>
      <c r="AS1175" s="11">
        <f t="shared" si="1178"/>
        <v>0</v>
      </c>
      <c r="AU1175" s="11">
        <f t="shared" si="1179"/>
        <v>0</v>
      </c>
      <c r="AW1175" s="11">
        <f t="shared" si="1180"/>
        <v>0</v>
      </c>
      <c r="AY1175" s="11">
        <f t="shared" si="1181"/>
        <v>0</v>
      </c>
      <c r="BA1175" s="11">
        <f t="shared" si="1182"/>
        <v>0</v>
      </c>
      <c r="BB1175" s="12">
        <v>11</v>
      </c>
      <c r="BC1175" s="11">
        <f t="shared" si="1183"/>
        <v>440</v>
      </c>
      <c r="BE1175" s="11">
        <f t="shared" si="1184"/>
        <v>0</v>
      </c>
      <c r="BG1175" s="11">
        <f t="shared" si="1185"/>
        <v>0</v>
      </c>
      <c r="BN1175" s="8">
        <f t="shared" si="1186"/>
        <v>24353</v>
      </c>
      <c r="BO1175" s="8">
        <f t="shared" si="1187"/>
        <v>1217720</v>
      </c>
      <c r="BP1175" s="8">
        <f t="shared" si="1126"/>
        <v>5106</v>
      </c>
      <c r="BQ1175" s="12">
        <f t="shared" si="1127"/>
        <v>295010</v>
      </c>
    </row>
    <row r="1176" spans="1:69">
      <c r="A1176" s="28">
        <v>1969</v>
      </c>
      <c r="B1176" s="27" t="s">
        <v>65</v>
      </c>
      <c r="C1176" s="24">
        <f t="shared" si="1167"/>
        <v>1162</v>
      </c>
      <c r="D1176" s="7" t="e">
        <f t="shared" ca="1" si="1165"/>
        <v>#N/A</v>
      </c>
      <c r="E1176" s="26">
        <f t="array" aca="1" ref="E1176" ca="1">AVERAGE(IF(INDIRECT(DatCol&amp;"$"&amp;TEXT(C1176,"###")):INDIRECT(DatCol&amp;"$"&amp;TEXT(C1176+57,"###"))&gt;0,INDIRECT(DatCol&amp;"$"&amp;TEXT(C1176,"###")):INDIRECT(DatCol&amp;"$"&amp;TEXT(C1176+57,"###"))))</f>
        <v>3336.5151515151515</v>
      </c>
      <c r="F1176" s="26" t="str">
        <f t="shared" si="1164"/>
        <v>N</v>
      </c>
      <c r="G1176" s="8"/>
      <c r="H1176" s="8">
        <v>228</v>
      </c>
      <c r="I1176" s="8">
        <v>140</v>
      </c>
      <c r="J1176" s="8">
        <v>1674</v>
      </c>
      <c r="K1176" s="9">
        <f t="shared" si="1188"/>
        <v>1902</v>
      </c>
      <c r="L1176" s="12">
        <v>25394</v>
      </c>
      <c r="M1176" s="11">
        <f t="shared" si="1168"/>
        <v>1269700</v>
      </c>
      <c r="N1176" s="12">
        <v>9240</v>
      </c>
      <c r="O1176" s="11">
        <f t="shared" si="1169"/>
        <v>462000</v>
      </c>
      <c r="Q1176" s="11">
        <f t="shared" si="1170"/>
        <v>0</v>
      </c>
      <c r="X1176" s="12">
        <v>3</v>
      </c>
      <c r="Y1176" s="11">
        <f t="shared" si="1171"/>
        <v>180</v>
      </c>
      <c r="AG1176" s="11">
        <f t="shared" si="1172"/>
        <v>0</v>
      </c>
      <c r="AI1176" s="11">
        <f t="shared" si="1173"/>
        <v>0</v>
      </c>
      <c r="AK1176" s="13">
        <f t="shared" si="1174"/>
        <v>0</v>
      </c>
      <c r="AM1176" s="13">
        <f t="shared" si="1175"/>
        <v>0</v>
      </c>
      <c r="AO1176" s="11">
        <f t="shared" si="1176"/>
        <v>0</v>
      </c>
      <c r="AP1176" s="12">
        <v>1750</v>
      </c>
      <c r="AQ1176" s="11">
        <f t="shared" si="1177"/>
        <v>140000</v>
      </c>
      <c r="AS1176" s="11">
        <f t="shared" si="1178"/>
        <v>0</v>
      </c>
      <c r="AU1176" s="11">
        <f t="shared" si="1179"/>
        <v>0</v>
      </c>
      <c r="AW1176" s="11">
        <f t="shared" si="1180"/>
        <v>0</v>
      </c>
      <c r="AY1176" s="11">
        <f t="shared" si="1181"/>
        <v>0</v>
      </c>
      <c r="BA1176" s="11">
        <f t="shared" si="1182"/>
        <v>0</v>
      </c>
      <c r="BB1176" s="12">
        <v>10</v>
      </c>
      <c r="BC1176" s="11">
        <f t="shared" si="1183"/>
        <v>400</v>
      </c>
      <c r="BE1176" s="11">
        <f t="shared" si="1184"/>
        <v>0</v>
      </c>
      <c r="BG1176" s="11">
        <f t="shared" si="1185"/>
        <v>0</v>
      </c>
      <c r="BN1176" s="8">
        <f t="shared" si="1186"/>
        <v>25397</v>
      </c>
      <c r="BO1176" s="8">
        <f t="shared" si="1187"/>
        <v>1269880</v>
      </c>
      <c r="BP1176" s="8">
        <f t="shared" si="1126"/>
        <v>11003</v>
      </c>
      <c r="BQ1176" s="12">
        <f t="shared" si="1127"/>
        <v>602580</v>
      </c>
    </row>
    <row r="1177" spans="1:69">
      <c r="A1177" s="28">
        <v>1970</v>
      </c>
      <c r="B1177" s="27" t="s">
        <v>65</v>
      </c>
      <c r="C1177" s="24">
        <f t="shared" si="1167"/>
        <v>1162</v>
      </c>
      <c r="D1177" s="7" t="e">
        <f t="shared" ca="1" si="1165"/>
        <v>#N/A</v>
      </c>
      <c r="E1177" s="26">
        <f t="array" aca="1" ref="E1177" ca="1">AVERAGE(IF(INDIRECT(DatCol&amp;"$"&amp;TEXT(C1177,"###")):INDIRECT(DatCol&amp;"$"&amp;TEXT(C1177+57,"###"))&gt;0,INDIRECT(DatCol&amp;"$"&amp;TEXT(C1177,"###")):INDIRECT(DatCol&amp;"$"&amp;TEXT(C1177+57,"###"))))</f>
        <v>3336.5151515151515</v>
      </c>
      <c r="F1177" s="26" t="str">
        <f t="shared" si="1164"/>
        <v>N</v>
      </c>
      <c r="G1177" s="8"/>
      <c r="K1177" s="9">
        <f t="shared" si="1188"/>
        <v>0</v>
      </c>
      <c r="M1177" s="11">
        <f t="shared" si="1168"/>
        <v>0</v>
      </c>
      <c r="O1177" s="11">
        <f t="shared" si="1169"/>
        <v>0</v>
      </c>
      <c r="Q1177" s="11">
        <f t="shared" si="1170"/>
        <v>0</v>
      </c>
      <c r="Y1177" s="11">
        <f t="shared" si="1171"/>
        <v>0</v>
      </c>
      <c r="AG1177" s="11">
        <f t="shared" si="1172"/>
        <v>0</v>
      </c>
      <c r="AI1177" s="11">
        <f t="shared" si="1173"/>
        <v>0</v>
      </c>
      <c r="AK1177" s="13">
        <f t="shared" si="1174"/>
        <v>0</v>
      </c>
      <c r="AM1177" s="13">
        <f t="shared" si="1175"/>
        <v>0</v>
      </c>
      <c r="AO1177" s="11">
        <f t="shared" si="1176"/>
        <v>0</v>
      </c>
      <c r="AQ1177" s="11">
        <f t="shared" si="1177"/>
        <v>0</v>
      </c>
      <c r="AS1177" s="11">
        <f t="shared" si="1178"/>
        <v>0</v>
      </c>
      <c r="AU1177" s="11">
        <f t="shared" si="1179"/>
        <v>0</v>
      </c>
      <c r="AW1177" s="11">
        <f t="shared" si="1180"/>
        <v>0</v>
      </c>
      <c r="AY1177" s="11">
        <f t="shared" si="1181"/>
        <v>0</v>
      </c>
      <c r="BA1177" s="11">
        <f t="shared" si="1182"/>
        <v>0</v>
      </c>
      <c r="BC1177" s="11">
        <f t="shared" si="1183"/>
        <v>0</v>
      </c>
      <c r="BE1177" s="11">
        <f t="shared" si="1184"/>
        <v>0</v>
      </c>
      <c r="BG1177" s="11">
        <f t="shared" si="1185"/>
        <v>0</v>
      </c>
      <c r="BN1177" s="8">
        <f t="shared" si="1186"/>
        <v>0</v>
      </c>
      <c r="BO1177" s="8">
        <f t="shared" si="1187"/>
        <v>0</v>
      </c>
      <c r="BP1177" s="8">
        <f t="shared" si="1126"/>
        <v>0</v>
      </c>
      <c r="BQ1177" s="12">
        <f t="shared" si="1127"/>
        <v>0</v>
      </c>
    </row>
    <row r="1178" spans="1:69">
      <c r="A1178" s="28">
        <v>1971</v>
      </c>
      <c r="B1178" s="27" t="s">
        <v>65</v>
      </c>
      <c r="C1178" s="24">
        <f t="shared" si="1167"/>
        <v>1162</v>
      </c>
      <c r="D1178" s="7" t="e">
        <f t="shared" ca="1" si="1165"/>
        <v>#N/A</v>
      </c>
      <c r="E1178" s="26">
        <f t="array" aca="1" ref="E1178" ca="1">AVERAGE(IF(INDIRECT(DatCol&amp;"$"&amp;TEXT(C1178,"###")):INDIRECT(DatCol&amp;"$"&amp;TEXT(C1178+57,"###"))&gt;0,INDIRECT(DatCol&amp;"$"&amp;TEXT(C1178,"###")):INDIRECT(DatCol&amp;"$"&amp;TEXT(C1178+57,"###"))))</f>
        <v>3336.5151515151515</v>
      </c>
      <c r="F1178" s="26" t="str">
        <f t="shared" si="1164"/>
        <v>N</v>
      </c>
      <c r="G1178" s="8"/>
      <c r="H1178" s="8">
        <v>634</v>
      </c>
      <c r="I1178" s="8">
        <v>130</v>
      </c>
      <c r="J1178" s="8">
        <v>817</v>
      </c>
      <c r="K1178" s="9">
        <f t="shared" si="1188"/>
        <v>1451</v>
      </c>
      <c r="L1178" s="12">
        <v>32160</v>
      </c>
      <c r="M1178" s="11">
        <f t="shared" si="1168"/>
        <v>1608000</v>
      </c>
      <c r="N1178" s="12">
        <v>16730</v>
      </c>
      <c r="O1178" s="11">
        <f t="shared" si="1169"/>
        <v>836500</v>
      </c>
      <c r="Q1178" s="11">
        <f t="shared" si="1170"/>
        <v>0</v>
      </c>
      <c r="Y1178" s="11">
        <f t="shared" si="1171"/>
        <v>0</v>
      </c>
      <c r="AG1178" s="11">
        <f t="shared" si="1172"/>
        <v>0</v>
      </c>
      <c r="AI1178" s="11">
        <f t="shared" si="1173"/>
        <v>0</v>
      </c>
      <c r="AK1178" s="13">
        <f t="shared" si="1174"/>
        <v>0</v>
      </c>
      <c r="AM1178" s="13">
        <f t="shared" si="1175"/>
        <v>0</v>
      </c>
      <c r="AO1178" s="11">
        <f t="shared" si="1176"/>
        <v>0</v>
      </c>
      <c r="AP1178" s="12">
        <v>3200</v>
      </c>
      <c r="AQ1178" s="11">
        <f t="shared" si="1177"/>
        <v>256000</v>
      </c>
      <c r="AS1178" s="11">
        <f t="shared" si="1178"/>
        <v>0</v>
      </c>
      <c r="AU1178" s="11">
        <f t="shared" si="1179"/>
        <v>0</v>
      </c>
      <c r="AW1178" s="11">
        <f t="shared" si="1180"/>
        <v>0</v>
      </c>
      <c r="AY1178" s="11">
        <f t="shared" si="1181"/>
        <v>0</v>
      </c>
      <c r="BA1178" s="11">
        <f t="shared" si="1182"/>
        <v>0</v>
      </c>
      <c r="BB1178" s="12">
        <v>40</v>
      </c>
      <c r="BC1178" s="11">
        <f t="shared" si="1183"/>
        <v>1600</v>
      </c>
      <c r="BE1178" s="11">
        <f t="shared" si="1184"/>
        <v>0</v>
      </c>
      <c r="BG1178" s="11">
        <f t="shared" si="1185"/>
        <v>0</v>
      </c>
      <c r="BN1178" s="8">
        <f t="shared" si="1186"/>
        <v>32160</v>
      </c>
      <c r="BO1178" s="8">
        <f t="shared" si="1187"/>
        <v>1608000</v>
      </c>
      <c r="BP1178" s="8">
        <f t="shared" si="1126"/>
        <v>19970</v>
      </c>
      <c r="BQ1178" s="12">
        <f t="shared" si="1127"/>
        <v>1094100</v>
      </c>
    </row>
    <row r="1179" spans="1:69">
      <c r="A1179" s="28">
        <v>1972</v>
      </c>
      <c r="B1179" s="27" t="s">
        <v>65</v>
      </c>
      <c r="C1179" s="24">
        <f t="shared" si="1167"/>
        <v>1162</v>
      </c>
      <c r="D1179" s="7" t="e">
        <f t="shared" ca="1" si="1165"/>
        <v>#N/A</v>
      </c>
      <c r="E1179" s="26">
        <f t="array" aca="1" ref="E1179" ca="1">AVERAGE(IF(INDIRECT(DatCol&amp;"$"&amp;TEXT(C1179,"###")):INDIRECT(DatCol&amp;"$"&amp;TEXT(C1179+57,"###"))&gt;0,INDIRECT(DatCol&amp;"$"&amp;TEXT(C1179,"###")):INDIRECT(DatCol&amp;"$"&amp;TEXT(C1179+57,"###"))))</f>
        <v>3336.5151515151515</v>
      </c>
      <c r="F1179" s="26" t="str">
        <f t="shared" si="1164"/>
        <v>N</v>
      </c>
      <c r="G1179" s="8"/>
      <c r="H1179" s="8">
        <v>560</v>
      </c>
      <c r="I1179" s="8">
        <v>213</v>
      </c>
      <c r="J1179" s="8">
        <v>800</v>
      </c>
      <c r="K1179" s="9">
        <f t="shared" si="1188"/>
        <v>1360</v>
      </c>
      <c r="L1179" s="12">
        <v>63000</v>
      </c>
      <c r="M1179" s="11">
        <f t="shared" si="1168"/>
        <v>3150000</v>
      </c>
      <c r="N1179" s="12">
        <v>25000</v>
      </c>
      <c r="O1179" s="11">
        <f t="shared" si="1169"/>
        <v>1250000</v>
      </c>
      <c r="Q1179" s="11">
        <f t="shared" si="1170"/>
        <v>0</v>
      </c>
      <c r="Y1179" s="11">
        <f t="shared" si="1171"/>
        <v>0</v>
      </c>
      <c r="AG1179" s="11">
        <f t="shared" si="1172"/>
        <v>0</v>
      </c>
      <c r="AI1179" s="11">
        <f t="shared" si="1173"/>
        <v>0</v>
      </c>
      <c r="AK1179" s="13">
        <f t="shared" si="1174"/>
        <v>0</v>
      </c>
      <c r="AM1179" s="13">
        <f t="shared" si="1175"/>
        <v>0</v>
      </c>
      <c r="AO1179" s="11">
        <f t="shared" si="1176"/>
        <v>0</v>
      </c>
      <c r="AP1179" s="12">
        <v>2000</v>
      </c>
      <c r="AQ1179" s="11">
        <f t="shared" si="1177"/>
        <v>160000</v>
      </c>
      <c r="AS1179" s="11">
        <f t="shared" si="1178"/>
        <v>0</v>
      </c>
      <c r="AU1179" s="11">
        <f t="shared" si="1179"/>
        <v>0</v>
      </c>
      <c r="AW1179" s="11">
        <f t="shared" si="1180"/>
        <v>0</v>
      </c>
      <c r="AY1179" s="11">
        <f t="shared" si="1181"/>
        <v>0</v>
      </c>
      <c r="BA1179" s="11">
        <f t="shared" si="1182"/>
        <v>0</v>
      </c>
      <c r="BB1179" s="12">
        <v>30</v>
      </c>
      <c r="BC1179" s="11">
        <f t="shared" si="1183"/>
        <v>1200</v>
      </c>
      <c r="BE1179" s="11">
        <f t="shared" si="1184"/>
        <v>0</v>
      </c>
      <c r="BG1179" s="11">
        <f t="shared" si="1185"/>
        <v>0</v>
      </c>
      <c r="BN1179" s="8">
        <f t="shared" si="1186"/>
        <v>63000</v>
      </c>
      <c r="BO1179" s="8">
        <f t="shared" si="1187"/>
        <v>3150000</v>
      </c>
      <c r="BP1179" s="8">
        <f t="shared" si="1126"/>
        <v>27030</v>
      </c>
      <c r="BQ1179" s="12">
        <f t="shared" si="1127"/>
        <v>1411200</v>
      </c>
    </row>
    <row r="1180" spans="1:69">
      <c r="A1180" s="28">
        <v>1973</v>
      </c>
      <c r="B1180" s="27" t="s">
        <v>65</v>
      </c>
      <c r="C1180" s="24">
        <f t="shared" si="1167"/>
        <v>1162</v>
      </c>
      <c r="D1180" s="7" t="e">
        <f t="shared" ca="1" si="1165"/>
        <v>#N/A</v>
      </c>
      <c r="E1180" s="26">
        <f t="array" aca="1" ref="E1180" ca="1">AVERAGE(IF(INDIRECT(DatCol&amp;"$"&amp;TEXT(C1180,"###")):INDIRECT(DatCol&amp;"$"&amp;TEXT(C1180+57,"###"))&gt;0,INDIRECT(DatCol&amp;"$"&amp;TEXT(C1180,"###")):INDIRECT(DatCol&amp;"$"&amp;TEXT(C1180+57,"###"))))</f>
        <v>3336.5151515151515</v>
      </c>
      <c r="F1180" s="26" t="str">
        <f t="shared" si="1164"/>
        <v>N</v>
      </c>
      <c r="G1180" s="8"/>
      <c r="K1180" s="9">
        <f t="shared" si="1188"/>
        <v>0</v>
      </c>
      <c r="M1180" s="11">
        <f t="shared" si="1168"/>
        <v>0</v>
      </c>
      <c r="O1180" s="11">
        <f t="shared" si="1169"/>
        <v>0</v>
      </c>
      <c r="Q1180" s="11">
        <f t="shared" si="1170"/>
        <v>0</v>
      </c>
      <c r="Y1180" s="11">
        <f t="shared" si="1171"/>
        <v>0</v>
      </c>
      <c r="AG1180" s="11">
        <f t="shared" si="1172"/>
        <v>0</v>
      </c>
      <c r="AI1180" s="11">
        <f t="shared" si="1173"/>
        <v>0</v>
      </c>
      <c r="AK1180" s="13">
        <f t="shared" si="1174"/>
        <v>0</v>
      </c>
      <c r="AM1180" s="13">
        <f t="shared" si="1175"/>
        <v>0</v>
      </c>
      <c r="AO1180" s="11">
        <f t="shared" si="1176"/>
        <v>0</v>
      </c>
      <c r="AQ1180" s="11">
        <f t="shared" si="1177"/>
        <v>0</v>
      </c>
      <c r="AS1180" s="11">
        <f t="shared" si="1178"/>
        <v>0</v>
      </c>
      <c r="AU1180" s="11">
        <f t="shared" si="1179"/>
        <v>0</v>
      </c>
      <c r="AW1180" s="11">
        <f t="shared" si="1180"/>
        <v>0</v>
      </c>
      <c r="AY1180" s="11">
        <f t="shared" si="1181"/>
        <v>0</v>
      </c>
      <c r="BA1180" s="11">
        <f t="shared" si="1182"/>
        <v>0</v>
      </c>
      <c r="BC1180" s="11">
        <f t="shared" si="1183"/>
        <v>0</v>
      </c>
      <c r="BE1180" s="11">
        <f t="shared" si="1184"/>
        <v>0</v>
      </c>
      <c r="BG1180" s="11">
        <f t="shared" si="1185"/>
        <v>0</v>
      </c>
      <c r="BN1180" s="8">
        <f t="shared" si="1186"/>
        <v>0</v>
      </c>
      <c r="BO1180" s="8">
        <f t="shared" si="1187"/>
        <v>0</v>
      </c>
      <c r="BP1180" s="8">
        <f t="shared" si="1126"/>
        <v>0</v>
      </c>
      <c r="BQ1180" s="12">
        <f t="shared" si="1127"/>
        <v>0</v>
      </c>
    </row>
    <row r="1181" spans="1:69">
      <c r="A1181" s="28">
        <v>1974</v>
      </c>
      <c r="B1181" s="27" t="s">
        <v>65</v>
      </c>
      <c r="C1181" s="24">
        <f t="shared" si="1167"/>
        <v>1162</v>
      </c>
      <c r="D1181" s="7" t="e">
        <f t="shared" ca="1" si="1165"/>
        <v>#N/A</v>
      </c>
      <c r="E1181" s="26">
        <f t="array" aca="1" ref="E1181" ca="1">AVERAGE(IF(INDIRECT(DatCol&amp;"$"&amp;TEXT(C1181,"###")):INDIRECT(DatCol&amp;"$"&amp;TEXT(C1181+57,"###"))&gt;0,INDIRECT(DatCol&amp;"$"&amp;TEXT(C1181,"###")):INDIRECT(DatCol&amp;"$"&amp;TEXT(C1181+57,"###"))))</f>
        <v>3336.5151515151515</v>
      </c>
      <c r="F1181" s="26" t="str">
        <f t="shared" si="1164"/>
        <v>N</v>
      </c>
      <c r="G1181" s="8"/>
      <c r="H1181" s="8">
        <v>641</v>
      </c>
      <c r="I1181" s="8">
        <v>245</v>
      </c>
      <c r="J1181" s="8">
        <v>812</v>
      </c>
      <c r="K1181" s="9">
        <f t="shared" si="1188"/>
        <v>1453</v>
      </c>
      <c r="L1181" s="12">
        <v>21000</v>
      </c>
      <c r="M1181" s="11">
        <f t="shared" si="1168"/>
        <v>1050000</v>
      </c>
      <c r="O1181" s="11">
        <f t="shared" si="1169"/>
        <v>0</v>
      </c>
      <c r="Q1181" s="11">
        <f t="shared" si="1170"/>
        <v>0</v>
      </c>
      <c r="Y1181" s="11">
        <f t="shared" si="1171"/>
        <v>0</v>
      </c>
      <c r="AG1181" s="11">
        <f t="shared" si="1172"/>
        <v>0</v>
      </c>
      <c r="AI1181" s="11">
        <f t="shared" si="1173"/>
        <v>0</v>
      </c>
      <c r="AK1181" s="13">
        <f t="shared" si="1174"/>
        <v>0</v>
      </c>
      <c r="AM1181" s="13">
        <f t="shared" si="1175"/>
        <v>0</v>
      </c>
      <c r="AO1181" s="11">
        <f t="shared" si="1176"/>
        <v>0</v>
      </c>
      <c r="AQ1181" s="11">
        <f t="shared" si="1177"/>
        <v>0</v>
      </c>
      <c r="AS1181" s="11">
        <f t="shared" si="1178"/>
        <v>0</v>
      </c>
      <c r="AU1181" s="11">
        <f t="shared" si="1179"/>
        <v>0</v>
      </c>
      <c r="AW1181" s="11">
        <f t="shared" si="1180"/>
        <v>0</v>
      </c>
      <c r="AY1181" s="11">
        <f t="shared" si="1181"/>
        <v>0</v>
      </c>
      <c r="AZ1181" s="12">
        <v>2</v>
      </c>
      <c r="BA1181" s="11">
        <f t="shared" si="1182"/>
        <v>80</v>
      </c>
      <c r="BC1181" s="11">
        <f t="shared" si="1183"/>
        <v>0</v>
      </c>
      <c r="BE1181" s="11">
        <f t="shared" si="1184"/>
        <v>0</v>
      </c>
      <c r="BG1181" s="11">
        <f t="shared" si="1185"/>
        <v>0</v>
      </c>
      <c r="BN1181" s="8">
        <f t="shared" si="1186"/>
        <v>21002</v>
      </c>
      <c r="BO1181" s="8">
        <f t="shared" si="1187"/>
        <v>1050080</v>
      </c>
      <c r="BP1181" s="8">
        <f t="shared" si="1126"/>
        <v>0</v>
      </c>
      <c r="BQ1181" s="12">
        <f t="shared" si="1127"/>
        <v>0</v>
      </c>
    </row>
    <row r="1182" spans="1:69">
      <c r="A1182" s="28">
        <v>1975</v>
      </c>
      <c r="B1182" s="27" t="s">
        <v>65</v>
      </c>
      <c r="C1182" s="24">
        <f t="shared" si="1167"/>
        <v>1162</v>
      </c>
      <c r="D1182" s="7" t="e">
        <f t="shared" ca="1" si="1165"/>
        <v>#N/A</v>
      </c>
      <c r="E1182" s="26">
        <f t="array" aca="1" ref="E1182" ca="1">AVERAGE(IF(INDIRECT(DatCol&amp;"$"&amp;TEXT(C1182,"###")):INDIRECT(DatCol&amp;"$"&amp;TEXT(C1182+57,"###"))&gt;0,INDIRECT(DatCol&amp;"$"&amp;TEXT(C1182,"###")):INDIRECT(DatCol&amp;"$"&amp;TEXT(C1182+57,"###"))))</f>
        <v>3336.5151515151515</v>
      </c>
      <c r="F1182" s="26" t="str">
        <f t="shared" si="1164"/>
        <v>N</v>
      </c>
      <c r="G1182" s="8"/>
      <c r="H1182" s="8">
        <v>507</v>
      </c>
      <c r="I1182" s="8">
        <v>225</v>
      </c>
      <c r="J1182" s="8">
        <v>762</v>
      </c>
      <c r="K1182" s="9">
        <f t="shared" si="1188"/>
        <v>1269</v>
      </c>
      <c r="L1182" s="12">
        <v>32000</v>
      </c>
      <c r="M1182" s="11">
        <f t="shared" si="1168"/>
        <v>1600000</v>
      </c>
      <c r="N1182" s="12">
        <v>1000</v>
      </c>
      <c r="O1182" s="11">
        <f t="shared" si="1169"/>
        <v>50000</v>
      </c>
      <c r="Q1182" s="11">
        <f t="shared" si="1170"/>
        <v>0</v>
      </c>
      <c r="X1182" s="12" t="s">
        <v>66</v>
      </c>
      <c r="Y1182" s="11">
        <f t="shared" si="1171"/>
        <v>0</v>
      </c>
      <c r="AG1182" s="11">
        <f t="shared" si="1172"/>
        <v>0</v>
      </c>
      <c r="AI1182" s="11">
        <f t="shared" si="1173"/>
        <v>0</v>
      </c>
      <c r="AK1182" s="13">
        <f t="shared" si="1174"/>
        <v>0</v>
      </c>
      <c r="AM1182" s="13">
        <f t="shared" si="1175"/>
        <v>0</v>
      </c>
      <c r="AO1182" s="11">
        <f t="shared" si="1176"/>
        <v>0</v>
      </c>
      <c r="AQ1182" s="11">
        <f t="shared" si="1177"/>
        <v>0</v>
      </c>
      <c r="AS1182" s="11">
        <f t="shared" si="1178"/>
        <v>0</v>
      </c>
      <c r="AU1182" s="11">
        <f t="shared" si="1179"/>
        <v>0</v>
      </c>
      <c r="AW1182" s="11">
        <f t="shared" si="1180"/>
        <v>0</v>
      </c>
      <c r="AY1182" s="11">
        <f t="shared" si="1181"/>
        <v>0</v>
      </c>
      <c r="AZ1182" s="12">
        <v>20</v>
      </c>
      <c r="BA1182" s="11">
        <f t="shared" si="1182"/>
        <v>800</v>
      </c>
      <c r="BB1182" s="12">
        <v>8</v>
      </c>
      <c r="BC1182" s="11">
        <f t="shared" si="1183"/>
        <v>320</v>
      </c>
      <c r="BE1182" s="11">
        <f t="shared" si="1184"/>
        <v>0</v>
      </c>
      <c r="BG1182" s="11">
        <f t="shared" si="1185"/>
        <v>0</v>
      </c>
      <c r="BN1182" s="8">
        <f t="shared" si="1186"/>
        <v>32020</v>
      </c>
      <c r="BO1182" s="8">
        <f t="shared" si="1187"/>
        <v>1600800</v>
      </c>
      <c r="BP1182" s="8">
        <f t="shared" si="1126"/>
        <v>1008</v>
      </c>
      <c r="BQ1182" s="12">
        <f t="shared" si="1127"/>
        <v>50320</v>
      </c>
    </row>
    <row r="1183" spans="1:69">
      <c r="A1183" s="28">
        <v>1976</v>
      </c>
      <c r="B1183" s="27" t="s">
        <v>65</v>
      </c>
      <c r="C1183" s="24">
        <f t="shared" si="1167"/>
        <v>1162</v>
      </c>
      <c r="D1183" s="7" t="e">
        <f t="shared" ca="1" si="1165"/>
        <v>#N/A</v>
      </c>
      <c r="E1183" s="26">
        <f t="array" aca="1" ref="E1183" ca="1">AVERAGE(IF(INDIRECT(DatCol&amp;"$"&amp;TEXT(C1183,"###")):INDIRECT(DatCol&amp;"$"&amp;TEXT(C1183+57,"###"))&gt;0,INDIRECT(DatCol&amp;"$"&amp;TEXT(C1183,"###")):INDIRECT(DatCol&amp;"$"&amp;TEXT(C1183+57,"###"))))</f>
        <v>3336.5151515151515</v>
      </c>
      <c r="F1183" s="26" t="str">
        <f t="shared" si="1164"/>
        <v>N</v>
      </c>
      <c r="G1183" s="8"/>
      <c r="H1183" s="8">
        <v>253</v>
      </c>
      <c r="I1183" s="8">
        <v>140</v>
      </c>
      <c r="J1183" s="8">
        <v>389</v>
      </c>
      <c r="K1183" s="9">
        <f t="shared" si="1188"/>
        <v>642</v>
      </c>
      <c r="L1183" s="12">
        <v>30000</v>
      </c>
      <c r="M1183" s="11">
        <f t="shared" ref="M1183:M1198" si="1189">(L1183*50)</f>
        <v>1500000</v>
      </c>
      <c r="N1183" s="12">
        <v>25</v>
      </c>
      <c r="O1183" s="11">
        <f t="shared" ref="O1183:O1198" si="1190">(N1183*50)</f>
        <v>1250</v>
      </c>
      <c r="Q1183" s="11">
        <f t="shared" ref="Q1183:Q1198" si="1191">((P1183*330)/5.5)</f>
        <v>0</v>
      </c>
      <c r="Y1183" s="11">
        <f t="shared" ref="Y1183:Y1198" si="1192">((X1183*330)/5.5)</f>
        <v>0</v>
      </c>
      <c r="AG1183" s="11">
        <f t="shared" ref="AG1183:AG1198" si="1193">(AF1183*65)</f>
        <v>0</v>
      </c>
      <c r="AI1183" s="11">
        <f t="shared" ref="AI1183:AI1198" si="1194">(AH1183*65)</f>
        <v>0</v>
      </c>
      <c r="AK1183" s="13">
        <f t="shared" ref="AK1183:AK1198" si="1195">(AJ1183*9)</f>
        <v>0</v>
      </c>
      <c r="AM1183" s="13">
        <f t="shared" ref="AM1183:AM1198" si="1196">(AL1183*9)</f>
        <v>0</v>
      </c>
      <c r="AO1183" s="11">
        <f t="shared" ref="AO1183:AO1198" si="1197">(AN1183*80)</f>
        <v>0</v>
      </c>
      <c r="AQ1183" s="11">
        <f t="shared" ref="AQ1183:AQ1198" si="1198">(AP1183*80)</f>
        <v>0</v>
      </c>
      <c r="AS1183" s="11">
        <f t="shared" ref="AS1183:AS1198" si="1199">(AR1183*50)</f>
        <v>0</v>
      </c>
      <c r="AU1183" s="11">
        <f t="shared" ref="AU1183:AU1198" si="1200">(AT1183*50)</f>
        <v>0</v>
      </c>
      <c r="AW1183" s="11">
        <f t="shared" ref="AW1183:AW1198" si="1201">(AV1183*60)</f>
        <v>0</v>
      </c>
      <c r="AY1183" s="11">
        <f t="shared" ref="AY1183:AY1198" si="1202">(AX1183*60)</f>
        <v>0</v>
      </c>
      <c r="BA1183" s="11">
        <f t="shared" ref="BA1183:BA1198" si="1203">(AZ1183*40)</f>
        <v>0</v>
      </c>
      <c r="BC1183" s="11">
        <f t="shared" ref="BC1183:BC1198" si="1204">(BB1183*40)</f>
        <v>0</v>
      </c>
      <c r="BE1183" s="11">
        <f t="shared" ref="BE1183:BE1198" si="1205">(BD1183*95)</f>
        <v>0</v>
      </c>
      <c r="BG1183" s="11">
        <f t="shared" ref="BG1183:BG1198" si="1206">(BF1183*95)</f>
        <v>0</v>
      </c>
      <c r="BN1183" s="8">
        <f t="shared" si="1186"/>
        <v>30000</v>
      </c>
      <c r="BO1183" s="8">
        <f t="shared" si="1187"/>
        <v>1500000</v>
      </c>
      <c r="BP1183" s="8">
        <f t="shared" si="1126"/>
        <v>25</v>
      </c>
      <c r="BQ1183" s="12">
        <f t="shared" si="1127"/>
        <v>1250</v>
      </c>
    </row>
    <row r="1184" spans="1:69">
      <c r="A1184" s="28">
        <v>1977</v>
      </c>
      <c r="B1184" s="27" t="s">
        <v>65</v>
      </c>
      <c r="C1184" s="24">
        <f t="shared" si="1167"/>
        <v>1162</v>
      </c>
      <c r="D1184" s="7" t="e">
        <f t="shared" ca="1" si="1165"/>
        <v>#N/A</v>
      </c>
      <c r="E1184" s="26">
        <f t="array" aca="1" ref="E1184" ca="1">AVERAGE(IF(INDIRECT(DatCol&amp;"$"&amp;TEXT(C1184,"###")):INDIRECT(DatCol&amp;"$"&amp;TEXT(C1184+57,"###"))&gt;0,INDIRECT(DatCol&amp;"$"&amp;TEXT(C1184,"###")):INDIRECT(DatCol&amp;"$"&amp;TEXT(C1184+57,"###"))))</f>
        <v>3336.5151515151515</v>
      </c>
      <c r="F1184" s="26" t="str">
        <f t="shared" si="1164"/>
        <v>N</v>
      </c>
      <c r="G1184" s="8"/>
      <c r="H1184" s="8">
        <v>127</v>
      </c>
      <c r="I1184" s="8">
        <v>60</v>
      </c>
      <c r="J1184" s="8">
        <v>400</v>
      </c>
      <c r="K1184" s="9">
        <f t="shared" si="1188"/>
        <v>527</v>
      </c>
      <c r="L1184" s="12">
        <v>6000</v>
      </c>
      <c r="M1184" s="11">
        <f t="shared" si="1189"/>
        <v>300000</v>
      </c>
      <c r="N1184" s="12">
        <v>3000</v>
      </c>
      <c r="O1184" s="11">
        <f t="shared" si="1190"/>
        <v>150000</v>
      </c>
      <c r="Q1184" s="11">
        <f t="shared" si="1191"/>
        <v>0</v>
      </c>
      <c r="Y1184" s="11">
        <f t="shared" si="1192"/>
        <v>0</v>
      </c>
      <c r="AG1184" s="11">
        <f t="shared" si="1193"/>
        <v>0</v>
      </c>
      <c r="AI1184" s="11">
        <f t="shared" si="1194"/>
        <v>0</v>
      </c>
      <c r="AK1184" s="13">
        <f t="shared" si="1195"/>
        <v>0</v>
      </c>
      <c r="AM1184" s="13">
        <f t="shared" si="1196"/>
        <v>0</v>
      </c>
      <c r="AO1184" s="11">
        <f t="shared" si="1197"/>
        <v>0</v>
      </c>
      <c r="AQ1184" s="11">
        <f t="shared" si="1198"/>
        <v>0</v>
      </c>
      <c r="AR1184" s="12">
        <v>200</v>
      </c>
      <c r="AS1184" s="11">
        <f t="shared" si="1199"/>
        <v>10000</v>
      </c>
      <c r="AT1184" s="12">
        <v>200</v>
      </c>
      <c r="AU1184" s="11">
        <f t="shared" si="1200"/>
        <v>10000</v>
      </c>
      <c r="AW1184" s="11">
        <f t="shared" si="1201"/>
        <v>0</v>
      </c>
      <c r="AY1184" s="11">
        <f t="shared" si="1202"/>
        <v>0</v>
      </c>
      <c r="BA1184" s="11">
        <f t="shared" si="1203"/>
        <v>0</v>
      </c>
      <c r="BC1184" s="11">
        <f t="shared" si="1204"/>
        <v>0</v>
      </c>
      <c r="BE1184" s="11">
        <f t="shared" si="1205"/>
        <v>0</v>
      </c>
      <c r="BG1184" s="11">
        <f t="shared" si="1206"/>
        <v>0</v>
      </c>
      <c r="BN1184" s="8">
        <f t="shared" si="1186"/>
        <v>6200</v>
      </c>
      <c r="BO1184" s="8">
        <f t="shared" si="1187"/>
        <v>310000</v>
      </c>
      <c r="BP1184" s="8">
        <f t="shared" ref="BP1184:BP1248" si="1207">(N1184+X1184+Z1184+AB1184+AD1184+AH1184+AL1184+AP1184+AT1184+AX1184+BB1184+BF1184)</f>
        <v>3200</v>
      </c>
      <c r="BQ1184" s="12">
        <f t="shared" ref="BQ1184:BQ1248" si="1208">(O1184+Y1184+AA1184+AC1184+AE1184+AI1184+AM1184+AQ1184+AU1184+AY1184+BC1184+BG1184)</f>
        <v>160000</v>
      </c>
    </row>
    <row r="1185" spans="1:69">
      <c r="A1185" s="28">
        <v>1978</v>
      </c>
      <c r="B1185" s="27" t="s">
        <v>65</v>
      </c>
      <c r="C1185" s="24">
        <f t="shared" si="1167"/>
        <v>1162</v>
      </c>
      <c r="D1185" s="7" t="e">
        <f t="shared" ca="1" si="1165"/>
        <v>#N/A</v>
      </c>
      <c r="E1185" s="26">
        <f t="array" aca="1" ref="E1185" ca="1">AVERAGE(IF(INDIRECT(DatCol&amp;"$"&amp;TEXT(C1185,"###")):INDIRECT(DatCol&amp;"$"&amp;TEXT(C1185+57,"###"))&gt;0,INDIRECT(DatCol&amp;"$"&amp;TEXT(C1185,"###")):INDIRECT(DatCol&amp;"$"&amp;TEXT(C1185+57,"###"))))</f>
        <v>3336.5151515151515</v>
      </c>
      <c r="F1185" s="26" t="str">
        <f t="shared" si="1164"/>
        <v>N</v>
      </c>
      <c r="G1185" s="8"/>
      <c r="H1185" s="8">
        <v>84</v>
      </c>
      <c r="I1185" s="8">
        <v>106</v>
      </c>
      <c r="J1185" s="8">
        <v>225</v>
      </c>
      <c r="K1185" s="9">
        <f t="shared" si="1188"/>
        <v>309</v>
      </c>
      <c r="L1185" s="12">
        <v>4800</v>
      </c>
      <c r="M1185" s="11">
        <f t="shared" si="1189"/>
        <v>240000</v>
      </c>
      <c r="N1185" s="12">
        <v>1213</v>
      </c>
      <c r="O1185" s="11">
        <f t="shared" si="1190"/>
        <v>60650</v>
      </c>
      <c r="Q1185" s="11">
        <f t="shared" si="1191"/>
        <v>0</v>
      </c>
      <c r="Y1185" s="11">
        <f t="shared" si="1192"/>
        <v>0</v>
      </c>
      <c r="AG1185" s="11">
        <f t="shared" si="1193"/>
        <v>0</v>
      </c>
      <c r="AI1185" s="11">
        <f t="shared" si="1194"/>
        <v>0</v>
      </c>
      <c r="AK1185" s="13">
        <f t="shared" si="1195"/>
        <v>0</v>
      </c>
      <c r="AM1185" s="13">
        <f t="shared" si="1196"/>
        <v>0</v>
      </c>
      <c r="AO1185" s="11">
        <f t="shared" si="1197"/>
        <v>0</v>
      </c>
      <c r="AQ1185" s="11">
        <f t="shared" si="1198"/>
        <v>0</v>
      </c>
      <c r="AS1185" s="11">
        <f t="shared" si="1199"/>
        <v>0</v>
      </c>
      <c r="AU1185" s="11">
        <f t="shared" si="1200"/>
        <v>0</v>
      </c>
      <c r="AW1185" s="11">
        <f t="shared" si="1201"/>
        <v>0</v>
      </c>
      <c r="AY1185" s="11">
        <f t="shared" si="1202"/>
        <v>0</v>
      </c>
      <c r="BA1185" s="11">
        <f t="shared" si="1203"/>
        <v>0</v>
      </c>
      <c r="BC1185" s="11">
        <f t="shared" si="1204"/>
        <v>0</v>
      </c>
      <c r="BE1185" s="11">
        <f t="shared" si="1205"/>
        <v>0</v>
      </c>
      <c r="BG1185" s="11">
        <f t="shared" si="1206"/>
        <v>0</v>
      </c>
      <c r="BN1185" s="8">
        <f t="shared" si="1186"/>
        <v>4800</v>
      </c>
      <c r="BO1185" s="8">
        <f t="shared" si="1187"/>
        <v>240000</v>
      </c>
      <c r="BP1185" s="8">
        <f t="shared" si="1207"/>
        <v>1213</v>
      </c>
      <c r="BQ1185" s="12">
        <f t="shared" si="1208"/>
        <v>60650</v>
      </c>
    </row>
    <row r="1186" spans="1:69">
      <c r="A1186" s="28">
        <v>1979</v>
      </c>
      <c r="B1186" s="27" t="s">
        <v>65</v>
      </c>
      <c r="C1186" s="24">
        <f t="shared" si="1167"/>
        <v>1162</v>
      </c>
      <c r="D1186" s="7" t="e">
        <f t="shared" ca="1" si="1165"/>
        <v>#N/A</v>
      </c>
      <c r="E1186" s="26">
        <f t="array" aca="1" ref="E1186" ca="1">AVERAGE(IF(INDIRECT(DatCol&amp;"$"&amp;TEXT(C1186,"###")):INDIRECT(DatCol&amp;"$"&amp;TEXT(C1186+57,"###"))&gt;0,INDIRECT(DatCol&amp;"$"&amp;TEXT(C1186,"###")):INDIRECT(DatCol&amp;"$"&amp;TEXT(C1186+57,"###"))))</f>
        <v>3336.5151515151515</v>
      </c>
      <c r="F1186" s="26" t="str">
        <f t="shared" si="1164"/>
        <v>N</v>
      </c>
      <c r="G1186" s="8"/>
      <c r="H1186" s="8">
        <v>88</v>
      </c>
      <c r="I1186" s="8">
        <v>137</v>
      </c>
      <c r="J1186" s="8">
        <v>324</v>
      </c>
      <c r="K1186" s="9">
        <f t="shared" si="1188"/>
        <v>412</v>
      </c>
      <c r="L1186" s="12">
        <v>20000</v>
      </c>
      <c r="M1186" s="11">
        <f t="shared" si="1189"/>
        <v>1000000</v>
      </c>
      <c r="N1186" s="12">
        <v>6000</v>
      </c>
      <c r="O1186" s="11">
        <f t="shared" si="1190"/>
        <v>300000</v>
      </c>
      <c r="Q1186" s="11">
        <f t="shared" si="1191"/>
        <v>0</v>
      </c>
      <c r="Y1186" s="11">
        <f t="shared" si="1192"/>
        <v>0</v>
      </c>
      <c r="AG1186" s="11">
        <f t="shared" si="1193"/>
        <v>0</v>
      </c>
      <c r="AI1186" s="11">
        <f t="shared" si="1194"/>
        <v>0</v>
      </c>
      <c r="AK1186" s="13">
        <f t="shared" si="1195"/>
        <v>0</v>
      </c>
      <c r="AM1186" s="13">
        <f t="shared" si="1196"/>
        <v>0</v>
      </c>
      <c r="AO1186" s="11">
        <f t="shared" si="1197"/>
        <v>0</v>
      </c>
      <c r="AQ1186" s="11">
        <f t="shared" si="1198"/>
        <v>0</v>
      </c>
      <c r="AS1186" s="11">
        <f t="shared" si="1199"/>
        <v>0</v>
      </c>
      <c r="AT1186" s="12">
        <v>50</v>
      </c>
      <c r="AU1186" s="11">
        <f t="shared" si="1200"/>
        <v>2500</v>
      </c>
      <c r="AW1186" s="11">
        <f t="shared" si="1201"/>
        <v>0</v>
      </c>
      <c r="AY1186" s="11">
        <f t="shared" si="1202"/>
        <v>0</v>
      </c>
      <c r="BA1186" s="11">
        <f t="shared" si="1203"/>
        <v>0</v>
      </c>
      <c r="BC1186" s="11">
        <f t="shared" si="1204"/>
        <v>0</v>
      </c>
      <c r="BE1186" s="11">
        <f t="shared" si="1205"/>
        <v>0</v>
      </c>
      <c r="BG1186" s="11">
        <f t="shared" si="1206"/>
        <v>0</v>
      </c>
      <c r="BN1186" s="8">
        <f t="shared" si="1186"/>
        <v>20000</v>
      </c>
      <c r="BO1186" s="8">
        <f t="shared" si="1187"/>
        <v>1000000</v>
      </c>
      <c r="BP1186" s="8">
        <f t="shared" si="1207"/>
        <v>6050</v>
      </c>
      <c r="BQ1186" s="12">
        <f t="shared" si="1208"/>
        <v>302500</v>
      </c>
    </row>
    <row r="1187" spans="1:69">
      <c r="A1187" s="28">
        <v>1980</v>
      </c>
      <c r="B1187" s="27" t="s">
        <v>65</v>
      </c>
      <c r="C1187" s="24">
        <f t="shared" si="1167"/>
        <v>1162</v>
      </c>
      <c r="D1187" s="7" t="e">
        <f t="shared" ca="1" si="1165"/>
        <v>#N/A</v>
      </c>
      <c r="E1187" s="26">
        <f t="array" aca="1" ref="E1187" ca="1">AVERAGE(IF(INDIRECT(DatCol&amp;"$"&amp;TEXT(C1187,"###")):INDIRECT(DatCol&amp;"$"&amp;TEXT(C1187+57,"###"))&gt;0,INDIRECT(DatCol&amp;"$"&amp;TEXT(C1187,"###")):INDIRECT(DatCol&amp;"$"&amp;TEXT(C1187+57,"###"))))</f>
        <v>3336.5151515151515</v>
      </c>
      <c r="F1187" s="26" t="str">
        <f t="shared" si="1164"/>
        <v>N</v>
      </c>
      <c r="G1187" s="8"/>
      <c r="H1187" s="8">
        <v>150</v>
      </c>
      <c r="I1187" s="8">
        <v>148</v>
      </c>
      <c r="J1187" s="8">
        <v>550</v>
      </c>
      <c r="K1187" s="9">
        <f t="shared" si="1188"/>
        <v>700</v>
      </c>
      <c r="L1187" s="12">
        <v>28000</v>
      </c>
      <c r="M1187" s="11">
        <f t="shared" si="1189"/>
        <v>1400000</v>
      </c>
      <c r="N1187" s="12">
        <v>9000</v>
      </c>
      <c r="O1187" s="11">
        <f t="shared" si="1190"/>
        <v>450000</v>
      </c>
      <c r="Q1187" s="11">
        <f t="shared" si="1191"/>
        <v>0</v>
      </c>
      <c r="Y1187" s="11">
        <f t="shared" si="1192"/>
        <v>0</v>
      </c>
      <c r="AG1187" s="11">
        <f t="shared" si="1193"/>
        <v>0</v>
      </c>
      <c r="AI1187" s="11">
        <f t="shared" si="1194"/>
        <v>0</v>
      </c>
      <c r="AK1187" s="13">
        <f t="shared" si="1195"/>
        <v>0</v>
      </c>
      <c r="AM1187" s="13">
        <f t="shared" si="1196"/>
        <v>0</v>
      </c>
      <c r="AO1187" s="11">
        <f t="shared" si="1197"/>
        <v>0</v>
      </c>
      <c r="AQ1187" s="11">
        <f t="shared" si="1198"/>
        <v>0</v>
      </c>
      <c r="AS1187" s="11">
        <f t="shared" si="1199"/>
        <v>0</v>
      </c>
      <c r="AU1187" s="11">
        <f t="shared" si="1200"/>
        <v>0</v>
      </c>
      <c r="AW1187" s="11">
        <f t="shared" si="1201"/>
        <v>0</v>
      </c>
      <c r="AY1187" s="11">
        <f t="shared" si="1202"/>
        <v>0</v>
      </c>
      <c r="BA1187" s="11">
        <f t="shared" si="1203"/>
        <v>0</v>
      </c>
      <c r="BC1187" s="11">
        <f t="shared" si="1204"/>
        <v>0</v>
      </c>
      <c r="BE1187" s="11">
        <f t="shared" si="1205"/>
        <v>0</v>
      </c>
      <c r="BG1187" s="11">
        <f t="shared" si="1206"/>
        <v>0</v>
      </c>
      <c r="BN1187" s="8">
        <f t="shared" si="1186"/>
        <v>28000</v>
      </c>
      <c r="BO1187" s="8">
        <f t="shared" si="1187"/>
        <v>1400000</v>
      </c>
      <c r="BP1187" s="8">
        <f t="shared" si="1207"/>
        <v>9000</v>
      </c>
      <c r="BQ1187" s="12">
        <f t="shared" si="1208"/>
        <v>450000</v>
      </c>
    </row>
    <row r="1188" spans="1:69">
      <c r="A1188" s="28">
        <v>1981</v>
      </c>
      <c r="B1188" s="27" t="s">
        <v>65</v>
      </c>
      <c r="C1188" s="24">
        <f t="shared" si="1167"/>
        <v>1162</v>
      </c>
      <c r="D1188" s="7" t="e">
        <f t="shared" ca="1" si="1165"/>
        <v>#N/A</v>
      </c>
      <c r="E1188" s="26">
        <f t="array" aca="1" ref="E1188" ca="1">AVERAGE(IF(INDIRECT(DatCol&amp;"$"&amp;TEXT(C1188,"###")):INDIRECT(DatCol&amp;"$"&amp;TEXT(C1188+57,"###"))&gt;0,INDIRECT(DatCol&amp;"$"&amp;TEXT(C1188,"###")):INDIRECT(DatCol&amp;"$"&amp;TEXT(C1188+57,"###"))))</f>
        <v>3336.5151515151515</v>
      </c>
      <c r="F1188" s="26" t="str">
        <f t="shared" si="1164"/>
        <v>N</v>
      </c>
      <c r="G1188" s="8"/>
      <c r="H1188" s="8">
        <v>212</v>
      </c>
      <c r="I1188" s="8">
        <v>226</v>
      </c>
      <c r="J1188" s="8">
        <v>317</v>
      </c>
      <c r="K1188" s="9">
        <f t="shared" si="1188"/>
        <v>529</v>
      </c>
      <c r="L1188" s="12">
        <v>28000</v>
      </c>
      <c r="M1188" s="11">
        <f t="shared" si="1189"/>
        <v>1400000</v>
      </c>
      <c r="N1188" s="12">
        <v>1520</v>
      </c>
      <c r="O1188" s="11">
        <f t="shared" si="1190"/>
        <v>76000</v>
      </c>
      <c r="Q1188" s="11">
        <f t="shared" si="1191"/>
        <v>0</v>
      </c>
      <c r="Y1188" s="11">
        <f t="shared" si="1192"/>
        <v>0</v>
      </c>
      <c r="AG1188" s="11">
        <f t="shared" si="1193"/>
        <v>0</v>
      </c>
      <c r="AI1188" s="11">
        <f t="shared" si="1194"/>
        <v>0</v>
      </c>
      <c r="AK1188" s="13">
        <f t="shared" si="1195"/>
        <v>0</v>
      </c>
      <c r="AM1188" s="13">
        <f t="shared" si="1196"/>
        <v>0</v>
      </c>
      <c r="AO1188" s="11">
        <f t="shared" si="1197"/>
        <v>0</v>
      </c>
      <c r="AQ1188" s="11">
        <f t="shared" si="1198"/>
        <v>0</v>
      </c>
      <c r="AS1188" s="11">
        <f t="shared" si="1199"/>
        <v>0</v>
      </c>
      <c r="AU1188" s="11">
        <f t="shared" si="1200"/>
        <v>0</v>
      </c>
      <c r="AW1188" s="11">
        <f t="shared" si="1201"/>
        <v>0</v>
      </c>
      <c r="AY1188" s="11">
        <f t="shared" si="1202"/>
        <v>0</v>
      </c>
      <c r="BA1188" s="11">
        <f t="shared" si="1203"/>
        <v>0</v>
      </c>
      <c r="BC1188" s="11">
        <f t="shared" si="1204"/>
        <v>0</v>
      </c>
      <c r="BE1188" s="11">
        <f t="shared" si="1205"/>
        <v>0</v>
      </c>
      <c r="BG1188" s="11">
        <f t="shared" si="1206"/>
        <v>0</v>
      </c>
      <c r="BN1188" s="8">
        <f t="shared" si="1186"/>
        <v>28000</v>
      </c>
      <c r="BO1188" s="8">
        <f t="shared" si="1187"/>
        <v>1400000</v>
      </c>
      <c r="BP1188" s="8">
        <f t="shared" si="1207"/>
        <v>1520</v>
      </c>
      <c r="BQ1188" s="12">
        <f t="shared" si="1208"/>
        <v>76000</v>
      </c>
    </row>
    <row r="1189" spans="1:69">
      <c r="A1189" s="28">
        <v>1982</v>
      </c>
      <c r="B1189" s="27" t="s">
        <v>65</v>
      </c>
      <c r="C1189" s="24">
        <f t="shared" si="1167"/>
        <v>1162</v>
      </c>
      <c r="D1189" s="7" t="e">
        <f t="shared" ca="1" si="1165"/>
        <v>#N/A</v>
      </c>
      <c r="E1189" s="26">
        <f t="array" aca="1" ref="E1189" ca="1">AVERAGE(IF(INDIRECT(DatCol&amp;"$"&amp;TEXT(C1189,"###")):INDIRECT(DatCol&amp;"$"&amp;TEXT(C1189+57,"###"))&gt;0,INDIRECT(DatCol&amp;"$"&amp;TEXT(C1189,"###")):INDIRECT(DatCol&amp;"$"&amp;TEXT(C1189+57,"###"))))</f>
        <v>3336.5151515151515</v>
      </c>
      <c r="F1189" s="26" t="str">
        <f t="shared" si="1164"/>
        <v>N</v>
      </c>
      <c r="G1189" s="8"/>
      <c r="H1189" s="8">
        <v>128</v>
      </c>
      <c r="I1189" s="8">
        <v>171</v>
      </c>
      <c r="J1189" s="8">
        <v>382</v>
      </c>
      <c r="K1189" s="9">
        <f t="shared" si="1188"/>
        <v>510</v>
      </c>
      <c r="L1189" s="12">
        <v>68400</v>
      </c>
      <c r="M1189" s="11">
        <f t="shared" si="1189"/>
        <v>3420000</v>
      </c>
      <c r="N1189" s="12">
        <v>1320</v>
      </c>
      <c r="O1189" s="11">
        <f t="shared" si="1190"/>
        <v>66000</v>
      </c>
      <c r="Q1189" s="11">
        <f t="shared" si="1191"/>
        <v>0</v>
      </c>
      <c r="Y1189" s="11">
        <f t="shared" si="1192"/>
        <v>0</v>
      </c>
      <c r="AG1189" s="11">
        <f t="shared" si="1193"/>
        <v>0</v>
      </c>
      <c r="AI1189" s="11">
        <f t="shared" si="1194"/>
        <v>0</v>
      </c>
      <c r="AK1189" s="13">
        <f t="shared" si="1195"/>
        <v>0</v>
      </c>
      <c r="AM1189" s="13">
        <f t="shared" si="1196"/>
        <v>0</v>
      </c>
      <c r="AO1189" s="11">
        <f t="shared" si="1197"/>
        <v>0</v>
      </c>
      <c r="AQ1189" s="11">
        <f t="shared" si="1198"/>
        <v>0</v>
      </c>
      <c r="AS1189" s="11">
        <f t="shared" si="1199"/>
        <v>0</v>
      </c>
      <c r="AU1189" s="11">
        <f t="shared" si="1200"/>
        <v>0</v>
      </c>
      <c r="AW1189" s="11">
        <f t="shared" si="1201"/>
        <v>0</v>
      </c>
      <c r="AY1189" s="11">
        <f t="shared" si="1202"/>
        <v>0</v>
      </c>
      <c r="AZ1189" s="12">
        <v>20</v>
      </c>
      <c r="BA1189" s="11">
        <f t="shared" si="1203"/>
        <v>800</v>
      </c>
      <c r="BC1189" s="11">
        <f t="shared" si="1204"/>
        <v>0</v>
      </c>
      <c r="BE1189" s="11">
        <f t="shared" si="1205"/>
        <v>0</v>
      </c>
      <c r="BG1189" s="11">
        <f t="shared" si="1206"/>
        <v>0</v>
      </c>
      <c r="BN1189" s="8">
        <f t="shared" si="1186"/>
        <v>68420</v>
      </c>
      <c r="BO1189" s="8">
        <f t="shared" si="1187"/>
        <v>3420800</v>
      </c>
      <c r="BP1189" s="8">
        <f t="shared" si="1207"/>
        <v>1320</v>
      </c>
      <c r="BQ1189" s="12">
        <f t="shared" si="1208"/>
        <v>66000</v>
      </c>
    </row>
    <row r="1190" spans="1:69">
      <c r="A1190" s="28">
        <v>1983</v>
      </c>
      <c r="B1190" s="27" t="s">
        <v>65</v>
      </c>
      <c r="C1190" s="24">
        <f t="shared" si="1167"/>
        <v>1162</v>
      </c>
      <c r="D1190" s="7" t="e">
        <f t="shared" ca="1" si="1165"/>
        <v>#N/A</v>
      </c>
      <c r="E1190" s="26">
        <f t="array" aca="1" ref="E1190" ca="1">AVERAGE(IF(INDIRECT(DatCol&amp;"$"&amp;TEXT(C1190,"###")):INDIRECT(DatCol&amp;"$"&amp;TEXT(C1190+57,"###"))&gt;0,INDIRECT(DatCol&amp;"$"&amp;TEXT(C1190,"###")):INDIRECT(DatCol&amp;"$"&amp;TEXT(C1190+57,"###"))))</f>
        <v>3336.5151515151515</v>
      </c>
      <c r="F1190" s="26" t="str">
        <f t="shared" si="1164"/>
        <v>N</v>
      </c>
      <c r="G1190" s="8"/>
      <c r="H1190" s="8">
        <v>148</v>
      </c>
      <c r="I1190" s="8">
        <v>136</v>
      </c>
      <c r="J1190" s="8">
        <v>255</v>
      </c>
      <c r="K1190" s="9">
        <f t="shared" si="1188"/>
        <v>403</v>
      </c>
      <c r="L1190" s="12">
        <v>16000</v>
      </c>
      <c r="M1190" s="11">
        <f t="shared" si="1189"/>
        <v>800000</v>
      </c>
      <c r="N1190" s="12">
        <v>0</v>
      </c>
      <c r="O1190" s="11">
        <f t="shared" si="1190"/>
        <v>0</v>
      </c>
      <c r="Q1190" s="11">
        <f t="shared" si="1191"/>
        <v>0</v>
      </c>
      <c r="Y1190" s="11">
        <f t="shared" si="1192"/>
        <v>0</v>
      </c>
      <c r="AG1190" s="11">
        <f t="shared" si="1193"/>
        <v>0</v>
      </c>
      <c r="AI1190" s="11">
        <f t="shared" si="1194"/>
        <v>0</v>
      </c>
      <c r="AK1190" s="13">
        <f t="shared" si="1195"/>
        <v>0</v>
      </c>
      <c r="AM1190" s="13">
        <f t="shared" si="1196"/>
        <v>0</v>
      </c>
      <c r="AO1190" s="11">
        <f t="shared" si="1197"/>
        <v>0</v>
      </c>
      <c r="AQ1190" s="11">
        <f t="shared" si="1198"/>
        <v>0</v>
      </c>
      <c r="AS1190" s="11">
        <f t="shared" si="1199"/>
        <v>0</v>
      </c>
      <c r="AU1190" s="11">
        <f t="shared" si="1200"/>
        <v>0</v>
      </c>
      <c r="AW1190" s="11">
        <f t="shared" si="1201"/>
        <v>0</v>
      </c>
      <c r="AY1190" s="11">
        <f t="shared" si="1202"/>
        <v>0</v>
      </c>
      <c r="AZ1190" s="12">
        <v>200</v>
      </c>
      <c r="BA1190" s="11">
        <f t="shared" si="1203"/>
        <v>8000</v>
      </c>
      <c r="BB1190" s="12">
        <v>0</v>
      </c>
      <c r="BC1190" s="11">
        <f t="shared" si="1204"/>
        <v>0</v>
      </c>
      <c r="BE1190" s="11">
        <f t="shared" si="1205"/>
        <v>0</v>
      </c>
      <c r="BG1190" s="11">
        <f t="shared" si="1206"/>
        <v>0</v>
      </c>
      <c r="BN1190" s="8">
        <f t="shared" si="1186"/>
        <v>16200</v>
      </c>
      <c r="BO1190" s="8">
        <f t="shared" si="1187"/>
        <v>808000</v>
      </c>
      <c r="BP1190" s="8">
        <f t="shared" si="1207"/>
        <v>0</v>
      </c>
      <c r="BQ1190" s="12">
        <f t="shared" si="1208"/>
        <v>0</v>
      </c>
    </row>
    <row r="1191" spans="1:69">
      <c r="A1191" s="28">
        <v>1984</v>
      </c>
      <c r="B1191" s="27" t="s">
        <v>65</v>
      </c>
      <c r="C1191" s="24">
        <f t="shared" si="1167"/>
        <v>1162</v>
      </c>
      <c r="D1191" s="7" t="e">
        <f t="shared" ca="1" si="1165"/>
        <v>#N/A</v>
      </c>
      <c r="E1191" s="26">
        <f t="array" aca="1" ref="E1191" ca="1">AVERAGE(IF(INDIRECT(DatCol&amp;"$"&amp;TEXT(C1191,"###")):INDIRECT(DatCol&amp;"$"&amp;TEXT(C1191+57,"###"))&gt;0,INDIRECT(DatCol&amp;"$"&amp;TEXT(C1191,"###")):INDIRECT(DatCol&amp;"$"&amp;TEXT(C1191+57,"###"))))</f>
        <v>3336.5151515151515</v>
      </c>
      <c r="F1191" s="26" t="str">
        <f t="shared" si="1164"/>
        <v>N</v>
      </c>
      <c r="G1191" s="8"/>
      <c r="H1191" s="8">
        <v>114</v>
      </c>
      <c r="I1191" s="8">
        <v>133</v>
      </c>
      <c r="J1191" s="8">
        <v>264</v>
      </c>
      <c r="K1191" s="9">
        <f t="shared" si="1188"/>
        <v>378</v>
      </c>
      <c r="L1191" s="12">
        <v>22750</v>
      </c>
      <c r="M1191" s="11">
        <f t="shared" si="1189"/>
        <v>1137500</v>
      </c>
      <c r="N1191" s="12">
        <v>2300</v>
      </c>
      <c r="O1191" s="11">
        <f t="shared" si="1190"/>
        <v>115000</v>
      </c>
      <c r="Q1191" s="11">
        <f t="shared" si="1191"/>
        <v>0</v>
      </c>
      <c r="Y1191" s="11">
        <f t="shared" si="1192"/>
        <v>0</v>
      </c>
      <c r="AG1191" s="11">
        <f t="shared" si="1193"/>
        <v>0</v>
      </c>
      <c r="AI1191" s="11">
        <f t="shared" si="1194"/>
        <v>0</v>
      </c>
      <c r="AK1191" s="13">
        <f t="shared" si="1195"/>
        <v>0</v>
      </c>
      <c r="AM1191" s="13">
        <f t="shared" si="1196"/>
        <v>0</v>
      </c>
      <c r="AO1191" s="11">
        <f t="shared" si="1197"/>
        <v>0</v>
      </c>
      <c r="AP1191" s="12">
        <v>300</v>
      </c>
      <c r="AQ1191" s="11">
        <f t="shared" si="1198"/>
        <v>24000</v>
      </c>
      <c r="AS1191" s="11">
        <f t="shared" si="1199"/>
        <v>0</v>
      </c>
      <c r="AT1191" s="12">
        <v>50</v>
      </c>
      <c r="AU1191" s="11">
        <f t="shared" si="1200"/>
        <v>2500</v>
      </c>
      <c r="AW1191" s="11">
        <f t="shared" si="1201"/>
        <v>0</v>
      </c>
      <c r="AY1191" s="11">
        <f t="shared" si="1202"/>
        <v>0</v>
      </c>
      <c r="AZ1191" s="12">
        <v>120</v>
      </c>
      <c r="BA1191" s="11">
        <f t="shared" si="1203"/>
        <v>4800</v>
      </c>
      <c r="BB1191" s="12">
        <v>100</v>
      </c>
      <c r="BC1191" s="11">
        <f t="shared" si="1204"/>
        <v>4000</v>
      </c>
      <c r="BE1191" s="11">
        <f t="shared" si="1205"/>
        <v>0</v>
      </c>
      <c r="BG1191" s="11">
        <f t="shared" si="1206"/>
        <v>0</v>
      </c>
      <c r="BN1191" s="8">
        <f t="shared" si="1186"/>
        <v>22870</v>
      </c>
      <c r="BO1191" s="8">
        <f t="shared" si="1187"/>
        <v>1142300</v>
      </c>
      <c r="BP1191" s="8">
        <f t="shared" si="1207"/>
        <v>2750</v>
      </c>
      <c r="BQ1191" s="12">
        <f t="shared" si="1208"/>
        <v>145500</v>
      </c>
    </row>
    <row r="1192" spans="1:69">
      <c r="A1192" s="28">
        <v>1985</v>
      </c>
      <c r="B1192" s="27" t="s">
        <v>65</v>
      </c>
      <c r="C1192" s="24">
        <f t="shared" si="1167"/>
        <v>1162</v>
      </c>
      <c r="D1192" s="7" t="e">
        <f t="shared" ca="1" si="1165"/>
        <v>#N/A</v>
      </c>
      <c r="E1192" s="26">
        <f t="array" aca="1" ref="E1192" ca="1">AVERAGE(IF(INDIRECT(DatCol&amp;"$"&amp;TEXT(C1192,"###")):INDIRECT(DatCol&amp;"$"&amp;TEXT(C1192+57,"###"))&gt;0,INDIRECT(DatCol&amp;"$"&amp;TEXT(C1192,"###")):INDIRECT(DatCol&amp;"$"&amp;TEXT(C1192+57,"###"))))</f>
        <v>3336.5151515151515</v>
      </c>
      <c r="F1192" s="26" t="str">
        <f t="shared" si="1164"/>
        <v>N</v>
      </c>
      <c r="G1192" s="8">
        <v>26</v>
      </c>
      <c r="H1192" s="8">
        <v>107</v>
      </c>
      <c r="I1192" s="8">
        <v>88</v>
      </c>
      <c r="J1192" s="8">
        <v>305</v>
      </c>
      <c r="K1192" s="9">
        <f t="shared" si="1188"/>
        <v>438</v>
      </c>
      <c r="L1192" s="12">
        <v>2000</v>
      </c>
      <c r="M1192" s="11">
        <f t="shared" si="1189"/>
        <v>100000</v>
      </c>
      <c r="N1192" s="12">
        <v>2100</v>
      </c>
      <c r="O1192" s="11">
        <f t="shared" si="1190"/>
        <v>105000</v>
      </c>
      <c r="P1192" s="12">
        <v>0</v>
      </c>
      <c r="Q1192" s="11">
        <f t="shared" si="1191"/>
        <v>0</v>
      </c>
      <c r="X1192" s="12">
        <v>0</v>
      </c>
      <c r="Y1192" s="11">
        <f t="shared" si="1192"/>
        <v>0</v>
      </c>
      <c r="AG1192" s="11">
        <f t="shared" si="1193"/>
        <v>0</v>
      </c>
      <c r="AI1192" s="11">
        <f t="shared" si="1194"/>
        <v>0</v>
      </c>
      <c r="AK1192" s="13">
        <f t="shared" si="1195"/>
        <v>0</v>
      </c>
      <c r="AM1192" s="13">
        <f t="shared" si="1196"/>
        <v>0</v>
      </c>
      <c r="AO1192" s="11">
        <f t="shared" si="1197"/>
        <v>0</v>
      </c>
      <c r="AP1192" s="12">
        <v>350</v>
      </c>
      <c r="AQ1192" s="11">
        <f t="shared" si="1198"/>
        <v>28000</v>
      </c>
      <c r="AS1192" s="11">
        <f t="shared" si="1199"/>
        <v>0</v>
      </c>
      <c r="AT1192" s="12">
        <v>100</v>
      </c>
      <c r="AU1192" s="11">
        <f t="shared" si="1200"/>
        <v>5000</v>
      </c>
      <c r="AW1192" s="11">
        <f t="shared" si="1201"/>
        <v>0</v>
      </c>
      <c r="AY1192" s="11">
        <f t="shared" si="1202"/>
        <v>0</v>
      </c>
      <c r="AZ1192" s="12">
        <v>300</v>
      </c>
      <c r="BA1192" s="11">
        <f t="shared" si="1203"/>
        <v>12000</v>
      </c>
      <c r="BB1192" s="12">
        <v>250</v>
      </c>
      <c r="BC1192" s="11">
        <f t="shared" si="1204"/>
        <v>10000</v>
      </c>
      <c r="BE1192" s="11">
        <f t="shared" si="1205"/>
        <v>0</v>
      </c>
      <c r="BG1192" s="11">
        <f t="shared" si="1206"/>
        <v>0</v>
      </c>
      <c r="BN1192" s="8">
        <f t="shared" si="1186"/>
        <v>2300</v>
      </c>
      <c r="BO1192" s="8">
        <f t="shared" si="1187"/>
        <v>112000</v>
      </c>
      <c r="BP1192" s="8">
        <f t="shared" si="1207"/>
        <v>2800</v>
      </c>
      <c r="BQ1192" s="12">
        <f t="shared" si="1208"/>
        <v>148000</v>
      </c>
    </row>
    <row r="1193" spans="1:69">
      <c r="A1193" s="28">
        <v>1986</v>
      </c>
      <c r="B1193" s="27" t="s">
        <v>65</v>
      </c>
      <c r="C1193" s="24">
        <f t="shared" si="1167"/>
        <v>1162</v>
      </c>
      <c r="D1193" s="7" t="e">
        <f t="shared" ca="1" si="1165"/>
        <v>#N/A</v>
      </c>
      <c r="E1193" s="26">
        <f t="array" aca="1" ref="E1193" ca="1">AVERAGE(IF(INDIRECT(DatCol&amp;"$"&amp;TEXT(C1193,"###")):INDIRECT(DatCol&amp;"$"&amp;TEXT(C1193+57,"###"))&gt;0,INDIRECT(DatCol&amp;"$"&amp;TEXT(C1193,"###")):INDIRECT(DatCol&amp;"$"&amp;TEXT(C1193+57,"###"))))</f>
        <v>3336.5151515151515</v>
      </c>
      <c r="F1193" s="26" t="str">
        <f t="shared" si="1164"/>
        <v>N</v>
      </c>
      <c r="G1193" s="8">
        <v>12</v>
      </c>
      <c r="H1193" s="8">
        <v>86</v>
      </c>
      <c r="I1193" s="8">
        <v>66</v>
      </c>
      <c r="J1193" s="8">
        <v>199</v>
      </c>
      <c r="K1193" s="9">
        <f t="shared" si="1188"/>
        <v>297</v>
      </c>
      <c r="L1193" s="12">
        <v>17000</v>
      </c>
      <c r="M1193" s="11">
        <f t="shared" si="1189"/>
        <v>850000</v>
      </c>
      <c r="N1193" s="12">
        <v>1900</v>
      </c>
      <c r="O1193" s="11">
        <f t="shared" si="1190"/>
        <v>95000</v>
      </c>
      <c r="P1193" s="12">
        <v>0</v>
      </c>
      <c r="Q1193" s="11">
        <f t="shared" si="1191"/>
        <v>0</v>
      </c>
      <c r="X1193" s="12">
        <v>0</v>
      </c>
      <c r="Y1193" s="11">
        <f t="shared" si="1192"/>
        <v>0</v>
      </c>
      <c r="AG1193" s="11">
        <f t="shared" si="1193"/>
        <v>0</v>
      </c>
      <c r="AI1193" s="11">
        <f t="shared" si="1194"/>
        <v>0</v>
      </c>
      <c r="AK1193" s="13">
        <f t="shared" si="1195"/>
        <v>0</v>
      </c>
      <c r="AM1193" s="13">
        <f t="shared" si="1196"/>
        <v>0</v>
      </c>
      <c r="AO1193" s="11">
        <f t="shared" si="1197"/>
        <v>0</v>
      </c>
      <c r="AP1193" s="12">
        <v>80</v>
      </c>
      <c r="AQ1193" s="11">
        <f t="shared" si="1198"/>
        <v>6400</v>
      </c>
      <c r="AR1193" s="12">
        <v>0</v>
      </c>
      <c r="AS1193" s="11">
        <f t="shared" si="1199"/>
        <v>0</v>
      </c>
      <c r="AT1193" s="12">
        <v>100</v>
      </c>
      <c r="AU1193" s="11">
        <f t="shared" si="1200"/>
        <v>5000</v>
      </c>
      <c r="AW1193" s="11">
        <f t="shared" si="1201"/>
        <v>0</v>
      </c>
      <c r="AY1193" s="11">
        <f t="shared" si="1202"/>
        <v>0</v>
      </c>
      <c r="AZ1193" s="12">
        <v>400</v>
      </c>
      <c r="BA1193" s="11">
        <f t="shared" si="1203"/>
        <v>16000</v>
      </c>
      <c r="BB1193" s="12">
        <v>250</v>
      </c>
      <c r="BC1193" s="11">
        <f t="shared" si="1204"/>
        <v>10000</v>
      </c>
      <c r="BE1193" s="11">
        <f t="shared" si="1205"/>
        <v>0</v>
      </c>
      <c r="BG1193" s="11">
        <f t="shared" si="1206"/>
        <v>0</v>
      </c>
      <c r="BN1193" s="8">
        <f t="shared" si="1186"/>
        <v>17400</v>
      </c>
      <c r="BO1193" s="8">
        <f t="shared" si="1187"/>
        <v>866000</v>
      </c>
      <c r="BP1193" s="8">
        <f t="shared" si="1207"/>
        <v>2330</v>
      </c>
      <c r="BQ1193" s="12">
        <f t="shared" si="1208"/>
        <v>116400</v>
      </c>
    </row>
    <row r="1194" spans="1:69">
      <c r="A1194" s="28">
        <v>1987</v>
      </c>
      <c r="B1194" s="27" t="s">
        <v>65</v>
      </c>
      <c r="C1194" s="24">
        <f t="shared" si="1167"/>
        <v>1162</v>
      </c>
      <c r="D1194" s="7" t="e">
        <f t="shared" ca="1" si="1165"/>
        <v>#N/A</v>
      </c>
      <c r="E1194" s="26">
        <f t="array" aca="1" ref="E1194" ca="1">AVERAGE(IF(INDIRECT(DatCol&amp;"$"&amp;TEXT(C1194,"###")):INDIRECT(DatCol&amp;"$"&amp;TEXT(C1194+57,"###"))&gt;0,INDIRECT(DatCol&amp;"$"&amp;TEXT(C1194,"###")):INDIRECT(DatCol&amp;"$"&amp;TEXT(C1194+57,"###"))))</f>
        <v>3336.5151515151515</v>
      </c>
      <c r="F1194" s="26" t="str">
        <f t="shared" si="1164"/>
        <v>N</v>
      </c>
      <c r="G1194" s="8">
        <v>194</v>
      </c>
      <c r="H1194" s="8">
        <v>0</v>
      </c>
      <c r="I1194" s="8">
        <v>37</v>
      </c>
      <c r="J1194" s="8">
        <v>74</v>
      </c>
      <c r="K1194" s="9">
        <f t="shared" si="1188"/>
        <v>268</v>
      </c>
      <c r="L1194" s="12">
        <v>5600</v>
      </c>
      <c r="M1194" s="11">
        <f t="shared" si="1189"/>
        <v>280000</v>
      </c>
      <c r="N1194" s="12">
        <v>1100</v>
      </c>
      <c r="O1194" s="11">
        <f t="shared" si="1190"/>
        <v>55000</v>
      </c>
      <c r="Q1194" s="11">
        <f t="shared" si="1191"/>
        <v>0</v>
      </c>
      <c r="Y1194" s="11">
        <f t="shared" si="1192"/>
        <v>0</v>
      </c>
      <c r="AG1194" s="11">
        <f t="shared" si="1193"/>
        <v>0</v>
      </c>
      <c r="AI1194" s="11">
        <f t="shared" si="1194"/>
        <v>0</v>
      </c>
      <c r="AK1194" s="13">
        <f t="shared" si="1195"/>
        <v>0</v>
      </c>
      <c r="AM1194" s="13">
        <f t="shared" si="1196"/>
        <v>0</v>
      </c>
      <c r="AO1194" s="11">
        <f t="shared" si="1197"/>
        <v>0</v>
      </c>
      <c r="AP1194" s="12">
        <v>410</v>
      </c>
      <c r="AQ1194" s="11">
        <f t="shared" si="1198"/>
        <v>32800</v>
      </c>
      <c r="AR1194" s="12">
        <v>0</v>
      </c>
      <c r="AS1194" s="11">
        <f t="shared" si="1199"/>
        <v>0</v>
      </c>
      <c r="AT1194" s="12">
        <v>240</v>
      </c>
      <c r="AU1194" s="11">
        <f t="shared" si="1200"/>
        <v>12000</v>
      </c>
      <c r="AW1194" s="11">
        <f t="shared" si="1201"/>
        <v>0</v>
      </c>
      <c r="AY1194" s="11">
        <f t="shared" si="1202"/>
        <v>0</v>
      </c>
      <c r="AZ1194" s="12">
        <v>1500</v>
      </c>
      <c r="BA1194" s="11">
        <f t="shared" si="1203"/>
        <v>60000</v>
      </c>
      <c r="BB1194" s="12">
        <v>50</v>
      </c>
      <c r="BC1194" s="11">
        <f t="shared" si="1204"/>
        <v>2000</v>
      </c>
      <c r="BE1194" s="11">
        <f t="shared" si="1205"/>
        <v>0</v>
      </c>
      <c r="BG1194" s="11">
        <f t="shared" si="1206"/>
        <v>0</v>
      </c>
      <c r="BN1194" s="8">
        <f t="shared" si="1186"/>
        <v>7100</v>
      </c>
      <c r="BO1194" s="8">
        <f t="shared" si="1187"/>
        <v>340000</v>
      </c>
      <c r="BP1194" s="8">
        <f t="shared" si="1207"/>
        <v>1800</v>
      </c>
      <c r="BQ1194" s="12">
        <f t="shared" si="1208"/>
        <v>101800</v>
      </c>
    </row>
    <row r="1195" spans="1:69">
      <c r="A1195" s="28">
        <v>1988</v>
      </c>
      <c r="B1195" s="27" t="s">
        <v>65</v>
      </c>
      <c r="C1195" s="24">
        <f t="shared" si="1167"/>
        <v>1162</v>
      </c>
      <c r="D1195" s="7" t="e">
        <f t="shared" ca="1" si="1165"/>
        <v>#N/A</v>
      </c>
      <c r="E1195" s="26">
        <f t="array" aca="1" ref="E1195" ca="1">AVERAGE(IF(INDIRECT(DatCol&amp;"$"&amp;TEXT(C1195,"###")):INDIRECT(DatCol&amp;"$"&amp;TEXT(C1195+57,"###"))&gt;0,INDIRECT(DatCol&amp;"$"&amp;TEXT(C1195,"###")):INDIRECT(DatCol&amp;"$"&amp;TEXT(C1195+57,"###"))))</f>
        <v>3336.5151515151515</v>
      </c>
      <c r="F1195" s="26" t="str">
        <f t="shared" si="1164"/>
        <v>N</v>
      </c>
      <c r="G1195" s="8">
        <v>114</v>
      </c>
      <c r="H1195" s="8">
        <v>0</v>
      </c>
      <c r="I1195" s="8">
        <v>32</v>
      </c>
      <c r="J1195" s="8">
        <v>84</v>
      </c>
      <c r="K1195" s="9">
        <f t="shared" si="1188"/>
        <v>198</v>
      </c>
      <c r="L1195" s="12">
        <v>4800</v>
      </c>
      <c r="M1195" s="11">
        <f t="shared" si="1189"/>
        <v>240000</v>
      </c>
      <c r="N1195" s="12">
        <v>1000</v>
      </c>
      <c r="O1195" s="11">
        <f t="shared" si="1190"/>
        <v>50000</v>
      </c>
      <c r="P1195" s="12">
        <v>0</v>
      </c>
      <c r="Q1195" s="11">
        <f t="shared" si="1191"/>
        <v>0</v>
      </c>
      <c r="X1195" s="12">
        <v>0</v>
      </c>
      <c r="Y1195" s="11">
        <f t="shared" si="1192"/>
        <v>0</v>
      </c>
      <c r="AG1195" s="11">
        <f t="shared" si="1193"/>
        <v>0</v>
      </c>
      <c r="AI1195" s="11">
        <f t="shared" si="1194"/>
        <v>0</v>
      </c>
      <c r="AK1195" s="13">
        <f t="shared" si="1195"/>
        <v>0</v>
      </c>
      <c r="AM1195" s="13">
        <f t="shared" si="1196"/>
        <v>0</v>
      </c>
      <c r="AO1195" s="11">
        <f t="shared" si="1197"/>
        <v>0</v>
      </c>
      <c r="AP1195" s="12">
        <v>425</v>
      </c>
      <c r="AQ1195" s="11">
        <f t="shared" si="1198"/>
        <v>34000</v>
      </c>
      <c r="AS1195" s="11">
        <f t="shared" si="1199"/>
        <v>0</v>
      </c>
      <c r="AT1195" s="12">
        <v>50</v>
      </c>
      <c r="AU1195" s="11">
        <f t="shared" si="1200"/>
        <v>2500</v>
      </c>
      <c r="AW1195" s="11">
        <f t="shared" si="1201"/>
        <v>0</v>
      </c>
      <c r="AY1195" s="11">
        <f t="shared" si="1202"/>
        <v>0</v>
      </c>
      <c r="AZ1195" s="12">
        <v>1100</v>
      </c>
      <c r="BA1195" s="11">
        <f t="shared" si="1203"/>
        <v>44000</v>
      </c>
      <c r="BB1195" s="12">
        <v>50</v>
      </c>
      <c r="BC1195" s="11">
        <f t="shared" si="1204"/>
        <v>2000</v>
      </c>
      <c r="BE1195" s="11">
        <f t="shared" si="1205"/>
        <v>0</v>
      </c>
      <c r="BG1195" s="11">
        <f t="shared" si="1206"/>
        <v>0</v>
      </c>
      <c r="BN1195" s="8">
        <f t="shared" si="1186"/>
        <v>5900</v>
      </c>
      <c r="BO1195" s="8">
        <f t="shared" si="1187"/>
        <v>284000</v>
      </c>
      <c r="BP1195" s="8">
        <f t="shared" si="1207"/>
        <v>1525</v>
      </c>
      <c r="BQ1195" s="12">
        <f t="shared" si="1208"/>
        <v>88500</v>
      </c>
    </row>
    <row r="1196" spans="1:69">
      <c r="A1196" s="28">
        <v>1989</v>
      </c>
      <c r="B1196" s="27" t="s">
        <v>65</v>
      </c>
      <c r="C1196" s="24">
        <f t="shared" si="1167"/>
        <v>1162</v>
      </c>
      <c r="D1196" s="7" t="e">
        <f t="shared" ca="1" si="1165"/>
        <v>#N/A</v>
      </c>
      <c r="E1196" s="26">
        <f t="array" aca="1" ref="E1196" ca="1">AVERAGE(IF(INDIRECT(DatCol&amp;"$"&amp;TEXT(C1196,"###")):INDIRECT(DatCol&amp;"$"&amp;TEXT(C1196+57,"###"))&gt;0,INDIRECT(DatCol&amp;"$"&amp;TEXT(C1196,"###")):INDIRECT(DatCol&amp;"$"&amp;TEXT(C1196+57,"###"))))</f>
        <v>3336.5151515151515</v>
      </c>
      <c r="F1196" s="26" t="str">
        <f t="shared" si="1164"/>
        <v>N</v>
      </c>
      <c r="G1196" s="8">
        <v>17</v>
      </c>
      <c r="H1196" s="8">
        <v>43</v>
      </c>
      <c r="I1196" s="8">
        <v>58</v>
      </c>
      <c r="J1196" s="8">
        <v>209</v>
      </c>
      <c r="K1196" s="9">
        <f t="shared" si="1188"/>
        <v>269</v>
      </c>
      <c r="L1196" s="12">
        <v>14000</v>
      </c>
      <c r="M1196" s="11">
        <f t="shared" si="1189"/>
        <v>700000</v>
      </c>
      <c r="N1196" s="12">
        <v>1250</v>
      </c>
      <c r="O1196" s="11">
        <f t="shared" si="1190"/>
        <v>62500</v>
      </c>
      <c r="P1196" s="12">
        <v>0</v>
      </c>
      <c r="Q1196" s="11">
        <f t="shared" si="1191"/>
        <v>0</v>
      </c>
      <c r="X1196" s="12">
        <v>0</v>
      </c>
      <c r="Y1196" s="11">
        <f t="shared" si="1192"/>
        <v>0</v>
      </c>
      <c r="AF1196" s="12">
        <v>0</v>
      </c>
      <c r="AG1196" s="11">
        <f t="shared" si="1193"/>
        <v>0</v>
      </c>
      <c r="AH1196" s="12">
        <v>110</v>
      </c>
      <c r="AI1196" s="11">
        <f t="shared" si="1194"/>
        <v>7150</v>
      </c>
      <c r="AJ1196" s="12">
        <v>0</v>
      </c>
      <c r="AK1196" s="13">
        <f t="shared" si="1195"/>
        <v>0</v>
      </c>
      <c r="AL1196" s="12">
        <v>0</v>
      </c>
      <c r="AM1196" s="13">
        <f t="shared" si="1196"/>
        <v>0</v>
      </c>
      <c r="AN1196" s="12">
        <v>0</v>
      </c>
      <c r="AO1196" s="11">
        <f t="shared" si="1197"/>
        <v>0</v>
      </c>
      <c r="AP1196" s="12">
        <v>25</v>
      </c>
      <c r="AQ1196" s="11">
        <f t="shared" si="1198"/>
        <v>2000</v>
      </c>
      <c r="AR1196" s="12">
        <v>0</v>
      </c>
      <c r="AS1196" s="11">
        <f t="shared" si="1199"/>
        <v>0</v>
      </c>
      <c r="AT1196" s="12">
        <v>220</v>
      </c>
      <c r="AU1196" s="11">
        <f t="shared" si="1200"/>
        <v>11000</v>
      </c>
      <c r="AV1196" s="12">
        <v>0</v>
      </c>
      <c r="AW1196" s="11">
        <f t="shared" si="1201"/>
        <v>0</v>
      </c>
      <c r="AX1196" s="12">
        <v>0</v>
      </c>
      <c r="AY1196" s="11">
        <f t="shared" si="1202"/>
        <v>0</v>
      </c>
      <c r="AZ1196" s="12">
        <v>1300</v>
      </c>
      <c r="BA1196" s="11">
        <f t="shared" si="1203"/>
        <v>52000</v>
      </c>
      <c r="BB1196" s="12">
        <v>25</v>
      </c>
      <c r="BC1196" s="11">
        <f t="shared" si="1204"/>
        <v>1000</v>
      </c>
      <c r="BE1196" s="11">
        <f t="shared" si="1205"/>
        <v>0</v>
      </c>
      <c r="BG1196" s="11">
        <f t="shared" si="1206"/>
        <v>0</v>
      </c>
      <c r="BN1196" s="8">
        <f t="shared" si="1186"/>
        <v>15300</v>
      </c>
      <c r="BO1196" s="8">
        <f t="shared" si="1187"/>
        <v>752000</v>
      </c>
      <c r="BP1196" s="8">
        <f t="shared" si="1207"/>
        <v>1630</v>
      </c>
      <c r="BQ1196" s="12">
        <f t="shared" si="1208"/>
        <v>83650</v>
      </c>
    </row>
    <row r="1197" spans="1:69">
      <c r="A1197" s="28">
        <v>1990</v>
      </c>
      <c r="B1197" s="27" t="s">
        <v>65</v>
      </c>
      <c r="C1197" s="24">
        <f t="shared" si="1167"/>
        <v>1162</v>
      </c>
      <c r="D1197" s="7" t="e">
        <f t="shared" ca="1" si="1165"/>
        <v>#N/A</v>
      </c>
      <c r="E1197" s="26">
        <f t="array" aca="1" ref="E1197" ca="1">AVERAGE(IF(INDIRECT(DatCol&amp;"$"&amp;TEXT(C1197,"###")):INDIRECT(DatCol&amp;"$"&amp;TEXT(C1197+57,"###"))&gt;0,INDIRECT(DatCol&amp;"$"&amp;TEXT(C1197,"###")):INDIRECT(DatCol&amp;"$"&amp;TEXT(C1197+57,"###"))))</f>
        <v>3336.5151515151515</v>
      </c>
      <c r="F1197" s="26" t="str">
        <f t="shared" si="1164"/>
        <v>N</v>
      </c>
      <c r="G1197" s="8">
        <v>27</v>
      </c>
      <c r="H1197" s="8">
        <v>47</v>
      </c>
      <c r="I1197" s="8">
        <v>93</v>
      </c>
      <c r="J1197" s="8">
        <v>264</v>
      </c>
      <c r="K1197" s="9">
        <f t="shared" si="1188"/>
        <v>338</v>
      </c>
      <c r="L1197" s="12">
        <v>15400</v>
      </c>
      <c r="M1197" s="11">
        <f t="shared" si="1189"/>
        <v>770000</v>
      </c>
      <c r="N1197" s="12">
        <v>1400</v>
      </c>
      <c r="O1197" s="11">
        <f t="shared" si="1190"/>
        <v>70000</v>
      </c>
      <c r="Q1197" s="11">
        <f t="shared" si="1191"/>
        <v>0</v>
      </c>
      <c r="Y1197" s="11">
        <f t="shared" si="1192"/>
        <v>0</v>
      </c>
      <c r="AF1197" s="12">
        <v>0</v>
      </c>
      <c r="AG1197" s="11">
        <f t="shared" si="1193"/>
        <v>0</v>
      </c>
      <c r="AH1197" s="12">
        <v>135</v>
      </c>
      <c r="AI1197" s="11">
        <f t="shared" si="1194"/>
        <v>8775</v>
      </c>
      <c r="AK1197" s="13">
        <f t="shared" si="1195"/>
        <v>0</v>
      </c>
      <c r="AM1197" s="13">
        <f t="shared" si="1196"/>
        <v>0</v>
      </c>
      <c r="AO1197" s="11">
        <f t="shared" si="1197"/>
        <v>0</v>
      </c>
      <c r="AP1197" s="12">
        <v>0</v>
      </c>
      <c r="AQ1197" s="11">
        <f t="shared" si="1198"/>
        <v>0</v>
      </c>
      <c r="AS1197" s="11">
        <f t="shared" si="1199"/>
        <v>0</v>
      </c>
      <c r="AT1197" s="12">
        <v>325</v>
      </c>
      <c r="AU1197" s="11">
        <f t="shared" si="1200"/>
        <v>16250</v>
      </c>
      <c r="AW1197" s="11">
        <f t="shared" si="1201"/>
        <v>0</v>
      </c>
      <c r="AY1197" s="11">
        <f t="shared" si="1202"/>
        <v>0</v>
      </c>
      <c r="AZ1197" s="12">
        <v>1200</v>
      </c>
      <c r="BA1197" s="11">
        <f t="shared" si="1203"/>
        <v>48000</v>
      </c>
      <c r="BB1197" s="12">
        <v>30</v>
      </c>
      <c r="BC1197" s="11">
        <f t="shared" si="1204"/>
        <v>1200</v>
      </c>
      <c r="BE1197" s="11">
        <f t="shared" si="1205"/>
        <v>0</v>
      </c>
      <c r="BG1197" s="11">
        <f t="shared" si="1206"/>
        <v>0</v>
      </c>
      <c r="BN1197" s="8">
        <f t="shared" si="1186"/>
        <v>16600</v>
      </c>
      <c r="BO1197" s="8">
        <f t="shared" si="1187"/>
        <v>818000</v>
      </c>
      <c r="BP1197" s="8">
        <f t="shared" si="1207"/>
        <v>1890</v>
      </c>
      <c r="BQ1197" s="12">
        <f t="shared" si="1208"/>
        <v>96225</v>
      </c>
    </row>
    <row r="1198" spans="1:69">
      <c r="A1198" s="28">
        <v>1991</v>
      </c>
      <c r="B1198" s="27" t="s">
        <v>65</v>
      </c>
      <c r="C1198" s="24">
        <f t="shared" si="1167"/>
        <v>1162</v>
      </c>
      <c r="D1198" s="7" t="e">
        <f t="shared" ca="1" si="1165"/>
        <v>#N/A</v>
      </c>
      <c r="E1198" s="26">
        <f t="array" aca="1" ref="E1198" ca="1">AVERAGE(IF(INDIRECT(DatCol&amp;"$"&amp;TEXT(C1198,"###")):INDIRECT(DatCol&amp;"$"&amp;TEXT(C1198+57,"###"))&gt;0,INDIRECT(DatCol&amp;"$"&amp;TEXT(C1198,"###")):INDIRECT(DatCol&amp;"$"&amp;TEXT(C1198+57,"###"))))</f>
        <v>3336.5151515151515</v>
      </c>
      <c r="F1198" s="26" t="str">
        <f t="shared" si="1164"/>
        <v>N</v>
      </c>
      <c r="G1198" s="8">
        <v>37</v>
      </c>
      <c r="H1198" s="8">
        <v>0</v>
      </c>
      <c r="I1198" s="8">
        <v>107</v>
      </c>
      <c r="J1198" s="8">
        <v>277</v>
      </c>
      <c r="K1198" s="9">
        <f t="shared" si="1188"/>
        <v>314</v>
      </c>
      <c r="L1198" s="12">
        <v>16957</v>
      </c>
      <c r="M1198" s="11">
        <f t="shared" si="1189"/>
        <v>847850</v>
      </c>
      <c r="N1198" s="12">
        <v>1550</v>
      </c>
      <c r="O1198" s="11">
        <f t="shared" si="1190"/>
        <v>77500</v>
      </c>
      <c r="Q1198" s="11">
        <f t="shared" si="1191"/>
        <v>0</v>
      </c>
      <c r="Y1198" s="11">
        <f t="shared" si="1192"/>
        <v>0</v>
      </c>
      <c r="AF1198" s="12">
        <v>0</v>
      </c>
      <c r="AG1198" s="11">
        <f t="shared" si="1193"/>
        <v>0</v>
      </c>
      <c r="AH1198" s="12">
        <v>125</v>
      </c>
      <c r="AI1198" s="11">
        <f t="shared" si="1194"/>
        <v>8125</v>
      </c>
      <c r="AK1198" s="13">
        <f t="shared" si="1195"/>
        <v>0</v>
      </c>
      <c r="AM1198" s="13">
        <f t="shared" si="1196"/>
        <v>0</v>
      </c>
      <c r="AO1198" s="11">
        <f t="shared" si="1197"/>
        <v>0</v>
      </c>
      <c r="AP1198" s="12">
        <v>210</v>
      </c>
      <c r="AQ1198" s="11">
        <f t="shared" si="1198"/>
        <v>16800</v>
      </c>
      <c r="AS1198" s="11">
        <f t="shared" si="1199"/>
        <v>0</v>
      </c>
      <c r="AT1198" s="12">
        <v>330</v>
      </c>
      <c r="AU1198" s="11">
        <f t="shared" si="1200"/>
        <v>16500</v>
      </c>
      <c r="AW1198" s="11">
        <f t="shared" si="1201"/>
        <v>0</v>
      </c>
      <c r="AY1198" s="11">
        <f t="shared" si="1202"/>
        <v>0</v>
      </c>
      <c r="AZ1198" s="12">
        <v>1400</v>
      </c>
      <c r="BA1198" s="11">
        <f t="shared" si="1203"/>
        <v>56000</v>
      </c>
      <c r="BB1198" s="12">
        <v>35</v>
      </c>
      <c r="BC1198" s="11">
        <f t="shared" si="1204"/>
        <v>1400</v>
      </c>
      <c r="BE1198" s="11">
        <f t="shared" si="1205"/>
        <v>0</v>
      </c>
      <c r="BG1198" s="11">
        <f t="shared" si="1206"/>
        <v>0</v>
      </c>
      <c r="BN1198" s="8">
        <f t="shared" si="1186"/>
        <v>18357</v>
      </c>
      <c r="BO1198" s="8">
        <f t="shared" si="1187"/>
        <v>903850</v>
      </c>
      <c r="BP1198" s="8">
        <f t="shared" si="1207"/>
        <v>2250</v>
      </c>
      <c r="BQ1198" s="12">
        <f t="shared" si="1208"/>
        <v>120325</v>
      </c>
    </row>
    <row r="1199" spans="1:69">
      <c r="A1199" s="28">
        <v>1992</v>
      </c>
      <c r="B1199" s="27" t="s">
        <v>65</v>
      </c>
      <c r="C1199" s="24">
        <f t="shared" si="1167"/>
        <v>1162</v>
      </c>
      <c r="D1199" s="7" t="e">
        <f t="shared" ca="1" si="1165"/>
        <v>#N/A</v>
      </c>
      <c r="E1199" s="26">
        <f t="array" aca="1" ref="E1199" ca="1">AVERAGE(IF(INDIRECT(DatCol&amp;"$"&amp;TEXT(C1199,"###")):INDIRECT(DatCol&amp;"$"&amp;TEXT(C1199+57,"###"))&gt;0,INDIRECT(DatCol&amp;"$"&amp;TEXT(C1199,"###")):INDIRECT(DatCol&amp;"$"&amp;TEXT(C1199+57,"###"))))</f>
        <v>3336.5151515151515</v>
      </c>
      <c r="F1199" s="26" t="str">
        <f t="shared" si="1164"/>
        <v>N</v>
      </c>
      <c r="G1199" s="8">
        <v>22</v>
      </c>
      <c r="H1199" s="8">
        <v>35</v>
      </c>
      <c r="I1199" s="8">
        <v>149</v>
      </c>
      <c r="J1199" s="8">
        <v>109</v>
      </c>
      <c r="K1199" s="9">
        <f t="shared" si="1188"/>
        <v>166</v>
      </c>
      <c r="L1199" s="12">
        <v>19356</v>
      </c>
      <c r="M1199" s="11">
        <f t="shared" ref="M1199:M1229" si="1209">(L1199*50)</f>
        <v>967800</v>
      </c>
      <c r="N1199" s="12">
        <v>1600</v>
      </c>
      <c r="O1199" s="11">
        <f t="shared" ref="O1199:O1229" si="1210">(N1199*50)</f>
        <v>80000</v>
      </c>
      <c r="P1199" s="12">
        <v>0</v>
      </c>
      <c r="Q1199" s="11">
        <f t="shared" ref="Q1199:Q1229" si="1211">((P1199*330)/5.5)</f>
        <v>0</v>
      </c>
      <c r="X1199" s="12">
        <v>0</v>
      </c>
      <c r="Y1199" s="11">
        <f t="shared" ref="Y1199:Y1229" si="1212">((X1199*330)/5.5)</f>
        <v>0</v>
      </c>
      <c r="AF1199" s="12">
        <v>0</v>
      </c>
      <c r="AG1199" s="11">
        <f t="shared" ref="AG1199:AG1229" si="1213">(AF1199*65)</f>
        <v>0</v>
      </c>
      <c r="AH1199" s="12">
        <v>0</v>
      </c>
      <c r="AI1199" s="11">
        <f t="shared" ref="AI1199:AI1229" si="1214">(AH1199*65)</f>
        <v>0</v>
      </c>
      <c r="AJ1199" s="12">
        <v>0</v>
      </c>
      <c r="AK1199" s="13">
        <f t="shared" ref="AK1199:AK1229" si="1215">(AJ1199*9)</f>
        <v>0</v>
      </c>
      <c r="AL1199" s="12">
        <v>0</v>
      </c>
      <c r="AM1199" s="13">
        <f t="shared" ref="AM1199:AM1229" si="1216">(AL1199*9)</f>
        <v>0</v>
      </c>
      <c r="AN1199" s="12">
        <v>0</v>
      </c>
      <c r="AO1199" s="11">
        <f t="shared" ref="AO1199:AO1229" si="1217">(AN1199*80)</f>
        <v>0</v>
      </c>
      <c r="AP1199" s="12">
        <v>0</v>
      </c>
      <c r="AQ1199" s="11">
        <f t="shared" ref="AQ1199:AQ1229" si="1218">(AP1199*80)</f>
        <v>0</v>
      </c>
      <c r="AR1199" s="12">
        <v>0</v>
      </c>
      <c r="AS1199" s="11">
        <f t="shared" ref="AS1199:AS1229" si="1219">(AR1199*50)</f>
        <v>0</v>
      </c>
      <c r="AT1199" s="12">
        <v>250</v>
      </c>
      <c r="AU1199" s="11">
        <f t="shared" ref="AU1199:AU1229" si="1220">(AT1199*50)</f>
        <v>12500</v>
      </c>
      <c r="AV1199" s="12">
        <v>0</v>
      </c>
      <c r="AW1199" s="11">
        <f t="shared" ref="AW1199:AW1229" si="1221">(AV1199*60)</f>
        <v>0</v>
      </c>
      <c r="AX1199" s="12">
        <v>0</v>
      </c>
      <c r="AY1199" s="11">
        <f t="shared" ref="AY1199:AY1229" si="1222">(AX1199*60)</f>
        <v>0</v>
      </c>
      <c r="AZ1199" s="12">
        <v>1550</v>
      </c>
      <c r="BA1199" s="11">
        <f t="shared" ref="BA1199:BA1229" si="1223">(AZ1199*40)</f>
        <v>62000</v>
      </c>
      <c r="BB1199" s="12">
        <v>40</v>
      </c>
      <c r="BC1199" s="11">
        <f t="shared" ref="BC1199:BC1229" si="1224">(BB1199*40)</f>
        <v>1600</v>
      </c>
      <c r="BE1199" s="11">
        <f>(BD1199*95)</f>
        <v>0</v>
      </c>
      <c r="BG1199" s="11">
        <f>(BF1199*95)</f>
        <v>0</v>
      </c>
      <c r="BN1199" s="8">
        <f t="shared" si="1186"/>
        <v>20906</v>
      </c>
      <c r="BO1199" s="8">
        <f t="shared" si="1187"/>
        <v>1029800</v>
      </c>
      <c r="BP1199" s="8">
        <f t="shared" si="1207"/>
        <v>1890</v>
      </c>
      <c r="BQ1199" s="12">
        <f t="shared" si="1208"/>
        <v>94100</v>
      </c>
    </row>
    <row r="1200" spans="1:69">
      <c r="A1200" s="28">
        <v>1993</v>
      </c>
      <c r="B1200" s="27" t="s">
        <v>65</v>
      </c>
      <c r="C1200" s="24">
        <f t="shared" si="1167"/>
        <v>1162</v>
      </c>
      <c r="D1200" s="7" t="e">
        <f t="shared" ca="1" si="1165"/>
        <v>#N/A</v>
      </c>
      <c r="E1200" s="26">
        <f t="array" aca="1" ref="E1200" ca="1">AVERAGE(IF(INDIRECT(DatCol&amp;"$"&amp;TEXT(C1200,"###")):INDIRECT(DatCol&amp;"$"&amp;TEXT(C1200+57,"###"))&gt;0,INDIRECT(DatCol&amp;"$"&amp;TEXT(C1200,"###")):INDIRECT(DatCol&amp;"$"&amp;TEXT(C1200+57,"###"))))</f>
        <v>3336.5151515151515</v>
      </c>
      <c r="F1200" s="26" t="str">
        <f t="shared" si="1164"/>
        <v>N</v>
      </c>
      <c r="G1200" s="8">
        <v>23</v>
      </c>
      <c r="H1200" s="8">
        <v>53</v>
      </c>
      <c r="I1200" s="8">
        <v>118</v>
      </c>
      <c r="J1200" s="8">
        <f>93+116</f>
        <v>209</v>
      </c>
      <c r="K1200" s="9">
        <f t="shared" si="1188"/>
        <v>285</v>
      </c>
      <c r="L1200" s="12">
        <v>9533</v>
      </c>
      <c r="M1200" s="11">
        <f t="shared" si="1209"/>
        <v>476650</v>
      </c>
      <c r="N1200" s="12">
        <v>1725</v>
      </c>
      <c r="O1200" s="11">
        <f t="shared" si="1210"/>
        <v>86250</v>
      </c>
      <c r="P1200" s="12">
        <v>0</v>
      </c>
      <c r="Q1200" s="11">
        <f t="shared" si="1211"/>
        <v>0</v>
      </c>
      <c r="X1200" s="12">
        <v>0</v>
      </c>
      <c r="Y1200" s="11">
        <f t="shared" si="1212"/>
        <v>0</v>
      </c>
      <c r="AF1200" s="12">
        <v>0</v>
      </c>
      <c r="AG1200" s="11">
        <f t="shared" si="1213"/>
        <v>0</v>
      </c>
      <c r="AH1200" s="12">
        <v>0</v>
      </c>
      <c r="AI1200" s="11">
        <f t="shared" si="1214"/>
        <v>0</v>
      </c>
      <c r="AJ1200" s="12">
        <v>0</v>
      </c>
      <c r="AK1200" s="13">
        <f t="shared" si="1215"/>
        <v>0</v>
      </c>
      <c r="AL1200" s="12">
        <v>0</v>
      </c>
      <c r="AM1200" s="13">
        <f t="shared" si="1216"/>
        <v>0</v>
      </c>
      <c r="AN1200" s="12">
        <v>0</v>
      </c>
      <c r="AO1200" s="11">
        <f t="shared" si="1217"/>
        <v>0</v>
      </c>
      <c r="AP1200" s="12">
        <v>300</v>
      </c>
      <c r="AQ1200" s="11">
        <f t="shared" si="1218"/>
        <v>24000</v>
      </c>
      <c r="AR1200" s="12">
        <v>0</v>
      </c>
      <c r="AS1200" s="11">
        <f t="shared" si="1219"/>
        <v>0</v>
      </c>
      <c r="AT1200" s="12">
        <v>180</v>
      </c>
      <c r="AU1200" s="11">
        <f t="shared" si="1220"/>
        <v>9000</v>
      </c>
      <c r="AV1200" s="12">
        <v>0</v>
      </c>
      <c r="AW1200" s="11">
        <f t="shared" si="1221"/>
        <v>0</v>
      </c>
      <c r="AX1200" s="12">
        <v>0</v>
      </c>
      <c r="AY1200" s="11">
        <f t="shared" si="1222"/>
        <v>0</v>
      </c>
      <c r="AZ1200" s="12">
        <v>1700</v>
      </c>
      <c r="BA1200" s="11">
        <f t="shared" si="1223"/>
        <v>68000</v>
      </c>
      <c r="BB1200" s="12">
        <v>130</v>
      </c>
      <c r="BC1200" s="11">
        <f t="shared" si="1224"/>
        <v>5200</v>
      </c>
      <c r="BD1200" s="12">
        <v>0</v>
      </c>
      <c r="BE1200" s="11">
        <f>(BD1200*95)</f>
        <v>0</v>
      </c>
      <c r="BF1200" s="12">
        <v>0</v>
      </c>
      <c r="BG1200" s="11">
        <f>(BF1200*95)</f>
        <v>0</v>
      </c>
      <c r="BH1200" s="13">
        <v>0</v>
      </c>
      <c r="BI1200" s="13">
        <v>0</v>
      </c>
      <c r="BJ1200" s="12">
        <v>0</v>
      </c>
      <c r="BK1200" s="13"/>
      <c r="BL1200" s="12">
        <v>0</v>
      </c>
      <c r="BN1200" s="8">
        <f t="shared" si="1186"/>
        <v>11233</v>
      </c>
      <c r="BO1200" s="8">
        <f t="shared" si="1187"/>
        <v>544650</v>
      </c>
      <c r="BP1200" s="8">
        <f t="shared" si="1207"/>
        <v>2335</v>
      </c>
      <c r="BQ1200" s="12">
        <f t="shared" si="1208"/>
        <v>124450</v>
      </c>
    </row>
    <row r="1201" spans="1:69">
      <c r="A1201" s="28">
        <v>1994</v>
      </c>
      <c r="B1201" s="27" t="s">
        <v>65</v>
      </c>
      <c r="C1201" s="24">
        <f t="shared" si="1167"/>
        <v>1162</v>
      </c>
      <c r="D1201" s="7" t="e">
        <f t="shared" ca="1" si="1165"/>
        <v>#N/A</v>
      </c>
      <c r="E1201" s="26">
        <f t="array" aca="1" ref="E1201" ca="1">AVERAGE(IF(INDIRECT(DatCol&amp;"$"&amp;TEXT(C1201,"###")):INDIRECT(DatCol&amp;"$"&amp;TEXT(C1201+57,"###"))&gt;0,INDIRECT(DatCol&amp;"$"&amp;TEXT(C1201,"###")):INDIRECT(DatCol&amp;"$"&amp;TEXT(C1201+57,"###"))))</f>
        <v>3336.5151515151515</v>
      </c>
      <c r="F1201" s="26" t="str">
        <f t="shared" si="1164"/>
        <v>N</v>
      </c>
      <c r="G1201" s="8">
        <v>21</v>
      </c>
      <c r="H1201" s="8">
        <v>45</v>
      </c>
      <c r="I1201" s="8">
        <v>111</v>
      </c>
      <c r="J1201" s="8">
        <v>228</v>
      </c>
      <c r="K1201" s="9">
        <f t="shared" si="1188"/>
        <v>294</v>
      </c>
      <c r="L1201" s="12">
        <v>7043</v>
      </c>
      <c r="M1201" s="11">
        <f t="shared" si="1209"/>
        <v>352150</v>
      </c>
      <c r="N1201" s="12">
        <v>1550</v>
      </c>
      <c r="O1201" s="11">
        <f t="shared" si="1210"/>
        <v>77500</v>
      </c>
      <c r="P1201" s="12">
        <v>0</v>
      </c>
      <c r="Q1201" s="11">
        <f t="shared" si="1211"/>
        <v>0</v>
      </c>
      <c r="X1201" s="12">
        <v>0</v>
      </c>
      <c r="Y1201" s="11">
        <f t="shared" si="1212"/>
        <v>0</v>
      </c>
      <c r="AF1201" s="12">
        <v>0</v>
      </c>
      <c r="AG1201" s="11">
        <f t="shared" si="1213"/>
        <v>0</v>
      </c>
      <c r="AH1201" s="12">
        <v>25</v>
      </c>
      <c r="AI1201" s="11">
        <f t="shared" si="1214"/>
        <v>1625</v>
      </c>
      <c r="AJ1201" s="12">
        <v>0</v>
      </c>
      <c r="AK1201" s="13">
        <f t="shared" si="1215"/>
        <v>0</v>
      </c>
      <c r="AL1201" s="12">
        <v>0</v>
      </c>
      <c r="AM1201" s="13">
        <f t="shared" si="1216"/>
        <v>0</v>
      </c>
      <c r="AN1201" s="12">
        <v>0</v>
      </c>
      <c r="AO1201" s="11">
        <f t="shared" si="1217"/>
        <v>0</v>
      </c>
      <c r="AP1201" s="12">
        <v>210</v>
      </c>
      <c r="AQ1201" s="11">
        <f t="shared" si="1218"/>
        <v>16800</v>
      </c>
      <c r="AR1201" s="12">
        <v>0</v>
      </c>
      <c r="AS1201" s="11">
        <f t="shared" si="1219"/>
        <v>0</v>
      </c>
      <c r="AT1201" s="12">
        <v>175</v>
      </c>
      <c r="AU1201" s="11">
        <f t="shared" si="1220"/>
        <v>8750</v>
      </c>
      <c r="AV1201" s="12">
        <v>0</v>
      </c>
      <c r="AW1201" s="11">
        <f t="shared" si="1221"/>
        <v>0</v>
      </c>
      <c r="AX1201" s="12">
        <v>0</v>
      </c>
      <c r="AY1201" s="11">
        <f t="shared" si="1222"/>
        <v>0</v>
      </c>
      <c r="AZ1201" s="12">
        <v>1850</v>
      </c>
      <c r="BA1201" s="11">
        <f t="shared" si="1223"/>
        <v>74000</v>
      </c>
      <c r="BB1201" s="12">
        <v>142</v>
      </c>
      <c r="BC1201" s="11">
        <f t="shared" si="1224"/>
        <v>5680</v>
      </c>
      <c r="BE1201" s="11">
        <f>(BD1201*95)</f>
        <v>0</v>
      </c>
      <c r="BG1201" s="11">
        <f>(BF1201*95)</f>
        <v>0</v>
      </c>
      <c r="BN1201" s="8">
        <f t="shared" si="1186"/>
        <v>8893</v>
      </c>
      <c r="BO1201" s="8">
        <f t="shared" si="1187"/>
        <v>426150</v>
      </c>
      <c r="BP1201" s="8">
        <f t="shared" si="1207"/>
        <v>2102</v>
      </c>
      <c r="BQ1201" s="12">
        <f t="shared" si="1208"/>
        <v>110355</v>
      </c>
    </row>
    <row r="1202" spans="1:69">
      <c r="A1202" s="28">
        <v>1995</v>
      </c>
      <c r="B1202" s="27" t="s">
        <v>65</v>
      </c>
      <c r="C1202" s="24">
        <f t="shared" si="1167"/>
        <v>1162</v>
      </c>
      <c r="D1202" s="7" t="e">
        <f t="shared" ca="1" si="1165"/>
        <v>#N/A</v>
      </c>
      <c r="E1202" s="26">
        <f t="array" aca="1" ref="E1202" ca="1">AVERAGE(IF(INDIRECT(DatCol&amp;"$"&amp;TEXT(C1202,"###")):INDIRECT(DatCol&amp;"$"&amp;TEXT(C1202+57,"###"))&gt;0,INDIRECT(DatCol&amp;"$"&amp;TEXT(C1202,"###")):INDIRECT(DatCol&amp;"$"&amp;TEXT(C1202+57,"###"))))</f>
        <v>3336.5151515151515</v>
      </c>
      <c r="F1202" s="26" t="str">
        <f t="shared" si="1164"/>
        <v>N</v>
      </c>
      <c r="G1202" s="9">
        <v>22</v>
      </c>
      <c r="H1202" s="9">
        <v>74</v>
      </c>
      <c r="I1202" s="9">
        <v>120</v>
      </c>
      <c r="J1202" s="9">
        <f>120+157</f>
        <v>277</v>
      </c>
      <c r="K1202" s="9">
        <f t="shared" si="1188"/>
        <v>373</v>
      </c>
      <c r="L1202" s="10">
        <v>12594</v>
      </c>
      <c r="M1202" s="11">
        <f t="shared" si="1209"/>
        <v>629700</v>
      </c>
      <c r="N1202" s="10">
        <v>1475</v>
      </c>
      <c r="O1202" s="11">
        <f t="shared" si="1210"/>
        <v>73750</v>
      </c>
      <c r="P1202" s="10">
        <v>0</v>
      </c>
      <c r="Q1202" s="11">
        <f t="shared" si="1211"/>
        <v>0</v>
      </c>
      <c r="X1202" s="10">
        <v>0</v>
      </c>
      <c r="Y1202" s="11">
        <f t="shared" si="1212"/>
        <v>0</v>
      </c>
      <c r="AF1202" s="10">
        <v>0</v>
      </c>
      <c r="AG1202" s="11">
        <f t="shared" si="1213"/>
        <v>0</v>
      </c>
      <c r="AH1202" s="10">
        <v>21</v>
      </c>
      <c r="AI1202" s="11">
        <f t="shared" si="1214"/>
        <v>1365</v>
      </c>
      <c r="AJ1202" s="10">
        <v>0</v>
      </c>
      <c r="AK1202" s="13">
        <f t="shared" si="1215"/>
        <v>0</v>
      </c>
      <c r="AL1202" s="10">
        <v>0</v>
      </c>
      <c r="AM1202" s="13">
        <f t="shared" si="1216"/>
        <v>0</v>
      </c>
      <c r="AN1202" s="10">
        <v>0</v>
      </c>
      <c r="AO1202" s="11">
        <f t="shared" si="1217"/>
        <v>0</v>
      </c>
      <c r="AP1202" s="10">
        <v>140</v>
      </c>
      <c r="AQ1202" s="11">
        <f t="shared" si="1218"/>
        <v>11200</v>
      </c>
      <c r="AR1202" s="10">
        <v>0</v>
      </c>
      <c r="AS1202" s="11">
        <f t="shared" si="1219"/>
        <v>0</v>
      </c>
      <c r="AT1202" s="10">
        <v>165</v>
      </c>
      <c r="AU1202" s="11">
        <f t="shared" si="1220"/>
        <v>8250</v>
      </c>
      <c r="AV1202" s="10">
        <v>0</v>
      </c>
      <c r="AW1202" s="11">
        <f t="shared" si="1221"/>
        <v>0</v>
      </c>
      <c r="AX1202" s="10">
        <v>0</v>
      </c>
      <c r="AY1202" s="11">
        <f t="shared" si="1222"/>
        <v>0</v>
      </c>
      <c r="AZ1202" s="10">
        <v>1975</v>
      </c>
      <c r="BA1202" s="11">
        <f t="shared" si="1223"/>
        <v>79000</v>
      </c>
      <c r="BB1202" s="10">
        <v>130</v>
      </c>
      <c r="BC1202" s="11">
        <f t="shared" si="1224"/>
        <v>5200</v>
      </c>
      <c r="BE1202" s="11">
        <f>(BD1202*95)</f>
        <v>0</v>
      </c>
      <c r="BG1202" s="11">
        <f>(BF1202*95)</f>
        <v>0</v>
      </c>
      <c r="BN1202" s="8">
        <f t="shared" si="1186"/>
        <v>14569</v>
      </c>
      <c r="BO1202" s="8">
        <f t="shared" si="1187"/>
        <v>708700</v>
      </c>
      <c r="BP1202" s="8">
        <f t="shared" si="1207"/>
        <v>1931</v>
      </c>
      <c r="BQ1202" s="12">
        <f t="shared" si="1208"/>
        <v>99765</v>
      </c>
    </row>
    <row r="1203" spans="1:69">
      <c r="A1203" s="28">
        <v>1996</v>
      </c>
      <c r="B1203" s="27" t="s">
        <v>65</v>
      </c>
      <c r="C1203" s="24">
        <f t="shared" si="1167"/>
        <v>1162</v>
      </c>
      <c r="D1203" s="7" t="e">
        <f t="shared" ca="1" si="1165"/>
        <v>#N/A</v>
      </c>
      <c r="E1203" s="26">
        <f t="array" aca="1" ref="E1203" ca="1">AVERAGE(IF(INDIRECT(DatCol&amp;"$"&amp;TEXT(C1203,"###")):INDIRECT(DatCol&amp;"$"&amp;TEXT(C1203+57,"###"))&gt;0,INDIRECT(DatCol&amp;"$"&amp;TEXT(C1203,"###")):INDIRECT(DatCol&amp;"$"&amp;TEXT(C1203+57,"###"))))</f>
        <v>3336.5151515151515</v>
      </c>
      <c r="F1203" s="26" t="str">
        <f t="shared" si="1164"/>
        <v>N</v>
      </c>
      <c r="G1203" s="9">
        <v>39</v>
      </c>
      <c r="H1203" s="9">
        <v>115</v>
      </c>
      <c r="I1203" s="9">
        <v>160</v>
      </c>
      <c r="J1203" s="9">
        <v>339</v>
      </c>
      <c r="K1203" s="9">
        <f t="shared" si="1188"/>
        <v>493</v>
      </c>
      <c r="L1203" s="10">
        <v>19007</v>
      </c>
      <c r="M1203" s="11">
        <f t="shared" si="1209"/>
        <v>950350</v>
      </c>
      <c r="N1203" s="10">
        <v>1550</v>
      </c>
      <c r="O1203" s="11">
        <f t="shared" si="1210"/>
        <v>77500</v>
      </c>
      <c r="P1203" s="10">
        <v>0</v>
      </c>
      <c r="Q1203" s="11">
        <f t="shared" si="1211"/>
        <v>0</v>
      </c>
      <c r="X1203" s="10">
        <v>0</v>
      </c>
      <c r="Y1203" s="11">
        <f t="shared" si="1212"/>
        <v>0</v>
      </c>
      <c r="AF1203" s="10">
        <v>0</v>
      </c>
      <c r="AG1203" s="11">
        <f t="shared" si="1213"/>
        <v>0</v>
      </c>
      <c r="AH1203" s="10">
        <v>20</v>
      </c>
      <c r="AI1203" s="11">
        <f t="shared" si="1214"/>
        <v>1300</v>
      </c>
      <c r="AJ1203" s="10">
        <v>0</v>
      </c>
      <c r="AK1203" s="13">
        <f t="shared" si="1215"/>
        <v>0</v>
      </c>
      <c r="AL1203" s="10">
        <v>0</v>
      </c>
      <c r="AM1203" s="13">
        <f t="shared" si="1216"/>
        <v>0</v>
      </c>
      <c r="AN1203" s="10">
        <v>0</v>
      </c>
      <c r="AO1203" s="11">
        <f t="shared" si="1217"/>
        <v>0</v>
      </c>
      <c r="AP1203" s="10">
        <v>160</v>
      </c>
      <c r="AQ1203" s="11">
        <f t="shared" si="1218"/>
        <v>12800</v>
      </c>
      <c r="AR1203" s="10">
        <v>0</v>
      </c>
      <c r="AS1203" s="11">
        <f t="shared" si="1219"/>
        <v>0</v>
      </c>
      <c r="AT1203" s="10">
        <v>110</v>
      </c>
      <c r="AU1203" s="11">
        <f t="shared" si="1220"/>
        <v>5500</v>
      </c>
      <c r="AV1203" s="10">
        <v>0</v>
      </c>
      <c r="AW1203" s="11">
        <f t="shared" si="1221"/>
        <v>0</v>
      </c>
      <c r="AX1203" s="10">
        <v>0</v>
      </c>
      <c r="AY1203" s="11">
        <f t="shared" si="1222"/>
        <v>0</v>
      </c>
      <c r="AZ1203" s="10">
        <v>950</v>
      </c>
      <c r="BA1203" s="11">
        <f t="shared" si="1223"/>
        <v>38000</v>
      </c>
      <c r="BB1203" s="10">
        <v>110</v>
      </c>
      <c r="BC1203" s="11">
        <f t="shared" si="1224"/>
        <v>4400</v>
      </c>
      <c r="BN1203" s="8">
        <f t="shared" si="1186"/>
        <v>19957</v>
      </c>
      <c r="BO1203" s="8">
        <f t="shared" si="1187"/>
        <v>988350</v>
      </c>
      <c r="BP1203" s="8">
        <f t="shared" si="1207"/>
        <v>1950</v>
      </c>
      <c r="BQ1203" s="12">
        <f t="shared" si="1208"/>
        <v>101500</v>
      </c>
    </row>
    <row r="1204" spans="1:69">
      <c r="A1204" s="28">
        <v>1997</v>
      </c>
      <c r="B1204" s="27" t="s">
        <v>65</v>
      </c>
      <c r="C1204" s="24">
        <f t="shared" si="1167"/>
        <v>1162</v>
      </c>
      <c r="D1204" s="7" t="e">
        <f t="shared" ca="1" si="1165"/>
        <v>#N/A</v>
      </c>
      <c r="E1204" s="26">
        <f t="array" aca="1" ref="E1204" ca="1">AVERAGE(IF(INDIRECT(DatCol&amp;"$"&amp;TEXT(C1204,"###")):INDIRECT(DatCol&amp;"$"&amp;TEXT(C1204+57,"###"))&gt;0,INDIRECT(DatCol&amp;"$"&amp;TEXT(C1204,"###")):INDIRECT(DatCol&amp;"$"&amp;TEXT(C1204+57,"###"))))</f>
        <v>3336.5151515151515</v>
      </c>
      <c r="F1204" s="26" t="str">
        <f t="shared" si="1164"/>
        <v>N</v>
      </c>
      <c r="G1204" s="9">
        <v>65</v>
      </c>
      <c r="H1204" s="9">
        <v>102</v>
      </c>
      <c r="I1204" s="9">
        <v>186</v>
      </c>
      <c r="J1204" s="9">
        <f>113+197</f>
        <v>310</v>
      </c>
      <c r="K1204" s="9">
        <f t="shared" si="1188"/>
        <v>477</v>
      </c>
      <c r="L1204" s="10">
        <v>25284</v>
      </c>
      <c r="M1204" s="11">
        <f t="shared" si="1209"/>
        <v>1264200</v>
      </c>
      <c r="N1204" s="10">
        <v>1900</v>
      </c>
      <c r="O1204" s="11">
        <f t="shared" si="1210"/>
        <v>95000</v>
      </c>
      <c r="P1204" s="10">
        <v>0</v>
      </c>
      <c r="Q1204" s="11">
        <f t="shared" si="1211"/>
        <v>0</v>
      </c>
      <c r="X1204" s="10">
        <v>0</v>
      </c>
      <c r="Y1204" s="11">
        <f t="shared" si="1212"/>
        <v>0</v>
      </c>
      <c r="AF1204" s="10">
        <v>0</v>
      </c>
      <c r="AG1204" s="11">
        <f t="shared" si="1213"/>
        <v>0</v>
      </c>
      <c r="AH1204" s="10">
        <v>35</v>
      </c>
      <c r="AI1204" s="11">
        <f t="shared" si="1214"/>
        <v>2275</v>
      </c>
      <c r="AJ1204" s="10">
        <v>0</v>
      </c>
      <c r="AK1204" s="13">
        <f t="shared" si="1215"/>
        <v>0</v>
      </c>
      <c r="AL1204" s="10">
        <v>0</v>
      </c>
      <c r="AM1204" s="13">
        <f t="shared" si="1216"/>
        <v>0</v>
      </c>
      <c r="AN1204" s="10">
        <v>0</v>
      </c>
      <c r="AO1204" s="11">
        <f t="shared" si="1217"/>
        <v>0</v>
      </c>
      <c r="AP1204" s="10">
        <v>130</v>
      </c>
      <c r="AQ1204" s="11">
        <f t="shared" si="1218"/>
        <v>10400</v>
      </c>
      <c r="AR1204" s="10">
        <v>0</v>
      </c>
      <c r="AS1204" s="11">
        <f t="shared" si="1219"/>
        <v>0</v>
      </c>
      <c r="AT1204" s="10">
        <v>95</v>
      </c>
      <c r="AU1204" s="11">
        <f t="shared" si="1220"/>
        <v>4750</v>
      </c>
      <c r="AV1204" s="10">
        <v>0</v>
      </c>
      <c r="AW1204" s="11">
        <f t="shared" si="1221"/>
        <v>0</v>
      </c>
      <c r="AX1204" s="10">
        <v>0</v>
      </c>
      <c r="AY1204" s="11">
        <f t="shared" si="1222"/>
        <v>0</v>
      </c>
      <c r="AZ1204" s="10">
        <v>825</v>
      </c>
      <c r="BA1204" s="11">
        <f t="shared" si="1223"/>
        <v>33000</v>
      </c>
      <c r="BB1204" s="10">
        <v>60</v>
      </c>
      <c r="BC1204" s="11">
        <f t="shared" si="1224"/>
        <v>2400</v>
      </c>
      <c r="BN1204" s="8">
        <f t="shared" si="1186"/>
        <v>26109</v>
      </c>
      <c r="BO1204" s="8">
        <f t="shared" si="1187"/>
        <v>1297200</v>
      </c>
      <c r="BP1204" s="8">
        <f t="shared" si="1207"/>
        <v>2220</v>
      </c>
      <c r="BQ1204" s="12">
        <f t="shared" si="1208"/>
        <v>114825</v>
      </c>
    </row>
    <row r="1205" spans="1:69">
      <c r="A1205" s="28">
        <v>1998</v>
      </c>
      <c r="B1205" s="27" t="s">
        <v>65</v>
      </c>
      <c r="C1205" s="24">
        <f t="shared" si="1167"/>
        <v>1162</v>
      </c>
      <c r="D1205" s="7" t="e">
        <f t="shared" ca="1" si="1165"/>
        <v>#N/A</v>
      </c>
      <c r="E1205" s="26">
        <f t="array" aca="1" ref="E1205" ca="1">AVERAGE(IF(INDIRECT(DatCol&amp;"$"&amp;TEXT(C1205,"###")):INDIRECT(DatCol&amp;"$"&amp;TEXT(C1205+57,"###"))&gt;0,INDIRECT(DatCol&amp;"$"&amp;TEXT(C1205,"###")):INDIRECT(DatCol&amp;"$"&amp;TEXT(C1205+57,"###"))))</f>
        <v>3336.5151515151515</v>
      </c>
      <c r="F1205" s="26" t="str">
        <f t="shared" si="1164"/>
        <v>N</v>
      </c>
      <c r="G1205" s="9">
        <v>25</v>
      </c>
      <c r="H1205" s="9">
        <v>144</v>
      </c>
      <c r="I1205" s="9">
        <v>206</v>
      </c>
      <c r="J1205" s="9">
        <f>186+93</f>
        <v>279</v>
      </c>
      <c r="K1205" s="9">
        <f t="shared" si="1188"/>
        <v>448</v>
      </c>
      <c r="L1205" s="10">
        <f t="shared" ref="L1205:L1211" si="1225">M1205/50</f>
        <v>20939</v>
      </c>
      <c r="M1205" s="11">
        <v>1046950</v>
      </c>
      <c r="N1205" s="10">
        <f>O1205/50</f>
        <v>1750</v>
      </c>
      <c r="O1205" s="11">
        <v>87500</v>
      </c>
      <c r="P1205" s="10">
        <v>0</v>
      </c>
      <c r="Q1205" s="11">
        <v>0</v>
      </c>
      <c r="R1205" s="10">
        <v>0</v>
      </c>
      <c r="S1205" s="11">
        <v>0</v>
      </c>
      <c r="T1205" s="10">
        <v>0</v>
      </c>
      <c r="U1205" s="11">
        <v>0</v>
      </c>
      <c r="V1205" s="10">
        <v>0</v>
      </c>
      <c r="W1205" s="11">
        <v>0</v>
      </c>
      <c r="X1205" s="10">
        <v>0</v>
      </c>
      <c r="Y1205" s="11">
        <v>0</v>
      </c>
      <c r="Z1205" s="10">
        <v>0</v>
      </c>
      <c r="AA1205" s="11">
        <v>0</v>
      </c>
      <c r="AB1205" s="10">
        <v>0</v>
      </c>
      <c r="AC1205" s="11">
        <v>0</v>
      </c>
      <c r="AD1205" s="10">
        <v>0</v>
      </c>
      <c r="AE1205" s="11">
        <v>0</v>
      </c>
      <c r="AF1205" s="10">
        <v>0</v>
      </c>
      <c r="AG1205" s="11">
        <v>0</v>
      </c>
      <c r="AH1205" s="10">
        <f>AI1205/50</f>
        <v>41</v>
      </c>
      <c r="AI1205" s="11">
        <v>2050</v>
      </c>
      <c r="AJ1205" s="10">
        <v>0</v>
      </c>
      <c r="AK1205" s="13">
        <v>0</v>
      </c>
      <c r="AL1205" s="10">
        <v>0</v>
      </c>
      <c r="AM1205" s="13">
        <v>0</v>
      </c>
      <c r="AN1205" s="10">
        <v>0</v>
      </c>
      <c r="AO1205" s="11">
        <v>0</v>
      </c>
      <c r="AP1205" s="10">
        <f>AQ1205/80</f>
        <v>110</v>
      </c>
      <c r="AQ1205" s="11">
        <v>8800</v>
      </c>
      <c r="AR1205" s="10">
        <v>0</v>
      </c>
      <c r="AS1205" s="11">
        <v>0</v>
      </c>
      <c r="AT1205" s="10">
        <f>AU1205/55</f>
        <v>90</v>
      </c>
      <c r="AU1205" s="11">
        <v>4950</v>
      </c>
      <c r="AV1205" s="10">
        <v>0</v>
      </c>
      <c r="AW1205" s="11">
        <v>0</v>
      </c>
      <c r="AX1205" s="10">
        <v>0</v>
      </c>
      <c r="AY1205" s="11">
        <v>0</v>
      </c>
      <c r="AZ1205" s="10">
        <f>BA1205/40</f>
        <v>87.5</v>
      </c>
      <c r="BA1205" s="11">
        <v>3500</v>
      </c>
      <c r="BB1205" s="10">
        <f>BC1205/40</f>
        <v>50</v>
      </c>
      <c r="BC1205" s="11">
        <v>2000</v>
      </c>
      <c r="BD1205" s="10">
        <v>0</v>
      </c>
      <c r="BN1205" s="8">
        <f t="shared" si="1186"/>
        <v>21026.5</v>
      </c>
      <c r="BO1205" s="8">
        <f t="shared" si="1187"/>
        <v>1050450</v>
      </c>
      <c r="BP1205" s="8">
        <f t="shared" si="1207"/>
        <v>2041</v>
      </c>
      <c r="BQ1205" s="12">
        <f t="shared" si="1208"/>
        <v>105300</v>
      </c>
    </row>
    <row r="1206" spans="1:69">
      <c r="A1206" s="28">
        <v>1999</v>
      </c>
      <c r="B1206" s="27" t="s">
        <v>65</v>
      </c>
      <c r="C1206" s="24">
        <f t="shared" si="1167"/>
        <v>1162</v>
      </c>
      <c r="D1206" s="7" t="e">
        <f t="shared" ca="1" si="1165"/>
        <v>#N/A</v>
      </c>
      <c r="E1206" s="26">
        <f t="array" aca="1" ref="E1206" ca="1">AVERAGE(IF(INDIRECT(DatCol&amp;"$"&amp;TEXT(C1206,"###")):INDIRECT(DatCol&amp;"$"&amp;TEXT(C1206+57,"###"))&gt;0,INDIRECT(DatCol&amp;"$"&amp;TEXT(C1206,"###")):INDIRECT(DatCol&amp;"$"&amp;TEXT(C1206+57,"###"))))</f>
        <v>3336.5151515151515</v>
      </c>
      <c r="F1206" s="26" t="str">
        <f t="shared" si="1164"/>
        <v>N</v>
      </c>
      <c r="G1206" s="9">
        <v>21</v>
      </c>
      <c r="H1206" s="9">
        <v>162</v>
      </c>
      <c r="I1206" s="9">
        <v>153</v>
      </c>
      <c r="J1206" s="9">
        <v>307</v>
      </c>
      <c r="K1206" s="9">
        <f t="shared" si="1188"/>
        <v>490</v>
      </c>
      <c r="L1206" s="10">
        <f t="shared" si="1225"/>
        <v>19577</v>
      </c>
      <c r="M1206" s="11">
        <v>978850</v>
      </c>
      <c r="N1206" s="10">
        <f>O1206/50</f>
        <v>1875</v>
      </c>
      <c r="O1206" s="11">
        <v>93750</v>
      </c>
      <c r="P1206" s="10">
        <v>0</v>
      </c>
      <c r="Q1206" s="11">
        <v>0</v>
      </c>
      <c r="R1206" s="10">
        <v>0</v>
      </c>
      <c r="S1206" s="11">
        <v>0</v>
      </c>
      <c r="T1206" s="10">
        <v>0</v>
      </c>
      <c r="U1206" s="11">
        <v>0</v>
      </c>
      <c r="V1206" s="10">
        <v>0</v>
      </c>
      <c r="W1206" s="11">
        <v>0</v>
      </c>
      <c r="X1206" s="10">
        <v>0</v>
      </c>
      <c r="Y1206" s="11">
        <v>0</v>
      </c>
      <c r="Z1206" s="10">
        <v>0</v>
      </c>
      <c r="AA1206" s="11">
        <v>0</v>
      </c>
      <c r="AB1206" s="10">
        <v>0</v>
      </c>
      <c r="AC1206" s="11">
        <v>0</v>
      </c>
      <c r="AD1206" s="10">
        <v>0</v>
      </c>
      <c r="AE1206" s="11">
        <v>0</v>
      </c>
      <c r="AF1206" s="10">
        <v>0</v>
      </c>
      <c r="AG1206" s="11">
        <v>0</v>
      </c>
      <c r="AH1206" s="10">
        <f>AI1206/50</f>
        <v>52</v>
      </c>
      <c r="AI1206" s="11">
        <v>2600</v>
      </c>
      <c r="AJ1206" s="10">
        <v>0</v>
      </c>
      <c r="AK1206" s="13">
        <v>0</v>
      </c>
      <c r="AL1206" s="10">
        <v>0</v>
      </c>
      <c r="AM1206" s="13">
        <v>0</v>
      </c>
      <c r="AN1206" s="10">
        <v>0</v>
      </c>
      <c r="AO1206" s="11">
        <v>0</v>
      </c>
      <c r="AP1206" s="10">
        <f>AQ1206/80</f>
        <v>125</v>
      </c>
      <c r="AQ1206" s="11">
        <v>10000</v>
      </c>
      <c r="AR1206" s="10">
        <v>0</v>
      </c>
      <c r="AS1206" s="11">
        <v>0</v>
      </c>
      <c r="AT1206" s="10">
        <f>AU1206/55</f>
        <v>75</v>
      </c>
      <c r="AU1206" s="11">
        <v>4125</v>
      </c>
      <c r="AV1206" s="10">
        <v>0</v>
      </c>
      <c r="AW1206" s="11">
        <v>0</v>
      </c>
      <c r="AX1206" s="10">
        <v>0</v>
      </c>
      <c r="AY1206" s="11">
        <v>0</v>
      </c>
      <c r="AZ1206" s="10">
        <f>BA1206/40</f>
        <v>3640</v>
      </c>
      <c r="BA1206" s="11">
        <v>145600</v>
      </c>
      <c r="BB1206" s="10">
        <v>40</v>
      </c>
      <c r="BC1206" s="11">
        <f>40*40</f>
        <v>1600</v>
      </c>
      <c r="BD1206" s="10">
        <v>0</v>
      </c>
      <c r="BE1206" s="11">
        <v>0</v>
      </c>
      <c r="BF1206" s="10">
        <v>0</v>
      </c>
      <c r="BG1206" s="11">
        <v>0</v>
      </c>
      <c r="BH1206" s="11">
        <v>0</v>
      </c>
      <c r="BI1206" s="11">
        <v>0</v>
      </c>
      <c r="BN1206" s="8">
        <f t="shared" si="1186"/>
        <v>23217</v>
      </c>
      <c r="BO1206" s="8">
        <f t="shared" si="1187"/>
        <v>1124450</v>
      </c>
      <c r="BP1206" s="8">
        <f t="shared" si="1207"/>
        <v>2167</v>
      </c>
      <c r="BQ1206" s="12">
        <f t="shared" si="1208"/>
        <v>112075</v>
      </c>
    </row>
    <row r="1207" spans="1:69">
      <c r="A1207" s="28">
        <v>2000</v>
      </c>
      <c r="B1207" s="27" t="s">
        <v>65</v>
      </c>
      <c r="C1207" s="24">
        <f t="shared" si="1167"/>
        <v>1162</v>
      </c>
      <c r="D1207" s="7" t="e">
        <f t="shared" ca="1" si="1165"/>
        <v>#N/A</v>
      </c>
      <c r="E1207" s="26">
        <f t="array" aca="1" ref="E1207" ca="1">AVERAGE(IF(INDIRECT(DatCol&amp;"$"&amp;TEXT(C1207,"###")):INDIRECT(DatCol&amp;"$"&amp;TEXT(C1207+57,"###"))&gt;0,INDIRECT(DatCol&amp;"$"&amp;TEXT(C1207,"###")):INDIRECT(DatCol&amp;"$"&amp;TEXT(C1207+57,"###"))))</f>
        <v>3336.5151515151515</v>
      </c>
      <c r="F1207" s="26" t="str">
        <f t="shared" si="1164"/>
        <v>N</v>
      </c>
      <c r="G1207" s="9">
        <v>6</v>
      </c>
      <c r="H1207" s="9">
        <v>100</v>
      </c>
      <c r="I1207" s="9">
        <v>127</v>
      </c>
      <c r="J1207" s="9">
        <v>100</v>
      </c>
      <c r="K1207" s="9">
        <f t="shared" si="1188"/>
        <v>206</v>
      </c>
      <c r="L1207" s="10">
        <f t="shared" si="1225"/>
        <v>7330</v>
      </c>
      <c r="M1207" s="11">
        <v>366500</v>
      </c>
      <c r="N1207" s="10">
        <f>O1207/50</f>
        <v>1650</v>
      </c>
      <c r="O1207" s="11">
        <v>82500</v>
      </c>
      <c r="P1207" s="10">
        <v>0</v>
      </c>
      <c r="Q1207" s="11">
        <v>0</v>
      </c>
      <c r="R1207" s="10">
        <v>0</v>
      </c>
      <c r="S1207" s="11">
        <v>0</v>
      </c>
      <c r="T1207" s="10">
        <v>0</v>
      </c>
      <c r="U1207" s="11">
        <v>0</v>
      </c>
      <c r="V1207" s="10">
        <v>0</v>
      </c>
      <c r="W1207" s="11">
        <v>0</v>
      </c>
      <c r="X1207" s="10">
        <v>0</v>
      </c>
      <c r="Y1207" s="11">
        <v>0</v>
      </c>
      <c r="Z1207" s="10">
        <v>0</v>
      </c>
      <c r="AA1207" s="11">
        <v>0</v>
      </c>
      <c r="AB1207" s="10">
        <v>0</v>
      </c>
      <c r="AC1207" s="11">
        <v>0</v>
      </c>
      <c r="AD1207" s="10">
        <v>0</v>
      </c>
      <c r="AE1207" s="11">
        <v>0</v>
      </c>
      <c r="AF1207" s="10">
        <v>0</v>
      </c>
      <c r="AG1207" s="11">
        <v>0</v>
      </c>
      <c r="AH1207" s="10">
        <f>AI1207/47.5</f>
        <v>56.842105263157897</v>
      </c>
      <c r="AI1207" s="11">
        <v>2700</v>
      </c>
      <c r="AJ1207" s="10">
        <v>0</v>
      </c>
      <c r="AK1207" s="13">
        <v>0</v>
      </c>
      <c r="AL1207" s="10">
        <v>0</v>
      </c>
      <c r="AM1207" s="13">
        <v>0</v>
      </c>
      <c r="AN1207" s="10">
        <v>0</v>
      </c>
      <c r="AO1207" s="11">
        <v>0</v>
      </c>
      <c r="AP1207" s="10">
        <f>AQ1207/80</f>
        <v>130</v>
      </c>
      <c r="AQ1207" s="11">
        <v>10400</v>
      </c>
      <c r="AR1207" s="10">
        <v>0</v>
      </c>
      <c r="AS1207" s="11">
        <v>0</v>
      </c>
      <c r="AT1207" s="10">
        <f>AU1207/55</f>
        <v>60</v>
      </c>
      <c r="AU1207" s="11">
        <v>3300</v>
      </c>
      <c r="AV1207" s="10">
        <v>0</v>
      </c>
      <c r="AW1207" s="11">
        <v>0</v>
      </c>
      <c r="AX1207" s="10">
        <v>0</v>
      </c>
      <c r="AY1207" s="11">
        <v>0</v>
      </c>
      <c r="AZ1207" s="10">
        <f>BA1207/40</f>
        <v>96.25</v>
      </c>
      <c r="BA1207" s="11">
        <v>3850</v>
      </c>
      <c r="BB1207" s="10">
        <v>0</v>
      </c>
      <c r="BC1207" s="11">
        <v>0</v>
      </c>
      <c r="BD1207" s="10">
        <v>0</v>
      </c>
      <c r="BE1207" s="11">
        <v>0</v>
      </c>
      <c r="BF1207" s="10">
        <v>0</v>
      </c>
      <c r="BG1207" s="11">
        <v>0</v>
      </c>
      <c r="BH1207" s="11">
        <v>0</v>
      </c>
      <c r="BI1207" s="11">
        <v>0</v>
      </c>
      <c r="BJ1207" s="10">
        <v>0</v>
      </c>
      <c r="BK1207" s="11">
        <v>0</v>
      </c>
      <c r="BL1207" s="10">
        <v>0</v>
      </c>
      <c r="BM1207" s="11">
        <v>0</v>
      </c>
      <c r="BN1207" s="8">
        <f t="shared" si="1186"/>
        <v>7426.25</v>
      </c>
      <c r="BO1207" s="8">
        <f t="shared" si="1187"/>
        <v>370350</v>
      </c>
      <c r="BP1207" s="8">
        <f t="shared" si="1207"/>
        <v>1896.8421052631579</v>
      </c>
      <c r="BQ1207" s="12">
        <f t="shared" si="1208"/>
        <v>98900</v>
      </c>
    </row>
    <row r="1208" spans="1:69">
      <c r="A1208" s="28">
        <v>2001</v>
      </c>
      <c r="B1208" s="27" t="s">
        <v>65</v>
      </c>
      <c r="C1208" s="24">
        <f t="shared" si="1167"/>
        <v>1162</v>
      </c>
      <c r="D1208" s="7" t="e">
        <f t="shared" ca="1" si="1165"/>
        <v>#N/A</v>
      </c>
      <c r="E1208" s="26">
        <f t="array" aca="1" ref="E1208" ca="1">AVERAGE(IF(INDIRECT(DatCol&amp;"$"&amp;TEXT(C1208,"###")):INDIRECT(DatCol&amp;"$"&amp;TEXT(C1208+57,"###"))&gt;0,INDIRECT(DatCol&amp;"$"&amp;TEXT(C1208,"###")):INDIRECT(DatCol&amp;"$"&amp;TEXT(C1208+57,"###"))))</f>
        <v>3336.5151515151515</v>
      </c>
      <c r="F1208" s="26" t="str">
        <f t="shared" si="1164"/>
        <v>N</v>
      </c>
      <c r="G1208" s="9">
        <v>24</v>
      </c>
      <c r="H1208" s="9">
        <v>87</v>
      </c>
      <c r="I1208" s="9">
        <v>120</v>
      </c>
      <c r="J1208" s="9">
        <f>169+77</f>
        <v>246</v>
      </c>
      <c r="K1208" s="9">
        <f t="shared" si="1188"/>
        <v>357</v>
      </c>
      <c r="L1208" s="10">
        <f t="shared" si="1225"/>
        <v>1578</v>
      </c>
      <c r="M1208" s="11">
        <v>78900</v>
      </c>
      <c r="N1208" s="10">
        <f>O1208/50</f>
        <v>1450</v>
      </c>
      <c r="O1208" s="11">
        <v>72500</v>
      </c>
      <c r="P1208" s="10">
        <v>0</v>
      </c>
      <c r="Q1208" s="11">
        <v>0</v>
      </c>
      <c r="R1208" s="10">
        <v>0</v>
      </c>
      <c r="S1208" s="11">
        <v>0</v>
      </c>
      <c r="T1208" s="10">
        <v>0</v>
      </c>
      <c r="U1208" s="11">
        <v>0</v>
      </c>
      <c r="V1208" s="10">
        <v>0</v>
      </c>
      <c r="W1208" s="11">
        <v>0</v>
      </c>
      <c r="X1208" s="10">
        <v>0</v>
      </c>
      <c r="Y1208" s="11">
        <v>0</v>
      </c>
      <c r="Z1208" s="10">
        <v>0</v>
      </c>
      <c r="AA1208" s="11">
        <v>0</v>
      </c>
      <c r="AB1208" s="10">
        <v>0</v>
      </c>
      <c r="AC1208" s="11">
        <v>0</v>
      </c>
      <c r="AD1208" s="10">
        <v>0</v>
      </c>
      <c r="AE1208" s="11">
        <v>0</v>
      </c>
      <c r="AF1208" s="10">
        <v>0</v>
      </c>
      <c r="AG1208" s="11">
        <v>0</v>
      </c>
      <c r="AH1208" s="10">
        <v>975</v>
      </c>
      <c r="AI1208" s="11">
        <f>AH1208*47.5</f>
        <v>46312.5</v>
      </c>
      <c r="AJ1208" s="10">
        <v>0</v>
      </c>
      <c r="AK1208" s="13">
        <v>0</v>
      </c>
      <c r="AL1208" s="10">
        <v>0</v>
      </c>
      <c r="AM1208" s="13">
        <v>0</v>
      </c>
      <c r="AN1208" s="10">
        <v>0</v>
      </c>
      <c r="AO1208" s="11">
        <v>0</v>
      </c>
      <c r="AP1208" s="10">
        <v>120</v>
      </c>
      <c r="AQ1208" s="11">
        <f>AP1208*80</f>
        <v>9600</v>
      </c>
      <c r="AR1208" s="10">
        <v>0</v>
      </c>
      <c r="AS1208" s="11">
        <v>0</v>
      </c>
      <c r="AT1208" s="10">
        <v>58</v>
      </c>
      <c r="AU1208" s="11">
        <f>AT1208*50</f>
        <v>2900</v>
      </c>
      <c r="AV1208" s="10">
        <v>0</v>
      </c>
      <c r="AW1208" s="11">
        <v>0</v>
      </c>
      <c r="AX1208" s="10">
        <v>0</v>
      </c>
      <c r="AY1208" s="11">
        <v>0</v>
      </c>
      <c r="AZ1208" s="10">
        <v>1490</v>
      </c>
      <c r="BA1208" s="11">
        <v>59600</v>
      </c>
      <c r="BB1208" s="10">
        <v>0</v>
      </c>
      <c r="BC1208" s="11">
        <v>0</v>
      </c>
      <c r="BD1208" s="10">
        <v>0</v>
      </c>
      <c r="BE1208" s="11">
        <v>0</v>
      </c>
      <c r="BF1208" s="10">
        <v>0</v>
      </c>
      <c r="BG1208" s="11">
        <v>0</v>
      </c>
      <c r="BH1208" s="11">
        <v>0</v>
      </c>
      <c r="BN1208" s="8">
        <f t="shared" si="1186"/>
        <v>3068</v>
      </c>
      <c r="BO1208" s="8">
        <f t="shared" si="1187"/>
        <v>138500</v>
      </c>
      <c r="BP1208" s="8">
        <f t="shared" si="1207"/>
        <v>2603</v>
      </c>
      <c r="BQ1208" s="12">
        <f t="shared" si="1208"/>
        <v>131312.5</v>
      </c>
    </row>
    <row r="1209" spans="1:69">
      <c r="A1209" s="28">
        <v>2002</v>
      </c>
      <c r="B1209" s="27" t="s">
        <v>65</v>
      </c>
      <c r="C1209" s="24">
        <f t="shared" si="1167"/>
        <v>1162</v>
      </c>
      <c r="D1209" s="7" t="e">
        <f t="shared" ca="1" si="1165"/>
        <v>#N/A</v>
      </c>
      <c r="E1209" s="26">
        <f t="array" aca="1" ref="E1209" ca="1">AVERAGE(IF(INDIRECT(DatCol&amp;"$"&amp;TEXT(C1209,"###")):INDIRECT(DatCol&amp;"$"&amp;TEXT(C1209+57,"###"))&gt;0,INDIRECT(DatCol&amp;"$"&amp;TEXT(C1209,"###")):INDIRECT(DatCol&amp;"$"&amp;TEXT(C1209+57,"###"))))</f>
        <v>3336.5151515151515</v>
      </c>
      <c r="F1209" s="26" t="str">
        <f t="shared" si="1164"/>
        <v>N</v>
      </c>
      <c r="H1209" s="9">
        <v>92</v>
      </c>
      <c r="I1209" s="9">
        <v>119</v>
      </c>
      <c r="J1209" s="9">
        <v>241</v>
      </c>
      <c r="K1209" s="9">
        <f t="shared" si="1188"/>
        <v>333</v>
      </c>
      <c r="L1209" s="10">
        <f t="shared" si="1225"/>
        <v>690.5</v>
      </c>
      <c r="M1209" s="11">
        <v>34525</v>
      </c>
      <c r="N1209" s="10">
        <f>O1209/50</f>
        <v>1105</v>
      </c>
      <c r="O1209" s="11">
        <v>55250</v>
      </c>
      <c r="P1209" s="10">
        <v>0</v>
      </c>
      <c r="Q1209" s="11">
        <v>0</v>
      </c>
      <c r="R1209" s="10">
        <v>0</v>
      </c>
      <c r="S1209" s="11">
        <v>0</v>
      </c>
      <c r="T1209" s="10">
        <v>0</v>
      </c>
      <c r="U1209" s="11">
        <v>0</v>
      </c>
      <c r="V1209" s="10">
        <v>0</v>
      </c>
      <c r="W1209" s="11">
        <v>0</v>
      </c>
      <c r="X1209" s="10">
        <v>0</v>
      </c>
      <c r="Y1209" s="11">
        <v>0</v>
      </c>
      <c r="Z1209" s="10">
        <v>0</v>
      </c>
      <c r="AA1209" s="11">
        <v>0</v>
      </c>
      <c r="AB1209" s="10">
        <v>0</v>
      </c>
      <c r="AC1209" s="11">
        <v>0</v>
      </c>
      <c r="AD1209" s="10">
        <v>0</v>
      </c>
      <c r="AE1209" s="11">
        <v>0</v>
      </c>
      <c r="AF1209" s="10">
        <v>0</v>
      </c>
      <c r="AG1209" s="11">
        <v>0</v>
      </c>
      <c r="AH1209" s="10">
        <f>AI1209/47.5</f>
        <v>947.36842105263156</v>
      </c>
      <c r="AI1209" s="11">
        <v>45000</v>
      </c>
      <c r="AJ1209" s="10">
        <v>0</v>
      </c>
      <c r="AK1209" s="13">
        <v>0</v>
      </c>
      <c r="AL1209" s="10">
        <v>0</v>
      </c>
      <c r="AM1209" s="13">
        <v>0</v>
      </c>
      <c r="AN1209" s="10">
        <v>0</v>
      </c>
      <c r="AO1209" s="11">
        <v>0</v>
      </c>
      <c r="AP1209" s="10">
        <f>AQ1209/80</f>
        <v>130</v>
      </c>
      <c r="AQ1209" s="11">
        <v>10400</v>
      </c>
      <c r="AR1209" s="10">
        <v>0</v>
      </c>
      <c r="AS1209" s="11">
        <v>0</v>
      </c>
      <c r="AT1209" s="10">
        <f>AU1209/55</f>
        <v>60.545454545454547</v>
      </c>
      <c r="AU1209" s="11">
        <v>3330</v>
      </c>
      <c r="AV1209" s="10">
        <v>0</v>
      </c>
      <c r="AW1209" s="11">
        <v>0</v>
      </c>
      <c r="AX1209" s="10">
        <v>0</v>
      </c>
      <c r="AY1209" s="11">
        <v>0</v>
      </c>
      <c r="AZ1209" s="10">
        <f>BA1209/40</f>
        <v>1650</v>
      </c>
      <c r="BA1209" s="11">
        <v>66000</v>
      </c>
      <c r="BB1209" s="10">
        <v>0</v>
      </c>
      <c r="BC1209" s="11">
        <v>0</v>
      </c>
      <c r="BD1209" s="10">
        <v>0</v>
      </c>
      <c r="BE1209" s="11">
        <v>0</v>
      </c>
      <c r="BF1209" s="10">
        <v>0</v>
      </c>
      <c r="BG1209" s="11">
        <v>0</v>
      </c>
      <c r="BN1209" s="8">
        <f t="shared" si="1186"/>
        <v>2340.5</v>
      </c>
      <c r="BO1209" s="8">
        <f t="shared" si="1187"/>
        <v>100525</v>
      </c>
      <c r="BP1209" s="8">
        <f t="shared" si="1207"/>
        <v>2242.9138755980862</v>
      </c>
      <c r="BQ1209" s="12">
        <f t="shared" si="1208"/>
        <v>113980</v>
      </c>
    </row>
    <row r="1210" spans="1:69">
      <c r="A1210" s="28">
        <v>2003</v>
      </c>
      <c r="B1210" s="27" t="s">
        <v>65</v>
      </c>
      <c r="C1210" s="24">
        <f t="shared" si="1167"/>
        <v>1162</v>
      </c>
      <c r="D1210" s="7" t="e">
        <f t="shared" ca="1" si="1165"/>
        <v>#N/A</v>
      </c>
      <c r="E1210" s="26">
        <f t="array" aca="1" ref="E1210" ca="1">AVERAGE(IF(INDIRECT(DatCol&amp;"$"&amp;TEXT(C1210,"###")):INDIRECT(DatCol&amp;"$"&amp;TEXT(C1210+57,"###"))&gt;0,INDIRECT(DatCol&amp;"$"&amp;TEXT(C1210,"###")):INDIRECT(DatCol&amp;"$"&amp;TEXT(C1210+57,"###"))))</f>
        <v>3336.5151515151515</v>
      </c>
      <c r="F1210" s="26" t="str">
        <f t="shared" si="1164"/>
        <v>N</v>
      </c>
      <c r="H1210" s="9">
        <v>84</v>
      </c>
      <c r="I1210" s="9">
        <v>88</v>
      </c>
      <c r="J1210" s="9">
        <v>191</v>
      </c>
      <c r="K1210" s="9">
        <f t="shared" si="1188"/>
        <v>275</v>
      </c>
      <c r="L1210" s="10">
        <f t="shared" si="1225"/>
        <v>4675</v>
      </c>
      <c r="M1210" s="11">
        <v>233750</v>
      </c>
      <c r="AK1210" s="13"/>
      <c r="AM1210" s="13"/>
      <c r="AZ1210" s="10">
        <f>BA1210/40</f>
        <v>1450</v>
      </c>
      <c r="BA1210" s="11">
        <v>58000</v>
      </c>
      <c r="BN1210" s="8">
        <f t="shared" si="1186"/>
        <v>6125</v>
      </c>
      <c r="BO1210" s="8">
        <f t="shared" si="1187"/>
        <v>291750</v>
      </c>
      <c r="BP1210" s="8">
        <f t="shared" si="1207"/>
        <v>0</v>
      </c>
      <c r="BQ1210" s="12">
        <f t="shared" si="1208"/>
        <v>0</v>
      </c>
    </row>
    <row r="1211" spans="1:69">
      <c r="A1211" s="28">
        <v>2004</v>
      </c>
      <c r="B1211" s="27" t="s">
        <v>65</v>
      </c>
      <c r="C1211" s="24">
        <f t="shared" si="1167"/>
        <v>1162</v>
      </c>
      <c r="D1211" s="7" t="e">
        <f t="shared" ca="1" si="1165"/>
        <v>#N/A</v>
      </c>
      <c r="E1211" s="26">
        <f t="array" aca="1" ref="E1211" ca="1">AVERAGE(IF(INDIRECT(DatCol&amp;"$"&amp;TEXT(C1211,"###")):INDIRECT(DatCol&amp;"$"&amp;TEXT(C1211+57,"###"))&gt;0,INDIRECT(DatCol&amp;"$"&amp;TEXT(C1211,"###")):INDIRECT(DatCol&amp;"$"&amp;TEXT(C1211+57,"###"))))</f>
        <v>3336.5151515151515</v>
      </c>
      <c r="F1211" s="26" t="str">
        <f t="shared" si="1164"/>
        <v>N</v>
      </c>
      <c r="H1211" s="9">
        <v>97</v>
      </c>
      <c r="I1211" s="9">
        <v>84</v>
      </c>
      <c r="J1211" s="9">
        <v>237</v>
      </c>
      <c r="K1211" s="9">
        <f t="shared" si="1188"/>
        <v>334</v>
      </c>
      <c r="L1211" s="10">
        <f t="shared" si="1225"/>
        <v>6690</v>
      </c>
      <c r="M1211" s="11">
        <v>334500</v>
      </c>
      <c r="AK1211" s="13"/>
      <c r="AM1211" s="13"/>
      <c r="AZ1211" s="10">
        <f>BA1211/40</f>
        <v>1100</v>
      </c>
      <c r="BA1211" s="11">
        <v>44000</v>
      </c>
      <c r="BN1211" s="8">
        <f t="shared" si="1186"/>
        <v>7790</v>
      </c>
      <c r="BO1211" s="8">
        <f t="shared" si="1187"/>
        <v>378500</v>
      </c>
      <c r="BP1211" s="8">
        <f t="shared" si="1207"/>
        <v>0</v>
      </c>
      <c r="BQ1211" s="12">
        <f t="shared" si="1208"/>
        <v>0</v>
      </c>
    </row>
    <row r="1212" spans="1:69">
      <c r="A1212" s="28">
        <v>2005</v>
      </c>
      <c r="B1212" s="27" t="s">
        <v>65</v>
      </c>
      <c r="C1212" s="24">
        <f t="shared" si="1167"/>
        <v>1162</v>
      </c>
      <c r="D1212" s="7" t="e">
        <f t="shared" ca="1" si="1165"/>
        <v>#N/A</v>
      </c>
      <c r="E1212" s="26">
        <f t="array" aca="1" ref="E1212" ca="1">AVERAGE(IF(INDIRECT(DatCol&amp;"$"&amp;TEXT(C1212,"###")):INDIRECT(DatCol&amp;"$"&amp;TEXT(C1212+57,"###"))&gt;0,INDIRECT(DatCol&amp;"$"&amp;TEXT(C1212,"###")):INDIRECT(DatCol&amp;"$"&amp;TEXT(C1212+57,"###"))))</f>
        <v>3336.5151515151515</v>
      </c>
      <c r="F1212" s="26" t="str">
        <f t="shared" si="1164"/>
        <v>N</v>
      </c>
      <c r="K1212" s="9">
        <f t="shared" si="1188"/>
        <v>0</v>
      </c>
      <c r="AK1212" s="13"/>
      <c r="AM1212" s="13"/>
      <c r="BN1212" s="8">
        <f t="shared" si="1186"/>
        <v>0</v>
      </c>
      <c r="BO1212" s="8">
        <f t="shared" si="1187"/>
        <v>0</v>
      </c>
      <c r="BP1212" s="8">
        <f t="shared" si="1207"/>
        <v>0</v>
      </c>
      <c r="BQ1212" s="12">
        <f t="shared" si="1208"/>
        <v>0</v>
      </c>
    </row>
    <row r="1213" spans="1:69">
      <c r="A1213" s="28">
        <v>2006</v>
      </c>
      <c r="B1213" s="27" t="s">
        <v>65</v>
      </c>
      <c r="C1213" s="24">
        <f t="shared" si="1167"/>
        <v>1162</v>
      </c>
      <c r="D1213" s="7" t="e">
        <f t="shared" ca="1" si="1165"/>
        <v>#N/A</v>
      </c>
      <c r="E1213" s="26">
        <f t="array" aca="1" ref="E1213" ca="1">AVERAGE(IF(INDIRECT(DatCol&amp;"$"&amp;TEXT(C1213,"###")):INDIRECT(DatCol&amp;"$"&amp;TEXT(C1213+57,"###"))&gt;0,INDIRECT(DatCol&amp;"$"&amp;TEXT(C1213,"###")):INDIRECT(DatCol&amp;"$"&amp;TEXT(C1213+57,"###"))))</f>
        <v>3336.5151515151515</v>
      </c>
      <c r="F1213" s="26" t="str">
        <f t="shared" si="1164"/>
        <v>N</v>
      </c>
      <c r="K1213" s="9">
        <f t="shared" si="1188"/>
        <v>0</v>
      </c>
      <c r="AK1213" s="13"/>
      <c r="AM1213" s="13"/>
      <c r="BN1213" s="8">
        <f t="shared" si="1186"/>
        <v>0</v>
      </c>
      <c r="BO1213" s="8">
        <f t="shared" si="1187"/>
        <v>0</v>
      </c>
      <c r="BP1213" s="8">
        <f t="shared" si="1207"/>
        <v>0</v>
      </c>
      <c r="BQ1213" s="12">
        <f t="shared" si="1208"/>
        <v>0</v>
      </c>
    </row>
    <row r="1214" spans="1:69">
      <c r="A1214" s="28">
        <v>2007</v>
      </c>
      <c r="B1214" s="27" t="s">
        <v>65</v>
      </c>
      <c r="C1214" s="24">
        <f t="shared" si="1167"/>
        <v>1162</v>
      </c>
      <c r="D1214" s="7" t="e">
        <f t="shared" ca="1" si="1165"/>
        <v>#N/A</v>
      </c>
      <c r="E1214" s="26">
        <f t="array" aca="1" ref="E1214" ca="1">AVERAGE(IF(INDIRECT(DatCol&amp;"$"&amp;TEXT(C1214,"###")):INDIRECT(DatCol&amp;"$"&amp;TEXT(C1214+57,"###"))&gt;0,INDIRECT(DatCol&amp;"$"&amp;TEXT(C1214,"###")):INDIRECT(DatCol&amp;"$"&amp;TEXT(C1214+57,"###"))))</f>
        <v>3336.5151515151515</v>
      </c>
      <c r="F1214" s="26" t="str">
        <f t="shared" ref="F1214:F1283" si="1226">VLOOKUP(B1214,town_region,2,FALSE)</f>
        <v>N</v>
      </c>
      <c r="H1214" s="9">
        <v>194</v>
      </c>
      <c r="I1214" s="9">
        <v>125</v>
      </c>
      <c r="J1214" s="9">
        <v>156</v>
      </c>
      <c r="K1214" s="9">
        <f t="shared" si="1188"/>
        <v>350</v>
      </c>
      <c r="L1214" s="10">
        <f>M1214/50</f>
        <v>27196.5</v>
      </c>
      <c r="M1214" s="11">
        <v>1359825</v>
      </c>
      <c r="N1214" s="10">
        <f>O1214/50</f>
        <v>864</v>
      </c>
      <c r="O1214" s="11">
        <v>43200</v>
      </c>
      <c r="P1214" s="10">
        <v>0</v>
      </c>
      <c r="Q1214" s="11">
        <v>0</v>
      </c>
      <c r="R1214" s="10">
        <v>0</v>
      </c>
      <c r="S1214" s="11">
        <v>0</v>
      </c>
      <c r="T1214" s="10">
        <v>0</v>
      </c>
      <c r="U1214" s="11">
        <v>0</v>
      </c>
      <c r="V1214" s="10">
        <v>0</v>
      </c>
      <c r="W1214" s="11">
        <v>0</v>
      </c>
      <c r="X1214" s="10">
        <v>0</v>
      </c>
      <c r="Y1214" s="11">
        <v>0</v>
      </c>
      <c r="Z1214" s="10">
        <v>0</v>
      </c>
      <c r="AA1214" s="11">
        <v>0</v>
      </c>
      <c r="AB1214" s="10">
        <v>0</v>
      </c>
      <c r="AC1214" s="11">
        <v>0</v>
      </c>
      <c r="AD1214" s="10">
        <v>0</v>
      </c>
      <c r="AE1214" s="11">
        <v>0</v>
      </c>
      <c r="AF1214" s="10">
        <v>0</v>
      </c>
      <c r="AG1214" s="11">
        <v>0</v>
      </c>
      <c r="AH1214" s="10">
        <f>AI1214/47.5</f>
        <v>107.83157894736843</v>
      </c>
      <c r="AI1214" s="11">
        <v>5122</v>
      </c>
      <c r="AJ1214" s="10">
        <v>0</v>
      </c>
      <c r="AK1214" s="13">
        <v>0</v>
      </c>
      <c r="AL1214" s="10">
        <v>0</v>
      </c>
      <c r="AM1214" s="13">
        <v>0</v>
      </c>
      <c r="AN1214" s="10">
        <f>AO1214/80</f>
        <v>2.625</v>
      </c>
      <c r="AO1214" s="11">
        <v>210</v>
      </c>
      <c r="BN1214" s="8">
        <f t="shared" si="1186"/>
        <v>27199.125</v>
      </c>
      <c r="BO1214" s="8">
        <f t="shared" si="1187"/>
        <v>1360035</v>
      </c>
      <c r="BP1214" s="8">
        <f t="shared" si="1207"/>
        <v>971.83157894736837</v>
      </c>
      <c r="BQ1214" s="12">
        <f t="shared" si="1208"/>
        <v>48322</v>
      </c>
    </row>
    <row r="1215" spans="1:69">
      <c r="A1215" s="28">
        <v>2008</v>
      </c>
      <c r="B1215" s="27" t="s">
        <v>65</v>
      </c>
      <c r="C1215" s="24">
        <f t="shared" si="1167"/>
        <v>1162</v>
      </c>
      <c r="D1215" s="7" t="e">
        <f t="shared" ca="1" si="1165"/>
        <v>#N/A</v>
      </c>
      <c r="E1215" s="26">
        <f t="array" aca="1" ref="E1215" ca="1">AVERAGE(IF(INDIRECT(DatCol&amp;"$"&amp;TEXT(C1215,"###")):INDIRECT(DatCol&amp;"$"&amp;TEXT(C1215+57,"###"))&gt;0,INDIRECT(DatCol&amp;"$"&amp;TEXT(C1215,"###")):INDIRECT(DatCol&amp;"$"&amp;TEXT(C1215+57,"###"))))</f>
        <v>3336.5151515151515</v>
      </c>
      <c r="F1215" s="26" t="str">
        <f t="shared" si="1226"/>
        <v>N</v>
      </c>
      <c r="K1215" s="9">
        <f t="shared" si="1188"/>
        <v>0</v>
      </c>
      <c r="AK1215" s="13"/>
      <c r="AM1215" s="13"/>
      <c r="BN1215" s="8">
        <f t="shared" si="1186"/>
        <v>0</v>
      </c>
      <c r="BO1215" s="8">
        <f t="shared" si="1187"/>
        <v>0</v>
      </c>
      <c r="BP1215" s="8">
        <f t="shared" si="1207"/>
        <v>0</v>
      </c>
      <c r="BQ1215" s="12">
        <f t="shared" si="1208"/>
        <v>0</v>
      </c>
    </row>
    <row r="1216" spans="1:69">
      <c r="A1216" s="28">
        <v>2009</v>
      </c>
      <c r="B1216" s="27" t="s">
        <v>65</v>
      </c>
      <c r="C1216" s="24">
        <f t="shared" si="1167"/>
        <v>1162</v>
      </c>
      <c r="D1216" s="7" t="e">
        <f t="shared" ca="1" si="1165"/>
        <v>#N/A</v>
      </c>
      <c r="E1216" s="26">
        <f t="array" aca="1" ref="E1216" ca="1">AVERAGE(IF(INDIRECT(DatCol&amp;"$"&amp;TEXT(C1216,"###")):INDIRECT(DatCol&amp;"$"&amp;TEXT(C1216+57,"###"))&gt;0,INDIRECT(DatCol&amp;"$"&amp;TEXT(C1216,"###")):INDIRECT(DatCol&amp;"$"&amp;TEXT(C1216+57,"###"))))</f>
        <v>3336.5151515151515</v>
      </c>
      <c r="F1216" s="26" t="str">
        <f t="shared" si="1226"/>
        <v>N</v>
      </c>
      <c r="H1216" s="9">
        <v>34</v>
      </c>
      <c r="I1216" s="9">
        <v>141</v>
      </c>
      <c r="J1216" s="9">
        <v>235</v>
      </c>
      <c r="K1216" s="9">
        <f t="shared" si="1188"/>
        <v>269</v>
      </c>
      <c r="L1216" s="10">
        <f>M1216/50</f>
        <v>18680</v>
      </c>
      <c r="M1216" s="11">
        <v>934000</v>
      </c>
      <c r="N1216" s="10">
        <f>O1216/50</f>
        <v>1200</v>
      </c>
      <c r="O1216" s="11">
        <v>60000</v>
      </c>
      <c r="P1216" s="10">
        <v>0</v>
      </c>
      <c r="Q1216" s="11">
        <v>0</v>
      </c>
      <c r="R1216" s="10">
        <v>0</v>
      </c>
      <c r="S1216" s="11">
        <v>0</v>
      </c>
      <c r="T1216" s="10">
        <v>0</v>
      </c>
      <c r="U1216" s="11">
        <v>0</v>
      </c>
      <c r="V1216" s="10">
        <v>0</v>
      </c>
      <c r="W1216" s="11">
        <v>0</v>
      </c>
      <c r="X1216" s="10">
        <v>0</v>
      </c>
      <c r="Y1216" s="11">
        <v>0</v>
      </c>
      <c r="Z1216" s="10">
        <v>0</v>
      </c>
      <c r="AA1216" s="11">
        <v>0</v>
      </c>
      <c r="AB1216" s="10">
        <v>0</v>
      </c>
      <c r="AC1216" s="11">
        <v>0</v>
      </c>
      <c r="AD1216" s="10">
        <v>0</v>
      </c>
      <c r="AE1216" s="11">
        <v>0</v>
      </c>
      <c r="AF1216" s="10">
        <v>0</v>
      </c>
      <c r="AG1216" s="11">
        <v>0</v>
      </c>
      <c r="AH1216" s="10">
        <v>0</v>
      </c>
      <c r="AI1216" s="11">
        <v>0</v>
      </c>
      <c r="AJ1216" s="10">
        <v>0</v>
      </c>
      <c r="AK1216" s="13">
        <v>0</v>
      </c>
      <c r="AL1216" s="10">
        <v>0</v>
      </c>
      <c r="AM1216" s="13">
        <v>0</v>
      </c>
      <c r="AN1216" s="10">
        <f>AO1216/80</f>
        <v>12.5</v>
      </c>
      <c r="AO1216" s="11">
        <v>1000</v>
      </c>
      <c r="AP1216" s="10">
        <f>AQ1216/80</f>
        <v>3.125</v>
      </c>
      <c r="AQ1216" s="11">
        <v>250</v>
      </c>
      <c r="AR1216" s="10">
        <v>0</v>
      </c>
      <c r="AS1216" s="11">
        <v>0</v>
      </c>
      <c r="AT1216" s="10">
        <v>0</v>
      </c>
      <c r="AU1216" s="11">
        <v>0</v>
      </c>
      <c r="AV1216" s="10">
        <v>0</v>
      </c>
      <c r="AW1216" s="11">
        <v>0</v>
      </c>
      <c r="AX1216" s="10">
        <v>0</v>
      </c>
      <c r="AY1216" s="11">
        <v>0</v>
      </c>
      <c r="AZ1216" s="10">
        <f>BA1216/40</f>
        <v>137.5</v>
      </c>
      <c r="BA1216" s="11">
        <v>5500</v>
      </c>
      <c r="BB1216" s="10">
        <f>BC1216/40</f>
        <v>12.5</v>
      </c>
      <c r="BC1216" s="11">
        <v>500</v>
      </c>
      <c r="BN1216" s="8">
        <f t="shared" si="1186"/>
        <v>18830</v>
      </c>
      <c r="BO1216" s="8">
        <f t="shared" si="1187"/>
        <v>940500</v>
      </c>
      <c r="BP1216" s="8">
        <f t="shared" si="1207"/>
        <v>1215.625</v>
      </c>
      <c r="BQ1216" s="12">
        <f t="shared" si="1208"/>
        <v>60750</v>
      </c>
    </row>
    <row r="1217" spans="1:69">
      <c r="A1217" s="28">
        <v>2010</v>
      </c>
      <c r="B1217" s="27" t="s">
        <v>65</v>
      </c>
      <c r="C1217" s="24">
        <f t="shared" si="1167"/>
        <v>1162</v>
      </c>
      <c r="D1217" s="7" t="e">
        <f t="shared" ca="1" si="1165"/>
        <v>#N/A</v>
      </c>
      <c r="E1217" s="26">
        <f t="array" aca="1" ref="E1217" ca="1">AVERAGE(IF(INDIRECT(DatCol&amp;"$"&amp;TEXT(C1217,"###")):INDIRECT(DatCol&amp;"$"&amp;TEXT(C1217+57,"###"))&gt;0,INDIRECT(DatCol&amp;"$"&amp;TEXT(C1217,"###")):INDIRECT(DatCol&amp;"$"&amp;TEXT(C1217+57,"###"))))</f>
        <v>3336.5151515151515</v>
      </c>
      <c r="F1217" s="26" t="str">
        <f t="shared" ref="F1217:F1219" si="1227">VLOOKUP(B1217,town_region,2,FALSE)</f>
        <v>N</v>
      </c>
      <c r="AK1217" s="13"/>
      <c r="AM1217" s="13"/>
      <c r="BN1217" s="8"/>
      <c r="BO1217" s="8"/>
      <c r="BP1217" s="8"/>
      <c r="BQ1217" s="12"/>
    </row>
    <row r="1218" spans="1:69">
      <c r="A1218" s="28">
        <v>2011</v>
      </c>
      <c r="B1218" s="27" t="s">
        <v>65</v>
      </c>
      <c r="C1218" s="24">
        <f t="shared" si="1167"/>
        <v>1162</v>
      </c>
      <c r="D1218" s="7" t="e">
        <f t="shared" ref="D1218:D1281" ca="1" si="1228">IF(AND((INDIRECT(DatCol&amp;TEXT(ROW(),"###"))&gt;0),((F1218=RegionSelect)+(RegionSelect="A"))),INDIRECT(DatCol&amp;TEXT(ROW(),"###"))/E1218,NA())</f>
        <v>#N/A</v>
      </c>
      <c r="E1218" s="26">
        <f t="array" aca="1" ref="E1218" ca="1">AVERAGE(IF(INDIRECT(DatCol&amp;"$"&amp;TEXT(C1218,"###")):INDIRECT(DatCol&amp;"$"&amp;TEXT(C1218+57,"###"))&gt;0,INDIRECT(DatCol&amp;"$"&amp;TEXT(C1218,"###")):INDIRECT(DatCol&amp;"$"&amp;TEXT(C1218+57,"###"))))</f>
        <v>3336.5151515151515</v>
      </c>
      <c r="F1218" s="26" t="str">
        <f t="shared" si="1227"/>
        <v>N</v>
      </c>
      <c r="AK1218" s="13"/>
      <c r="AM1218" s="13"/>
      <c r="BN1218" s="8"/>
      <c r="BO1218" s="8"/>
      <c r="BP1218" s="8"/>
      <c r="BQ1218" s="12"/>
    </row>
    <row r="1219" spans="1:69">
      <c r="A1219" s="28">
        <v>2012</v>
      </c>
      <c r="B1219" s="27" t="s">
        <v>65</v>
      </c>
      <c r="C1219" s="24">
        <f t="shared" si="1167"/>
        <v>1162</v>
      </c>
      <c r="D1219" s="7" t="e">
        <f t="shared" ca="1" si="1228"/>
        <v>#N/A</v>
      </c>
      <c r="E1219" s="26">
        <f t="array" aca="1" ref="E1219" ca="1">AVERAGE(IF(INDIRECT(DatCol&amp;"$"&amp;TEXT(C1219,"###")):INDIRECT(DatCol&amp;"$"&amp;TEXT(C1219+57,"###"))&gt;0,INDIRECT(DatCol&amp;"$"&amp;TEXT(C1219,"###")):INDIRECT(DatCol&amp;"$"&amp;TEXT(C1219+57,"###"))))</f>
        <v>3336.5151515151515</v>
      </c>
      <c r="F1219" s="26" t="str">
        <f t="shared" si="1227"/>
        <v>N</v>
      </c>
      <c r="AK1219" s="13"/>
      <c r="AM1219" s="13"/>
      <c r="BN1219" s="8"/>
      <c r="BO1219" s="8"/>
      <c r="BP1219" s="8"/>
      <c r="BQ1219" s="12"/>
    </row>
    <row r="1220" spans="1:69">
      <c r="A1220" s="28">
        <v>1955</v>
      </c>
      <c r="B1220" s="27" t="s">
        <v>67</v>
      </c>
      <c r="C1220" s="24">
        <f>ROW()</f>
        <v>1220</v>
      </c>
      <c r="D1220" s="7" t="e">
        <f t="shared" ca="1" si="1228"/>
        <v>#N/A</v>
      </c>
      <c r="E1220" s="26">
        <f t="array" aca="1" ref="E1220" ca="1">AVERAGE(IF(INDIRECT(DatCol&amp;"$"&amp;TEXT(C1220,"###")):INDIRECT(DatCol&amp;"$"&amp;TEXT(C1220+57,"###"))&gt;0,INDIRECT(DatCol&amp;"$"&amp;TEXT(C1220,"###")):INDIRECT(DatCol&amp;"$"&amp;TEXT(C1220+57,"###"))))</f>
        <v>179.78888888888889</v>
      </c>
      <c r="F1220" s="26" t="str">
        <f t="shared" si="1226"/>
        <v>S</v>
      </c>
      <c r="G1220" s="8"/>
      <c r="K1220" s="9">
        <f t="shared" si="1188"/>
        <v>0</v>
      </c>
      <c r="M1220" s="11">
        <f t="shared" si="1209"/>
        <v>0</v>
      </c>
      <c r="O1220" s="11">
        <f t="shared" si="1210"/>
        <v>0</v>
      </c>
      <c r="Q1220" s="11">
        <f t="shared" si="1211"/>
        <v>0</v>
      </c>
      <c r="Y1220" s="11">
        <f t="shared" si="1212"/>
        <v>0</v>
      </c>
      <c r="AG1220" s="11">
        <f t="shared" si="1213"/>
        <v>0</v>
      </c>
      <c r="AI1220" s="11">
        <f t="shared" si="1214"/>
        <v>0</v>
      </c>
      <c r="AK1220" s="13">
        <f t="shared" si="1215"/>
        <v>0</v>
      </c>
      <c r="AM1220" s="13">
        <f t="shared" si="1216"/>
        <v>0</v>
      </c>
      <c r="AO1220" s="11">
        <f t="shared" si="1217"/>
        <v>0</v>
      </c>
      <c r="AQ1220" s="11">
        <f t="shared" si="1218"/>
        <v>0</v>
      </c>
      <c r="AS1220" s="11">
        <f t="shared" si="1219"/>
        <v>0</v>
      </c>
      <c r="AU1220" s="11">
        <f t="shared" si="1220"/>
        <v>0</v>
      </c>
      <c r="AW1220" s="11">
        <f t="shared" si="1221"/>
        <v>0</v>
      </c>
      <c r="AY1220" s="11">
        <f t="shared" si="1222"/>
        <v>0</v>
      </c>
      <c r="BA1220" s="11">
        <f t="shared" si="1223"/>
        <v>0</v>
      </c>
      <c r="BC1220" s="11">
        <f t="shared" si="1224"/>
        <v>0</v>
      </c>
      <c r="BE1220" s="11">
        <f t="shared" ref="BE1220:BE1229" si="1229">(BD1220*95)</f>
        <v>0</v>
      </c>
      <c r="BG1220" s="11">
        <f t="shared" ref="BG1220:BG1229" si="1230">(BF1220*95)</f>
        <v>0</v>
      </c>
      <c r="BN1220" s="8">
        <f t="shared" si="1186"/>
        <v>0</v>
      </c>
      <c r="BO1220" s="8">
        <f t="shared" si="1187"/>
        <v>0</v>
      </c>
      <c r="BP1220" s="8">
        <f t="shared" si="1207"/>
        <v>0</v>
      </c>
      <c r="BQ1220" s="12">
        <f t="shared" si="1208"/>
        <v>0</v>
      </c>
    </row>
    <row r="1221" spans="1:69">
      <c r="A1221" s="28">
        <v>1956</v>
      </c>
      <c r="B1221" s="27" t="s">
        <v>67</v>
      </c>
      <c r="C1221" s="24">
        <f t="shared" ref="C1221:C1277" si="1231">C1220</f>
        <v>1220</v>
      </c>
      <c r="D1221" s="7" t="e">
        <f t="shared" ca="1" si="1228"/>
        <v>#N/A</v>
      </c>
      <c r="E1221" s="26">
        <f t="array" aca="1" ref="E1221" ca="1">AVERAGE(IF(INDIRECT(DatCol&amp;"$"&amp;TEXT(C1221,"###")):INDIRECT(DatCol&amp;"$"&amp;TEXT(C1221+57,"###"))&gt;0,INDIRECT(DatCol&amp;"$"&amp;TEXT(C1221,"###")):INDIRECT(DatCol&amp;"$"&amp;TEXT(C1221+57,"###"))))</f>
        <v>179.78888888888889</v>
      </c>
      <c r="F1221" s="26" t="str">
        <f t="shared" si="1226"/>
        <v>S</v>
      </c>
      <c r="G1221" s="8"/>
      <c r="K1221" s="9">
        <f t="shared" si="1188"/>
        <v>0</v>
      </c>
      <c r="M1221" s="11">
        <f t="shared" si="1209"/>
        <v>0</v>
      </c>
      <c r="O1221" s="11">
        <f t="shared" si="1210"/>
        <v>0</v>
      </c>
      <c r="Q1221" s="11">
        <f t="shared" si="1211"/>
        <v>0</v>
      </c>
      <c r="Y1221" s="11">
        <f t="shared" si="1212"/>
        <v>0</v>
      </c>
      <c r="AG1221" s="11">
        <f t="shared" si="1213"/>
        <v>0</v>
      </c>
      <c r="AI1221" s="11">
        <f t="shared" si="1214"/>
        <v>0</v>
      </c>
      <c r="AK1221" s="13">
        <f t="shared" si="1215"/>
        <v>0</v>
      </c>
      <c r="AM1221" s="13">
        <f t="shared" si="1216"/>
        <v>0</v>
      </c>
      <c r="AO1221" s="11">
        <f t="shared" si="1217"/>
        <v>0</v>
      </c>
      <c r="AQ1221" s="11">
        <f t="shared" si="1218"/>
        <v>0</v>
      </c>
      <c r="AS1221" s="11">
        <f t="shared" si="1219"/>
        <v>0</v>
      </c>
      <c r="AU1221" s="11">
        <f t="shared" si="1220"/>
        <v>0</v>
      </c>
      <c r="AW1221" s="11">
        <f t="shared" si="1221"/>
        <v>0</v>
      </c>
      <c r="AY1221" s="11">
        <f t="shared" si="1222"/>
        <v>0</v>
      </c>
      <c r="BA1221" s="11">
        <f t="shared" si="1223"/>
        <v>0</v>
      </c>
      <c r="BC1221" s="11">
        <f t="shared" si="1224"/>
        <v>0</v>
      </c>
      <c r="BE1221" s="11">
        <f t="shared" si="1229"/>
        <v>0</v>
      </c>
      <c r="BG1221" s="11">
        <f t="shared" si="1230"/>
        <v>0</v>
      </c>
      <c r="BN1221" s="8">
        <f t="shared" si="1186"/>
        <v>0</v>
      </c>
      <c r="BO1221" s="8">
        <f t="shared" si="1187"/>
        <v>0</v>
      </c>
      <c r="BP1221" s="8">
        <f t="shared" si="1207"/>
        <v>0</v>
      </c>
      <c r="BQ1221" s="12">
        <f t="shared" si="1208"/>
        <v>0</v>
      </c>
    </row>
    <row r="1222" spans="1:69">
      <c r="A1222" s="28">
        <v>1957</v>
      </c>
      <c r="B1222" s="27" t="s">
        <v>67</v>
      </c>
      <c r="C1222" s="24">
        <f t="shared" si="1231"/>
        <v>1220</v>
      </c>
      <c r="D1222" s="7" t="e">
        <f t="shared" ca="1" si="1228"/>
        <v>#N/A</v>
      </c>
      <c r="E1222" s="26">
        <f t="array" aca="1" ref="E1222" ca="1">AVERAGE(IF(INDIRECT(DatCol&amp;"$"&amp;TEXT(C1222,"###")):INDIRECT(DatCol&amp;"$"&amp;TEXT(C1222+57,"###"))&gt;0,INDIRECT(DatCol&amp;"$"&amp;TEXT(C1222,"###")):INDIRECT(DatCol&amp;"$"&amp;TEXT(C1222+57,"###"))))</f>
        <v>179.78888888888889</v>
      </c>
      <c r="F1222" s="26" t="str">
        <f t="shared" si="1226"/>
        <v>S</v>
      </c>
      <c r="G1222" s="8"/>
      <c r="K1222" s="9">
        <f t="shared" si="1188"/>
        <v>0</v>
      </c>
      <c r="M1222" s="11">
        <f t="shared" si="1209"/>
        <v>0</v>
      </c>
      <c r="O1222" s="11">
        <f t="shared" si="1210"/>
        <v>0</v>
      </c>
      <c r="Q1222" s="11">
        <f t="shared" si="1211"/>
        <v>0</v>
      </c>
      <c r="Y1222" s="11">
        <f t="shared" si="1212"/>
        <v>0</v>
      </c>
      <c r="AG1222" s="11">
        <f t="shared" si="1213"/>
        <v>0</v>
      </c>
      <c r="AI1222" s="11">
        <f t="shared" si="1214"/>
        <v>0</v>
      </c>
      <c r="AK1222" s="13">
        <f t="shared" si="1215"/>
        <v>0</v>
      </c>
      <c r="AM1222" s="13">
        <f t="shared" si="1216"/>
        <v>0</v>
      </c>
      <c r="AO1222" s="11">
        <f t="shared" si="1217"/>
        <v>0</v>
      </c>
      <c r="AQ1222" s="11">
        <f t="shared" si="1218"/>
        <v>0</v>
      </c>
      <c r="AS1222" s="11">
        <f t="shared" si="1219"/>
        <v>0</v>
      </c>
      <c r="AU1222" s="11">
        <f t="shared" si="1220"/>
        <v>0</v>
      </c>
      <c r="AW1222" s="11">
        <f t="shared" si="1221"/>
        <v>0</v>
      </c>
      <c r="AY1222" s="11">
        <f t="shared" si="1222"/>
        <v>0</v>
      </c>
      <c r="BA1222" s="11">
        <f t="shared" si="1223"/>
        <v>0</v>
      </c>
      <c r="BC1222" s="11">
        <f t="shared" si="1224"/>
        <v>0</v>
      </c>
      <c r="BE1222" s="11">
        <f t="shared" si="1229"/>
        <v>0</v>
      </c>
      <c r="BG1222" s="11">
        <f t="shared" si="1230"/>
        <v>0</v>
      </c>
      <c r="BN1222" s="8">
        <f t="shared" si="1186"/>
        <v>0</v>
      </c>
      <c r="BO1222" s="8">
        <f t="shared" si="1187"/>
        <v>0</v>
      </c>
      <c r="BP1222" s="8">
        <f t="shared" si="1207"/>
        <v>0</v>
      </c>
      <c r="BQ1222" s="12">
        <f t="shared" si="1208"/>
        <v>0</v>
      </c>
    </row>
    <row r="1223" spans="1:69">
      <c r="A1223" s="28">
        <v>1958</v>
      </c>
      <c r="B1223" s="27" t="s">
        <v>67</v>
      </c>
      <c r="C1223" s="24">
        <f t="shared" si="1231"/>
        <v>1220</v>
      </c>
      <c r="D1223" s="7" t="e">
        <f t="shared" ca="1" si="1228"/>
        <v>#N/A</v>
      </c>
      <c r="E1223" s="26">
        <f t="array" aca="1" ref="E1223" ca="1">AVERAGE(IF(INDIRECT(DatCol&amp;"$"&amp;TEXT(C1223,"###")):INDIRECT(DatCol&amp;"$"&amp;TEXT(C1223+57,"###"))&gt;0,INDIRECT(DatCol&amp;"$"&amp;TEXT(C1223,"###")):INDIRECT(DatCol&amp;"$"&amp;TEXT(C1223+57,"###"))))</f>
        <v>179.78888888888889</v>
      </c>
      <c r="F1223" s="26" t="str">
        <f t="shared" si="1226"/>
        <v>S</v>
      </c>
      <c r="G1223" s="8"/>
      <c r="K1223" s="9">
        <f t="shared" si="1188"/>
        <v>0</v>
      </c>
      <c r="M1223" s="11">
        <f t="shared" si="1209"/>
        <v>0</v>
      </c>
      <c r="O1223" s="11">
        <f t="shared" si="1210"/>
        <v>0</v>
      </c>
      <c r="Q1223" s="11">
        <f t="shared" si="1211"/>
        <v>0</v>
      </c>
      <c r="Y1223" s="11">
        <f t="shared" si="1212"/>
        <v>0</v>
      </c>
      <c r="AG1223" s="11">
        <f t="shared" si="1213"/>
        <v>0</v>
      </c>
      <c r="AI1223" s="11">
        <f t="shared" si="1214"/>
        <v>0</v>
      </c>
      <c r="AK1223" s="13">
        <f t="shared" si="1215"/>
        <v>0</v>
      </c>
      <c r="AM1223" s="13">
        <f t="shared" si="1216"/>
        <v>0</v>
      </c>
      <c r="AO1223" s="11">
        <f t="shared" si="1217"/>
        <v>0</v>
      </c>
      <c r="AQ1223" s="11">
        <f t="shared" si="1218"/>
        <v>0</v>
      </c>
      <c r="AS1223" s="11">
        <f t="shared" si="1219"/>
        <v>0</v>
      </c>
      <c r="AU1223" s="11">
        <f t="shared" si="1220"/>
        <v>0</v>
      </c>
      <c r="AW1223" s="11">
        <f t="shared" si="1221"/>
        <v>0</v>
      </c>
      <c r="AY1223" s="11">
        <f t="shared" si="1222"/>
        <v>0</v>
      </c>
      <c r="BA1223" s="11">
        <f t="shared" si="1223"/>
        <v>0</v>
      </c>
      <c r="BC1223" s="11">
        <f t="shared" si="1224"/>
        <v>0</v>
      </c>
      <c r="BE1223" s="11">
        <f t="shared" si="1229"/>
        <v>0</v>
      </c>
      <c r="BG1223" s="11">
        <f t="shared" si="1230"/>
        <v>0</v>
      </c>
      <c r="BN1223" s="8">
        <f t="shared" si="1186"/>
        <v>0</v>
      </c>
      <c r="BO1223" s="8">
        <f t="shared" si="1187"/>
        <v>0</v>
      </c>
      <c r="BP1223" s="8">
        <f t="shared" si="1207"/>
        <v>0</v>
      </c>
      <c r="BQ1223" s="12">
        <f t="shared" si="1208"/>
        <v>0</v>
      </c>
    </row>
    <row r="1224" spans="1:69">
      <c r="A1224" s="28">
        <v>1959</v>
      </c>
      <c r="B1224" s="27" t="s">
        <v>67</v>
      </c>
      <c r="C1224" s="24">
        <f t="shared" si="1231"/>
        <v>1220</v>
      </c>
      <c r="D1224" s="7" t="e">
        <f t="shared" ca="1" si="1228"/>
        <v>#N/A</v>
      </c>
      <c r="E1224" s="26">
        <f t="array" aca="1" ref="E1224" ca="1">AVERAGE(IF(INDIRECT(DatCol&amp;"$"&amp;TEXT(C1224,"###")):INDIRECT(DatCol&amp;"$"&amp;TEXT(C1224+57,"###"))&gt;0,INDIRECT(DatCol&amp;"$"&amp;TEXT(C1224,"###")):INDIRECT(DatCol&amp;"$"&amp;TEXT(C1224+57,"###"))))</f>
        <v>179.78888888888889</v>
      </c>
      <c r="F1224" s="26" t="str">
        <f t="shared" si="1226"/>
        <v>S</v>
      </c>
      <c r="G1224" s="8"/>
      <c r="K1224" s="9">
        <f t="shared" si="1188"/>
        <v>0</v>
      </c>
      <c r="M1224" s="11">
        <f t="shared" si="1209"/>
        <v>0</v>
      </c>
      <c r="O1224" s="11">
        <f t="shared" si="1210"/>
        <v>0</v>
      </c>
      <c r="Q1224" s="11">
        <f t="shared" si="1211"/>
        <v>0</v>
      </c>
      <c r="Y1224" s="11">
        <f t="shared" si="1212"/>
        <v>0</v>
      </c>
      <c r="AG1224" s="11">
        <f t="shared" si="1213"/>
        <v>0</v>
      </c>
      <c r="AI1224" s="11">
        <f t="shared" si="1214"/>
        <v>0</v>
      </c>
      <c r="AK1224" s="13">
        <f t="shared" si="1215"/>
        <v>0</v>
      </c>
      <c r="AM1224" s="13">
        <f t="shared" si="1216"/>
        <v>0</v>
      </c>
      <c r="AO1224" s="11">
        <f t="shared" si="1217"/>
        <v>0</v>
      </c>
      <c r="AQ1224" s="11">
        <f t="shared" si="1218"/>
        <v>0</v>
      </c>
      <c r="AS1224" s="11">
        <f t="shared" si="1219"/>
        <v>0</v>
      </c>
      <c r="AU1224" s="11">
        <f t="shared" si="1220"/>
        <v>0</v>
      </c>
      <c r="AW1224" s="11">
        <f t="shared" si="1221"/>
        <v>0</v>
      </c>
      <c r="AY1224" s="11">
        <f t="shared" si="1222"/>
        <v>0</v>
      </c>
      <c r="BA1224" s="11">
        <f t="shared" si="1223"/>
        <v>0</v>
      </c>
      <c r="BC1224" s="11">
        <f t="shared" si="1224"/>
        <v>0</v>
      </c>
      <c r="BE1224" s="11">
        <f t="shared" si="1229"/>
        <v>0</v>
      </c>
      <c r="BG1224" s="11">
        <f t="shared" si="1230"/>
        <v>0</v>
      </c>
      <c r="BN1224" s="8">
        <f t="shared" si="1186"/>
        <v>0</v>
      </c>
      <c r="BO1224" s="8">
        <f t="shared" si="1187"/>
        <v>0</v>
      </c>
      <c r="BP1224" s="8">
        <f t="shared" si="1207"/>
        <v>0</v>
      </c>
      <c r="BQ1224" s="12">
        <f t="shared" si="1208"/>
        <v>0</v>
      </c>
    </row>
    <row r="1225" spans="1:69">
      <c r="A1225" s="28">
        <v>1960</v>
      </c>
      <c r="B1225" s="27" t="s">
        <v>67</v>
      </c>
      <c r="C1225" s="24">
        <f t="shared" si="1231"/>
        <v>1220</v>
      </c>
      <c r="D1225" s="7" t="e">
        <f t="shared" ca="1" si="1228"/>
        <v>#N/A</v>
      </c>
      <c r="E1225" s="26">
        <f t="array" aca="1" ref="E1225" ca="1">AVERAGE(IF(INDIRECT(DatCol&amp;"$"&amp;TEXT(C1225,"###")):INDIRECT(DatCol&amp;"$"&amp;TEXT(C1225+57,"###"))&gt;0,INDIRECT(DatCol&amp;"$"&amp;TEXT(C1225,"###")):INDIRECT(DatCol&amp;"$"&amp;TEXT(C1225+57,"###"))))</f>
        <v>179.78888888888889</v>
      </c>
      <c r="F1225" s="26" t="str">
        <f t="shared" si="1226"/>
        <v>S</v>
      </c>
      <c r="G1225" s="8"/>
      <c r="K1225" s="9">
        <f t="shared" si="1188"/>
        <v>0</v>
      </c>
      <c r="M1225" s="11">
        <f t="shared" si="1209"/>
        <v>0</v>
      </c>
      <c r="O1225" s="11">
        <f t="shared" si="1210"/>
        <v>0</v>
      </c>
      <c r="Q1225" s="11">
        <f t="shared" si="1211"/>
        <v>0</v>
      </c>
      <c r="Y1225" s="11">
        <f t="shared" si="1212"/>
        <v>0</v>
      </c>
      <c r="AG1225" s="11">
        <f t="shared" si="1213"/>
        <v>0</v>
      </c>
      <c r="AI1225" s="11">
        <f t="shared" si="1214"/>
        <v>0</v>
      </c>
      <c r="AK1225" s="13">
        <f t="shared" si="1215"/>
        <v>0</v>
      </c>
      <c r="AM1225" s="13">
        <f t="shared" si="1216"/>
        <v>0</v>
      </c>
      <c r="AO1225" s="11">
        <f t="shared" si="1217"/>
        <v>0</v>
      </c>
      <c r="AQ1225" s="11">
        <f t="shared" si="1218"/>
        <v>0</v>
      </c>
      <c r="AS1225" s="11">
        <f t="shared" si="1219"/>
        <v>0</v>
      </c>
      <c r="AU1225" s="11">
        <f t="shared" si="1220"/>
        <v>0</v>
      </c>
      <c r="AW1225" s="11">
        <f t="shared" si="1221"/>
        <v>0</v>
      </c>
      <c r="AY1225" s="11">
        <f t="shared" si="1222"/>
        <v>0</v>
      </c>
      <c r="BA1225" s="11">
        <f t="shared" si="1223"/>
        <v>0</v>
      </c>
      <c r="BC1225" s="11">
        <f t="shared" si="1224"/>
        <v>0</v>
      </c>
      <c r="BE1225" s="11">
        <f t="shared" si="1229"/>
        <v>0</v>
      </c>
      <c r="BG1225" s="11">
        <f t="shared" si="1230"/>
        <v>0</v>
      </c>
      <c r="BN1225" s="8">
        <f t="shared" si="1186"/>
        <v>0</v>
      </c>
      <c r="BO1225" s="8">
        <f t="shared" si="1187"/>
        <v>0</v>
      </c>
      <c r="BP1225" s="8">
        <f t="shared" si="1207"/>
        <v>0</v>
      </c>
      <c r="BQ1225" s="12">
        <f t="shared" si="1208"/>
        <v>0</v>
      </c>
    </row>
    <row r="1226" spans="1:69">
      <c r="A1226" s="28">
        <v>1961</v>
      </c>
      <c r="B1226" s="27" t="s">
        <v>67</v>
      </c>
      <c r="C1226" s="24">
        <f t="shared" si="1231"/>
        <v>1220</v>
      </c>
      <c r="D1226" s="7" t="e">
        <f t="shared" ca="1" si="1228"/>
        <v>#N/A</v>
      </c>
      <c r="E1226" s="26">
        <f t="array" aca="1" ref="E1226" ca="1">AVERAGE(IF(INDIRECT(DatCol&amp;"$"&amp;TEXT(C1226,"###")):INDIRECT(DatCol&amp;"$"&amp;TEXT(C1226+57,"###"))&gt;0,INDIRECT(DatCol&amp;"$"&amp;TEXT(C1226,"###")):INDIRECT(DatCol&amp;"$"&amp;TEXT(C1226+57,"###"))))</f>
        <v>179.78888888888889</v>
      </c>
      <c r="F1226" s="26" t="str">
        <f t="shared" si="1226"/>
        <v>S</v>
      </c>
      <c r="G1226" s="8"/>
      <c r="K1226" s="9">
        <f t="shared" si="1188"/>
        <v>0</v>
      </c>
      <c r="M1226" s="11">
        <f t="shared" si="1209"/>
        <v>0</v>
      </c>
      <c r="O1226" s="11">
        <f t="shared" si="1210"/>
        <v>0</v>
      </c>
      <c r="Q1226" s="11">
        <f t="shared" si="1211"/>
        <v>0</v>
      </c>
      <c r="Y1226" s="11">
        <f t="shared" si="1212"/>
        <v>0</v>
      </c>
      <c r="AG1226" s="11">
        <f t="shared" si="1213"/>
        <v>0</v>
      </c>
      <c r="AI1226" s="11">
        <f t="shared" si="1214"/>
        <v>0</v>
      </c>
      <c r="AK1226" s="13">
        <f t="shared" si="1215"/>
        <v>0</v>
      </c>
      <c r="AM1226" s="13">
        <f t="shared" si="1216"/>
        <v>0</v>
      </c>
      <c r="AO1226" s="11">
        <f t="shared" si="1217"/>
        <v>0</v>
      </c>
      <c r="AQ1226" s="11">
        <f t="shared" si="1218"/>
        <v>0</v>
      </c>
      <c r="AS1226" s="11">
        <f t="shared" si="1219"/>
        <v>0</v>
      </c>
      <c r="AU1226" s="11">
        <f t="shared" si="1220"/>
        <v>0</v>
      </c>
      <c r="AW1226" s="11">
        <f t="shared" si="1221"/>
        <v>0</v>
      </c>
      <c r="AY1226" s="11">
        <f t="shared" si="1222"/>
        <v>0</v>
      </c>
      <c r="BA1226" s="11">
        <f t="shared" si="1223"/>
        <v>0</v>
      </c>
      <c r="BC1226" s="11">
        <f t="shared" si="1224"/>
        <v>0</v>
      </c>
      <c r="BE1226" s="11">
        <f t="shared" si="1229"/>
        <v>0</v>
      </c>
      <c r="BG1226" s="11">
        <f t="shared" si="1230"/>
        <v>0</v>
      </c>
      <c r="BN1226" s="8">
        <f t="shared" si="1186"/>
        <v>0</v>
      </c>
      <c r="BO1226" s="8">
        <f t="shared" si="1187"/>
        <v>0</v>
      </c>
      <c r="BP1226" s="8">
        <f t="shared" si="1207"/>
        <v>0</v>
      </c>
      <c r="BQ1226" s="12">
        <f t="shared" si="1208"/>
        <v>0</v>
      </c>
    </row>
    <row r="1227" spans="1:69">
      <c r="A1227" s="28">
        <v>1962</v>
      </c>
      <c r="B1227" s="27" t="s">
        <v>67</v>
      </c>
      <c r="C1227" s="24">
        <f t="shared" si="1231"/>
        <v>1220</v>
      </c>
      <c r="D1227" s="7" t="e">
        <f t="shared" ca="1" si="1228"/>
        <v>#N/A</v>
      </c>
      <c r="E1227" s="26">
        <f t="array" aca="1" ref="E1227" ca="1">AVERAGE(IF(INDIRECT(DatCol&amp;"$"&amp;TEXT(C1227,"###")):INDIRECT(DatCol&amp;"$"&amp;TEXT(C1227+57,"###"))&gt;0,INDIRECT(DatCol&amp;"$"&amp;TEXT(C1227,"###")):INDIRECT(DatCol&amp;"$"&amp;TEXT(C1227+57,"###"))))</f>
        <v>179.78888888888889</v>
      </c>
      <c r="F1227" s="26" t="str">
        <f t="shared" si="1226"/>
        <v>S</v>
      </c>
      <c r="G1227" s="8"/>
      <c r="K1227" s="9">
        <f t="shared" si="1188"/>
        <v>0</v>
      </c>
      <c r="M1227" s="11">
        <f t="shared" si="1209"/>
        <v>0</v>
      </c>
      <c r="N1227" s="12">
        <v>40</v>
      </c>
      <c r="O1227" s="11">
        <f t="shared" si="1210"/>
        <v>2000</v>
      </c>
      <c r="Q1227" s="11">
        <f t="shared" si="1211"/>
        <v>0</v>
      </c>
      <c r="Y1227" s="11">
        <f t="shared" si="1212"/>
        <v>0</v>
      </c>
      <c r="AG1227" s="11">
        <f t="shared" si="1213"/>
        <v>0</v>
      </c>
      <c r="AI1227" s="11">
        <f t="shared" si="1214"/>
        <v>0</v>
      </c>
      <c r="AK1227" s="13">
        <f t="shared" si="1215"/>
        <v>0</v>
      </c>
      <c r="AM1227" s="13">
        <f t="shared" si="1216"/>
        <v>0</v>
      </c>
      <c r="AO1227" s="11">
        <f t="shared" si="1217"/>
        <v>0</v>
      </c>
      <c r="AQ1227" s="11">
        <f t="shared" si="1218"/>
        <v>0</v>
      </c>
      <c r="AS1227" s="11">
        <f t="shared" si="1219"/>
        <v>0</v>
      </c>
      <c r="AU1227" s="11">
        <f t="shared" si="1220"/>
        <v>0</v>
      </c>
      <c r="AW1227" s="11">
        <f t="shared" si="1221"/>
        <v>0</v>
      </c>
      <c r="AY1227" s="11">
        <f t="shared" si="1222"/>
        <v>0</v>
      </c>
      <c r="BA1227" s="11">
        <f t="shared" si="1223"/>
        <v>0</v>
      </c>
      <c r="BC1227" s="11">
        <f t="shared" si="1224"/>
        <v>0</v>
      </c>
      <c r="BE1227" s="11">
        <f t="shared" si="1229"/>
        <v>0</v>
      </c>
      <c r="BG1227" s="11">
        <f t="shared" si="1230"/>
        <v>0</v>
      </c>
      <c r="BN1227" s="8">
        <f t="shared" si="1186"/>
        <v>0</v>
      </c>
      <c r="BO1227" s="8">
        <f t="shared" si="1187"/>
        <v>0</v>
      </c>
      <c r="BP1227" s="8">
        <f t="shared" si="1207"/>
        <v>40</v>
      </c>
      <c r="BQ1227" s="12">
        <f t="shared" si="1208"/>
        <v>2000</v>
      </c>
    </row>
    <row r="1228" spans="1:69">
      <c r="A1228" s="28">
        <v>1963</v>
      </c>
      <c r="B1228" s="27" t="s">
        <v>67</v>
      </c>
      <c r="C1228" s="24">
        <f t="shared" si="1231"/>
        <v>1220</v>
      </c>
      <c r="D1228" s="7" t="e">
        <f t="shared" ca="1" si="1228"/>
        <v>#N/A</v>
      </c>
      <c r="E1228" s="26">
        <f t="array" aca="1" ref="E1228" ca="1">AVERAGE(IF(INDIRECT(DatCol&amp;"$"&amp;TEXT(C1228,"###")):INDIRECT(DatCol&amp;"$"&amp;TEXT(C1228+57,"###"))&gt;0,INDIRECT(DatCol&amp;"$"&amp;TEXT(C1228,"###")):INDIRECT(DatCol&amp;"$"&amp;TEXT(C1228+57,"###"))))</f>
        <v>179.78888888888889</v>
      </c>
      <c r="F1228" s="26" t="str">
        <f t="shared" si="1226"/>
        <v>S</v>
      </c>
      <c r="G1228" s="8"/>
      <c r="H1228" s="8">
        <v>19</v>
      </c>
      <c r="I1228" s="8">
        <v>2</v>
      </c>
      <c r="J1228" s="8">
        <v>88</v>
      </c>
      <c r="K1228" s="9">
        <f t="shared" si="1188"/>
        <v>107</v>
      </c>
      <c r="M1228" s="11">
        <f t="shared" si="1209"/>
        <v>0</v>
      </c>
      <c r="O1228" s="11">
        <f t="shared" si="1210"/>
        <v>0</v>
      </c>
      <c r="Q1228" s="11">
        <f t="shared" si="1211"/>
        <v>0</v>
      </c>
      <c r="X1228" s="12">
        <v>160</v>
      </c>
      <c r="Y1228" s="11">
        <f t="shared" si="1212"/>
        <v>9600</v>
      </c>
      <c r="AG1228" s="11">
        <f t="shared" si="1213"/>
        <v>0</v>
      </c>
      <c r="AI1228" s="11">
        <f t="shared" si="1214"/>
        <v>0</v>
      </c>
      <c r="AK1228" s="13">
        <f t="shared" si="1215"/>
        <v>0</v>
      </c>
      <c r="AM1228" s="13">
        <f t="shared" si="1216"/>
        <v>0</v>
      </c>
      <c r="AO1228" s="11">
        <f t="shared" si="1217"/>
        <v>0</v>
      </c>
      <c r="AQ1228" s="11">
        <f t="shared" si="1218"/>
        <v>0</v>
      </c>
      <c r="AS1228" s="11">
        <f t="shared" si="1219"/>
        <v>0</v>
      </c>
      <c r="AU1228" s="11">
        <f t="shared" si="1220"/>
        <v>0</v>
      </c>
      <c r="AW1228" s="11">
        <f t="shared" si="1221"/>
        <v>0</v>
      </c>
      <c r="AY1228" s="11">
        <f t="shared" si="1222"/>
        <v>0</v>
      </c>
      <c r="BA1228" s="11">
        <f t="shared" si="1223"/>
        <v>0</v>
      </c>
      <c r="BC1228" s="11">
        <f t="shared" si="1224"/>
        <v>0</v>
      </c>
      <c r="BE1228" s="11">
        <f t="shared" si="1229"/>
        <v>0</v>
      </c>
      <c r="BG1228" s="11">
        <f t="shared" si="1230"/>
        <v>0</v>
      </c>
      <c r="BN1228" s="8">
        <f t="shared" si="1186"/>
        <v>160</v>
      </c>
      <c r="BO1228" s="8">
        <f t="shared" si="1187"/>
        <v>9600</v>
      </c>
      <c r="BP1228" s="8">
        <f t="shared" si="1207"/>
        <v>160</v>
      </c>
      <c r="BQ1228" s="12">
        <f t="shared" si="1208"/>
        <v>9600</v>
      </c>
    </row>
    <row r="1229" spans="1:69">
      <c r="A1229" s="28">
        <v>1964</v>
      </c>
      <c r="B1229" s="27" t="s">
        <v>67</v>
      </c>
      <c r="C1229" s="24">
        <f t="shared" si="1231"/>
        <v>1220</v>
      </c>
      <c r="D1229" s="7" t="e">
        <f t="shared" ca="1" si="1228"/>
        <v>#N/A</v>
      </c>
      <c r="E1229" s="26">
        <f t="array" aca="1" ref="E1229" ca="1">AVERAGE(IF(INDIRECT(DatCol&amp;"$"&amp;TEXT(C1229,"###")):INDIRECT(DatCol&amp;"$"&amp;TEXT(C1229+57,"###"))&gt;0,INDIRECT(DatCol&amp;"$"&amp;TEXT(C1229,"###")):INDIRECT(DatCol&amp;"$"&amp;TEXT(C1229+57,"###"))))</f>
        <v>179.78888888888889</v>
      </c>
      <c r="F1229" s="26" t="str">
        <f t="shared" si="1226"/>
        <v>S</v>
      </c>
      <c r="G1229" s="8"/>
      <c r="K1229" s="9">
        <f t="shared" si="1188"/>
        <v>0</v>
      </c>
      <c r="M1229" s="11">
        <f t="shared" si="1209"/>
        <v>0</v>
      </c>
      <c r="O1229" s="11">
        <f t="shared" si="1210"/>
        <v>0</v>
      </c>
      <c r="Q1229" s="11">
        <f t="shared" si="1211"/>
        <v>0</v>
      </c>
      <c r="Y1229" s="11">
        <f t="shared" si="1212"/>
        <v>0</v>
      </c>
      <c r="AG1229" s="11">
        <f t="shared" si="1213"/>
        <v>0</v>
      </c>
      <c r="AI1229" s="11">
        <f t="shared" si="1214"/>
        <v>0</v>
      </c>
      <c r="AK1229" s="13">
        <f t="shared" si="1215"/>
        <v>0</v>
      </c>
      <c r="AM1229" s="13">
        <f t="shared" si="1216"/>
        <v>0</v>
      </c>
      <c r="AO1229" s="11">
        <f t="shared" si="1217"/>
        <v>0</v>
      </c>
      <c r="AQ1229" s="11">
        <f t="shared" si="1218"/>
        <v>0</v>
      </c>
      <c r="AR1229" s="12">
        <v>350</v>
      </c>
      <c r="AS1229" s="11">
        <f t="shared" si="1219"/>
        <v>17500</v>
      </c>
      <c r="AT1229" s="12">
        <v>350</v>
      </c>
      <c r="AU1229" s="11">
        <f t="shared" si="1220"/>
        <v>17500</v>
      </c>
      <c r="AW1229" s="11">
        <f t="shared" si="1221"/>
        <v>0</v>
      </c>
      <c r="AY1229" s="11">
        <f t="shared" si="1222"/>
        <v>0</v>
      </c>
      <c r="BA1229" s="11">
        <f t="shared" si="1223"/>
        <v>0</v>
      </c>
      <c r="BC1229" s="11">
        <f t="shared" si="1224"/>
        <v>0</v>
      </c>
      <c r="BE1229" s="11">
        <f t="shared" si="1229"/>
        <v>0</v>
      </c>
      <c r="BG1229" s="11">
        <f t="shared" si="1230"/>
        <v>0</v>
      </c>
      <c r="BN1229" s="8">
        <f t="shared" si="1186"/>
        <v>350</v>
      </c>
      <c r="BO1229" s="8">
        <f t="shared" si="1187"/>
        <v>17500</v>
      </c>
      <c r="BP1229" s="8">
        <f t="shared" si="1207"/>
        <v>350</v>
      </c>
      <c r="BQ1229" s="12">
        <f t="shared" si="1208"/>
        <v>17500</v>
      </c>
    </row>
    <row r="1230" spans="1:69">
      <c r="A1230" s="28">
        <v>1965</v>
      </c>
      <c r="B1230" s="27" t="s">
        <v>67</v>
      </c>
      <c r="C1230" s="24">
        <f t="shared" si="1231"/>
        <v>1220</v>
      </c>
      <c r="D1230" s="7" t="e">
        <f t="shared" ca="1" si="1228"/>
        <v>#N/A</v>
      </c>
      <c r="E1230" s="26">
        <f t="array" aca="1" ref="E1230" ca="1">AVERAGE(IF(INDIRECT(DatCol&amp;"$"&amp;TEXT(C1230,"###")):INDIRECT(DatCol&amp;"$"&amp;TEXT(C1230+57,"###"))&gt;0,INDIRECT(DatCol&amp;"$"&amp;TEXT(C1230,"###")):INDIRECT(DatCol&amp;"$"&amp;TEXT(C1230+57,"###"))))</f>
        <v>179.78888888888889</v>
      </c>
      <c r="F1230" s="26" t="str">
        <f t="shared" si="1226"/>
        <v>S</v>
      </c>
      <c r="G1230" s="8"/>
      <c r="K1230" s="9">
        <f t="shared" si="1188"/>
        <v>0</v>
      </c>
      <c r="M1230" s="11">
        <f t="shared" ref="M1230:M1245" si="1232">(L1230*50)</f>
        <v>0</v>
      </c>
      <c r="N1230" s="12">
        <v>300</v>
      </c>
      <c r="O1230" s="11">
        <f t="shared" ref="O1230:O1245" si="1233">(N1230*50)</f>
        <v>15000</v>
      </c>
      <c r="Q1230" s="11">
        <f t="shared" ref="Q1230:Q1245" si="1234">((P1230*330)/5.5)</f>
        <v>0</v>
      </c>
      <c r="Y1230" s="11">
        <f t="shared" ref="Y1230:Y1245" si="1235">((X1230*330)/5.5)</f>
        <v>0</v>
      </c>
      <c r="AG1230" s="11">
        <f t="shared" ref="AG1230:AG1245" si="1236">(AF1230*65)</f>
        <v>0</v>
      </c>
      <c r="AI1230" s="11">
        <f t="shared" ref="AI1230:AI1245" si="1237">(AH1230*65)</f>
        <v>0</v>
      </c>
      <c r="AK1230" s="13">
        <f t="shared" ref="AK1230:AK1245" si="1238">(AJ1230*9)</f>
        <v>0</v>
      </c>
      <c r="AM1230" s="13">
        <f t="shared" ref="AM1230:AM1245" si="1239">(AL1230*9)</f>
        <v>0</v>
      </c>
      <c r="AO1230" s="11">
        <f t="shared" ref="AO1230:AO1245" si="1240">(AN1230*80)</f>
        <v>0</v>
      </c>
      <c r="AQ1230" s="11">
        <f t="shared" ref="AQ1230:AQ1245" si="1241">(AP1230*80)</f>
        <v>0</v>
      </c>
      <c r="AS1230" s="11">
        <f t="shared" ref="AS1230:AS1245" si="1242">(AR1230*50)</f>
        <v>0</v>
      </c>
      <c r="AU1230" s="11">
        <f t="shared" ref="AU1230:AU1245" si="1243">(AT1230*50)</f>
        <v>0</v>
      </c>
      <c r="AW1230" s="11">
        <f t="shared" ref="AW1230:AW1245" si="1244">(AV1230*60)</f>
        <v>0</v>
      </c>
      <c r="AY1230" s="11">
        <f t="shared" ref="AY1230:AY1245" si="1245">(AX1230*60)</f>
        <v>0</v>
      </c>
      <c r="BA1230" s="11">
        <f t="shared" ref="BA1230:BA1245" si="1246">(AZ1230*40)</f>
        <v>0</v>
      </c>
      <c r="BC1230" s="11">
        <f t="shared" ref="BC1230:BC1245" si="1247">(BB1230*40)</f>
        <v>0</v>
      </c>
      <c r="BE1230" s="11">
        <f t="shared" ref="BE1230:BE1245" si="1248">(BD1230*95)</f>
        <v>0</v>
      </c>
      <c r="BG1230" s="11">
        <f t="shared" ref="BG1230:BG1245" si="1249">(BF1230*95)</f>
        <v>0</v>
      </c>
      <c r="BN1230" s="8">
        <f t="shared" si="1186"/>
        <v>0</v>
      </c>
      <c r="BO1230" s="8">
        <f t="shared" si="1187"/>
        <v>0</v>
      </c>
      <c r="BP1230" s="8">
        <f t="shared" si="1207"/>
        <v>300</v>
      </c>
      <c r="BQ1230" s="12">
        <f t="shared" si="1208"/>
        <v>15000</v>
      </c>
    </row>
    <row r="1231" spans="1:69">
      <c r="A1231" s="28">
        <v>1966</v>
      </c>
      <c r="B1231" s="27" t="s">
        <v>67</v>
      </c>
      <c r="C1231" s="24">
        <f t="shared" si="1231"/>
        <v>1220</v>
      </c>
      <c r="D1231" s="7" t="e">
        <f t="shared" ca="1" si="1228"/>
        <v>#N/A</v>
      </c>
      <c r="E1231" s="26">
        <f t="array" aca="1" ref="E1231" ca="1">AVERAGE(IF(INDIRECT(DatCol&amp;"$"&amp;TEXT(C1231,"###")):INDIRECT(DatCol&amp;"$"&amp;TEXT(C1231+57,"###"))&gt;0,INDIRECT(DatCol&amp;"$"&amp;TEXT(C1231,"###")):INDIRECT(DatCol&amp;"$"&amp;TEXT(C1231+57,"###"))))</f>
        <v>179.78888888888889</v>
      </c>
      <c r="F1231" s="26" t="str">
        <f t="shared" si="1226"/>
        <v>S</v>
      </c>
      <c r="G1231" s="8"/>
      <c r="H1231" s="8">
        <v>14</v>
      </c>
      <c r="I1231" s="8">
        <v>0</v>
      </c>
      <c r="J1231" s="8">
        <v>242</v>
      </c>
      <c r="K1231" s="9">
        <f t="shared" si="1188"/>
        <v>256</v>
      </c>
      <c r="M1231" s="11">
        <f t="shared" si="1232"/>
        <v>0</v>
      </c>
      <c r="O1231" s="11">
        <f t="shared" si="1233"/>
        <v>0</v>
      </c>
      <c r="Q1231" s="11">
        <f t="shared" si="1234"/>
        <v>0</v>
      </c>
      <c r="X1231" s="12">
        <v>250</v>
      </c>
      <c r="Y1231" s="11">
        <f t="shared" si="1235"/>
        <v>15000</v>
      </c>
      <c r="AG1231" s="11">
        <f t="shared" si="1236"/>
        <v>0</v>
      </c>
      <c r="AI1231" s="11">
        <f t="shared" si="1237"/>
        <v>0</v>
      </c>
      <c r="AK1231" s="13">
        <f t="shared" si="1238"/>
        <v>0</v>
      </c>
      <c r="AM1231" s="13">
        <f t="shared" si="1239"/>
        <v>0</v>
      </c>
      <c r="AO1231" s="11">
        <f t="shared" si="1240"/>
        <v>0</v>
      </c>
      <c r="AQ1231" s="11">
        <f t="shared" si="1241"/>
        <v>0</v>
      </c>
      <c r="AS1231" s="11">
        <f t="shared" si="1242"/>
        <v>0</v>
      </c>
      <c r="AT1231" s="12">
        <v>340</v>
      </c>
      <c r="AU1231" s="11">
        <f t="shared" si="1243"/>
        <v>17000</v>
      </c>
      <c r="AW1231" s="11">
        <f t="shared" si="1244"/>
        <v>0</v>
      </c>
      <c r="AY1231" s="11">
        <f t="shared" si="1245"/>
        <v>0</v>
      </c>
      <c r="BA1231" s="11">
        <f t="shared" si="1246"/>
        <v>0</v>
      </c>
      <c r="BC1231" s="11">
        <f t="shared" si="1247"/>
        <v>0</v>
      </c>
      <c r="BE1231" s="11">
        <f t="shared" si="1248"/>
        <v>0</v>
      </c>
      <c r="BG1231" s="11">
        <f t="shared" si="1249"/>
        <v>0</v>
      </c>
      <c r="BN1231" s="8">
        <f t="shared" si="1186"/>
        <v>250</v>
      </c>
      <c r="BO1231" s="8">
        <f t="shared" si="1187"/>
        <v>15000</v>
      </c>
      <c r="BP1231" s="8">
        <f t="shared" si="1207"/>
        <v>590</v>
      </c>
      <c r="BQ1231" s="12">
        <f t="shared" si="1208"/>
        <v>32000</v>
      </c>
    </row>
    <row r="1232" spans="1:69">
      <c r="A1232" s="28">
        <v>1967</v>
      </c>
      <c r="B1232" s="27" t="s">
        <v>67</v>
      </c>
      <c r="C1232" s="24">
        <f t="shared" si="1231"/>
        <v>1220</v>
      </c>
      <c r="D1232" s="7" t="e">
        <f t="shared" ca="1" si="1228"/>
        <v>#N/A</v>
      </c>
      <c r="E1232" s="26">
        <f t="array" aca="1" ref="E1232" ca="1">AVERAGE(IF(INDIRECT(DatCol&amp;"$"&amp;TEXT(C1232,"###")):INDIRECT(DatCol&amp;"$"&amp;TEXT(C1232+57,"###"))&gt;0,INDIRECT(DatCol&amp;"$"&amp;TEXT(C1232,"###")):INDIRECT(DatCol&amp;"$"&amp;TEXT(C1232+57,"###"))))</f>
        <v>179.78888888888889</v>
      </c>
      <c r="F1232" s="26" t="str">
        <f t="shared" si="1226"/>
        <v>S</v>
      </c>
      <c r="G1232" s="8"/>
      <c r="K1232" s="9">
        <f t="shared" si="1188"/>
        <v>0</v>
      </c>
      <c r="M1232" s="11">
        <f t="shared" si="1232"/>
        <v>0</v>
      </c>
      <c r="O1232" s="11">
        <f t="shared" si="1233"/>
        <v>0</v>
      </c>
      <c r="Q1232" s="11">
        <f t="shared" si="1234"/>
        <v>0</v>
      </c>
      <c r="Y1232" s="11">
        <f t="shared" si="1235"/>
        <v>0</v>
      </c>
      <c r="AG1232" s="11">
        <f t="shared" si="1236"/>
        <v>0</v>
      </c>
      <c r="AI1232" s="11">
        <f t="shared" si="1237"/>
        <v>0</v>
      </c>
      <c r="AK1232" s="13">
        <f t="shared" si="1238"/>
        <v>0</v>
      </c>
      <c r="AM1232" s="13">
        <f t="shared" si="1239"/>
        <v>0</v>
      </c>
      <c r="AO1232" s="11">
        <f t="shared" si="1240"/>
        <v>0</v>
      </c>
      <c r="AQ1232" s="11">
        <f t="shared" si="1241"/>
        <v>0</v>
      </c>
      <c r="AS1232" s="11">
        <f t="shared" si="1242"/>
        <v>0</v>
      </c>
      <c r="AU1232" s="11">
        <f t="shared" si="1243"/>
        <v>0</v>
      </c>
      <c r="AW1232" s="11">
        <f t="shared" si="1244"/>
        <v>0</v>
      </c>
      <c r="AY1232" s="11">
        <f t="shared" si="1245"/>
        <v>0</v>
      </c>
      <c r="BA1232" s="11">
        <f t="shared" si="1246"/>
        <v>0</v>
      </c>
      <c r="BC1232" s="11">
        <f t="shared" si="1247"/>
        <v>0</v>
      </c>
      <c r="BE1232" s="11">
        <f t="shared" si="1248"/>
        <v>0</v>
      </c>
      <c r="BG1232" s="11">
        <f t="shared" si="1249"/>
        <v>0</v>
      </c>
      <c r="BN1232" s="8">
        <f t="shared" si="1186"/>
        <v>0</v>
      </c>
      <c r="BO1232" s="8">
        <f t="shared" si="1187"/>
        <v>0</v>
      </c>
      <c r="BP1232" s="8">
        <f t="shared" si="1207"/>
        <v>0</v>
      </c>
      <c r="BQ1232" s="12">
        <f t="shared" si="1208"/>
        <v>0</v>
      </c>
    </row>
    <row r="1233" spans="1:69">
      <c r="A1233" s="28">
        <v>1968</v>
      </c>
      <c r="B1233" s="27" t="s">
        <v>67</v>
      </c>
      <c r="C1233" s="24">
        <f t="shared" si="1231"/>
        <v>1220</v>
      </c>
      <c r="D1233" s="7" t="e">
        <f t="shared" ca="1" si="1228"/>
        <v>#N/A</v>
      </c>
      <c r="E1233" s="26">
        <f t="array" aca="1" ref="E1233" ca="1">AVERAGE(IF(INDIRECT(DatCol&amp;"$"&amp;TEXT(C1233,"###")):INDIRECT(DatCol&amp;"$"&amp;TEXT(C1233+57,"###"))&gt;0,INDIRECT(DatCol&amp;"$"&amp;TEXT(C1233,"###")):INDIRECT(DatCol&amp;"$"&amp;TEXT(C1233+57,"###"))))</f>
        <v>179.78888888888889</v>
      </c>
      <c r="F1233" s="26" t="str">
        <f t="shared" si="1226"/>
        <v>S</v>
      </c>
      <c r="G1233" s="8"/>
      <c r="H1233" s="8">
        <v>110</v>
      </c>
      <c r="I1233" s="8">
        <v>4</v>
      </c>
      <c r="J1233" s="8">
        <v>80</v>
      </c>
      <c r="K1233" s="9">
        <f t="shared" si="1188"/>
        <v>190</v>
      </c>
      <c r="M1233" s="11">
        <f t="shared" si="1232"/>
        <v>0</v>
      </c>
      <c r="N1233" s="12">
        <v>340</v>
      </c>
      <c r="O1233" s="11">
        <f t="shared" si="1233"/>
        <v>17000</v>
      </c>
      <c r="Q1233" s="11">
        <f t="shared" si="1234"/>
        <v>0</v>
      </c>
      <c r="X1233" s="12">
        <v>400</v>
      </c>
      <c r="Y1233" s="11">
        <f t="shared" si="1235"/>
        <v>24000</v>
      </c>
      <c r="AG1233" s="11">
        <f t="shared" si="1236"/>
        <v>0</v>
      </c>
      <c r="AI1233" s="11">
        <f t="shared" si="1237"/>
        <v>0</v>
      </c>
      <c r="AK1233" s="13">
        <f t="shared" si="1238"/>
        <v>0</v>
      </c>
      <c r="AM1233" s="13">
        <f t="shared" si="1239"/>
        <v>0</v>
      </c>
      <c r="AO1233" s="11">
        <f t="shared" si="1240"/>
        <v>0</v>
      </c>
      <c r="AQ1233" s="11">
        <f t="shared" si="1241"/>
        <v>0</v>
      </c>
      <c r="AS1233" s="11">
        <f t="shared" si="1242"/>
        <v>0</v>
      </c>
      <c r="AT1233" s="12">
        <v>500</v>
      </c>
      <c r="AU1233" s="11">
        <f t="shared" si="1243"/>
        <v>25000</v>
      </c>
      <c r="AW1233" s="11">
        <f t="shared" si="1244"/>
        <v>0</v>
      </c>
      <c r="AY1233" s="11">
        <f t="shared" si="1245"/>
        <v>0</v>
      </c>
      <c r="BA1233" s="11">
        <f t="shared" si="1246"/>
        <v>0</v>
      </c>
      <c r="BB1233" s="12">
        <v>180</v>
      </c>
      <c r="BC1233" s="11">
        <f t="shared" si="1247"/>
        <v>7200</v>
      </c>
      <c r="BE1233" s="11">
        <f t="shared" si="1248"/>
        <v>0</v>
      </c>
      <c r="BG1233" s="11">
        <f t="shared" si="1249"/>
        <v>0</v>
      </c>
      <c r="BN1233" s="8">
        <f t="shared" si="1186"/>
        <v>400</v>
      </c>
      <c r="BO1233" s="8">
        <f t="shared" si="1187"/>
        <v>24000</v>
      </c>
      <c r="BP1233" s="8">
        <f t="shared" si="1207"/>
        <v>1420</v>
      </c>
      <c r="BQ1233" s="12">
        <f t="shared" si="1208"/>
        <v>73200</v>
      </c>
    </row>
    <row r="1234" spans="1:69">
      <c r="A1234" s="28">
        <v>1969</v>
      </c>
      <c r="B1234" s="27" t="s">
        <v>67</v>
      </c>
      <c r="C1234" s="24">
        <f t="shared" si="1231"/>
        <v>1220</v>
      </c>
      <c r="D1234" s="7" t="e">
        <f t="shared" ca="1" si="1228"/>
        <v>#N/A</v>
      </c>
      <c r="E1234" s="26">
        <f t="array" aca="1" ref="E1234" ca="1">AVERAGE(IF(INDIRECT(DatCol&amp;"$"&amp;TEXT(C1234,"###")):INDIRECT(DatCol&amp;"$"&amp;TEXT(C1234+57,"###"))&gt;0,INDIRECT(DatCol&amp;"$"&amp;TEXT(C1234,"###")):INDIRECT(DatCol&amp;"$"&amp;TEXT(C1234+57,"###"))))</f>
        <v>179.78888888888889</v>
      </c>
      <c r="F1234" s="26" t="str">
        <f t="shared" si="1226"/>
        <v>S</v>
      </c>
      <c r="G1234" s="8"/>
      <c r="H1234" s="8">
        <v>85</v>
      </c>
      <c r="I1234" s="8">
        <v>11</v>
      </c>
      <c r="J1234" s="8">
        <v>146</v>
      </c>
      <c r="K1234" s="9">
        <f t="shared" si="1188"/>
        <v>231</v>
      </c>
      <c r="M1234" s="11">
        <f t="shared" si="1232"/>
        <v>0</v>
      </c>
      <c r="N1234" s="12">
        <v>220</v>
      </c>
      <c r="O1234" s="11">
        <f t="shared" si="1233"/>
        <v>11000</v>
      </c>
      <c r="Q1234" s="11">
        <f t="shared" si="1234"/>
        <v>0</v>
      </c>
      <c r="X1234" s="12">
        <v>400</v>
      </c>
      <c r="Y1234" s="11">
        <f t="shared" si="1235"/>
        <v>24000</v>
      </c>
      <c r="AG1234" s="11">
        <f t="shared" si="1236"/>
        <v>0</v>
      </c>
      <c r="AI1234" s="11">
        <f t="shared" si="1237"/>
        <v>0</v>
      </c>
      <c r="AK1234" s="13">
        <f t="shared" si="1238"/>
        <v>0</v>
      </c>
      <c r="AM1234" s="13">
        <f t="shared" si="1239"/>
        <v>0</v>
      </c>
      <c r="AO1234" s="11">
        <f t="shared" si="1240"/>
        <v>0</v>
      </c>
      <c r="AQ1234" s="11">
        <f t="shared" si="1241"/>
        <v>0</v>
      </c>
      <c r="AS1234" s="11">
        <f t="shared" si="1242"/>
        <v>0</v>
      </c>
      <c r="AT1234" s="12">
        <v>260</v>
      </c>
      <c r="AU1234" s="11">
        <f t="shared" si="1243"/>
        <v>13000</v>
      </c>
      <c r="AW1234" s="11">
        <f t="shared" si="1244"/>
        <v>0</v>
      </c>
      <c r="AY1234" s="11">
        <f t="shared" si="1245"/>
        <v>0</v>
      </c>
      <c r="BA1234" s="11">
        <f t="shared" si="1246"/>
        <v>0</v>
      </c>
      <c r="BB1234" s="12">
        <v>60</v>
      </c>
      <c r="BC1234" s="11">
        <f t="shared" si="1247"/>
        <v>2400</v>
      </c>
      <c r="BE1234" s="11">
        <f t="shared" si="1248"/>
        <v>0</v>
      </c>
      <c r="BG1234" s="11">
        <f t="shared" si="1249"/>
        <v>0</v>
      </c>
      <c r="BN1234" s="8">
        <f t="shared" si="1186"/>
        <v>400</v>
      </c>
      <c r="BO1234" s="8">
        <f t="shared" si="1187"/>
        <v>24000</v>
      </c>
      <c r="BP1234" s="8">
        <f t="shared" si="1207"/>
        <v>940</v>
      </c>
      <c r="BQ1234" s="12">
        <f t="shared" si="1208"/>
        <v>50400</v>
      </c>
    </row>
    <row r="1235" spans="1:69">
      <c r="A1235" s="28">
        <v>1970</v>
      </c>
      <c r="B1235" s="27" t="s">
        <v>67</v>
      </c>
      <c r="C1235" s="24">
        <f t="shared" si="1231"/>
        <v>1220</v>
      </c>
      <c r="D1235" s="7" t="e">
        <f t="shared" ca="1" si="1228"/>
        <v>#N/A</v>
      </c>
      <c r="E1235" s="26">
        <f t="array" aca="1" ref="E1235" ca="1">AVERAGE(IF(INDIRECT(DatCol&amp;"$"&amp;TEXT(C1235,"###")):INDIRECT(DatCol&amp;"$"&amp;TEXT(C1235+57,"###"))&gt;0,INDIRECT(DatCol&amp;"$"&amp;TEXT(C1235,"###")):INDIRECT(DatCol&amp;"$"&amp;TEXT(C1235+57,"###"))))</f>
        <v>179.78888888888889</v>
      </c>
      <c r="F1235" s="26" t="str">
        <f t="shared" si="1226"/>
        <v>S</v>
      </c>
      <c r="G1235" s="8"/>
      <c r="H1235" s="8">
        <v>11</v>
      </c>
      <c r="I1235" s="8">
        <v>5</v>
      </c>
      <c r="J1235" s="8">
        <v>185</v>
      </c>
      <c r="K1235" s="9">
        <f t="shared" si="1188"/>
        <v>196</v>
      </c>
      <c r="M1235" s="11">
        <f t="shared" si="1232"/>
        <v>0</v>
      </c>
      <c r="N1235" s="12">
        <v>255</v>
      </c>
      <c r="O1235" s="11">
        <f t="shared" si="1233"/>
        <v>12750</v>
      </c>
      <c r="Q1235" s="11">
        <f t="shared" si="1234"/>
        <v>0</v>
      </c>
      <c r="X1235" s="12">
        <v>600</v>
      </c>
      <c r="Y1235" s="11">
        <f t="shared" si="1235"/>
        <v>36000</v>
      </c>
      <c r="AG1235" s="11">
        <f t="shared" si="1236"/>
        <v>0</v>
      </c>
      <c r="AI1235" s="11">
        <f t="shared" si="1237"/>
        <v>0</v>
      </c>
      <c r="AK1235" s="13">
        <f t="shared" si="1238"/>
        <v>0</v>
      </c>
      <c r="AM1235" s="13">
        <f t="shared" si="1239"/>
        <v>0</v>
      </c>
      <c r="AO1235" s="11">
        <f t="shared" si="1240"/>
        <v>0</v>
      </c>
      <c r="AQ1235" s="11">
        <f t="shared" si="1241"/>
        <v>0</v>
      </c>
      <c r="AR1235" s="12">
        <v>180</v>
      </c>
      <c r="AS1235" s="11">
        <f t="shared" si="1242"/>
        <v>9000</v>
      </c>
      <c r="AT1235" s="12">
        <v>180</v>
      </c>
      <c r="AU1235" s="11">
        <f t="shared" si="1243"/>
        <v>9000</v>
      </c>
      <c r="AW1235" s="11">
        <f t="shared" si="1244"/>
        <v>0</v>
      </c>
      <c r="AY1235" s="11">
        <f t="shared" si="1245"/>
        <v>0</v>
      </c>
      <c r="BA1235" s="11">
        <f t="shared" si="1246"/>
        <v>0</v>
      </c>
      <c r="BB1235" s="12">
        <v>60</v>
      </c>
      <c r="BC1235" s="11">
        <f t="shared" si="1247"/>
        <v>2400</v>
      </c>
      <c r="BE1235" s="11">
        <f t="shared" si="1248"/>
        <v>0</v>
      </c>
      <c r="BG1235" s="11">
        <f t="shared" si="1249"/>
        <v>0</v>
      </c>
      <c r="BN1235" s="8">
        <f t="shared" si="1186"/>
        <v>780</v>
      </c>
      <c r="BO1235" s="8">
        <f t="shared" si="1187"/>
        <v>45000</v>
      </c>
      <c r="BP1235" s="8">
        <f t="shared" si="1207"/>
        <v>1095</v>
      </c>
      <c r="BQ1235" s="12">
        <f t="shared" si="1208"/>
        <v>60150</v>
      </c>
    </row>
    <row r="1236" spans="1:69">
      <c r="A1236" s="28">
        <v>1971</v>
      </c>
      <c r="B1236" s="27" t="s">
        <v>67</v>
      </c>
      <c r="C1236" s="24">
        <f t="shared" si="1231"/>
        <v>1220</v>
      </c>
      <c r="D1236" s="7" t="e">
        <f t="shared" ca="1" si="1228"/>
        <v>#N/A</v>
      </c>
      <c r="E1236" s="26">
        <f t="array" aca="1" ref="E1236" ca="1">AVERAGE(IF(INDIRECT(DatCol&amp;"$"&amp;TEXT(C1236,"###")):INDIRECT(DatCol&amp;"$"&amp;TEXT(C1236+57,"###"))&gt;0,INDIRECT(DatCol&amp;"$"&amp;TEXT(C1236,"###")):INDIRECT(DatCol&amp;"$"&amp;TEXT(C1236+57,"###"))))</f>
        <v>179.78888888888889</v>
      </c>
      <c r="F1236" s="26" t="str">
        <f t="shared" si="1226"/>
        <v>S</v>
      </c>
      <c r="G1236" s="8"/>
      <c r="H1236" s="8">
        <v>117</v>
      </c>
      <c r="I1236" s="8">
        <v>25</v>
      </c>
      <c r="J1236" s="8">
        <v>216</v>
      </c>
      <c r="K1236" s="9">
        <f t="shared" si="1188"/>
        <v>333</v>
      </c>
      <c r="M1236" s="11">
        <f t="shared" si="1232"/>
        <v>0</v>
      </c>
      <c r="N1236" s="12">
        <v>540</v>
      </c>
      <c r="O1236" s="11">
        <f t="shared" si="1233"/>
        <v>27000</v>
      </c>
      <c r="Q1236" s="11">
        <f t="shared" si="1234"/>
        <v>0</v>
      </c>
      <c r="X1236" s="12">
        <v>440</v>
      </c>
      <c r="Y1236" s="11">
        <f t="shared" si="1235"/>
        <v>26400</v>
      </c>
      <c r="AG1236" s="11">
        <f t="shared" si="1236"/>
        <v>0</v>
      </c>
      <c r="AI1236" s="11">
        <f t="shared" si="1237"/>
        <v>0</v>
      </c>
      <c r="AK1236" s="13">
        <f t="shared" si="1238"/>
        <v>0</v>
      </c>
      <c r="AM1236" s="13">
        <f t="shared" si="1239"/>
        <v>0</v>
      </c>
      <c r="AO1236" s="11">
        <f t="shared" si="1240"/>
        <v>0</v>
      </c>
      <c r="AP1236" s="12">
        <v>35</v>
      </c>
      <c r="AQ1236" s="11">
        <f t="shared" si="1241"/>
        <v>2800</v>
      </c>
      <c r="AR1236" s="12">
        <v>400</v>
      </c>
      <c r="AS1236" s="11">
        <f t="shared" si="1242"/>
        <v>20000</v>
      </c>
      <c r="AT1236" s="12">
        <v>220</v>
      </c>
      <c r="AU1236" s="11">
        <f t="shared" si="1243"/>
        <v>11000</v>
      </c>
      <c r="AW1236" s="11">
        <f t="shared" si="1244"/>
        <v>0</v>
      </c>
      <c r="AY1236" s="11">
        <f t="shared" si="1245"/>
        <v>0</v>
      </c>
      <c r="BA1236" s="11">
        <f t="shared" si="1246"/>
        <v>0</v>
      </c>
      <c r="BB1236" s="12">
        <v>35</v>
      </c>
      <c r="BC1236" s="11">
        <f t="shared" si="1247"/>
        <v>1400</v>
      </c>
      <c r="BE1236" s="11">
        <f t="shared" si="1248"/>
        <v>0</v>
      </c>
      <c r="BG1236" s="11">
        <f t="shared" si="1249"/>
        <v>0</v>
      </c>
      <c r="BN1236" s="8">
        <f t="shared" si="1186"/>
        <v>840</v>
      </c>
      <c r="BO1236" s="8">
        <f t="shared" si="1187"/>
        <v>46400</v>
      </c>
      <c r="BP1236" s="8">
        <f t="shared" si="1207"/>
        <v>1270</v>
      </c>
      <c r="BQ1236" s="12">
        <f t="shared" si="1208"/>
        <v>68600</v>
      </c>
    </row>
    <row r="1237" spans="1:69">
      <c r="A1237" s="28">
        <v>1972</v>
      </c>
      <c r="B1237" s="27" t="s">
        <v>67</v>
      </c>
      <c r="C1237" s="24">
        <f t="shared" si="1231"/>
        <v>1220</v>
      </c>
      <c r="D1237" s="7" t="e">
        <f t="shared" ca="1" si="1228"/>
        <v>#N/A</v>
      </c>
      <c r="E1237" s="26">
        <f t="array" aca="1" ref="E1237" ca="1">AVERAGE(IF(INDIRECT(DatCol&amp;"$"&amp;TEXT(C1237,"###")):INDIRECT(DatCol&amp;"$"&amp;TEXT(C1237+57,"###"))&gt;0,INDIRECT(DatCol&amp;"$"&amp;TEXT(C1237,"###")):INDIRECT(DatCol&amp;"$"&amp;TEXT(C1237+57,"###"))))</f>
        <v>179.78888888888889</v>
      </c>
      <c r="F1237" s="26" t="str">
        <f t="shared" si="1226"/>
        <v>S</v>
      </c>
      <c r="G1237" s="8"/>
      <c r="H1237" s="8">
        <v>212</v>
      </c>
      <c r="I1237" s="8">
        <v>2</v>
      </c>
      <c r="J1237" s="8">
        <v>118</v>
      </c>
      <c r="K1237" s="9">
        <f t="shared" si="1188"/>
        <v>330</v>
      </c>
      <c r="M1237" s="11">
        <f t="shared" si="1232"/>
        <v>0</v>
      </c>
      <c r="N1237" s="12">
        <v>550</v>
      </c>
      <c r="O1237" s="11">
        <f t="shared" si="1233"/>
        <v>27500</v>
      </c>
      <c r="Q1237" s="11">
        <f t="shared" si="1234"/>
        <v>0</v>
      </c>
      <c r="X1237" s="12">
        <v>414</v>
      </c>
      <c r="Y1237" s="11">
        <f t="shared" si="1235"/>
        <v>24840</v>
      </c>
      <c r="AG1237" s="11">
        <f t="shared" si="1236"/>
        <v>0</v>
      </c>
      <c r="AI1237" s="11">
        <f t="shared" si="1237"/>
        <v>0</v>
      </c>
      <c r="AK1237" s="13">
        <f t="shared" si="1238"/>
        <v>0</v>
      </c>
      <c r="AM1237" s="13">
        <f t="shared" si="1239"/>
        <v>0</v>
      </c>
      <c r="AO1237" s="11">
        <f t="shared" si="1240"/>
        <v>0</v>
      </c>
      <c r="AP1237" s="12">
        <v>80</v>
      </c>
      <c r="AQ1237" s="11">
        <f t="shared" si="1241"/>
        <v>6400</v>
      </c>
      <c r="AS1237" s="11">
        <f t="shared" si="1242"/>
        <v>0</v>
      </c>
      <c r="AT1237" s="12">
        <v>240</v>
      </c>
      <c r="AU1237" s="11">
        <f t="shared" si="1243"/>
        <v>12000</v>
      </c>
      <c r="AW1237" s="11">
        <f t="shared" si="1244"/>
        <v>0</v>
      </c>
      <c r="AY1237" s="11">
        <f t="shared" si="1245"/>
        <v>0</v>
      </c>
      <c r="BA1237" s="11">
        <f t="shared" si="1246"/>
        <v>0</v>
      </c>
      <c r="BB1237" s="12">
        <v>40</v>
      </c>
      <c r="BC1237" s="11">
        <f t="shared" si="1247"/>
        <v>1600</v>
      </c>
      <c r="BE1237" s="11">
        <f t="shared" si="1248"/>
        <v>0</v>
      </c>
      <c r="BG1237" s="11">
        <f t="shared" si="1249"/>
        <v>0</v>
      </c>
      <c r="BN1237" s="8">
        <f t="shared" si="1186"/>
        <v>414</v>
      </c>
      <c r="BO1237" s="8">
        <f t="shared" si="1187"/>
        <v>24840</v>
      </c>
      <c r="BP1237" s="8">
        <f t="shared" si="1207"/>
        <v>1324</v>
      </c>
      <c r="BQ1237" s="12">
        <f t="shared" si="1208"/>
        <v>72340</v>
      </c>
    </row>
    <row r="1238" spans="1:69">
      <c r="A1238" s="28">
        <v>1973</v>
      </c>
      <c r="B1238" s="27" t="s">
        <v>67</v>
      </c>
      <c r="C1238" s="24">
        <f t="shared" si="1231"/>
        <v>1220</v>
      </c>
      <c r="D1238" s="7" t="e">
        <f t="shared" ca="1" si="1228"/>
        <v>#N/A</v>
      </c>
      <c r="E1238" s="26">
        <f t="array" aca="1" ref="E1238" ca="1">AVERAGE(IF(INDIRECT(DatCol&amp;"$"&amp;TEXT(C1238,"###")):INDIRECT(DatCol&amp;"$"&amp;TEXT(C1238+57,"###"))&gt;0,INDIRECT(DatCol&amp;"$"&amp;TEXT(C1238,"###")):INDIRECT(DatCol&amp;"$"&amp;TEXT(C1238+57,"###"))))</f>
        <v>179.78888888888889</v>
      </c>
      <c r="F1238" s="26" t="str">
        <f t="shared" si="1226"/>
        <v>S</v>
      </c>
      <c r="G1238" s="8"/>
      <c r="H1238" s="8">
        <v>118</v>
      </c>
      <c r="I1238" s="8">
        <v>4</v>
      </c>
      <c r="J1238" s="8">
        <v>230</v>
      </c>
      <c r="K1238" s="9">
        <f t="shared" si="1188"/>
        <v>348</v>
      </c>
      <c r="M1238" s="11">
        <f t="shared" si="1232"/>
        <v>0</v>
      </c>
      <c r="N1238" s="12">
        <v>220</v>
      </c>
      <c r="O1238" s="11">
        <f t="shared" si="1233"/>
        <v>11000</v>
      </c>
      <c r="Q1238" s="11">
        <f t="shared" si="1234"/>
        <v>0</v>
      </c>
      <c r="X1238" s="12">
        <v>400</v>
      </c>
      <c r="Y1238" s="11">
        <f t="shared" si="1235"/>
        <v>24000</v>
      </c>
      <c r="AG1238" s="11">
        <f t="shared" si="1236"/>
        <v>0</v>
      </c>
      <c r="AI1238" s="11">
        <f t="shared" si="1237"/>
        <v>0</v>
      </c>
      <c r="AK1238" s="13">
        <f t="shared" si="1238"/>
        <v>0</v>
      </c>
      <c r="AM1238" s="13">
        <f t="shared" si="1239"/>
        <v>0</v>
      </c>
      <c r="AO1238" s="11">
        <f t="shared" si="1240"/>
        <v>0</v>
      </c>
      <c r="AP1238" s="12">
        <v>65</v>
      </c>
      <c r="AQ1238" s="11">
        <f t="shared" si="1241"/>
        <v>5200</v>
      </c>
      <c r="AR1238" s="12">
        <v>110</v>
      </c>
      <c r="AS1238" s="11">
        <f t="shared" si="1242"/>
        <v>5500</v>
      </c>
      <c r="AT1238" s="12">
        <v>110</v>
      </c>
      <c r="AU1238" s="11">
        <f t="shared" si="1243"/>
        <v>5500</v>
      </c>
      <c r="AW1238" s="11">
        <f t="shared" si="1244"/>
        <v>0</v>
      </c>
      <c r="AY1238" s="11">
        <f t="shared" si="1245"/>
        <v>0</v>
      </c>
      <c r="BA1238" s="11">
        <f t="shared" si="1246"/>
        <v>0</v>
      </c>
      <c r="BB1238" s="12">
        <v>70</v>
      </c>
      <c r="BC1238" s="11">
        <f t="shared" si="1247"/>
        <v>2800</v>
      </c>
      <c r="BE1238" s="11">
        <f t="shared" si="1248"/>
        <v>0</v>
      </c>
      <c r="BG1238" s="11">
        <f t="shared" si="1249"/>
        <v>0</v>
      </c>
      <c r="BN1238" s="8">
        <f t="shared" ref="BN1238:BN1302" si="1250">(L1238+P1238+R1238+T1238+V1238+X1238+Z1238+AB1238+AD1238+AF1238+AJ1238+AN1238+AR1238+AV1238+AZ1238+BD1238)</f>
        <v>510</v>
      </c>
      <c r="BO1238" s="8">
        <f t="shared" si="1187"/>
        <v>29500</v>
      </c>
      <c r="BP1238" s="8">
        <f t="shared" si="1207"/>
        <v>865</v>
      </c>
      <c r="BQ1238" s="12">
        <f t="shared" si="1208"/>
        <v>48500</v>
      </c>
    </row>
    <row r="1239" spans="1:69">
      <c r="A1239" s="28">
        <v>1974</v>
      </c>
      <c r="B1239" s="27" t="s">
        <v>67</v>
      </c>
      <c r="C1239" s="24">
        <f t="shared" si="1231"/>
        <v>1220</v>
      </c>
      <c r="D1239" s="7" t="e">
        <f t="shared" ca="1" si="1228"/>
        <v>#N/A</v>
      </c>
      <c r="E1239" s="26">
        <f t="array" aca="1" ref="E1239" ca="1">AVERAGE(IF(INDIRECT(DatCol&amp;"$"&amp;TEXT(C1239,"###")):INDIRECT(DatCol&amp;"$"&amp;TEXT(C1239+57,"###"))&gt;0,INDIRECT(DatCol&amp;"$"&amp;TEXT(C1239,"###")):INDIRECT(DatCol&amp;"$"&amp;TEXT(C1239+57,"###"))))</f>
        <v>179.78888888888889</v>
      </c>
      <c r="F1239" s="26" t="str">
        <f t="shared" si="1226"/>
        <v>S</v>
      </c>
      <c r="G1239" s="8"/>
      <c r="H1239" s="8">
        <v>118</v>
      </c>
      <c r="I1239" s="8">
        <v>8</v>
      </c>
      <c r="J1239" s="8">
        <v>243</v>
      </c>
      <c r="K1239" s="9">
        <f t="shared" si="1188"/>
        <v>361</v>
      </c>
      <c r="M1239" s="11">
        <f t="shared" si="1232"/>
        <v>0</v>
      </c>
      <c r="N1239" s="12">
        <v>218</v>
      </c>
      <c r="O1239" s="11">
        <f t="shared" si="1233"/>
        <v>10900</v>
      </c>
      <c r="Q1239" s="11">
        <f t="shared" si="1234"/>
        <v>0</v>
      </c>
      <c r="X1239" s="12">
        <v>360</v>
      </c>
      <c r="Y1239" s="11">
        <f t="shared" si="1235"/>
        <v>21600</v>
      </c>
      <c r="AG1239" s="11">
        <f t="shared" si="1236"/>
        <v>0</v>
      </c>
      <c r="AI1239" s="11">
        <f t="shared" si="1237"/>
        <v>0</v>
      </c>
      <c r="AK1239" s="13">
        <f t="shared" si="1238"/>
        <v>0</v>
      </c>
      <c r="AM1239" s="13">
        <f t="shared" si="1239"/>
        <v>0</v>
      </c>
      <c r="AO1239" s="11">
        <f t="shared" si="1240"/>
        <v>0</v>
      </c>
      <c r="AP1239" s="12">
        <v>110</v>
      </c>
      <c r="AQ1239" s="11">
        <f t="shared" si="1241"/>
        <v>8800</v>
      </c>
      <c r="AR1239" s="12">
        <v>110</v>
      </c>
      <c r="AS1239" s="11">
        <f t="shared" si="1242"/>
        <v>5500</v>
      </c>
      <c r="AT1239" s="12">
        <v>105</v>
      </c>
      <c r="AU1239" s="11">
        <f t="shared" si="1243"/>
        <v>5250</v>
      </c>
      <c r="AW1239" s="11">
        <f t="shared" si="1244"/>
        <v>0</v>
      </c>
      <c r="AY1239" s="11">
        <f t="shared" si="1245"/>
        <v>0</v>
      </c>
      <c r="BA1239" s="11">
        <f t="shared" si="1246"/>
        <v>0</v>
      </c>
      <c r="BB1239" s="12">
        <v>44</v>
      </c>
      <c r="BC1239" s="11">
        <f t="shared" si="1247"/>
        <v>1760</v>
      </c>
      <c r="BE1239" s="11">
        <f t="shared" si="1248"/>
        <v>0</v>
      </c>
      <c r="BG1239" s="11">
        <f t="shared" si="1249"/>
        <v>0</v>
      </c>
      <c r="BN1239" s="8">
        <f t="shared" si="1250"/>
        <v>470</v>
      </c>
      <c r="BO1239" s="8">
        <f t="shared" ref="BO1239:BO1303" si="1251">(M1239+Q1239+S1239+U1239+W1239+Y1239+AA1239+AC1239+AG1239+AK1239+AO1239+AS1239+AW1239+BA1239+BE1239)</f>
        <v>27100</v>
      </c>
      <c r="BP1239" s="8">
        <f t="shared" si="1207"/>
        <v>837</v>
      </c>
      <c r="BQ1239" s="12">
        <f t="shared" si="1208"/>
        <v>48310</v>
      </c>
    </row>
    <row r="1240" spans="1:69">
      <c r="A1240" s="28">
        <v>1975</v>
      </c>
      <c r="B1240" s="27" t="s">
        <v>67</v>
      </c>
      <c r="C1240" s="24">
        <f t="shared" si="1231"/>
        <v>1220</v>
      </c>
      <c r="D1240" s="7" t="e">
        <f t="shared" ca="1" si="1228"/>
        <v>#N/A</v>
      </c>
      <c r="E1240" s="26">
        <f t="array" aca="1" ref="E1240" ca="1">AVERAGE(IF(INDIRECT(DatCol&amp;"$"&amp;TEXT(C1240,"###")):INDIRECT(DatCol&amp;"$"&amp;TEXT(C1240+57,"###"))&gt;0,INDIRECT(DatCol&amp;"$"&amp;TEXT(C1240,"###")):INDIRECT(DatCol&amp;"$"&amp;TEXT(C1240+57,"###"))))</f>
        <v>179.78888888888889</v>
      </c>
      <c r="F1240" s="26" t="str">
        <f t="shared" si="1226"/>
        <v>S</v>
      </c>
      <c r="G1240" s="8"/>
      <c r="H1240" s="8">
        <v>40</v>
      </c>
      <c r="J1240" s="8">
        <v>317</v>
      </c>
      <c r="K1240" s="9">
        <f t="shared" ref="K1240:K1304" si="1252">G1240+H1240+J1240</f>
        <v>357</v>
      </c>
      <c r="M1240" s="11">
        <f t="shared" si="1232"/>
        <v>0</v>
      </c>
      <c r="O1240" s="11">
        <f t="shared" si="1233"/>
        <v>0</v>
      </c>
      <c r="Q1240" s="11">
        <f t="shared" si="1234"/>
        <v>0</v>
      </c>
      <c r="X1240" s="12">
        <v>440</v>
      </c>
      <c r="Y1240" s="11">
        <f t="shared" si="1235"/>
        <v>26400</v>
      </c>
      <c r="AG1240" s="11">
        <f t="shared" si="1236"/>
        <v>0</v>
      </c>
      <c r="AI1240" s="11">
        <f t="shared" si="1237"/>
        <v>0</v>
      </c>
      <c r="AK1240" s="13">
        <f t="shared" si="1238"/>
        <v>0</v>
      </c>
      <c r="AM1240" s="13">
        <f t="shared" si="1239"/>
        <v>0</v>
      </c>
      <c r="AO1240" s="11">
        <f t="shared" si="1240"/>
        <v>0</v>
      </c>
      <c r="AQ1240" s="11">
        <f t="shared" si="1241"/>
        <v>0</v>
      </c>
      <c r="AS1240" s="11">
        <f t="shared" si="1242"/>
        <v>0</v>
      </c>
      <c r="AT1240" s="12">
        <v>118</v>
      </c>
      <c r="AU1240" s="11">
        <f t="shared" si="1243"/>
        <v>5900</v>
      </c>
      <c r="AW1240" s="11">
        <f t="shared" si="1244"/>
        <v>0</v>
      </c>
      <c r="AY1240" s="11">
        <f t="shared" si="1245"/>
        <v>0</v>
      </c>
      <c r="BA1240" s="11">
        <f t="shared" si="1246"/>
        <v>0</v>
      </c>
      <c r="BB1240" s="12">
        <v>30</v>
      </c>
      <c r="BC1240" s="11">
        <f t="shared" si="1247"/>
        <v>1200</v>
      </c>
      <c r="BE1240" s="11">
        <f t="shared" si="1248"/>
        <v>0</v>
      </c>
      <c r="BG1240" s="11">
        <f t="shared" si="1249"/>
        <v>0</v>
      </c>
      <c r="BN1240" s="8">
        <f t="shared" si="1250"/>
        <v>440</v>
      </c>
      <c r="BO1240" s="8">
        <f t="shared" si="1251"/>
        <v>26400</v>
      </c>
      <c r="BP1240" s="8">
        <f t="shared" si="1207"/>
        <v>588</v>
      </c>
      <c r="BQ1240" s="12">
        <f t="shared" si="1208"/>
        <v>33500</v>
      </c>
    </row>
    <row r="1241" spans="1:69">
      <c r="A1241" s="28">
        <v>1976</v>
      </c>
      <c r="B1241" s="27" t="s">
        <v>67</v>
      </c>
      <c r="C1241" s="24">
        <f t="shared" si="1231"/>
        <v>1220</v>
      </c>
      <c r="D1241" s="7" t="e">
        <f t="shared" ca="1" si="1228"/>
        <v>#N/A</v>
      </c>
      <c r="E1241" s="26">
        <f t="array" aca="1" ref="E1241" ca="1">AVERAGE(IF(INDIRECT(DatCol&amp;"$"&amp;TEXT(C1241,"###")):INDIRECT(DatCol&amp;"$"&amp;TEXT(C1241+57,"###"))&gt;0,INDIRECT(DatCol&amp;"$"&amp;TEXT(C1241,"###")):INDIRECT(DatCol&amp;"$"&amp;TEXT(C1241+57,"###"))))</f>
        <v>179.78888888888889</v>
      </c>
      <c r="F1241" s="26" t="str">
        <f t="shared" si="1226"/>
        <v>S</v>
      </c>
      <c r="G1241" s="8"/>
      <c r="H1241" s="8">
        <v>107</v>
      </c>
      <c r="I1241" s="8">
        <v>5</v>
      </c>
      <c r="J1241" s="8">
        <v>277</v>
      </c>
      <c r="K1241" s="9">
        <f t="shared" si="1252"/>
        <v>384</v>
      </c>
      <c r="M1241" s="11">
        <f t="shared" si="1232"/>
        <v>0</v>
      </c>
      <c r="O1241" s="11">
        <f t="shared" si="1233"/>
        <v>0</v>
      </c>
      <c r="Q1241" s="11">
        <f t="shared" si="1234"/>
        <v>0</v>
      </c>
      <c r="X1241" s="12">
        <v>350</v>
      </c>
      <c r="Y1241" s="11">
        <f t="shared" si="1235"/>
        <v>21000</v>
      </c>
      <c r="AG1241" s="11">
        <f t="shared" si="1236"/>
        <v>0</v>
      </c>
      <c r="AI1241" s="11">
        <f t="shared" si="1237"/>
        <v>0</v>
      </c>
      <c r="AK1241" s="13">
        <f t="shared" si="1238"/>
        <v>0</v>
      </c>
      <c r="AM1241" s="13">
        <f t="shared" si="1239"/>
        <v>0</v>
      </c>
      <c r="AO1241" s="11">
        <f t="shared" si="1240"/>
        <v>0</v>
      </c>
      <c r="AP1241" s="12">
        <v>100</v>
      </c>
      <c r="AQ1241" s="11">
        <f t="shared" si="1241"/>
        <v>8000</v>
      </c>
      <c r="AR1241" s="12">
        <v>400</v>
      </c>
      <c r="AS1241" s="11">
        <f t="shared" si="1242"/>
        <v>20000</v>
      </c>
      <c r="AT1241" s="12">
        <v>400</v>
      </c>
      <c r="AU1241" s="11">
        <f t="shared" si="1243"/>
        <v>20000</v>
      </c>
      <c r="AW1241" s="11">
        <f t="shared" si="1244"/>
        <v>0</v>
      </c>
      <c r="AY1241" s="11">
        <f t="shared" si="1245"/>
        <v>0</v>
      </c>
      <c r="BA1241" s="11">
        <f t="shared" si="1246"/>
        <v>0</v>
      </c>
      <c r="BC1241" s="11">
        <f t="shared" si="1247"/>
        <v>0</v>
      </c>
      <c r="BE1241" s="11">
        <f t="shared" si="1248"/>
        <v>0</v>
      </c>
      <c r="BG1241" s="11">
        <f t="shared" si="1249"/>
        <v>0</v>
      </c>
      <c r="BN1241" s="8">
        <f t="shared" si="1250"/>
        <v>750</v>
      </c>
      <c r="BO1241" s="8">
        <f t="shared" si="1251"/>
        <v>41000</v>
      </c>
      <c r="BP1241" s="8">
        <f t="shared" si="1207"/>
        <v>850</v>
      </c>
      <c r="BQ1241" s="12">
        <f t="shared" si="1208"/>
        <v>49000</v>
      </c>
    </row>
    <row r="1242" spans="1:69">
      <c r="A1242" s="28">
        <v>1977</v>
      </c>
      <c r="B1242" s="27" t="s">
        <v>67</v>
      </c>
      <c r="C1242" s="24">
        <f t="shared" si="1231"/>
        <v>1220</v>
      </c>
      <c r="D1242" s="7" t="e">
        <f t="shared" ca="1" si="1228"/>
        <v>#N/A</v>
      </c>
      <c r="E1242" s="26">
        <f t="array" aca="1" ref="E1242" ca="1">AVERAGE(IF(INDIRECT(DatCol&amp;"$"&amp;TEXT(C1242,"###")):INDIRECT(DatCol&amp;"$"&amp;TEXT(C1242+57,"###"))&gt;0,INDIRECT(DatCol&amp;"$"&amp;TEXT(C1242,"###")):INDIRECT(DatCol&amp;"$"&amp;TEXT(C1242+57,"###"))))</f>
        <v>179.78888888888889</v>
      </c>
      <c r="F1242" s="26" t="str">
        <f t="shared" si="1226"/>
        <v>S</v>
      </c>
      <c r="G1242" s="8"/>
      <c r="H1242" s="8">
        <v>30</v>
      </c>
      <c r="I1242" s="8">
        <v>5</v>
      </c>
      <c r="J1242" s="8">
        <v>120</v>
      </c>
      <c r="K1242" s="9">
        <f t="shared" si="1252"/>
        <v>150</v>
      </c>
      <c r="M1242" s="11">
        <f t="shared" si="1232"/>
        <v>0</v>
      </c>
      <c r="O1242" s="11">
        <f t="shared" si="1233"/>
        <v>0</v>
      </c>
      <c r="Q1242" s="11">
        <f t="shared" si="1234"/>
        <v>0</v>
      </c>
      <c r="X1242" s="12">
        <v>300</v>
      </c>
      <c r="Y1242" s="11">
        <f t="shared" si="1235"/>
        <v>18000</v>
      </c>
      <c r="AG1242" s="11">
        <f t="shared" si="1236"/>
        <v>0</v>
      </c>
      <c r="AI1242" s="11">
        <f t="shared" si="1237"/>
        <v>0</v>
      </c>
      <c r="AK1242" s="13">
        <f t="shared" si="1238"/>
        <v>0</v>
      </c>
      <c r="AM1242" s="13">
        <f t="shared" si="1239"/>
        <v>0</v>
      </c>
      <c r="AN1242" s="12">
        <v>100</v>
      </c>
      <c r="AO1242" s="11">
        <f t="shared" si="1240"/>
        <v>8000</v>
      </c>
      <c r="AP1242" s="12">
        <v>100</v>
      </c>
      <c r="AQ1242" s="11">
        <f t="shared" si="1241"/>
        <v>8000</v>
      </c>
      <c r="AR1242" s="12">
        <v>500</v>
      </c>
      <c r="AS1242" s="11">
        <f t="shared" si="1242"/>
        <v>25000</v>
      </c>
      <c r="AT1242" s="12">
        <v>500</v>
      </c>
      <c r="AU1242" s="11">
        <f t="shared" si="1243"/>
        <v>25000</v>
      </c>
      <c r="AW1242" s="11">
        <f t="shared" si="1244"/>
        <v>0</v>
      </c>
      <c r="AY1242" s="11">
        <f t="shared" si="1245"/>
        <v>0</v>
      </c>
      <c r="BA1242" s="11">
        <f t="shared" si="1246"/>
        <v>0</v>
      </c>
      <c r="BC1242" s="11">
        <f t="shared" si="1247"/>
        <v>0</v>
      </c>
      <c r="BE1242" s="11">
        <f t="shared" si="1248"/>
        <v>0</v>
      </c>
      <c r="BG1242" s="11">
        <f t="shared" si="1249"/>
        <v>0</v>
      </c>
      <c r="BN1242" s="8">
        <f t="shared" si="1250"/>
        <v>900</v>
      </c>
      <c r="BO1242" s="8">
        <f t="shared" si="1251"/>
        <v>51000</v>
      </c>
      <c r="BP1242" s="8">
        <f t="shared" si="1207"/>
        <v>900</v>
      </c>
      <c r="BQ1242" s="12">
        <f t="shared" si="1208"/>
        <v>51000</v>
      </c>
    </row>
    <row r="1243" spans="1:69">
      <c r="A1243" s="28">
        <v>1978</v>
      </c>
      <c r="B1243" s="27" t="s">
        <v>67</v>
      </c>
      <c r="C1243" s="24">
        <f t="shared" si="1231"/>
        <v>1220</v>
      </c>
      <c r="D1243" s="7" t="e">
        <f t="shared" ca="1" si="1228"/>
        <v>#N/A</v>
      </c>
      <c r="E1243" s="26">
        <f t="array" aca="1" ref="E1243" ca="1">AVERAGE(IF(INDIRECT(DatCol&amp;"$"&amp;TEXT(C1243,"###")):INDIRECT(DatCol&amp;"$"&amp;TEXT(C1243+57,"###"))&gt;0,INDIRECT(DatCol&amp;"$"&amp;TEXT(C1243,"###")):INDIRECT(DatCol&amp;"$"&amp;TEXT(C1243+57,"###"))))</f>
        <v>179.78888888888889</v>
      </c>
      <c r="F1243" s="26" t="str">
        <f t="shared" si="1226"/>
        <v>S</v>
      </c>
      <c r="G1243" s="8"/>
      <c r="H1243" s="8">
        <v>0</v>
      </c>
      <c r="I1243" s="8">
        <v>0</v>
      </c>
      <c r="J1243" s="8">
        <v>102</v>
      </c>
      <c r="K1243" s="9">
        <f t="shared" si="1252"/>
        <v>102</v>
      </c>
      <c r="M1243" s="11">
        <f t="shared" si="1232"/>
        <v>0</v>
      </c>
      <c r="O1243" s="11">
        <f t="shared" si="1233"/>
        <v>0</v>
      </c>
      <c r="Q1243" s="11">
        <f t="shared" si="1234"/>
        <v>0</v>
      </c>
      <c r="X1243" s="12">
        <v>250</v>
      </c>
      <c r="Y1243" s="11">
        <f t="shared" si="1235"/>
        <v>15000</v>
      </c>
      <c r="AG1243" s="11">
        <f t="shared" si="1236"/>
        <v>0</v>
      </c>
      <c r="AI1243" s="11">
        <f t="shared" si="1237"/>
        <v>0</v>
      </c>
      <c r="AK1243" s="13">
        <f t="shared" si="1238"/>
        <v>0</v>
      </c>
      <c r="AM1243" s="13">
        <f t="shared" si="1239"/>
        <v>0</v>
      </c>
      <c r="AO1243" s="11">
        <f t="shared" si="1240"/>
        <v>0</v>
      </c>
      <c r="AQ1243" s="11">
        <f t="shared" si="1241"/>
        <v>0</v>
      </c>
      <c r="AS1243" s="11">
        <f t="shared" si="1242"/>
        <v>0</v>
      </c>
      <c r="AT1243" s="12">
        <v>100</v>
      </c>
      <c r="AU1243" s="11">
        <f t="shared" si="1243"/>
        <v>5000</v>
      </c>
      <c r="AW1243" s="11">
        <f t="shared" si="1244"/>
        <v>0</v>
      </c>
      <c r="AY1243" s="11">
        <f t="shared" si="1245"/>
        <v>0</v>
      </c>
      <c r="BA1243" s="11">
        <f t="shared" si="1246"/>
        <v>0</v>
      </c>
      <c r="BC1243" s="11">
        <f t="shared" si="1247"/>
        <v>0</v>
      </c>
      <c r="BE1243" s="11">
        <f t="shared" si="1248"/>
        <v>0</v>
      </c>
      <c r="BG1243" s="11">
        <f t="shared" si="1249"/>
        <v>0</v>
      </c>
      <c r="BN1243" s="8">
        <f t="shared" si="1250"/>
        <v>250</v>
      </c>
      <c r="BO1243" s="8">
        <f t="shared" si="1251"/>
        <v>15000</v>
      </c>
      <c r="BP1243" s="8">
        <f t="shared" si="1207"/>
        <v>350</v>
      </c>
      <c r="BQ1243" s="12">
        <f t="shared" si="1208"/>
        <v>20000</v>
      </c>
    </row>
    <row r="1244" spans="1:69">
      <c r="A1244" s="28">
        <v>1979</v>
      </c>
      <c r="B1244" s="27" t="s">
        <v>67</v>
      </c>
      <c r="C1244" s="24">
        <f t="shared" si="1231"/>
        <v>1220</v>
      </c>
      <c r="D1244" s="7" t="e">
        <f t="shared" ca="1" si="1228"/>
        <v>#N/A</v>
      </c>
      <c r="E1244" s="26">
        <f t="array" aca="1" ref="E1244" ca="1">AVERAGE(IF(INDIRECT(DatCol&amp;"$"&amp;TEXT(C1244,"###")):INDIRECT(DatCol&amp;"$"&amp;TEXT(C1244+57,"###"))&gt;0,INDIRECT(DatCol&amp;"$"&amp;TEXT(C1244,"###")):INDIRECT(DatCol&amp;"$"&amp;TEXT(C1244+57,"###"))))</f>
        <v>179.78888888888889</v>
      </c>
      <c r="F1244" s="26" t="str">
        <f t="shared" si="1226"/>
        <v>S</v>
      </c>
      <c r="G1244" s="8"/>
      <c r="H1244" s="8">
        <v>11</v>
      </c>
      <c r="I1244" s="8">
        <v>1</v>
      </c>
      <c r="J1244" s="8">
        <v>96</v>
      </c>
      <c r="K1244" s="9">
        <f t="shared" si="1252"/>
        <v>107</v>
      </c>
      <c r="M1244" s="11">
        <f t="shared" si="1232"/>
        <v>0</v>
      </c>
      <c r="O1244" s="11">
        <f t="shared" si="1233"/>
        <v>0</v>
      </c>
      <c r="Q1244" s="11">
        <f t="shared" si="1234"/>
        <v>0</v>
      </c>
      <c r="X1244" s="12">
        <v>50</v>
      </c>
      <c r="Y1244" s="11">
        <f t="shared" si="1235"/>
        <v>3000</v>
      </c>
      <c r="AG1244" s="11">
        <f t="shared" si="1236"/>
        <v>0</v>
      </c>
      <c r="AI1244" s="11">
        <f t="shared" si="1237"/>
        <v>0</v>
      </c>
      <c r="AK1244" s="13">
        <f t="shared" si="1238"/>
        <v>0</v>
      </c>
      <c r="AM1244" s="13">
        <f t="shared" si="1239"/>
        <v>0</v>
      </c>
      <c r="AN1244" s="12">
        <v>800</v>
      </c>
      <c r="AO1244" s="11">
        <f t="shared" si="1240"/>
        <v>64000</v>
      </c>
      <c r="AQ1244" s="11">
        <f t="shared" si="1241"/>
        <v>0</v>
      </c>
      <c r="AS1244" s="11">
        <f t="shared" si="1242"/>
        <v>0</v>
      </c>
      <c r="AU1244" s="11">
        <f t="shared" si="1243"/>
        <v>0</v>
      </c>
      <c r="AW1244" s="11">
        <f t="shared" si="1244"/>
        <v>0</v>
      </c>
      <c r="AY1244" s="11">
        <f t="shared" si="1245"/>
        <v>0</v>
      </c>
      <c r="BA1244" s="11">
        <f t="shared" si="1246"/>
        <v>0</v>
      </c>
      <c r="BC1244" s="11">
        <f t="shared" si="1247"/>
        <v>0</v>
      </c>
      <c r="BE1244" s="11">
        <f t="shared" si="1248"/>
        <v>0</v>
      </c>
      <c r="BG1244" s="11">
        <f t="shared" si="1249"/>
        <v>0</v>
      </c>
      <c r="BN1244" s="8">
        <f t="shared" si="1250"/>
        <v>850</v>
      </c>
      <c r="BO1244" s="8">
        <f t="shared" si="1251"/>
        <v>67000</v>
      </c>
      <c r="BP1244" s="8">
        <f t="shared" si="1207"/>
        <v>50</v>
      </c>
      <c r="BQ1244" s="12">
        <f t="shared" si="1208"/>
        <v>3000</v>
      </c>
    </row>
    <row r="1245" spans="1:69">
      <c r="A1245" s="28">
        <v>1980</v>
      </c>
      <c r="B1245" s="27" t="s">
        <v>67</v>
      </c>
      <c r="C1245" s="24">
        <f t="shared" si="1231"/>
        <v>1220</v>
      </c>
      <c r="D1245" s="7" t="e">
        <f t="shared" ca="1" si="1228"/>
        <v>#N/A</v>
      </c>
      <c r="E1245" s="26">
        <f t="array" aca="1" ref="E1245" ca="1">AVERAGE(IF(INDIRECT(DatCol&amp;"$"&amp;TEXT(C1245,"###")):INDIRECT(DatCol&amp;"$"&amp;TEXT(C1245+57,"###"))&gt;0,INDIRECT(DatCol&amp;"$"&amp;TEXT(C1245,"###")):INDIRECT(DatCol&amp;"$"&amp;TEXT(C1245+57,"###"))))</f>
        <v>179.78888888888889</v>
      </c>
      <c r="F1245" s="26" t="str">
        <f t="shared" si="1226"/>
        <v>S</v>
      </c>
      <c r="G1245" s="8"/>
      <c r="H1245" s="8">
        <v>14</v>
      </c>
      <c r="I1245" s="8">
        <v>2</v>
      </c>
      <c r="J1245" s="8">
        <v>291</v>
      </c>
      <c r="K1245" s="9">
        <f t="shared" si="1252"/>
        <v>305</v>
      </c>
      <c r="M1245" s="11">
        <f t="shared" si="1232"/>
        <v>0</v>
      </c>
      <c r="N1245" s="12">
        <v>30</v>
      </c>
      <c r="O1245" s="11">
        <f t="shared" si="1233"/>
        <v>1500</v>
      </c>
      <c r="Q1245" s="11">
        <f t="shared" si="1234"/>
        <v>0</v>
      </c>
      <c r="X1245" s="12">
        <v>90</v>
      </c>
      <c r="Y1245" s="11">
        <f t="shared" si="1235"/>
        <v>5400</v>
      </c>
      <c r="AG1245" s="11">
        <f t="shared" si="1236"/>
        <v>0</v>
      </c>
      <c r="AI1245" s="11">
        <f t="shared" si="1237"/>
        <v>0</v>
      </c>
      <c r="AK1245" s="13">
        <f t="shared" si="1238"/>
        <v>0</v>
      </c>
      <c r="AM1245" s="13">
        <f t="shared" si="1239"/>
        <v>0</v>
      </c>
      <c r="AO1245" s="11">
        <f t="shared" si="1240"/>
        <v>0</v>
      </c>
      <c r="AQ1245" s="11">
        <f t="shared" si="1241"/>
        <v>0</v>
      </c>
      <c r="AR1245" s="12">
        <v>11000</v>
      </c>
      <c r="AS1245" s="11">
        <f t="shared" si="1242"/>
        <v>550000</v>
      </c>
      <c r="AT1245" s="12">
        <v>10</v>
      </c>
      <c r="AU1245" s="11">
        <f t="shared" si="1243"/>
        <v>500</v>
      </c>
      <c r="AW1245" s="11">
        <f t="shared" si="1244"/>
        <v>0</v>
      </c>
      <c r="AY1245" s="11">
        <f t="shared" si="1245"/>
        <v>0</v>
      </c>
      <c r="BA1245" s="11">
        <f t="shared" si="1246"/>
        <v>0</v>
      </c>
      <c r="BC1245" s="11">
        <f t="shared" si="1247"/>
        <v>0</v>
      </c>
      <c r="BE1245" s="11">
        <f t="shared" si="1248"/>
        <v>0</v>
      </c>
      <c r="BG1245" s="11">
        <f t="shared" si="1249"/>
        <v>0</v>
      </c>
      <c r="BN1245" s="8">
        <f t="shared" si="1250"/>
        <v>11090</v>
      </c>
      <c r="BO1245" s="8">
        <f t="shared" si="1251"/>
        <v>555400</v>
      </c>
      <c r="BP1245" s="8">
        <f t="shared" si="1207"/>
        <v>130</v>
      </c>
      <c r="BQ1245" s="12">
        <f t="shared" si="1208"/>
        <v>7400</v>
      </c>
    </row>
    <row r="1246" spans="1:69">
      <c r="A1246" s="28">
        <v>1981</v>
      </c>
      <c r="B1246" s="27" t="s">
        <v>67</v>
      </c>
      <c r="C1246" s="24">
        <f t="shared" si="1231"/>
        <v>1220</v>
      </c>
      <c r="D1246" s="7" t="e">
        <f t="shared" ca="1" si="1228"/>
        <v>#N/A</v>
      </c>
      <c r="E1246" s="26">
        <f t="array" aca="1" ref="E1246" ca="1">AVERAGE(IF(INDIRECT(DatCol&amp;"$"&amp;TEXT(C1246,"###")):INDIRECT(DatCol&amp;"$"&amp;TEXT(C1246+57,"###"))&gt;0,INDIRECT(DatCol&amp;"$"&amp;TEXT(C1246,"###")):INDIRECT(DatCol&amp;"$"&amp;TEXT(C1246+57,"###"))))</f>
        <v>179.78888888888889</v>
      </c>
      <c r="F1246" s="26" t="str">
        <f t="shared" si="1226"/>
        <v>S</v>
      </c>
      <c r="G1246" s="8"/>
      <c r="H1246" s="8">
        <v>18</v>
      </c>
      <c r="I1246" s="8">
        <v>5</v>
      </c>
      <c r="J1246" s="8">
        <v>225</v>
      </c>
      <c r="K1246" s="9">
        <f t="shared" si="1252"/>
        <v>243</v>
      </c>
      <c r="M1246" s="11">
        <f t="shared" ref="M1246:M1260" si="1253">(L1246*50)</f>
        <v>0</v>
      </c>
      <c r="N1246" s="12">
        <v>10</v>
      </c>
      <c r="O1246" s="11">
        <f t="shared" ref="O1246:O1260" si="1254">(N1246*50)</f>
        <v>500</v>
      </c>
      <c r="Q1246" s="11">
        <f t="shared" ref="Q1246:Q1260" si="1255">((P1246*330)/5.5)</f>
        <v>0</v>
      </c>
      <c r="X1246" s="12">
        <v>80</v>
      </c>
      <c r="Y1246" s="11">
        <f t="shared" ref="Y1246:Y1260" si="1256">((X1246*330)/5.5)</f>
        <v>4800</v>
      </c>
      <c r="AG1246" s="11">
        <f t="shared" ref="AG1246:AG1260" si="1257">(AF1246*65)</f>
        <v>0</v>
      </c>
      <c r="AI1246" s="11">
        <f t="shared" ref="AI1246:AI1260" si="1258">(AH1246*65)</f>
        <v>0</v>
      </c>
      <c r="AK1246" s="13">
        <f t="shared" ref="AK1246:AK1260" si="1259">(AJ1246*9)</f>
        <v>0</v>
      </c>
      <c r="AM1246" s="13">
        <f t="shared" ref="AM1246:AM1260" si="1260">(AL1246*9)</f>
        <v>0</v>
      </c>
      <c r="AO1246" s="11">
        <f t="shared" ref="AO1246:AO1260" si="1261">(AN1246*80)</f>
        <v>0</v>
      </c>
      <c r="AQ1246" s="11">
        <f t="shared" ref="AQ1246:AQ1260" si="1262">(AP1246*80)</f>
        <v>0</v>
      </c>
      <c r="AR1246" s="12">
        <v>8000</v>
      </c>
      <c r="AS1246" s="11">
        <f t="shared" ref="AS1246:AS1260" si="1263">(AR1246*50)</f>
        <v>400000</v>
      </c>
      <c r="AU1246" s="11">
        <f t="shared" ref="AU1246:AU1260" si="1264">(AT1246*50)</f>
        <v>0</v>
      </c>
      <c r="AW1246" s="11">
        <f t="shared" ref="AW1246:AW1260" si="1265">(AV1246*60)</f>
        <v>0</v>
      </c>
      <c r="AY1246" s="11">
        <f t="shared" ref="AY1246:AY1260" si="1266">(AX1246*60)</f>
        <v>0</v>
      </c>
      <c r="BA1246" s="11">
        <f t="shared" ref="BA1246:BA1260" si="1267">(AZ1246*40)</f>
        <v>0</v>
      </c>
      <c r="BC1246" s="11">
        <f t="shared" ref="BC1246:BC1260" si="1268">(BB1246*40)</f>
        <v>0</v>
      </c>
      <c r="BE1246" s="11">
        <f t="shared" ref="BE1246:BE1260" si="1269">(BD1246*95)</f>
        <v>0</v>
      </c>
      <c r="BG1246" s="11">
        <f t="shared" ref="BG1246:BG1260" si="1270">(BF1246*95)</f>
        <v>0</v>
      </c>
      <c r="BN1246" s="8">
        <f t="shared" si="1250"/>
        <v>8080</v>
      </c>
      <c r="BO1246" s="8">
        <f t="shared" si="1251"/>
        <v>404800</v>
      </c>
      <c r="BP1246" s="8">
        <f t="shared" si="1207"/>
        <v>90</v>
      </c>
      <c r="BQ1246" s="12">
        <f t="shared" si="1208"/>
        <v>5300</v>
      </c>
    </row>
    <row r="1247" spans="1:69">
      <c r="A1247" s="28">
        <v>1982</v>
      </c>
      <c r="B1247" s="27" t="s">
        <v>67</v>
      </c>
      <c r="C1247" s="24">
        <f t="shared" si="1231"/>
        <v>1220</v>
      </c>
      <c r="D1247" s="7" t="e">
        <f t="shared" ca="1" si="1228"/>
        <v>#N/A</v>
      </c>
      <c r="E1247" s="26">
        <f t="array" aca="1" ref="E1247" ca="1">AVERAGE(IF(INDIRECT(DatCol&amp;"$"&amp;TEXT(C1247,"###")):INDIRECT(DatCol&amp;"$"&amp;TEXT(C1247+57,"###"))&gt;0,INDIRECT(DatCol&amp;"$"&amp;TEXT(C1247,"###")):INDIRECT(DatCol&amp;"$"&amp;TEXT(C1247+57,"###"))))</f>
        <v>179.78888888888889</v>
      </c>
      <c r="F1247" s="26" t="str">
        <f t="shared" si="1226"/>
        <v>S</v>
      </c>
      <c r="G1247" s="8"/>
      <c r="H1247" s="8">
        <v>20</v>
      </c>
      <c r="I1247" s="8">
        <v>2</v>
      </c>
      <c r="J1247" s="8">
        <v>139</v>
      </c>
      <c r="K1247" s="9">
        <f t="shared" si="1252"/>
        <v>159</v>
      </c>
      <c r="M1247" s="11">
        <f t="shared" si="1253"/>
        <v>0</v>
      </c>
      <c r="N1247" s="12">
        <v>15</v>
      </c>
      <c r="O1247" s="11">
        <f t="shared" si="1254"/>
        <v>750</v>
      </c>
      <c r="Q1247" s="11">
        <f t="shared" si="1255"/>
        <v>0</v>
      </c>
      <c r="X1247" s="12">
        <v>50</v>
      </c>
      <c r="Y1247" s="11">
        <f t="shared" si="1256"/>
        <v>3000</v>
      </c>
      <c r="AG1247" s="11">
        <f t="shared" si="1257"/>
        <v>0</v>
      </c>
      <c r="AI1247" s="11">
        <f t="shared" si="1258"/>
        <v>0</v>
      </c>
      <c r="AK1247" s="13">
        <f t="shared" si="1259"/>
        <v>0</v>
      </c>
      <c r="AM1247" s="13">
        <f t="shared" si="1260"/>
        <v>0</v>
      </c>
      <c r="AO1247" s="11">
        <f t="shared" si="1261"/>
        <v>0</v>
      </c>
      <c r="AQ1247" s="11">
        <f t="shared" si="1262"/>
        <v>0</v>
      </c>
      <c r="AR1247" s="12">
        <v>1000</v>
      </c>
      <c r="AS1247" s="11">
        <f t="shared" si="1263"/>
        <v>50000</v>
      </c>
      <c r="AU1247" s="11">
        <f t="shared" si="1264"/>
        <v>0</v>
      </c>
      <c r="AW1247" s="11">
        <f t="shared" si="1265"/>
        <v>0</v>
      </c>
      <c r="AY1247" s="11">
        <f t="shared" si="1266"/>
        <v>0</v>
      </c>
      <c r="BA1247" s="11">
        <f t="shared" si="1267"/>
        <v>0</v>
      </c>
      <c r="BC1247" s="11">
        <f t="shared" si="1268"/>
        <v>0</v>
      </c>
      <c r="BE1247" s="11">
        <f t="shared" si="1269"/>
        <v>0</v>
      </c>
      <c r="BG1247" s="11">
        <f t="shared" si="1270"/>
        <v>0</v>
      </c>
      <c r="BN1247" s="8">
        <f t="shared" si="1250"/>
        <v>1050</v>
      </c>
      <c r="BO1247" s="8">
        <f t="shared" si="1251"/>
        <v>53000</v>
      </c>
      <c r="BP1247" s="8">
        <f t="shared" si="1207"/>
        <v>65</v>
      </c>
      <c r="BQ1247" s="12">
        <f t="shared" si="1208"/>
        <v>3750</v>
      </c>
    </row>
    <row r="1248" spans="1:69">
      <c r="A1248" s="28">
        <v>1983</v>
      </c>
      <c r="B1248" s="27" t="s">
        <v>67</v>
      </c>
      <c r="C1248" s="24">
        <f t="shared" si="1231"/>
        <v>1220</v>
      </c>
      <c r="D1248" s="7" t="e">
        <f t="shared" ca="1" si="1228"/>
        <v>#N/A</v>
      </c>
      <c r="E1248" s="26">
        <f t="array" aca="1" ref="E1248" ca="1">AVERAGE(IF(INDIRECT(DatCol&amp;"$"&amp;TEXT(C1248,"###")):INDIRECT(DatCol&amp;"$"&amp;TEXT(C1248+57,"###"))&gt;0,INDIRECT(DatCol&amp;"$"&amp;TEXT(C1248,"###")):INDIRECT(DatCol&amp;"$"&amp;TEXT(C1248+57,"###"))))</f>
        <v>179.78888888888889</v>
      </c>
      <c r="F1248" s="26" t="str">
        <f t="shared" si="1226"/>
        <v>S</v>
      </c>
      <c r="G1248" s="8"/>
      <c r="H1248" s="8">
        <v>14</v>
      </c>
      <c r="I1248" s="8">
        <v>5</v>
      </c>
      <c r="J1248" s="8">
        <v>110</v>
      </c>
      <c r="K1248" s="9">
        <f t="shared" si="1252"/>
        <v>124</v>
      </c>
      <c r="M1248" s="11">
        <f t="shared" si="1253"/>
        <v>0</v>
      </c>
      <c r="O1248" s="11">
        <f t="shared" si="1254"/>
        <v>0</v>
      </c>
      <c r="Q1248" s="11">
        <f t="shared" si="1255"/>
        <v>0</v>
      </c>
      <c r="X1248" s="12">
        <v>150</v>
      </c>
      <c r="Y1248" s="11">
        <f t="shared" si="1256"/>
        <v>9000</v>
      </c>
      <c r="AG1248" s="11">
        <f t="shared" si="1257"/>
        <v>0</v>
      </c>
      <c r="AI1248" s="11">
        <f t="shared" si="1258"/>
        <v>0</v>
      </c>
      <c r="AK1248" s="13">
        <f t="shared" si="1259"/>
        <v>0</v>
      </c>
      <c r="AM1248" s="13">
        <f t="shared" si="1260"/>
        <v>0</v>
      </c>
      <c r="AO1248" s="11">
        <f t="shared" si="1261"/>
        <v>0</v>
      </c>
      <c r="AQ1248" s="11">
        <f t="shared" si="1262"/>
        <v>0</v>
      </c>
      <c r="AR1248" s="12">
        <v>15000</v>
      </c>
      <c r="AS1248" s="11">
        <f t="shared" si="1263"/>
        <v>750000</v>
      </c>
      <c r="AU1248" s="11">
        <f t="shared" si="1264"/>
        <v>0</v>
      </c>
      <c r="AW1248" s="11">
        <f t="shared" si="1265"/>
        <v>0</v>
      </c>
      <c r="AY1248" s="11">
        <f t="shared" si="1266"/>
        <v>0</v>
      </c>
      <c r="BA1248" s="11">
        <f t="shared" si="1267"/>
        <v>0</v>
      </c>
      <c r="BC1248" s="11">
        <f t="shared" si="1268"/>
        <v>0</v>
      </c>
      <c r="BE1248" s="11">
        <f t="shared" si="1269"/>
        <v>0</v>
      </c>
      <c r="BG1248" s="11">
        <f t="shared" si="1270"/>
        <v>0</v>
      </c>
      <c r="BN1248" s="8">
        <f t="shared" si="1250"/>
        <v>15150</v>
      </c>
      <c r="BO1248" s="8">
        <f t="shared" si="1251"/>
        <v>759000</v>
      </c>
      <c r="BP1248" s="8">
        <f t="shared" si="1207"/>
        <v>150</v>
      </c>
      <c r="BQ1248" s="12">
        <f t="shared" si="1208"/>
        <v>9000</v>
      </c>
    </row>
    <row r="1249" spans="1:69">
      <c r="A1249" s="28">
        <v>1984</v>
      </c>
      <c r="B1249" s="27" t="s">
        <v>67</v>
      </c>
      <c r="C1249" s="24">
        <f t="shared" si="1231"/>
        <v>1220</v>
      </c>
      <c r="D1249" s="7" t="e">
        <f t="shared" ca="1" si="1228"/>
        <v>#N/A</v>
      </c>
      <c r="E1249" s="26">
        <f t="array" aca="1" ref="E1249" ca="1">AVERAGE(IF(INDIRECT(DatCol&amp;"$"&amp;TEXT(C1249,"###")):INDIRECT(DatCol&amp;"$"&amp;TEXT(C1249+57,"###"))&gt;0,INDIRECT(DatCol&amp;"$"&amp;TEXT(C1249,"###")):INDIRECT(DatCol&amp;"$"&amp;TEXT(C1249+57,"###"))))</f>
        <v>179.78888888888889</v>
      </c>
      <c r="F1249" s="26" t="str">
        <f t="shared" si="1226"/>
        <v>S</v>
      </c>
      <c r="G1249" s="8"/>
      <c r="H1249" s="8">
        <v>15</v>
      </c>
      <c r="I1249" s="8">
        <v>7</v>
      </c>
      <c r="J1249" s="8">
        <v>115</v>
      </c>
      <c r="K1249" s="9">
        <f t="shared" si="1252"/>
        <v>130</v>
      </c>
      <c r="M1249" s="11">
        <f t="shared" si="1253"/>
        <v>0</v>
      </c>
      <c r="N1249" s="12">
        <v>35</v>
      </c>
      <c r="O1249" s="11">
        <f t="shared" si="1254"/>
        <v>1750</v>
      </c>
      <c r="Q1249" s="11">
        <f t="shared" si="1255"/>
        <v>0</v>
      </c>
      <c r="X1249" s="12">
        <v>200</v>
      </c>
      <c r="Y1249" s="11">
        <f t="shared" si="1256"/>
        <v>12000</v>
      </c>
      <c r="AG1249" s="11">
        <f t="shared" si="1257"/>
        <v>0</v>
      </c>
      <c r="AI1249" s="11">
        <f t="shared" si="1258"/>
        <v>0</v>
      </c>
      <c r="AK1249" s="13">
        <f t="shared" si="1259"/>
        <v>0</v>
      </c>
      <c r="AM1249" s="13">
        <f t="shared" si="1260"/>
        <v>0</v>
      </c>
      <c r="AO1249" s="11">
        <f t="shared" si="1261"/>
        <v>0</v>
      </c>
      <c r="AQ1249" s="11">
        <f t="shared" si="1262"/>
        <v>0</v>
      </c>
      <c r="AR1249" s="12">
        <v>11000</v>
      </c>
      <c r="AS1249" s="11">
        <f t="shared" si="1263"/>
        <v>550000</v>
      </c>
      <c r="AU1249" s="11">
        <f t="shared" si="1264"/>
        <v>0</v>
      </c>
      <c r="AW1249" s="11">
        <f t="shared" si="1265"/>
        <v>0</v>
      </c>
      <c r="AY1249" s="11">
        <f t="shared" si="1266"/>
        <v>0</v>
      </c>
      <c r="BA1249" s="11">
        <f t="shared" si="1267"/>
        <v>0</v>
      </c>
      <c r="BC1249" s="11">
        <f t="shared" si="1268"/>
        <v>0</v>
      </c>
      <c r="BE1249" s="11">
        <f t="shared" si="1269"/>
        <v>0</v>
      </c>
      <c r="BG1249" s="11">
        <f t="shared" si="1270"/>
        <v>0</v>
      </c>
      <c r="BN1249" s="8">
        <f t="shared" si="1250"/>
        <v>11200</v>
      </c>
      <c r="BO1249" s="8">
        <f t="shared" si="1251"/>
        <v>562000</v>
      </c>
      <c r="BP1249" s="8">
        <f t="shared" ref="BP1249:BP1313" si="1271">(N1249+X1249+Z1249+AB1249+AD1249+AH1249+AL1249+AP1249+AT1249+AX1249+BB1249+BF1249)</f>
        <v>235</v>
      </c>
      <c r="BQ1249" s="12">
        <f t="shared" ref="BQ1249:BQ1313" si="1272">(O1249+Y1249+AA1249+AC1249+AE1249+AI1249+AM1249+AQ1249+AU1249+AY1249+BC1249+BG1249)</f>
        <v>13750</v>
      </c>
    </row>
    <row r="1250" spans="1:69">
      <c r="A1250" s="28">
        <v>1985</v>
      </c>
      <c r="B1250" s="27" t="s">
        <v>67</v>
      </c>
      <c r="C1250" s="24">
        <f t="shared" si="1231"/>
        <v>1220</v>
      </c>
      <c r="D1250" s="7" t="e">
        <f t="shared" ca="1" si="1228"/>
        <v>#N/A</v>
      </c>
      <c r="E1250" s="26">
        <f t="array" aca="1" ref="E1250" ca="1">AVERAGE(IF(INDIRECT(DatCol&amp;"$"&amp;TEXT(C1250,"###")):INDIRECT(DatCol&amp;"$"&amp;TEXT(C1250+57,"###"))&gt;0,INDIRECT(DatCol&amp;"$"&amp;TEXT(C1250,"###")):INDIRECT(DatCol&amp;"$"&amp;TEXT(C1250+57,"###"))))</f>
        <v>179.78888888888889</v>
      </c>
      <c r="F1250" s="26" t="str">
        <f t="shared" si="1226"/>
        <v>S</v>
      </c>
      <c r="G1250" s="8"/>
      <c r="K1250" s="9">
        <f t="shared" si="1252"/>
        <v>0</v>
      </c>
      <c r="M1250" s="11">
        <f t="shared" si="1253"/>
        <v>0</v>
      </c>
      <c r="N1250" s="12">
        <v>200</v>
      </c>
      <c r="O1250" s="11">
        <f t="shared" si="1254"/>
        <v>10000</v>
      </c>
      <c r="Q1250" s="11">
        <f t="shared" si="1255"/>
        <v>0</v>
      </c>
      <c r="X1250" s="12">
        <v>100</v>
      </c>
      <c r="Y1250" s="11">
        <f t="shared" si="1256"/>
        <v>6000</v>
      </c>
      <c r="AG1250" s="11">
        <f t="shared" si="1257"/>
        <v>0</v>
      </c>
      <c r="AI1250" s="11">
        <f t="shared" si="1258"/>
        <v>0</v>
      </c>
      <c r="AK1250" s="13">
        <f t="shared" si="1259"/>
        <v>0</v>
      </c>
      <c r="AM1250" s="13">
        <f t="shared" si="1260"/>
        <v>0</v>
      </c>
      <c r="AO1250" s="11">
        <f t="shared" si="1261"/>
        <v>0</v>
      </c>
      <c r="AQ1250" s="11">
        <f t="shared" si="1262"/>
        <v>0</v>
      </c>
      <c r="AR1250" s="12">
        <v>4200</v>
      </c>
      <c r="AS1250" s="11">
        <f t="shared" si="1263"/>
        <v>210000</v>
      </c>
      <c r="AU1250" s="11">
        <f t="shared" si="1264"/>
        <v>0</v>
      </c>
      <c r="AW1250" s="11">
        <f t="shared" si="1265"/>
        <v>0</v>
      </c>
      <c r="AY1250" s="11">
        <f t="shared" si="1266"/>
        <v>0</v>
      </c>
      <c r="BA1250" s="11">
        <f t="shared" si="1267"/>
        <v>0</v>
      </c>
      <c r="BC1250" s="11">
        <f t="shared" si="1268"/>
        <v>0</v>
      </c>
      <c r="BE1250" s="11">
        <f t="shared" si="1269"/>
        <v>0</v>
      </c>
      <c r="BG1250" s="11">
        <f t="shared" si="1270"/>
        <v>0</v>
      </c>
      <c r="BN1250" s="8">
        <f t="shared" si="1250"/>
        <v>4300</v>
      </c>
      <c r="BO1250" s="8">
        <f t="shared" si="1251"/>
        <v>216000</v>
      </c>
      <c r="BP1250" s="8">
        <f t="shared" si="1271"/>
        <v>300</v>
      </c>
      <c r="BQ1250" s="12">
        <f t="shared" si="1272"/>
        <v>16000</v>
      </c>
    </row>
    <row r="1251" spans="1:69">
      <c r="A1251" s="28">
        <v>1986</v>
      </c>
      <c r="B1251" s="27" t="s">
        <v>67</v>
      </c>
      <c r="C1251" s="24">
        <f t="shared" si="1231"/>
        <v>1220</v>
      </c>
      <c r="D1251" s="7" t="e">
        <f t="shared" ca="1" si="1228"/>
        <v>#N/A</v>
      </c>
      <c r="E1251" s="26">
        <f t="array" aca="1" ref="E1251" ca="1">AVERAGE(IF(INDIRECT(DatCol&amp;"$"&amp;TEXT(C1251,"###")):INDIRECT(DatCol&amp;"$"&amp;TEXT(C1251+57,"###"))&gt;0,INDIRECT(DatCol&amp;"$"&amp;TEXT(C1251,"###")):INDIRECT(DatCol&amp;"$"&amp;TEXT(C1251+57,"###"))))</f>
        <v>179.78888888888889</v>
      </c>
      <c r="F1251" s="26" t="str">
        <f t="shared" si="1226"/>
        <v>S</v>
      </c>
      <c r="G1251" s="8">
        <v>10</v>
      </c>
      <c r="H1251" s="8">
        <v>8</v>
      </c>
      <c r="I1251" s="8">
        <v>5</v>
      </c>
      <c r="J1251" s="8">
        <v>86</v>
      </c>
      <c r="K1251" s="9">
        <f t="shared" si="1252"/>
        <v>104</v>
      </c>
      <c r="M1251" s="11">
        <f t="shared" si="1253"/>
        <v>0</v>
      </c>
      <c r="O1251" s="11">
        <f t="shared" si="1254"/>
        <v>0</v>
      </c>
      <c r="Q1251" s="11">
        <f t="shared" si="1255"/>
        <v>0</v>
      </c>
      <c r="X1251" s="12">
        <v>260</v>
      </c>
      <c r="Y1251" s="11">
        <f t="shared" si="1256"/>
        <v>15600</v>
      </c>
      <c r="AG1251" s="11">
        <f t="shared" si="1257"/>
        <v>0</v>
      </c>
      <c r="AI1251" s="11">
        <f t="shared" si="1258"/>
        <v>0</v>
      </c>
      <c r="AK1251" s="13">
        <f t="shared" si="1259"/>
        <v>0</v>
      </c>
      <c r="AM1251" s="13">
        <f t="shared" si="1260"/>
        <v>0</v>
      </c>
      <c r="AO1251" s="11">
        <f t="shared" si="1261"/>
        <v>0</v>
      </c>
      <c r="AQ1251" s="11">
        <f t="shared" si="1262"/>
        <v>0</v>
      </c>
      <c r="AR1251" s="12">
        <v>1000</v>
      </c>
      <c r="AS1251" s="11">
        <f t="shared" si="1263"/>
        <v>50000</v>
      </c>
      <c r="AU1251" s="11">
        <f t="shared" si="1264"/>
        <v>0</v>
      </c>
      <c r="AW1251" s="11">
        <f t="shared" si="1265"/>
        <v>0</v>
      </c>
      <c r="AY1251" s="11">
        <f t="shared" si="1266"/>
        <v>0</v>
      </c>
      <c r="BA1251" s="11">
        <f t="shared" si="1267"/>
        <v>0</v>
      </c>
      <c r="BC1251" s="11">
        <f t="shared" si="1268"/>
        <v>0</v>
      </c>
      <c r="BE1251" s="11">
        <f t="shared" si="1269"/>
        <v>0</v>
      </c>
      <c r="BG1251" s="11">
        <f t="shared" si="1270"/>
        <v>0</v>
      </c>
      <c r="BN1251" s="8">
        <f t="shared" si="1250"/>
        <v>1260</v>
      </c>
      <c r="BO1251" s="8">
        <f t="shared" si="1251"/>
        <v>65600</v>
      </c>
      <c r="BP1251" s="8">
        <f t="shared" si="1271"/>
        <v>260</v>
      </c>
      <c r="BQ1251" s="12">
        <f t="shared" si="1272"/>
        <v>15600</v>
      </c>
    </row>
    <row r="1252" spans="1:69">
      <c r="A1252" s="28">
        <v>1987</v>
      </c>
      <c r="B1252" s="27" t="s">
        <v>67</v>
      </c>
      <c r="C1252" s="24">
        <f t="shared" si="1231"/>
        <v>1220</v>
      </c>
      <c r="D1252" s="7" t="e">
        <f t="shared" ca="1" si="1228"/>
        <v>#N/A</v>
      </c>
      <c r="E1252" s="26">
        <f t="array" aca="1" ref="E1252" ca="1">AVERAGE(IF(INDIRECT(DatCol&amp;"$"&amp;TEXT(C1252,"###")):INDIRECT(DatCol&amp;"$"&amp;TEXT(C1252+57,"###"))&gt;0,INDIRECT(DatCol&amp;"$"&amp;TEXT(C1252,"###")):INDIRECT(DatCol&amp;"$"&amp;TEXT(C1252+57,"###"))))</f>
        <v>179.78888888888889</v>
      </c>
      <c r="F1252" s="26" t="str">
        <f t="shared" si="1226"/>
        <v>S</v>
      </c>
      <c r="G1252" s="8">
        <v>15</v>
      </c>
      <c r="H1252" s="8">
        <v>9</v>
      </c>
      <c r="I1252" s="8">
        <v>5</v>
      </c>
      <c r="J1252" s="8">
        <v>86</v>
      </c>
      <c r="K1252" s="9">
        <f t="shared" si="1252"/>
        <v>110</v>
      </c>
      <c r="M1252" s="11">
        <f t="shared" si="1253"/>
        <v>0</v>
      </c>
      <c r="N1252" s="12">
        <v>200</v>
      </c>
      <c r="O1252" s="11">
        <f t="shared" si="1254"/>
        <v>10000</v>
      </c>
      <c r="Q1252" s="11">
        <f t="shared" si="1255"/>
        <v>0</v>
      </c>
      <c r="X1252" s="12">
        <v>300</v>
      </c>
      <c r="Y1252" s="11">
        <f t="shared" si="1256"/>
        <v>18000</v>
      </c>
      <c r="AG1252" s="11">
        <f t="shared" si="1257"/>
        <v>0</v>
      </c>
      <c r="AI1252" s="11">
        <f t="shared" si="1258"/>
        <v>0</v>
      </c>
      <c r="AK1252" s="13">
        <f t="shared" si="1259"/>
        <v>0</v>
      </c>
      <c r="AM1252" s="13">
        <f t="shared" si="1260"/>
        <v>0</v>
      </c>
      <c r="AO1252" s="11">
        <f t="shared" si="1261"/>
        <v>0</v>
      </c>
      <c r="AQ1252" s="11">
        <f t="shared" si="1262"/>
        <v>0</v>
      </c>
      <c r="AS1252" s="11">
        <f t="shared" si="1263"/>
        <v>0</v>
      </c>
      <c r="AU1252" s="11">
        <f t="shared" si="1264"/>
        <v>0</v>
      </c>
      <c r="AW1252" s="11">
        <f t="shared" si="1265"/>
        <v>0</v>
      </c>
      <c r="AY1252" s="11">
        <f t="shared" si="1266"/>
        <v>0</v>
      </c>
      <c r="BA1252" s="11">
        <f t="shared" si="1267"/>
        <v>0</v>
      </c>
      <c r="BC1252" s="11">
        <f t="shared" si="1268"/>
        <v>0</v>
      </c>
      <c r="BE1252" s="11">
        <f t="shared" si="1269"/>
        <v>0</v>
      </c>
      <c r="BG1252" s="11">
        <f t="shared" si="1270"/>
        <v>0</v>
      </c>
      <c r="BN1252" s="8">
        <f t="shared" si="1250"/>
        <v>300</v>
      </c>
      <c r="BO1252" s="8">
        <f t="shared" si="1251"/>
        <v>18000</v>
      </c>
      <c r="BP1252" s="8">
        <f t="shared" si="1271"/>
        <v>500</v>
      </c>
      <c r="BQ1252" s="12">
        <f t="shared" si="1272"/>
        <v>28000</v>
      </c>
    </row>
    <row r="1253" spans="1:69">
      <c r="A1253" s="28">
        <v>1988</v>
      </c>
      <c r="B1253" s="27" t="s">
        <v>67</v>
      </c>
      <c r="C1253" s="24">
        <f t="shared" si="1231"/>
        <v>1220</v>
      </c>
      <c r="D1253" s="7" t="e">
        <f t="shared" ca="1" si="1228"/>
        <v>#N/A</v>
      </c>
      <c r="E1253" s="26">
        <f t="array" aca="1" ref="E1253" ca="1">AVERAGE(IF(INDIRECT(DatCol&amp;"$"&amp;TEXT(C1253,"###")):INDIRECT(DatCol&amp;"$"&amp;TEXT(C1253+57,"###"))&gt;0,INDIRECT(DatCol&amp;"$"&amp;TEXT(C1253,"###")):INDIRECT(DatCol&amp;"$"&amp;TEXT(C1253+57,"###"))))</f>
        <v>179.78888888888889</v>
      </c>
      <c r="F1253" s="26" t="str">
        <f t="shared" si="1226"/>
        <v>S</v>
      </c>
      <c r="G1253" s="8">
        <v>6</v>
      </c>
      <c r="H1253" s="8">
        <v>10</v>
      </c>
      <c r="I1253" s="8">
        <v>0</v>
      </c>
      <c r="J1253" s="8">
        <v>43</v>
      </c>
      <c r="K1253" s="9">
        <f t="shared" si="1252"/>
        <v>59</v>
      </c>
      <c r="M1253" s="11">
        <f t="shared" si="1253"/>
        <v>0</v>
      </c>
      <c r="O1253" s="11">
        <f t="shared" si="1254"/>
        <v>0</v>
      </c>
      <c r="Q1253" s="11">
        <f t="shared" si="1255"/>
        <v>0</v>
      </c>
      <c r="Y1253" s="11">
        <f t="shared" si="1256"/>
        <v>0</v>
      </c>
      <c r="AG1253" s="11">
        <f t="shared" si="1257"/>
        <v>0</v>
      </c>
      <c r="AI1253" s="11">
        <f t="shared" si="1258"/>
        <v>0</v>
      </c>
      <c r="AK1253" s="13">
        <f t="shared" si="1259"/>
        <v>0</v>
      </c>
      <c r="AM1253" s="13">
        <f t="shared" si="1260"/>
        <v>0</v>
      </c>
      <c r="AO1253" s="11">
        <f t="shared" si="1261"/>
        <v>0</v>
      </c>
      <c r="AQ1253" s="11">
        <f t="shared" si="1262"/>
        <v>0</v>
      </c>
      <c r="AS1253" s="11">
        <f t="shared" si="1263"/>
        <v>0</v>
      </c>
      <c r="AU1253" s="11">
        <f t="shared" si="1264"/>
        <v>0</v>
      </c>
      <c r="AW1253" s="11">
        <f t="shared" si="1265"/>
        <v>0</v>
      </c>
      <c r="AY1253" s="11">
        <f t="shared" si="1266"/>
        <v>0</v>
      </c>
      <c r="BA1253" s="11">
        <f t="shared" si="1267"/>
        <v>0</v>
      </c>
      <c r="BC1253" s="11">
        <f t="shared" si="1268"/>
        <v>0</v>
      </c>
      <c r="BE1253" s="11">
        <f t="shared" si="1269"/>
        <v>0</v>
      </c>
      <c r="BG1253" s="11">
        <f t="shared" si="1270"/>
        <v>0</v>
      </c>
      <c r="BN1253" s="8">
        <f t="shared" si="1250"/>
        <v>0</v>
      </c>
      <c r="BO1253" s="8">
        <f t="shared" si="1251"/>
        <v>0</v>
      </c>
      <c r="BP1253" s="8">
        <f t="shared" si="1271"/>
        <v>0</v>
      </c>
      <c r="BQ1253" s="12">
        <f t="shared" si="1272"/>
        <v>0</v>
      </c>
    </row>
    <row r="1254" spans="1:69">
      <c r="A1254" s="28">
        <v>1989</v>
      </c>
      <c r="B1254" s="27" t="s">
        <v>67</v>
      </c>
      <c r="C1254" s="24">
        <f t="shared" si="1231"/>
        <v>1220</v>
      </c>
      <c r="D1254" s="7" t="e">
        <f t="shared" ca="1" si="1228"/>
        <v>#N/A</v>
      </c>
      <c r="E1254" s="26">
        <f t="array" aca="1" ref="E1254" ca="1">AVERAGE(IF(INDIRECT(DatCol&amp;"$"&amp;TEXT(C1254,"###")):INDIRECT(DatCol&amp;"$"&amp;TEXT(C1254+57,"###"))&gt;0,INDIRECT(DatCol&amp;"$"&amp;TEXT(C1254,"###")):INDIRECT(DatCol&amp;"$"&amp;TEXT(C1254+57,"###"))))</f>
        <v>179.78888888888889</v>
      </c>
      <c r="F1254" s="26" t="str">
        <f t="shared" si="1226"/>
        <v>S</v>
      </c>
      <c r="G1254" s="8"/>
      <c r="H1254" s="8">
        <v>0</v>
      </c>
      <c r="I1254" s="8">
        <v>0</v>
      </c>
      <c r="J1254" s="8">
        <v>0</v>
      </c>
      <c r="K1254" s="9">
        <f t="shared" si="1252"/>
        <v>0</v>
      </c>
      <c r="M1254" s="11">
        <f t="shared" si="1253"/>
        <v>0</v>
      </c>
      <c r="O1254" s="11">
        <f t="shared" si="1254"/>
        <v>0</v>
      </c>
      <c r="Q1254" s="11">
        <f t="shared" si="1255"/>
        <v>0</v>
      </c>
      <c r="Y1254" s="11">
        <f t="shared" si="1256"/>
        <v>0</v>
      </c>
      <c r="AG1254" s="11">
        <f t="shared" si="1257"/>
        <v>0</v>
      </c>
      <c r="AI1254" s="11">
        <f t="shared" si="1258"/>
        <v>0</v>
      </c>
      <c r="AK1254" s="13">
        <f t="shared" si="1259"/>
        <v>0</v>
      </c>
      <c r="AM1254" s="13">
        <f t="shared" si="1260"/>
        <v>0</v>
      </c>
      <c r="AO1254" s="11">
        <f t="shared" si="1261"/>
        <v>0</v>
      </c>
      <c r="AQ1254" s="11">
        <f t="shared" si="1262"/>
        <v>0</v>
      </c>
      <c r="AS1254" s="11">
        <f t="shared" si="1263"/>
        <v>0</v>
      </c>
      <c r="AU1254" s="11">
        <f t="shared" si="1264"/>
        <v>0</v>
      </c>
      <c r="AW1254" s="11">
        <f t="shared" si="1265"/>
        <v>0</v>
      </c>
      <c r="AY1254" s="11">
        <f t="shared" si="1266"/>
        <v>0</v>
      </c>
      <c r="BA1254" s="11">
        <f t="shared" si="1267"/>
        <v>0</v>
      </c>
      <c r="BC1254" s="11">
        <f t="shared" si="1268"/>
        <v>0</v>
      </c>
      <c r="BE1254" s="11">
        <f t="shared" si="1269"/>
        <v>0</v>
      </c>
      <c r="BG1254" s="11">
        <f t="shared" si="1270"/>
        <v>0</v>
      </c>
      <c r="BN1254" s="8">
        <f t="shared" si="1250"/>
        <v>0</v>
      </c>
      <c r="BO1254" s="8">
        <f t="shared" si="1251"/>
        <v>0</v>
      </c>
      <c r="BP1254" s="8">
        <f t="shared" si="1271"/>
        <v>0</v>
      </c>
      <c r="BQ1254" s="12">
        <f t="shared" si="1272"/>
        <v>0</v>
      </c>
    </row>
    <row r="1255" spans="1:69">
      <c r="A1255" s="28">
        <v>1990</v>
      </c>
      <c r="B1255" s="27" t="s">
        <v>67</v>
      </c>
      <c r="C1255" s="24">
        <f t="shared" si="1231"/>
        <v>1220</v>
      </c>
      <c r="D1255" s="7" t="e">
        <f t="shared" ca="1" si="1228"/>
        <v>#N/A</v>
      </c>
      <c r="E1255" s="26">
        <f t="array" aca="1" ref="E1255" ca="1">AVERAGE(IF(INDIRECT(DatCol&amp;"$"&amp;TEXT(C1255,"###")):INDIRECT(DatCol&amp;"$"&amp;TEXT(C1255+57,"###"))&gt;0,INDIRECT(DatCol&amp;"$"&amp;TEXT(C1255,"###")):INDIRECT(DatCol&amp;"$"&amp;TEXT(C1255+57,"###"))))</f>
        <v>179.78888888888889</v>
      </c>
      <c r="F1255" s="26" t="str">
        <f t="shared" si="1226"/>
        <v>S</v>
      </c>
      <c r="G1255" s="8"/>
      <c r="H1255" s="8">
        <v>0</v>
      </c>
      <c r="I1255" s="8">
        <v>0</v>
      </c>
      <c r="J1255" s="8">
        <v>0</v>
      </c>
      <c r="K1255" s="9">
        <f t="shared" si="1252"/>
        <v>0</v>
      </c>
      <c r="M1255" s="11">
        <f t="shared" si="1253"/>
        <v>0</v>
      </c>
      <c r="O1255" s="11">
        <f t="shared" si="1254"/>
        <v>0</v>
      </c>
      <c r="Q1255" s="11">
        <f t="shared" si="1255"/>
        <v>0</v>
      </c>
      <c r="Y1255" s="11">
        <f t="shared" si="1256"/>
        <v>0</v>
      </c>
      <c r="AG1255" s="11">
        <f t="shared" si="1257"/>
        <v>0</v>
      </c>
      <c r="AI1255" s="11">
        <f t="shared" si="1258"/>
        <v>0</v>
      </c>
      <c r="AK1255" s="13">
        <f t="shared" si="1259"/>
        <v>0</v>
      </c>
      <c r="AM1255" s="13">
        <f t="shared" si="1260"/>
        <v>0</v>
      </c>
      <c r="AO1255" s="11">
        <f t="shared" si="1261"/>
        <v>0</v>
      </c>
      <c r="AQ1255" s="11">
        <f t="shared" si="1262"/>
        <v>0</v>
      </c>
      <c r="AS1255" s="11">
        <f t="shared" si="1263"/>
        <v>0</v>
      </c>
      <c r="AU1255" s="11">
        <f t="shared" si="1264"/>
        <v>0</v>
      </c>
      <c r="AW1255" s="11">
        <f t="shared" si="1265"/>
        <v>0</v>
      </c>
      <c r="AY1255" s="11">
        <f t="shared" si="1266"/>
        <v>0</v>
      </c>
      <c r="BA1255" s="11">
        <f t="shared" si="1267"/>
        <v>0</v>
      </c>
      <c r="BC1255" s="11">
        <f t="shared" si="1268"/>
        <v>0</v>
      </c>
      <c r="BE1255" s="11">
        <f t="shared" si="1269"/>
        <v>0</v>
      </c>
      <c r="BG1255" s="11">
        <f t="shared" si="1270"/>
        <v>0</v>
      </c>
      <c r="BN1255" s="8">
        <f t="shared" si="1250"/>
        <v>0</v>
      </c>
      <c r="BO1255" s="8">
        <f t="shared" si="1251"/>
        <v>0</v>
      </c>
      <c r="BP1255" s="8">
        <f t="shared" si="1271"/>
        <v>0</v>
      </c>
      <c r="BQ1255" s="12">
        <f t="shared" si="1272"/>
        <v>0</v>
      </c>
    </row>
    <row r="1256" spans="1:69">
      <c r="A1256" s="28">
        <v>1991</v>
      </c>
      <c r="B1256" s="27" t="s">
        <v>67</v>
      </c>
      <c r="C1256" s="24">
        <f t="shared" si="1231"/>
        <v>1220</v>
      </c>
      <c r="D1256" s="7" t="e">
        <f t="shared" ca="1" si="1228"/>
        <v>#N/A</v>
      </c>
      <c r="E1256" s="26">
        <f t="array" aca="1" ref="E1256" ca="1">AVERAGE(IF(INDIRECT(DatCol&amp;"$"&amp;TEXT(C1256,"###")):INDIRECT(DatCol&amp;"$"&amp;TEXT(C1256+57,"###"))&gt;0,INDIRECT(DatCol&amp;"$"&amp;TEXT(C1256,"###")):INDIRECT(DatCol&amp;"$"&amp;TEXT(C1256+57,"###"))))</f>
        <v>179.78888888888889</v>
      </c>
      <c r="F1256" s="26" t="str">
        <f t="shared" si="1226"/>
        <v>S</v>
      </c>
      <c r="G1256" s="8"/>
      <c r="H1256" s="8">
        <v>0</v>
      </c>
      <c r="I1256" s="8">
        <v>0</v>
      </c>
      <c r="J1256" s="8">
        <v>0</v>
      </c>
      <c r="K1256" s="9">
        <f t="shared" si="1252"/>
        <v>0</v>
      </c>
      <c r="M1256" s="11">
        <f t="shared" si="1253"/>
        <v>0</v>
      </c>
      <c r="O1256" s="11">
        <f t="shared" si="1254"/>
        <v>0</v>
      </c>
      <c r="Q1256" s="11">
        <f t="shared" si="1255"/>
        <v>0</v>
      </c>
      <c r="Y1256" s="11">
        <f t="shared" si="1256"/>
        <v>0</v>
      </c>
      <c r="AG1256" s="11">
        <f t="shared" si="1257"/>
        <v>0</v>
      </c>
      <c r="AI1256" s="11">
        <f t="shared" si="1258"/>
        <v>0</v>
      </c>
      <c r="AK1256" s="13">
        <f t="shared" si="1259"/>
        <v>0</v>
      </c>
      <c r="AM1256" s="13">
        <f t="shared" si="1260"/>
        <v>0</v>
      </c>
      <c r="AO1256" s="11">
        <f t="shared" si="1261"/>
        <v>0</v>
      </c>
      <c r="AQ1256" s="11">
        <f t="shared" si="1262"/>
        <v>0</v>
      </c>
      <c r="AS1256" s="11">
        <f t="shared" si="1263"/>
        <v>0</v>
      </c>
      <c r="AU1256" s="11">
        <f t="shared" si="1264"/>
        <v>0</v>
      </c>
      <c r="AW1256" s="11">
        <f t="shared" si="1265"/>
        <v>0</v>
      </c>
      <c r="AY1256" s="11">
        <f t="shared" si="1266"/>
        <v>0</v>
      </c>
      <c r="BA1256" s="11">
        <f t="shared" si="1267"/>
        <v>0</v>
      </c>
      <c r="BC1256" s="11">
        <f t="shared" si="1268"/>
        <v>0</v>
      </c>
      <c r="BE1256" s="11">
        <f t="shared" si="1269"/>
        <v>0</v>
      </c>
      <c r="BG1256" s="11">
        <f t="shared" si="1270"/>
        <v>0</v>
      </c>
      <c r="BN1256" s="8">
        <f t="shared" si="1250"/>
        <v>0</v>
      </c>
      <c r="BO1256" s="8">
        <f t="shared" si="1251"/>
        <v>0</v>
      </c>
      <c r="BP1256" s="8">
        <f t="shared" si="1271"/>
        <v>0</v>
      </c>
      <c r="BQ1256" s="12">
        <f t="shared" si="1272"/>
        <v>0</v>
      </c>
    </row>
    <row r="1257" spans="1:69">
      <c r="A1257" s="28">
        <v>1992</v>
      </c>
      <c r="B1257" s="27" t="s">
        <v>67</v>
      </c>
      <c r="C1257" s="24">
        <f t="shared" si="1231"/>
        <v>1220</v>
      </c>
      <c r="D1257" s="7" t="e">
        <f t="shared" ca="1" si="1228"/>
        <v>#N/A</v>
      </c>
      <c r="E1257" s="26">
        <f t="array" aca="1" ref="E1257" ca="1">AVERAGE(IF(INDIRECT(DatCol&amp;"$"&amp;TEXT(C1257,"###")):INDIRECT(DatCol&amp;"$"&amp;TEXT(C1257+57,"###"))&gt;0,INDIRECT(DatCol&amp;"$"&amp;TEXT(C1257,"###")):INDIRECT(DatCol&amp;"$"&amp;TEXT(C1257+57,"###"))))</f>
        <v>179.78888888888889</v>
      </c>
      <c r="F1257" s="26" t="str">
        <f t="shared" si="1226"/>
        <v>S</v>
      </c>
      <c r="G1257" s="8"/>
      <c r="H1257" s="8">
        <v>0</v>
      </c>
      <c r="I1257" s="8">
        <v>0</v>
      </c>
      <c r="J1257" s="8">
        <v>0</v>
      </c>
      <c r="K1257" s="9">
        <f t="shared" si="1252"/>
        <v>0</v>
      </c>
      <c r="M1257" s="11">
        <f t="shared" si="1253"/>
        <v>0</v>
      </c>
      <c r="O1257" s="11">
        <f t="shared" si="1254"/>
        <v>0</v>
      </c>
      <c r="Q1257" s="11">
        <f t="shared" si="1255"/>
        <v>0</v>
      </c>
      <c r="Y1257" s="11">
        <f t="shared" si="1256"/>
        <v>0</v>
      </c>
      <c r="AG1257" s="11">
        <f t="shared" si="1257"/>
        <v>0</v>
      </c>
      <c r="AI1257" s="11">
        <f t="shared" si="1258"/>
        <v>0</v>
      </c>
      <c r="AK1257" s="13">
        <f t="shared" si="1259"/>
        <v>0</v>
      </c>
      <c r="AM1257" s="13">
        <f t="shared" si="1260"/>
        <v>0</v>
      </c>
      <c r="AO1257" s="11">
        <f t="shared" si="1261"/>
        <v>0</v>
      </c>
      <c r="AQ1257" s="11">
        <f t="shared" si="1262"/>
        <v>0</v>
      </c>
      <c r="AS1257" s="11">
        <f t="shared" si="1263"/>
        <v>0</v>
      </c>
      <c r="AU1257" s="11">
        <f t="shared" si="1264"/>
        <v>0</v>
      </c>
      <c r="AW1257" s="11">
        <f t="shared" si="1265"/>
        <v>0</v>
      </c>
      <c r="AY1257" s="11">
        <f t="shared" si="1266"/>
        <v>0</v>
      </c>
      <c r="BA1257" s="11">
        <f t="shared" si="1267"/>
        <v>0</v>
      </c>
      <c r="BC1257" s="11">
        <f t="shared" si="1268"/>
        <v>0</v>
      </c>
      <c r="BE1257" s="11">
        <f t="shared" si="1269"/>
        <v>0</v>
      </c>
      <c r="BG1257" s="11">
        <f t="shared" si="1270"/>
        <v>0</v>
      </c>
      <c r="BN1257" s="8">
        <f t="shared" si="1250"/>
        <v>0</v>
      </c>
      <c r="BO1257" s="8">
        <f t="shared" si="1251"/>
        <v>0</v>
      </c>
      <c r="BP1257" s="8">
        <f t="shared" si="1271"/>
        <v>0</v>
      </c>
      <c r="BQ1257" s="12">
        <f t="shared" si="1272"/>
        <v>0</v>
      </c>
    </row>
    <row r="1258" spans="1:69">
      <c r="A1258" s="28">
        <v>1993</v>
      </c>
      <c r="B1258" s="27" t="s">
        <v>67</v>
      </c>
      <c r="C1258" s="24">
        <f t="shared" si="1231"/>
        <v>1220</v>
      </c>
      <c r="D1258" s="7" t="e">
        <f t="shared" ca="1" si="1228"/>
        <v>#N/A</v>
      </c>
      <c r="E1258" s="26">
        <f t="array" aca="1" ref="E1258" ca="1">AVERAGE(IF(INDIRECT(DatCol&amp;"$"&amp;TEXT(C1258,"###")):INDIRECT(DatCol&amp;"$"&amp;TEXT(C1258+57,"###"))&gt;0,INDIRECT(DatCol&amp;"$"&amp;TEXT(C1258,"###")):INDIRECT(DatCol&amp;"$"&amp;TEXT(C1258+57,"###"))))</f>
        <v>179.78888888888889</v>
      </c>
      <c r="F1258" s="26" t="str">
        <f t="shared" si="1226"/>
        <v>S</v>
      </c>
      <c r="G1258" s="8"/>
      <c r="H1258" s="8">
        <v>0</v>
      </c>
      <c r="I1258" s="8">
        <v>0</v>
      </c>
      <c r="J1258" s="8">
        <v>0</v>
      </c>
      <c r="K1258" s="9">
        <f t="shared" si="1252"/>
        <v>0</v>
      </c>
      <c r="M1258" s="11">
        <f t="shared" si="1253"/>
        <v>0</v>
      </c>
      <c r="O1258" s="11">
        <f t="shared" si="1254"/>
        <v>0</v>
      </c>
      <c r="Q1258" s="11">
        <f t="shared" si="1255"/>
        <v>0</v>
      </c>
      <c r="Y1258" s="11">
        <f t="shared" si="1256"/>
        <v>0</v>
      </c>
      <c r="AG1258" s="11">
        <f t="shared" si="1257"/>
        <v>0</v>
      </c>
      <c r="AI1258" s="11">
        <f t="shared" si="1258"/>
        <v>0</v>
      </c>
      <c r="AK1258" s="13">
        <f t="shared" si="1259"/>
        <v>0</v>
      </c>
      <c r="AM1258" s="13">
        <f t="shared" si="1260"/>
        <v>0</v>
      </c>
      <c r="AO1258" s="11">
        <f t="shared" si="1261"/>
        <v>0</v>
      </c>
      <c r="AQ1258" s="11">
        <f t="shared" si="1262"/>
        <v>0</v>
      </c>
      <c r="AS1258" s="11">
        <f t="shared" si="1263"/>
        <v>0</v>
      </c>
      <c r="AU1258" s="11">
        <f t="shared" si="1264"/>
        <v>0</v>
      </c>
      <c r="AW1258" s="11">
        <f t="shared" si="1265"/>
        <v>0</v>
      </c>
      <c r="AY1258" s="11">
        <f t="shared" si="1266"/>
        <v>0</v>
      </c>
      <c r="BA1258" s="11">
        <f t="shared" si="1267"/>
        <v>0</v>
      </c>
      <c r="BC1258" s="11">
        <f t="shared" si="1268"/>
        <v>0</v>
      </c>
      <c r="BE1258" s="11">
        <f t="shared" si="1269"/>
        <v>0</v>
      </c>
      <c r="BG1258" s="11">
        <f t="shared" si="1270"/>
        <v>0</v>
      </c>
      <c r="BN1258" s="8">
        <f t="shared" si="1250"/>
        <v>0</v>
      </c>
      <c r="BO1258" s="8">
        <f t="shared" si="1251"/>
        <v>0</v>
      </c>
      <c r="BP1258" s="8">
        <f t="shared" si="1271"/>
        <v>0</v>
      </c>
      <c r="BQ1258" s="12">
        <f t="shared" si="1272"/>
        <v>0</v>
      </c>
    </row>
    <row r="1259" spans="1:69">
      <c r="A1259" s="28">
        <v>1994</v>
      </c>
      <c r="B1259" s="27" t="s">
        <v>67</v>
      </c>
      <c r="C1259" s="24">
        <f t="shared" si="1231"/>
        <v>1220</v>
      </c>
      <c r="D1259" s="7" t="e">
        <f t="shared" ca="1" si="1228"/>
        <v>#N/A</v>
      </c>
      <c r="E1259" s="26">
        <f t="array" aca="1" ref="E1259" ca="1">AVERAGE(IF(INDIRECT(DatCol&amp;"$"&amp;TEXT(C1259,"###")):INDIRECT(DatCol&amp;"$"&amp;TEXT(C1259+57,"###"))&gt;0,INDIRECT(DatCol&amp;"$"&amp;TEXT(C1259,"###")):INDIRECT(DatCol&amp;"$"&amp;TEXT(C1259+57,"###"))))</f>
        <v>179.78888888888889</v>
      </c>
      <c r="F1259" s="26" t="str">
        <f t="shared" si="1226"/>
        <v>S</v>
      </c>
      <c r="G1259" s="8"/>
      <c r="H1259" s="8">
        <v>0</v>
      </c>
      <c r="I1259" s="8">
        <v>0</v>
      </c>
      <c r="J1259" s="8">
        <v>0</v>
      </c>
      <c r="K1259" s="9">
        <f t="shared" si="1252"/>
        <v>0</v>
      </c>
      <c r="M1259" s="11">
        <f t="shared" si="1253"/>
        <v>0</v>
      </c>
      <c r="O1259" s="11">
        <f t="shared" si="1254"/>
        <v>0</v>
      </c>
      <c r="Q1259" s="11">
        <f t="shared" si="1255"/>
        <v>0</v>
      </c>
      <c r="Y1259" s="11">
        <f t="shared" si="1256"/>
        <v>0</v>
      </c>
      <c r="AG1259" s="11">
        <f t="shared" si="1257"/>
        <v>0</v>
      </c>
      <c r="AI1259" s="11">
        <f t="shared" si="1258"/>
        <v>0</v>
      </c>
      <c r="AK1259" s="13">
        <f t="shared" si="1259"/>
        <v>0</v>
      </c>
      <c r="AM1259" s="13">
        <f t="shared" si="1260"/>
        <v>0</v>
      </c>
      <c r="AO1259" s="11">
        <f t="shared" si="1261"/>
        <v>0</v>
      </c>
      <c r="AQ1259" s="11">
        <f t="shared" si="1262"/>
        <v>0</v>
      </c>
      <c r="AS1259" s="11">
        <f t="shared" si="1263"/>
        <v>0</v>
      </c>
      <c r="AU1259" s="11">
        <f t="shared" si="1264"/>
        <v>0</v>
      </c>
      <c r="AW1259" s="11">
        <f t="shared" si="1265"/>
        <v>0</v>
      </c>
      <c r="AY1259" s="11">
        <f t="shared" si="1266"/>
        <v>0</v>
      </c>
      <c r="BA1259" s="11">
        <f t="shared" si="1267"/>
        <v>0</v>
      </c>
      <c r="BC1259" s="11">
        <f t="shared" si="1268"/>
        <v>0</v>
      </c>
      <c r="BE1259" s="11">
        <f t="shared" si="1269"/>
        <v>0</v>
      </c>
      <c r="BG1259" s="11">
        <f t="shared" si="1270"/>
        <v>0</v>
      </c>
      <c r="BN1259" s="8">
        <f t="shared" si="1250"/>
        <v>0</v>
      </c>
      <c r="BO1259" s="8">
        <f t="shared" si="1251"/>
        <v>0</v>
      </c>
      <c r="BP1259" s="8">
        <f t="shared" si="1271"/>
        <v>0</v>
      </c>
      <c r="BQ1259" s="12">
        <f t="shared" si="1272"/>
        <v>0</v>
      </c>
    </row>
    <row r="1260" spans="1:69">
      <c r="A1260" s="28">
        <v>1995</v>
      </c>
      <c r="B1260" s="27" t="s">
        <v>67</v>
      </c>
      <c r="C1260" s="24">
        <f t="shared" si="1231"/>
        <v>1220</v>
      </c>
      <c r="D1260" s="7" t="e">
        <f t="shared" ca="1" si="1228"/>
        <v>#N/A</v>
      </c>
      <c r="E1260" s="26">
        <f t="array" aca="1" ref="E1260" ca="1">AVERAGE(IF(INDIRECT(DatCol&amp;"$"&amp;TEXT(C1260,"###")):INDIRECT(DatCol&amp;"$"&amp;TEXT(C1260+57,"###"))&gt;0,INDIRECT(DatCol&amp;"$"&amp;TEXT(C1260,"###")):INDIRECT(DatCol&amp;"$"&amp;TEXT(C1260+57,"###"))))</f>
        <v>179.78888888888889</v>
      </c>
      <c r="F1260" s="26" t="str">
        <f t="shared" si="1226"/>
        <v>S</v>
      </c>
      <c r="H1260" s="9">
        <v>0</v>
      </c>
      <c r="I1260" s="9">
        <v>0</v>
      </c>
      <c r="J1260" s="9">
        <v>0</v>
      </c>
      <c r="K1260" s="9">
        <f t="shared" si="1252"/>
        <v>0</v>
      </c>
      <c r="M1260" s="11">
        <f t="shared" si="1253"/>
        <v>0</v>
      </c>
      <c r="O1260" s="11">
        <f t="shared" si="1254"/>
        <v>0</v>
      </c>
      <c r="Q1260" s="11">
        <f t="shared" si="1255"/>
        <v>0</v>
      </c>
      <c r="Y1260" s="11">
        <f t="shared" si="1256"/>
        <v>0</v>
      </c>
      <c r="AG1260" s="11">
        <f t="shared" si="1257"/>
        <v>0</v>
      </c>
      <c r="AI1260" s="11">
        <f t="shared" si="1258"/>
        <v>0</v>
      </c>
      <c r="AK1260" s="13">
        <f t="shared" si="1259"/>
        <v>0</v>
      </c>
      <c r="AM1260" s="13">
        <f t="shared" si="1260"/>
        <v>0</v>
      </c>
      <c r="AO1260" s="11">
        <f t="shared" si="1261"/>
        <v>0</v>
      </c>
      <c r="AQ1260" s="11">
        <f t="shared" si="1262"/>
        <v>0</v>
      </c>
      <c r="AS1260" s="11">
        <f t="shared" si="1263"/>
        <v>0</v>
      </c>
      <c r="AU1260" s="11">
        <f t="shared" si="1264"/>
        <v>0</v>
      </c>
      <c r="AW1260" s="11">
        <f t="shared" si="1265"/>
        <v>0</v>
      </c>
      <c r="AY1260" s="11">
        <f t="shared" si="1266"/>
        <v>0</v>
      </c>
      <c r="BA1260" s="11">
        <f t="shared" si="1267"/>
        <v>0</v>
      </c>
      <c r="BC1260" s="11">
        <f t="shared" si="1268"/>
        <v>0</v>
      </c>
      <c r="BE1260" s="11">
        <f t="shared" si="1269"/>
        <v>0</v>
      </c>
      <c r="BG1260" s="11">
        <f t="shared" si="1270"/>
        <v>0</v>
      </c>
      <c r="BN1260" s="8">
        <f t="shared" si="1250"/>
        <v>0</v>
      </c>
      <c r="BO1260" s="8">
        <f t="shared" si="1251"/>
        <v>0</v>
      </c>
      <c r="BP1260" s="8">
        <f t="shared" si="1271"/>
        <v>0</v>
      </c>
      <c r="BQ1260" s="12">
        <f t="shared" si="1272"/>
        <v>0</v>
      </c>
    </row>
    <row r="1261" spans="1:69">
      <c r="A1261" s="28">
        <v>1996</v>
      </c>
      <c r="B1261" s="27" t="s">
        <v>67</v>
      </c>
      <c r="C1261" s="24">
        <f t="shared" si="1231"/>
        <v>1220</v>
      </c>
      <c r="D1261" s="7" t="e">
        <f t="shared" ca="1" si="1228"/>
        <v>#N/A</v>
      </c>
      <c r="E1261" s="26">
        <f t="array" aca="1" ref="E1261" ca="1">AVERAGE(IF(INDIRECT(DatCol&amp;"$"&amp;TEXT(C1261,"###")):INDIRECT(DatCol&amp;"$"&amp;TEXT(C1261+57,"###"))&gt;0,INDIRECT(DatCol&amp;"$"&amp;TEXT(C1261,"###")):INDIRECT(DatCol&amp;"$"&amp;TEXT(C1261+57,"###"))))</f>
        <v>179.78888888888889</v>
      </c>
      <c r="F1261" s="26" t="str">
        <f t="shared" si="1226"/>
        <v>S</v>
      </c>
      <c r="H1261" s="9">
        <v>0</v>
      </c>
      <c r="I1261" s="9">
        <v>0</v>
      </c>
      <c r="J1261" s="9">
        <v>0</v>
      </c>
      <c r="K1261" s="9">
        <f t="shared" si="1252"/>
        <v>0</v>
      </c>
      <c r="L1261" s="10">
        <v>0</v>
      </c>
      <c r="M1261" s="11">
        <v>0</v>
      </c>
      <c r="N1261" s="10">
        <v>0</v>
      </c>
      <c r="O1261" s="11">
        <v>0</v>
      </c>
      <c r="P1261" s="10">
        <v>0</v>
      </c>
      <c r="Q1261" s="11">
        <v>0</v>
      </c>
      <c r="X1261" s="10">
        <v>0</v>
      </c>
      <c r="Y1261" s="11">
        <v>0</v>
      </c>
      <c r="AF1261" s="10">
        <v>0</v>
      </c>
      <c r="AG1261" s="11">
        <v>0</v>
      </c>
      <c r="AH1261" s="10">
        <v>0</v>
      </c>
      <c r="AI1261" s="11">
        <v>0</v>
      </c>
      <c r="AJ1261" s="10">
        <v>0</v>
      </c>
      <c r="AK1261" s="13">
        <v>0</v>
      </c>
      <c r="AL1261" s="10">
        <v>0</v>
      </c>
      <c r="AM1261" s="13">
        <v>0</v>
      </c>
      <c r="AN1261" s="10">
        <v>0</v>
      </c>
      <c r="AO1261" s="11">
        <v>0</v>
      </c>
      <c r="AP1261" s="10">
        <v>0</v>
      </c>
      <c r="AQ1261" s="11">
        <v>0</v>
      </c>
      <c r="AR1261" s="10">
        <v>0</v>
      </c>
      <c r="AS1261" s="11">
        <v>0</v>
      </c>
      <c r="AT1261" s="10">
        <v>0</v>
      </c>
      <c r="AU1261" s="11">
        <v>0</v>
      </c>
      <c r="AV1261" s="10">
        <v>0</v>
      </c>
      <c r="AW1261" s="11">
        <v>0</v>
      </c>
      <c r="AX1261" s="10">
        <v>0</v>
      </c>
      <c r="AY1261" s="11">
        <v>0</v>
      </c>
      <c r="AZ1261" s="10">
        <v>0</v>
      </c>
      <c r="BA1261" s="11">
        <v>0</v>
      </c>
      <c r="BB1261" s="10">
        <v>0</v>
      </c>
      <c r="BC1261" s="11">
        <v>0</v>
      </c>
      <c r="BD1261" s="10">
        <v>0</v>
      </c>
      <c r="BE1261" s="11">
        <v>0</v>
      </c>
      <c r="BN1261" s="8">
        <f t="shared" si="1250"/>
        <v>0</v>
      </c>
      <c r="BO1261" s="8">
        <f t="shared" si="1251"/>
        <v>0</v>
      </c>
      <c r="BP1261" s="8">
        <f t="shared" si="1271"/>
        <v>0</v>
      </c>
      <c r="BQ1261" s="12">
        <f t="shared" si="1272"/>
        <v>0</v>
      </c>
    </row>
    <row r="1262" spans="1:69">
      <c r="A1262" s="28">
        <v>1997</v>
      </c>
      <c r="B1262" s="27" t="s">
        <v>67</v>
      </c>
      <c r="C1262" s="24">
        <f t="shared" si="1231"/>
        <v>1220</v>
      </c>
      <c r="D1262" s="7" t="e">
        <f t="shared" ca="1" si="1228"/>
        <v>#N/A</v>
      </c>
      <c r="E1262" s="26">
        <f t="array" aca="1" ref="E1262" ca="1">AVERAGE(IF(INDIRECT(DatCol&amp;"$"&amp;TEXT(C1262,"###")):INDIRECT(DatCol&amp;"$"&amp;TEXT(C1262+57,"###"))&gt;0,INDIRECT(DatCol&amp;"$"&amp;TEXT(C1262,"###")):INDIRECT(DatCol&amp;"$"&amp;TEXT(C1262+57,"###"))))</f>
        <v>179.78888888888889</v>
      </c>
      <c r="F1262" s="26" t="str">
        <f t="shared" si="1226"/>
        <v>S</v>
      </c>
      <c r="K1262" s="9">
        <f t="shared" si="1252"/>
        <v>0</v>
      </c>
      <c r="AK1262" s="13"/>
      <c r="AM1262" s="13"/>
      <c r="BN1262" s="8">
        <f t="shared" si="1250"/>
        <v>0</v>
      </c>
      <c r="BO1262" s="8">
        <f t="shared" si="1251"/>
        <v>0</v>
      </c>
      <c r="BP1262" s="8">
        <f t="shared" si="1271"/>
        <v>0</v>
      </c>
      <c r="BQ1262" s="12">
        <f t="shared" si="1272"/>
        <v>0</v>
      </c>
    </row>
    <row r="1263" spans="1:69">
      <c r="A1263" s="28">
        <v>1998</v>
      </c>
      <c r="B1263" s="27" t="s">
        <v>67</v>
      </c>
      <c r="C1263" s="24">
        <f t="shared" si="1231"/>
        <v>1220</v>
      </c>
      <c r="D1263" s="7" t="e">
        <f t="shared" ca="1" si="1228"/>
        <v>#N/A</v>
      </c>
      <c r="E1263" s="26">
        <f t="array" aca="1" ref="E1263" ca="1">AVERAGE(IF(INDIRECT(DatCol&amp;"$"&amp;TEXT(C1263,"###")):INDIRECT(DatCol&amp;"$"&amp;TEXT(C1263+57,"###"))&gt;0,INDIRECT(DatCol&amp;"$"&amp;TEXT(C1263,"###")):INDIRECT(DatCol&amp;"$"&amp;TEXT(C1263+57,"###"))))</f>
        <v>179.78888888888889</v>
      </c>
      <c r="F1263" s="26" t="str">
        <f t="shared" si="1226"/>
        <v>S</v>
      </c>
      <c r="K1263" s="9">
        <f t="shared" si="1252"/>
        <v>0</v>
      </c>
      <c r="AK1263" s="13"/>
      <c r="AM1263" s="13"/>
      <c r="BN1263" s="8">
        <f t="shared" si="1250"/>
        <v>0</v>
      </c>
      <c r="BO1263" s="8">
        <f t="shared" si="1251"/>
        <v>0</v>
      </c>
      <c r="BP1263" s="8">
        <f t="shared" si="1271"/>
        <v>0</v>
      </c>
      <c r="BQ1263" s="12">
        <f t="shared" si="1272"/>
        <v>0</v>
      </c>
    </row>
    <row r="1264" spans="1:69">
      <c r="A1264" s="28">
        <v>1999</v>
      </c>
      <c r="B1264" s="27" t="s">
        <v>67</v>
      </c>
      <c r="C1264" s="24">
        <f t="shared" si="1231"/>
        <v>1220</v>
      </c>
      <c r="D1264" s="7" t="e">
        <f t="shared" ca="1" si="1228"/>
        <v>#N/A</v>
      </c>
      <c r="E1264" s="26">
        <f t="array" aca="1" ref="E1264" ca="1">AVERAGE(IF(INDIRECT(DatCol&amp;"$"&amp;TEXT(C1264,"###")):INDIRECT(DatCol&amp;"$"&amp;TEXT(C1264+57,"###"))&gt;0,INDIRECT(DatCol&amp;"$"&amp;TEXT(C1264,"###")):INDIRECT(DatCol&amp;"$"&amp;TEXT(C1264+57,"###"))))</f>
        <v>179.78888888888889</v>
      </c>
      <c r="F1264" s="26" t="str">
        <f t="shared" si="1226"/>
        <v>S</v>
      </c>
      <c r="G1264" s="9">
        <v>0</v>
      </c>
      <c r="H1264" s="9">
        <v>0</v>
      </c>
      <c r="I1264" s="9">
        <v>0</v>
      </c>
      <c r="J1264" s="9">
        <v>113</v>
      </c>
      <c r="K1264" s="9">
        <f t="shared" si="1252"/>
        <v>113</v>
      </c>
      <c r="L1264" s="10">
        <v>0</v>
      </c>
      <c r="M1264" s="11">
        <v>0</v>
      </c>
      <c r="N1264" s="10">
        <v>0</v>
      </c>
      <c r="O1264" s="11">
        <v>0</v>
      </c>
      <c r="P1264" s="10">
        <f>Q1264/49.5</f>
        <v>76.767676767676761</v>
      </c>
      <c r="Q1264" s="11">
        <v>3800</v>
      </c>
      <c r="AK1264" s="13"/>
      <c r="AM1264" s="13"/>
      <c r="BN1264" s="8">
        <f t="shared" si="1250"/>
        <v>76.767676767676761</v>
      </c>
      <c r="BO1264" s="8">
        <f t="shared" si="1251"/>
        <v>3800</v>
      </c>
      <c r="BP1264" s="8">
        <f t="shared" si="1271"/>
        <v>0</v>
      </c>
      <c r="BQ1264" s="12">
        <f t="shared" si="1272"/>
        <v>0</v>
      </c>
    </row>
    <row r="1265" spans="1:69">
      <c r="A1265" s="28">
        <v>2000</v>
      </c>
      <c r="B1265" s="27" t="s">
        <v>67</v>
      </c>
      <c r="C1265" s="24">
        <f t="shared" si="1231"/>
        <v>1220</v>
      </c>
      <c r="D1265" s="7" t="e">
        <f t="shared" ca="1" si="1228"/>
        <v>#N/A</v>
      </c>
      <c r="E1265" s="26">
        <f t="array" aca="1" ref="E1265" ca="1">AVERAGE(IF(INDIRECT(DatCol&amp;"$"&amp;TEXT(C1265,"###")):INDIRECT(DatCol&amp;"$"&amp;TEXT(C1265+57,"###"))&gt;0,INDIRECT(DatCol&amp;"$"&amp;TEXT(C1265,"###")):INDIRECT(DatCol&amp;"$"&amp;TEXT(C1265+57,"###"))))</f>
        <v>179.78888888888889</v>
      </c>
      <c r="F1265" s="26" t="str">
        <f t="shared" si="1226"/>
        <v>S</v>
      </c>
      <c r="G1265" s="9">
        <v>0</v>
      </c>
      <c r="H1265" s="9">
        <v>0</v>
      </c>
      <c r="I1265" s="9">
        <v>0</v>
      </c>
      <c r="J1265" s="9">
        <v>113</v>
      </c>
      <c r="K1265" s="9">
        <f t="shared" si="1252"/>
        <v>113</v>
      </c>
      <c r="L1265" s="10">
        <v>0</v>
      </c>
      <c r="M1265" s="11">
        <v>0</v>
      </c>
      <c r="N1265" s="10">
        <v>0</v>
      </c>
      <c r="O1265" s="11">
        <v>0</v>
      </c>
      <c r="P1265" s="10">
        <f>Q1265/49.5</f>
        <v>76.767676767676761</v>
      </c>
      <c r="Q1265" s="11">
        <v>3800</v>
      </c>
      <c r="AK1265" s="13"/>
      <c r="AM1265" s="13"/>
      <c r="BN1265" s="8">
        <f t="shared" si="1250"/>
        <v>76.767676767676761</v>
      </c>
      <c r="BO1265" s="8">
        <f t="shared" si="1251"/>
        <v>3800</v>
      </c>
      <c r="BP1265" s="8">
        <f t="shared" si="1271"/>
        <v>0</v>
      </c>
      <c r="BQ1265" s="12">
        <f t="shared" si="1272"/>
        <v>0</v>
      </c>
    </row>
    <row r="1266" spans="1:69">
      <c r="A1266" s="28">
        <v>2001</v>
      </c>
      <c r="B1266" s="27" t="s">
        <v>67</v>
      </c>
      <c r="C1266" s="24">
        <f t="shared" si="1231"/>
        <v>1220</v>
      </c>
      <c r="D1266" s="7" t="e">
        <f t="shared" ca="1" si="1228"/>
        <v>#N/A</v>
      </c>
      <c r="E1266" s="26">
        <f t="array" aca="1" ref="E1266" ca="1">AVERAGE(IF(INDIRECT(DatCol&amp;"$"&amp;TEXT(C1266,"###")):INDIRECT(DatCol&amp;"$"&amp;TEXT(C1266+57,"###"))&gt;0,INDIRECT(DatCol&amp;"$"&amp;TEXT(C1266,"###")):INDIRECT(DatCol&amp;"$"&amp;TEXT(C1266+57,"###"))))</f>
        <v>179.78888888888889</v>
      </c>
      <c r="F1266" s="26" t="str">
        <f t="shared" si="1226"/>
        <v>S</v>
      </c>
      <c r="G1266" s="9">
        <v>0</v>
      </c>
      <c r="H1266" s="9">
        <v>0</v>
      </c>
      <c r="I1266" s="9">
        <v>0</v>
      </c>
      <c r="J1266" s="9">
        <v>37</v>
      </c>
      <c r="K1266" s="9">
        <f t="shared" si="1252"/>
        <v>37</v>
      </c>
      <c r="L1266" s="10">
        <v>0</v>
      </c>
      <c r="M1266" s="11">
        <v>0</v>
      </c>
      <c r="N1266" s="10">
        <f>O1266/50</f>
        <v>0.6</v>
      </c>
      <c r="O1266" s="11">
        <v>30</v>
      </c>
      <c r="P1266" s="10">
        <v>0</v>
      </c>
      <c r="Q1266" s="11">
        <v>0</v>
      </c>
      <c r="R1266" s="10">
        <v>0</v>
      </c>
      <c r="S1266" s="11">
        <v>0</v>
      </c>
      <c r="T1266" s="10">
        <v>0</v>
      </c>
      <c r="U1266" s="11">
        <v>0</v>
      </c>
      <c r="V1266" s="10">
        <v>0</v>
      </c>
      <c r="W1266" s="11">
        <v>0</v>
      </c>
      <c r="X1266" s="10">
        <v>0</v>
      </c>
      <c r="Y1266" s="11">
        <v>0</v>
      </c>
      <c r="Z1266" s="10">
        <f>AA1266/50</f>
        <v>0.5</v>
      </c>
      <c r="AA1266" s="11">
        <v>25</v>
      </c>
      <c r="AB1266" s="10">
        <f>AC1266/50</f>
        <v>1.5</v>
      </c>
      <c r="AC1266" s="11">
        <v>75</v>
      </c>
      <c r="AD1266" s="10">
        <v>0</v>
      </c>
      <c r="AE1266" s="11">
        <v>0</v>
      </c>
      <c r="AF1266" s="10">
        <v>0</v>
      </c>
      <c r="AG1266" s="11">
        <v>0</v>
      </c>
      <c r="AH1266" s="10">
        <v>0</v>
      </c>
      <c r="AJ1266" s="10">
        <v>0</v>
      </c>
      <c r="AK1266" s="13">
        <v>0</v>
      </c>
      <c r="AL1266" s="10">
        <v>0</v>
      </c>
      <c r="AM1266" s="13">
        <v>0</v>
      </c>
      <c r="AN1266" s="10">
        <v>0</v>
      </c>
      <c r="AO1266" s="11">
        <v>0</v>
      </c>
      <c r="AP1266" s="10">
        <v>0</v>
      </c>
      <c r="AQ1266" s="11">
        <v>0</v>
      </c>
      <c r="AS1266" s="11">
        <v>0</v>
      </c>
      <c r="AT1266" s="10">
        <v>0</v>
      </c>
      <c r="AU1266" s="11">
        <v>0</v>
      </c>
      <c r="AV1266" s="10">
        <v>0</v>
      </c>
      <c r="AW1266" s="11">
        <v>0</v>
      </c>
      <c r="AX1266" s="10">
        <v>0</v>
      </c>
      <c r="AY1266" s="11">
        <v>0</v>
      </c>
      <c r="AZ1266" s="10">
        <v>0</v>
      </c>
      <c r="BN1266" s="8">
        <f t="shared" si="1250"/>
        <v>2</v>
      </c>
      <c r="BO1266" s="8">
        <f t="shared" si="1251"/>
        <v>100</v>
      </c>
      <c r="BP1266" s="8">
        <f t="shared" si="1271"/>
        <v>2.6</v>
      </c>
      <c r="BQ1266" s="12">
        <f t="shared" si="1272"/>
        <v>130</v>
      </c>
    </row>
    <row r="1267" spans="1:69">
      <c r="A1267" s="28">
        <v>2002</v>
      </c>
      <c r="B1267" s="27" t="s">
        <v>67</v>
      </c>
      <c r="C1267" s="24">
        <f t="shared" si="1231"/>
        <v>1220</v>
      </c>
      <c r="D1267" s="7" t="e">
        <f t="shared" ca="1" si="1228"/>
        <v>#N/A</v>
      </c>
      <c r="E1267" s="26">
        <f t="array" aca="1" ref="E1267" ca="1">AVERAGE(IF(INDIRECT(DatCol&amp;"$"&amp;TEXT(C1267,"###")):INDIRECT(DatCol&amp;"$"&amp;TEXT(C1267+57,"###"))&gt;0,INDIRECT(DatCol&amp;"$"&amp;TEXT(C1267,"###")):INDIRECT(DatCol&amp;"$"&amp;TEXT(C1267+57,"###"))))</f>
        <v>179.78888888888889</v>
      </c>
      <c r="F1267" s="26" t="str">
        <f t="shared" si="1226"/>
        <v>S</v>
      </c>
      <c r="G1267" s="9">
        <v>0</v>
      </c>
      <c r="H1267" s="9">
        <v>23</v>
      </c>
      <c r="I1267" s="9">
        <v>0</v>
      </c>
      <c r="J1267" s="9">
        <v>111</v>
      </c>
      <c r="K1267" s="9">
        <f t="shared" si="1252"/>
        <v>134</v>
      </c>
      <c r="L1267" s="10">
        <v>0</v>
      </c>
      <c r="M1267" s="11">
        <v>0</v>
      </c>
      <c r="N1267" s="10">
        <f>O1267/50</f>
        <v>19.600000000000001</v>
      </c>
      <c r="O1267" s="11">
        <v>980</v>
      </c>
      <c r="P1267" s="10">
        <v>0</v>
      </c>
      <c r="Q1267" s="11">
        <v>0</v>
      </c>
      <c r="R1267" s="10">
        <v>0</v>
      </c>
      <c r="S1267" s="11">
        <v>0</v>
      </c>
      <c r="T1267" s="10">
        <v>0</v>
      </c>
      <c r="U1267" s="11">
        <v>0</v>
      </c>
      <c r="V1267" s="10">
        <v>0</v>
      </c>
      <c r="W1267" s="11">
        <v>0</v>
      </c>
      <c r="X1267" s="10">
        <f>Y1267/75</f>
        <v>37.520000000000003</v>
      </c>
      <c r="Y1267" s="11">
        <v>2814</v>
      </c>
      <c r="AK1267" s="13"/>
      <c r="AM1267" s="13"/>
      <c r="BN1267" s="8">
        <f t="shared" si="1250"/>
        <v>37.520000000000003</v>
      </c>
      <c r="BO1267" s="8">
        <f t="shared" si="1251"/>
        <v>2814</v>
      </c>
      <c r="BP1267" s="8">
        <f t="shared" si="1271"/>
        <v>57.120000000000005</v>
      </c>
      <c r="BQ1267" s="12">
        <f t="shared" si="1272"/>
        <v>3794</v>
      </c>
    </row>
    <row r="1268" spans="1:69">
      <c r="A1268" s="28">
        <v>2003</v>
      </c>
      <c r="B1268" s="27" t="s">
        <v>67</v>
      </c>
      <c r="C1268" s="24">
        <f t="shared" si="1231"/>
        <v>1220</v>
      </c>
      <c r="D1268" s="7" t="e">
        <f t="shared" ca="1" si="1228"/>
        <v>#N/A</v>
      </c>
      <c r="E1268" s="26">
        <f t="array" aca="1" ref="E1268" ca="1">AVERAGE(IF(INDIRECT(DatCol&amp;"$"&amp;TEXT(C1268,"###")):INDIRECT(DatCol&amp;"$"&amp;TEXT(C1268+57,"###"))&gt;0,INDIRECT(DatCol&amp;"$"&amp;TEXT(C1268,"###")):INDIRECT(DatCol&amp;"$"&amp;TEXT(C1268+57,"###"))))</f>
        <v>179.78888888888889</v>
      </c>
      <c r="F1268" s="26" t="str">
        <f t="shared" si="1226"/>
        <v>S</v>
      </c>
      <c r="H1268" s="9">
        <v>120</v>
      </c>
      <c r="I1268" s="9">
        <v>0</v>
      </c>
      <c r="J1268" s="9">
        <v>184</v>
      </c>
      <c r="K1268" s="9">
        <f t="shared" si="1252"/>
        <v>304</v>
      </c>
      <c r="L1268" s="10">
        <v>0</v>
      </c>
      <c r="M1268" s="11">
        <v>0</v>
      </c>
      <c r="N1268" s="10">
        <f>O1268/50</f>
        <v>43</v>
      </c>
      <c r="O1268" s="11">
        <v>2150</v>
      </c>
      <c r="P1268" s="10">
        <v>0</v>
      </c>
      <c r="Q1268" s="11">
        <v>0</v>
      </c>
      <c r="R1268" s="10">
        <v>0</v>
      </c>
      <c r="S1268" s="11">
        <v>0</v>
      </c>
      <c r="T1268" s="10">
        <v>0</v>
      </c>
      <c r="U1268" s="11">
        <v>0</v>
      </c>
      <c r="V1268" s="10">
        <v>0</v>
      </c>
      <c r="W1268" s="11">
        <v>0</v>
      </c>
      <c r="X1268" s="10">
        <f>Y1268/75</f>
        <v>54.666666666666664</v>
      </c>
      <c r="Y1268" s="11">
        <v>4100</v>
      </c>
      <c r="Z1268" s="10">
        <v>0</v>
      </c>
      <c r="AA1268" s="11">
        <v>0</v>
      </c>
      <c r="AB1268" s="10">
        <v>0</v>
      </c>
      <c r="AC1268" s="11">
        <v>0</v>
      </c>
      <c r="AD1268" s="10">
        <v>0</v>
      </c>
      <c r="AE1268" s="11">
        <v>0</v>
      </c>
      <c r="AF1268" s="10">
        <v>0</v>
      </c>
      <c r="AG1268" s="11">
        <v>0</v>
      </c>
      <c r="AH1268" s="10">
        <f>AI1268/47.5</f>
        <v>4.2105263157894735</v>
      </c>
      <c r="AI1268" s="11">
        <v>200</v>
      </c>
      <c r="AJ1268" s="10">
        <v>0</v>
      </c>
      <c r="AK1268" s="13">
        <v>0</v>
      </c>
      <c r="AL1268" s="10">
        <v>0</v>
      </c>
      <c r="AM1268" s="13">
        <v>0</v>
      </c>
      <c r="AN1268" s="10">
        <v>0</v>
      </c>
      <c r="AO1268" s="11">
        <v>0</v>
      </c>
      <c r="AP1268" s="10">
        <v>0</v>
      </c>
      <c r="AQ1268" s="11">
        <v>0</v>
      </c>
      <c r="AR1268" s="10">
        <v>0</v>
      </c>
      <c r="AS1268" s="11">
        <v>0</v>
      </c>
      <c r="AT1268" s="10">
        <v>0</v>
      </c>
      <c r="AU1268" s="11">
        <v>0</v>
      </c>
      <c r="AV1268" s="10">
        <v>0</v>
      </c>
      <c r="AW1268" s="11">
        <v>0</v>
      </c>
      <c r="AX1268" s="10">
        <v>0</v>
      </c>
      <c r="AY1268" s="11">
        <v>0</v>
      </c>
      <c r="AZ1268" s="10">
        <v>0</v>
      </c>
      <c r="BA1268" s="11">
        <v>0</v>
      </c>
      <c r="BB1268" s="10">
        <v>0</v>
      </c>
      <c r="BC1268" s="11">
        <v>0</v>
      </c>
      <c r="BD1268" s="10">
        <v>0</v>
      </c>
      <c r="BE1268" s="11">
        <v>0</v>
      </c>
      <c r="BF1268" s="10">
        <v>0</v>
      </c>
      <c r="BG1268" s="11">
        <v>0</v>
      </c>
      <c r="BH1268" s="11">
        <v>0</v>
      </c>
      <c r="BI1268" s="11">
        <v>0</v>
      </c>
      <c r="BJ1268" s="10">
        <v>0</v>
      </c>
      <c r="BK1268" s="11">
        <v>0</v>
      </c>
      <c r="BL1268" s="10">
        <v>0</v>
      </c>
      <c r="BN1268" s="8">
        <f t="shared" si="1250"/>
        <v>54.666666666666664</v>
      </c>
      <c r="BO1268" s="8">
        <f t="shared" si="1251"/>
        <v>4100</v>
      </c>
      <c r="BP1268" s="8">
        <f t="shared" si="1271"/>
        <v>101.87719298245614</v>
      </c>
      <c r="BQ1268" s="12">
        <f t="shared" si="1272"/>
        <v>6450</v>
      </c>
    </row>
    <row r="1269" spans="1:69">
      <c r="A1269" s="28">
        <v>2004</v>
      </c>
      <c r="B1269" s="27" t="s">
        <v>67</v>
      </c>
      <c r="C1269" s="24">
        <f t="shared" si="1231"/>
        <v>1220</v>
      </c>
      <c r="D1269" s="7" t="e">
        <f t="shared" ca="1" si="1228"/>
        <v>#N/A</v>
      </c>
      <c r="E1269" s="26">
        <f t="array" aca="1" ref="E1269" ca="1">AVERAGE(IF(INDIRECT(DatCol&amp;"$"&amp;TEXT(C1269,"###")):INDIRECT(DatCol&amp;"$"&amp;TEXT(C1269+57,"###"))&gt;0,INDIRECT(DatCol&amp;"$"&amp;TEXT(C1269,"###")):INDIRECT(DatCol&amp;"$"&amp;TEXT(C1269+57,"###"))))</f>
        <v>179.78888888888889</v>
      </c>
      <c r="F1269" s="26" t="str">
        <f t="shared" si="1226"/>
        <v>S</v>
      </c>
      <c r="K1269" s="9">
        <f t="shared" si="1252"/>
        <v>0</v>
      </c>
      <c r="AK1269" s="13"/>
      <c r="AM1269" s="13"/>
      <c r="BN1269" s="8">
        <f t="shared" si="1250"/>
        <v>0</v>
      </c>
      <c r="BO1269" s="8">
        <f t="shared" si="1251"/>
        <v>0</v>
      </c>
      <c r="BP1269" s="8">
        <f t="shared" si="1271"/>
        <v>0</v>
      </c>
      <c r="BQ1269" s="12">
        <f t="shared" si="1272"/>
        <v>0</v>
      </c>
    </row>
    <row r="1270" spans="1:69">
      <c r="A1270" s="28">
        <v>2005</v>
      </c>
      <c r="B1270" s="27" t="s">
        <v>67</v>
      </c>
      <c r="C1270" s="24">
        <f t="shared" si="1231"/>
        <v>1220</v>
      </c>
      <c r="D1270" s="7" t="e">
        <f t="shared" ca="1" si="1228"/>
        <v>#N/A</v>
      </c>
      <c r="E1270" s="26">
        <f t="array" aca="1" ref="E1270" ca="1">AVERAGE(IF(INDIRECT(DatCol&amp;"$"&amp;TEXT(C1270,"###")):INDIRECT(DatCol&amp;"$"&amp;TEXT(C1270+57,"###"))&gt;0,INDIRECT(DatCol&amp;"$"&amp;TEXT(C1270,"###")):INDIRECT(DatCol&amp;"$"&amp;TEXT(C1270+57,"###"))))</f>
        <v>179.78888888888889</v>
      </c>
      <c r="F1270" s="26" t="str">
        <f t="shared" si="1226"/>
        <v>S</v>
      </c>
      <c r="K1270" s="9">
        <f t="shared" si="1252"/>
        <v>0</v>
      </c>
      <c r="AK1270" s="13"/>
      <c r="AM1270" s="13"/>
      <c r="BN1270" s="8">
        <f t="shared" si="1250"/>
        <v>0</v>
      </c>
      <c r="BO1270" s="8">
        <f t="shared" si="1251"/>
        <v>0</v>
      </c>
      <c r="BP1270" s="8">
        <f t="shared" si="1271"/>
        <v>0</v>
      </c>
      <c r="BQ1270" s="12">
        <f t="shared" si="1272"/>
        <v>0</v>
      </c>
    </row>
    <row r="1271" spans="1:69">
      <c r="A1271" s="28">
        <v>2006</v>
      </c>
      <c r="B1271" s="27" t="s">
        <v>67</v>
      </c>
      <c r="C1271" s="24">
        <f t="shared" si="1231"/>
        <v>1220</v>
      </c>
      <c r="D1271" s="7" t="e">
        <f t="shared" ca="1" si="1228"/>
        <v>#N/A</v>
      </c>
      <c r="E1271" s="26">
        <f t="array" aca="1" ref="E1271" ca="1">AVERAGE(IF(INDIRECT(DatCol&amp;"$"&amp;TEXT(C1271,"###")):INDIRECT(DatCol&amp;"$"&amp;TEXT(C1271+57,"###"))&gt;0,INDIRECT(DatCol&amp;"$"&amp;TEXT(C1271,"###")):INDIRECT(DatCol&amp;"$"&amp;TEXT(C1271+57,"###"))))</f>
        <v>179.78888888888889</v>
      </c>
      <c r="F1271" s="26" t="str">
        <f t="shared" si="1226"/>
        <v>S</v>
      </c>
      <c r="K1271" s="9">
        <f t="shared" si="1252"/>
        <v>0</v>
      </c>
      <c r="AK1271" s="13"/>
      <c r="AM1271" s="13"/>
      <c r="BN1271" s="8">
        <f t="shared" si="1250"/>
        <v>0</v>
      </c>
      <c r="BO1271" s="8">
        <f t="shared" si="1251"/>
        <v>0</v>
      </c>
      <c r="BP1271" s="8">
        <f t="shared" si="1271"/>
        <v>0</v>
      </c>
      <c r="BQ1271" s="12">
        <f t="shared" si="1272"/>
        <v>0</v>
      </c>
    </row>
    <row r="1272" spans="1:69">
      <c r="A1272" s="28">
        <v>2007</v>
      </c>
      <c r="B1272" s="27" t="s">
        <v>67</v>
      </c>
      <c r="C1272" s="24">
        <f t="shared" si="1231"/>
        <v>1220</v>
      </c>
      <c r="D1272" s="7" t="e">
        <f t="shared" ca="1" si="1228"/>
        <v>#N/A</v>
      </c>
      <c r="E1272" s="26">
        <f t="array" aca="1" ref="E1272" ca="1">AVERAGE(IF(INDIRECT(DatCol&amp;"$"&amp;TEXT(C1272,"###")):INDIRECT(DatCol&amp;"$"&amp;TEXT(C1272+57,"###"))&gt;0,INDIRECT(DatCol&amp;"$"&amp;TEXT(C1272,"###")):INDIRECT(DatCol&amp;"$"&amp;TEXT(C1272+57,"###"))))</f>
        <v>179.78888888888889</v>
      </c>
      <c r="F1272" s="26" t="str">
        <f t="shared" si="1226"/>
        <v>S</v>
      </c>
      <c r="K1272" s="9">
        <f t="shared" si="1252"/>
        <v>0</v>
      </c>
      <c r="AK1272" s="13"/>
      <c r="AM1272" s="13"/>
      <c r="BN1272" s="8">
        <f t="shared" si="1250"/>
        <v>0</v>
      </c>
      <c r="BO1272" s="8">
        <f t="shared" si="1251"/>
        <v>0</v>
      </c>
      <c r="BP1272" s="8">
        <f t="shared" si="1271"/>
        <v>0</v>
      </c>
      <c r="BQ1272" s="12">
        <f t="shared" si="1272"/>
        <v>0</v>
      </c>
    </row>
    <row r="1273" spans="1:69">
      <c r="A1273" s="28">
        <v>2008</v>
      </c>
      <c r="B1273" s="27" t="s">
        <v>67</v>
      </c>
      <c r="C1273" s="24">
        <f t="shared" si="1231"/>
        <v>1220</v>
      </c>
      <c r="D1273" s="7" t="e">
        <f t="shared" ca="1" si="1228"/>
        <v>#N/A</v>
      </c>
      <c r="E1273" s="26">
        <f t="array" aca="1" ref="E1273" ca="1">AVERAGE(IF(INDIRECT(DatCol&amp;"$"&amp;TEXT(C1273,"###")):INDIRECT(DatCol&amp;"$"&amp;TEXT(C1273+57,"###"))&gt;0,INDIRECT(DatCol&amp;"$"&amp;TEXT(C1273,"###")):INDIRECT(DatCol&amp;"$"&amp;TEXT(C1273+57,"###"))))</f>
        <v>179.78888888888889</v>
      </c>
      <c r="F1273" s="26" t="str">
        <f t="shared" si="1226"/>
        <v>S</v>
      </c>
      <c r="K1273" s="9">
        <f t="shared" si="1252"/>
        <v>0</v>
      </c>
      <c r="AK1273" s="13"/>
      <c r="AM1273" s="13"/>
      <c r="BN1273" s="8">
        <f t="shared" si="1250"/>
        <v>0</v>
      </c>
      <c r="BO1273" s="8">
        <f t="shared" si="1251"/>
        <v>0</v>
      </c>
      <c r="BP1273" s="8">
        <f t="shared" si="1271"/>
        <v>0</v>
      </c>
      <c r="BQ1273" s="12">
        <f t="shared" si="1272"/>
        <v>0</v>
      </c>
    </row>
    <row r="1274" spans="1:69">
      <c r="A1274" s="28">
        <v>2009</v>
      </c>
      <c r="B1274" s="27" t="s">
        <v>67</v>
      </c>
      <c r="C1274" s="24">
        <f t="shared" si="1231"/>
        <v>1220</v>
      </c>
      <c r="D1274" s="7" t="e">
        <f t="shared" ca="1" si="1228"/>
        <v>#N/A</v>
      </c>
      <c r="E1274" s="26">
        <f t="array" aca="1" ref="E1274" ca="1">AVERAGE(IF(INDIRECT(DatCol&amp;"$"&amp;TEXT(C1274,"###")):INDIRECT(DatCol&amp;"$"&amp;TEXT(C1274+57,"###"))&gt;0,INDIRECT(DatCol&amp;"$"&amp;TEXT(C1274,"###")):INDIRECT(DatCol&amp;"$"&amp;TEXT(C1274+57,"###"))))</f>
        <v>179.78888888888889</v>
      </c>
      <c r="F1274" s="26" t="str">
        <f t="shared" si="1226"/>
        <v>S</v>
      </c>
      <c r="K1274" s="9">
        <f t="shared" si="1252"/>
        <v>0</v>
      </c>
      <c r="AK1274" s="13"/>
      <c r="AM1274" s="13"/>
      <c r="BN1274" s="8">
        <f t="shared" si="1250"/>
        <v>0</v>
      </c>
      <c r="BO1274" s="8">
        <f t="shared" si="1251"/>
        <v>0</v>
      </c>
      <c r="BP1274" s="8">
        <f t="shared" si="1271"/>
        <v>0</v>
      </c>
      <c r="BQ1274" s="12">
        <f t="shared" si="1272"/>
        <v>0</v>
      </c>
    </row>
    <row r="1275" spans="1:69">
      <c r="A1275" s="28">
        <v>2010</v>
      </c>
      <c r="B1275" s="27" t="s">
        <v>67</v>
      </c>
      <c r="C1275" s="24">
        <f t="shared" si="1231"/>
        <v>1220</v>
      </c>
      <c r="D1275" s="7" t="e">
        <f t="shared" ca="1" si="1228"/>
        <v>#N/A</v>
      </c>
      <c r="E1275" s="26">
        <f t="array" aca="1" ref="E1275" ca="1">AVERAGE(IF(INDIRECT(DatCol&amp;"$"&amp;TEXT(C1275,"###")):INDIRECT(DatCol&amp;"$"&amp;TEXT(C1275+57,"###"))&gt;0,INDIRECT(DatCol&amp;"$"&amp;TEXT(C1275,"###")):INDIRECT(DatCol&amp;"$"&amp;TEXT(C1275+57,"###"))))</f>
        <v>179.78888888888889</v>
      </c>
      <c r="F1275" s="26" t="str">
        <f t="shared" ref="F1275:F1277" si="1273">VLOOKUP(B1275,town_region,2,FALSE)</f>
        <v>S</v>
      </c>
      <c r="AK1275" s="13"/>
      <c r="AM1275" s="13"/>
      <c r="BN1275" s="8"/>
      <c r="BO1275" s="8"/>
      <c r="BP1275" s="8"/>
      <c r="BQ1275" s="12"/>
    </row>
    <row r="1276" spans="1:69">
      <c r="A1276" s="28">
        <v>2011</v>
      </c>
      <c r="B1276" s="27" t="s">
        <v>67</v>
      </c>
      <c r="C1276" s="24">
        <f t="shared" si="1231"/>
        <v>1220</v>
      </c>
      <c r="D1276" s="7" t="e">
        <f t="shared" ca="1" si="1228"/>
        <v>#N/A</v>
      </c>
      <c r="E1276" s="26">
        <f t="array" aca="1" ref="E1276" ca="1">AVERAGE(IF(INDIRECT(DatCol&amp;"$"&amp;TEXT(C1276,"###")):INDIRECT(DatCol&amp;"$"&amp;TEXT(C1276+57,"###"))&gt;0,INDIRECT(DatCol&amp;"$"&amp;TEXT(C1276,"###")):INDIRECT(DatCol&amp;"$"&amp;TEXT(C1276+57,"###"))))</f>
        <v>179.78888888888889</v>
      </c>
      <c r="F1276" s="26" t="str">
        <f t="shared" si="1273"/>
        <v>S</v>
      </c>
      <c r="AK1276" s="13"/>
      <c r="AM1276" s="13"/>
      <c r="BN1276" s="8"/>
      <c r="BO1276" s="8"/>
      <c r="BP1276" s="8"/>
      <c r="BQ1276" s="12"/>
    </row>
    <row r="1277" spans="1:69">
      <c r="A1277" s="28">
        <v>2012</v>
      </c>
      <c r="B1277" s="27" t="s">
        <v>67</v>
      </c>
      <c r="C1277" s="24">
        <f t="shared" si="1231"/>
        <v>1220</v>
      </c>
      <c r="D1277" s="7" t="e">
        <f t="shared" ca="1" si="1228"/>
        <v>#N/A</v>
      </c>
      <c r="E1277" s="26">
        <f t="array" aca="1" ref="E1277" ca="1">AVERAGE(IF(INDIRECT(DatCol&amp;"$"&amp;TEXT(C1277,"###")):INDIRECT(DatCol&amp;"$"&amp;TEXT(C1277+57,"###"))&gt;0,INDIRECT(DatCol&amp;"$"&amp;TEXT(C1277,"###")):INDIRECT(DatCol&amp;"$"&amp;TEXT(C1277+57,"###"))))</f>
        <v>179.78888888888889</v>
      </c>
      <c r="F1277" s="26" t="str">
        <f t="shared" si="1273"/>
        <v>S</v>
      </c>
      <c r="AK1277" s="13"/>
      <c r="AM1277" s="13"/>
      <c r="BN1277" s="8"/>
      <c r="BO1277" s="8"/>
      <c r="BP1277" s="8"/>
      <c r="BQ1277" s="12"/>
    </row>
    <row r="1278" spans="1:69">
      <c r="A1278" s="28">
        <v>1955</v>
      </c>
      <c r="B1278" s="27" t="s">
        <v>68</v>
      </c>
      <c r="C1278" s="24">
        <f>ROW()</f>
        <v>1278</v>
      </c>
      <c r="D1278" s="7" t="e">
        <f t="shared" ca="1" si="1228"/>
        <v>#N/A</v>
      </c>
      <c r="E1278" s="26">
        <f t="array" aca="1" ref="E1278" ca="1">AVERAGE(IF(INDIRECT(DatCol&amp;"$"&amp;TEXT(C1278,"###")):INDIRECT(DatCol&amp;"$"&amp;TEXT(C1278+57,"###"))&gt;0,INDIRECT(DatCol&amp;"$"&amp;TEXT(C1278,"###")):INDIRECT(DatCol&amp;"$"&amp;TEXT(C1278+57,"###"))))</f>
        <v>11.5</v>
      </c>
      <c r="F1278" s="26" t="str">
        <f t="shared" si="1226"/>
        <v>N</v>
      </c>
      <c r="G1278" s="8"/>
      <c r="K1278" s="9">
        <f t="shared" si="1252"/>
        <v>0</v>
      </c>
      <c r="M1278" s="11">
        <f t="shared" ref="M1278:M1292" si="1274">(L1278*50)</f>
        <v>0</v>
      </c>
      <c r="O1278" s="11">
        <f t="shared" ref="O1278:O1292" si="1275">(N1278*50)</f>
        <v>0</v>
      </c>
      <c r="Q1278" s="11">
        <f t="shared" ref="Q1278:Q1292" si="1276">((P1278*330)/5.5)</f>
        <v>0</v>
      </c>
      <c r="Y1278" s="11">
        <f t="shared" ref="Y1278:Y1292" si="1277">((X1278*330)/5.5)</f>
        <v>0</v>
      </c>
      <c r="AG1278" s="11">
        <f t="shared" ref="AG1278:AG1292" si="1278">(AF1278*65)</f>
        <v>0</v>
      </c>
      <c r="AI1278" s="11">
        <f t="shared" ref="AI1278:AI1292" si="1279">(AH1278*65)</f>
        <v>0</v>
      </c>
      <c r="AK1278" s="13">
        <f t="shared" ref="AK1278:AK1292" si="1280">(AJ1278*9)</f>
        <v>0</v>
      </c>
      <c r="AM1278" s="13">
        <f t="shared" ref="AM1278:AM1292" si="1281">(AL1278*9)</f>
        <v>0</v>
      </c>
      <c r="AO1278" s="11">
        <f t="shared" ref="AO1278:AO1292" si="1282">(AN1278*80)</f>
        <v>0</v>
      </c>
      <c r="AQ1278" s="11">
        <f t="shared" ref="AQ1278:AQ1292" si="1283">(AP1278*80)</f>
        <v>0</v>
      </c>
      <c r="AS1278" s="11">
        <f t="shared" ref="AS1278:AS1292" si="1284">(AR1278*50)</f>
        <v>0</v>
      </c>
      <c r="AU1278" s="11">
        <f t="shared" ref="AU1278:AU1292" si="1285">(AT1278*50)</f>
        <v>0</v>
      </c>
      <c r="AW1278" s="11">
        <f t="shared" ref="AW1278:AW1292" si="1286">(AV1278*60)</f>
        <v>0</v>
      </c>
      <c r="AY1278" s="11">
        <f t="shared" ref="AY1278:AY1292" si="1287">(AX1278*60)</f>
        <v>0</v>
      </c>
      <c r="BA1278" s="11">
        <f t="shared" ref="BA1278:BA1292" si="1288">(AZ1278*40)</f>
        <v>0</v>
      </c>
      <c r="BC1278" s="11">
        <f t="shared" ref="BC1278:BC1292" si="1289">(BB1278*40)</f>
        <v>0</v>
      </c>
      <c r="BE1278" s="11">
        <f t="shared" ref="BE1278:BE1292" si="1290">(BD1278*95)</f>
        <v>0</v>
      </c>
      <c r="BG1278" s="11">
        <f t="shared" ref="BG1278:BG1292" si="1291">(BF1278*95)</f>
        <v>0</v>
      </c>
      <c r="BN1278" s="8">
        <f t="shared" si="1250"/>
        <v>0</v>
      </c>
      <c r="BO1278" s="8">
        <f t="shared" si="1251"/>
        <v>0</v>
      </c>
      <c r="BP1278" s="8">
        <f t="shared" si="1271"/>
        <v>0</v>
      </c>
      <c r="BQ1278" s="12">
        <f t="shared" si="1272"/>
        <v>0</v>
      </c>
    </row>
    <row r="1279" spans="1:69">
      <c r="A1279" s="28">
        <v>1956</v>
      </c>
      <c r="B1279" s="27" t="s">
        <v>68</v>
      </c>
      <c r="C1279" s="24">
        <f t="shared" ref="C1279:C1335" si="1292">C1278</f>
        <v>1278</v>
      </c>
      <c r="D1279" s="7" t="e">
        <f t="shared" ca="1" si="1228"/>
        <v>#N/A</v>
      </c>
      <c r="E1279" s="26">
        <f t="array" aca="1" ref="E1279" ca="1">AVERAGE(IF(INDIRECT(DatCol&amp;"$"&amp;TEXT(C1279,"###")):INDIRECT(DatCol&amp;"$"&amp;TEXT(C1279+57,"###"))&gt;0,INDIRECT(DatCol&amp;"$"&amp;TEXT(C1279,"###")):INDIRECT(DatCol&amp;"$"&amp;TEXT(C1279+57,"###"))))</f>
        <v>11.5</v>
      </c>
      <c r="F1279" s="26" t="str">
        <f t="shared" si="1226"/>
        <v>N</v>
      </c>
      <c r="G1279" s="8"/>
      <c r="K1279" s="9">
        <f t="shared" si="1252"/>
        <v>0</v>
      </c>
      <c r="M1279" s="11">
        <f t="shared" si="1274"/>
        <v>0</v>
      </c>
      <c r="O1279" s="11">
        <f t="shared" si="1275"/>
        <v>0</v>
      </c>
      <c r="Q1279" s="11">
        <f t="shared" si="1276"/>
        <v>0</v>
      </c>
      <c r="Y1279" s="11">
        <f t="shared" si="1277"/>
        <v>0</v>
      </c>
      <c r="AG1279" s="11">
        <f t="shared" si="1278"/>
        <v>0</v>
      </c>
      <c r="AI1279" s="11">
        <f t="shared" si="1279"/>
        <v>0</v>
      </c>
      <c r="AK1279" s="13">
        <f t="shared" si="1280"/>
        <v>0</v>
      </c>
      <c r="AM1279" s="13">
        <f t="shared" si="1281"/>
        <v>0</v>
      </c>
      <c r="AO1279" s="11">
        <f t="shared" si="1282"/>
        <v>0</v>
      </c>
      <c r="AQ1279" s="11">
        <f t="shared" si="1283"/>
        <v>0</v>
      </c>
      <c r="AS1279" s="11">
        <f t="shared" si="1284"/>
        <v>0</v>
      </c>
      <c r="AU1279" s="11">
        <f t="shared" si="1285"/>
        <v>0</v>
      </c>
      <c r="AW1279" s="11">
        <f t="shared" si="1286"/>
        <v>0</v>
      </c>
      <c r="AY1279" s="11">
        <f t="shared" si="1287"/>
        <v>0</v>
      </c>
      <c r="BA1279" s="11">
        <f t="shared" si="1288"/>
        <v>0</v>
      </c>
      <c r="BC1279" s="11">
        <f t="shared" si="1289"/>
        <v>0</v>
      </c>
      <c r="BE1279" s="11">
        <f t="shared" si="1290"/>
        <v>0</v>
      </c>
      <c r="BG1279" s="11">
        <f t="shared" si="1291"/>
        <v>0</v>
      </c>
      <c r="BN1279" s="8">
        <f t="shared" si="1250"/>
        <v>0</v>
      </c>
      <c r="BO1279" s="8">
        <f t="shared" si="1251"/>
        <v>0</v>
      </c>
      <c r="BP1279" s="8">
        <f t="shared" si="1271"/>
        <v>0</v>
      </c>
      <c r="BQ1279" s="12">
        <f t="shared" si="1272"/>
        <v>0</v>
      </c>
    </row>
    <row r="1280" spans="1:69">
      <c r="A1280" s="28">
        <v>1957</v>
      </c>
      <c r="B1280" s="27" t="s">
        <v>68</v>
      </c>
      <c r="C1280" s="24">
        <f t="shared" si="1292"/>
        <v>1278</v>
      </c>
      <c r="D1280" s="7" t="e">
        <f t="shared" ca="1" si="1228"/>
        <v>#N/A</v>
      </c>
      <c r="E1280" s="26">
        <f t="array" aca="1" ref="E1280" ca="1">AVERAGE(IF(INDIRECT(DatCol&amp;"$"&amp;TEXT(C1280,"###")):INDIRECT(DatCol&amp;"$"&amp;TEXT(C1280+57,"###"))&gt;0,INDIRECT(DatCol&amp;"$"&amp;TEXT(C1280,"###")):INDIRECT(DatCol&amp;"$"&amp;TEXT(C1280+57,"###"))))</f>
        <v>11.5</v>
      </c>
      <c r="F1280" s="26" t="str">
        <f t="shared" si="1226"/>
        <v>N</v>
      </c>
      <c r="G1280" s="8"/>
      <c r="K1280" s="9">
        <f t="shared" si="1252"/>
        <v>0</v>
      </c>
      <c r="M1280" s="11">
        <f t="shared" si="1274"/>
        <v>0</v>
      </c>
      <c r="O1280" s="11">
        <f t="shared" si="1275"/>
        <v>0</v>
      </c>
      <c r="Q1280" s="11">
        <f t="shared" si="1276"/>
        <v>0</v>
      </c>
      <c r="Y1280" s="11">
        <f t="shared" si="1277"/>
        <v>0</v>
      </c>
      <c r="AG1280" s="11">
        <f t="shared" si="1278"/>
        <v>0</v>
      </c>
      <c r="AI1280" s="11">
        <f t="shared" si="1279"/>
        <v>0</v>
      </c>
      <c r="AK1280" s="13">
        <f t="shared" si="1280"/>
        <v>0</v>
      </c>
      <c r="AM1280" s="13">
        <f t="shared" si="1281"/>
        <v>0</v>
      </c>
      <c r="AO1280" s="11">
        <f t="shared" si="1282"/>
        <v>0</v>
      </c>
      <c r="AQ1280" s="11">
        <f t="shared" si="1283"/>
        <v>0</v>
      </c>
      <c r="AS1280" s="11">
        <f t="shared" si="1284"/>
        <v>0</v>
      </c>
      <c r="AU1280" s="11">
        <f t="shared" si="1285"/>
        <v>0</v>
      </c>
      <c r="AW1280" s="11">
        <f t="shared" si="1286"/>
        <v>0</v>
      </c>
      <c r="AY1280" s="11">
        <f t="shared" si="1287"/>
        <v>0</v>
      </c>
      <c r="BA1280" s="11">
        <f t="shared" si="1288"/>
        <v>0</v>
      </c>
      <c r="BC1280" s="11">
        <f t="shared" si="1289"/>
        <v>0</v>
      </c>
      <c r="BE1280" s="11">
        <f t="shared" si="1290"/>
        <v>0</v>
      </c>
      <c r="BG1280" s="11">
        <f t="shared" si="1291"/>
        <v>0</v>
      </c>
      <c r="BN1280" s="8">
        <f t="shared" si="1250"/>
        <v>0</v>
      </c>
      <c r="BO1280" s="8">
        <f t="shared" si="1251"/>
        <v>0</v>
      </c>
      <c r="BP1280" s="8">
        <f t="shared" si="1271"/>
        <v>0</v>
      </c>
      <c r="BQ1280" s="12">
        <f t="shared" si="1272"/>
        <v>0</v>
      </c>
    </row>
    <row r="1281" spans="1:69">
      <c r="A1281" s="28">
        <v>1958</v>
      </c>
      <c r="B1281" s="27" t="s">
        <v>68</v>
      </c>
      <c r="C1281" s="24">
        <f t="shared" si="1292"/>
        <v>1278</v>
      </c>
      <c r="D1281" s="7" t="e">
        <f t="shared" ca="1" si="1228"/>
        <v>#N/A</v>
      </c>
      <c r="E1281" s="26">
        <f t="array" aca="1" ref="E1281" ca="1">AVERAGE(IF(INDIRECT(DatCol&amp;"$"&amp;TEXT(C1281,"###")):INDIRECT(DatCol&amp;"$"&amp;TEXT(C1281+57,"###"))&gt;0,INDIRECT(DatCol&amp;"$"&amp;TEXT(C1281,"###")):INDIRECT(DatCol&amp;"$"&amp;TEXT(C1281+57,"###"))))</f>
        <v>11.5</v>
      </c>
      <c r="F1281" s="26" t="str">
        <f t="shared" si="1226"/>
        <v>N</v>
      </c>
      <c r="G1281" s="8"/>
      <c r="K1281" s="9">
        <f t="shared" si="1252"/>
        <v>0</v>
      </c>
      <c r="M1281" s="11">
        <f t="shared" si="1274"/>
        <v>0</v>
      </c>
      <c r="O1281" s="11">
        <f t="shared" si="1275"/>
        <v>0</v>
      </c>
      <c r="Q1281" s="11">
        <f t="shared" si="1276"/>
        <v>0</v>
      </c>
      <c r="Y1281" s="11">
        <f t="shared" si="1277"/>
        <v>0</v>
      </c>
      <c r="AG1281" s="11">
        <f t="shared" si="1278"/>
        <v>0</v>
      </c>
      <c r="AI1281" s="11">
        <f t="shared" si="1279"/>
        <v>0</v>
      </c>
      <c r="AK1281" s="13">
        <f t="shared" si="1280"/>
        <v>0</v>
      </c>
      <c r="AM1281" s="13">
        <f t="shared" si="1281"/>
        <v>0</v>
      </c>
      <c r="AO1281" s="11">
        <f t="shared" si="1282"/>
        <v>0</v>
      </c>
      <c r="AQ1281" s="11">
        <f t="shared" si="1283"/>
        <v>0</v>
      </c>
      <c r="AS1281" s="11">
        <f t="shared" si="1284"/>
        <v>0</v>
      </c>
      <c r="AU1281" s="11">
        <f t="shared" si="1285"/>
        <v>0</v>
      </c>
      <c r="AW1281" s="11">
        <f t="shared" si="1286"/>
        <v>0</v>
      </c>
      <c r="AY1281" s="11">
        <f t="shared" si="1287"/>
        <v>0</v>
      </c>
      <c r="BA1281" s="11">
        <f t="shared" si="1288"/>
        <v>0</v>
      </c>
      <c r="BC1281" s="11">
        <f t="shared" si="1289"/>
        <v>0</v>
      </c>
      <c r="BE1281" s="11">
        <f t="shared" si="1290"/>
        <v>0</v>
      </c>
      <c r="BG1281" s="11">
        <f t="shared" si="1291"/>
        <v>0</v>
      </c>
      <c r="BN1281" s="8">
        <f t="shared" si="1250"/>
        <v>0</v>
      </c>
      <c r="BO1281" s="8">
        <f t="shared" si="1251"/>
        <v>0</v>
      </c>
      <c r="BP1281" s="8">
        <f t="shared" si="1271"/>
        <v>0</v>
      </c>
      <c r="BQ1281" s="12">
        <f t="shared" si="1272"/>
        <v>0</v>
      </c>
    </row>
    <row r="1282" spans="1:69">
      <c r="A1282" s="28">
        <v>1959</v>
      </c>
      <c r="B1282" s="27" t="s">
        <v>68</v>
      </c>
      <c r="C1282" s="24">
        <f t="shared" si="1292"/>
        <v>1278</v>
      </c>
      <c r="D1282" s="7" t="e">
        <f t="shared" ref="D1282:D1345" ca="1" si="1293">IF(AND((INDIRECT(DatCol&amp;TEXT(ROW(),"###"))&gt;0),((F1282=RegionSelect)+(RegionSelect="A"))),INDIRECT(DatCol&amp;TEXT(ROW(),"###"))/E1282,NA())</f>
        <v>#N/A</v>
      </c>
      <c r="E1282" s="26">
        <f t="array" aca="1" ref="E1282" ca="1">AVERAGE(IF(INDIRECT(DatCol&amp;"$"&amp;TEXT(C1282,"###")):INDIRECT(DatCol&amp;"$"&amp;TEXT(C1282+57,"###"))&gt;0,INDIRECT(DatCol&amp;"$"&amp;TEXT(C1282,"###")):INDIRECT(DatCol&amp;"$"&amp;TEXT(C1282+57,"###"))))</f>
        <v>11.5</v>
      </c>
      <c r="F1282" s="26" t="str">
        <f t="shared" si="1226"/>
        <v>N</v>
      </c>
      <c r="G1282" s="8"/>
      <c r="K1282" s="9">
        <f t="shared" si="1252"/>
        <v>0</v>
      </c>
      <c r="M1282" s="11">
        <f t="shared" si="1274"/>
        <v>0</v>
      </c>
      <c r="O1282" s="11">
        <f t="shared" si="1275"/>
        <v>0</v>
      </c>
      <c r="Q1282" s="11">
        <f t="shared" si="1276"/>
        <v>0</v>
      </c>
      <c r="Y1282" s="11">
        <f t="shared" si="1277"/>
        <v>0</v>
      </c>
      <c r="AG1282" s="11">
        <f t="shared" si="1278"/>
        <v>0</v>
      </c>
      <c r="AI1282" s="11">
        <f t="shared" si="1279"/>
        <v>0</v>
      </c>
      <c r="AK1282" s="13">
        <f t="shared" si="1280"/>
        <v>0</v>
      </c>
      <c r="AM1282" s="13">
        <f t="shared" si="1281"/>
        <v>0</v>
      </c>
      <c r="AO1282" s="11">
        <f t="shared" si="1282"/>
        <v>0</v>
      </c>
      <c r="AQ1282" s="11">
        <f t="shared" si="1283"/>
        <v>0</v>
      </c>
      <c r="AS1282" s="11">
        <f t="shared" si="1284"/>
        <v>0</v>
      </c>
      <c r="AU1282" s="11">
        <f t="shared" si="1285"/>
        <v>0</v>
      </c>
      <c r="AW1282" s="11">
        <f t="shared" si="1286"/>
        <v>0</v>
      </c>
      <c r="AY1282" s="11">
        <f t="shared" si="1287"/>
        <v>0</v>
      </c>
      <c r="BA1282" s="11">
        <f t="shared" si="1288"/>
        <v>0</v>
      </c>
      <c r="BC1282" s="11">
        <f t="shared" si="1289"/>
        <v>0</v>
      </c>
      <c r="BE1282" s="11">
        <f t="shared" si="1290"/>
        <v>0</v>
      </c>
      <c r="BG1282" s="11">
        <f t="shared" si="1291"/>
        <v>0</v>
      </c>
      <c r="BN1282" s="8">
        <f t="shared" si="1250"/>
        <v>0</v>
      </c>
      <c r="BO1282" s="8">
        <f t="shared" si="1251"/>
        <v>0</v>
      </c>
      <c r="BP1282" s="8">
        <f t="shared" si="1271"/>
        <v>0</v>
      </c>
      <c r="BQ1282" s="12">
        <f t="shared" si="1272"/>
        <v>0</v>
      </c>
    </row>
    <row r="1283" spans="1:69">
      <c r="A1283" s="28">
        <v>1960</v>
      </c>
      <c r="B1283" s="27" t="s">
        <v>68</v>
      </c>
      <c r="C1283" s="24">
        <f t="shared" si="1292"/>
        <v>1278</v>
      </c>
      <c r="D1283" s="7" t="e">
        <f t="shared" ca="1" si="1293"/>
        <v>#N/A</v>
      </c>
      <c r="E1283" s="26">
        <f t="array" aca="1" ref="E1283" ca="1">AVERAGE(IF(INDIRECT(DatCol&amp;"$"&amp;TEXT(C1283,"###")):INDIRECT(DatCol&amp;"$"&amp;TEXT(C1283+57,"###"))&gt;0,INDIRECT(DatCol&amp;"$"&amp;TEXT(C1283,"###")):INDIRECT(DatCol&amp;"$"&amp;TEXT(C1283+57,"###"))))</f>
        <v>11.5</v>
      </c>
      <c r="F1283" s="26" t="str">
        <f t="shared" si="1226"/>
        <v>N</v>
      </c>
      <c r="G1283" s="8"/>
      <c r="K1283" s="9">
        <f t="shared" si="1252"/>
        <v>0</v>
      </c>
      <c r="M1283" s="11">
        <f t="shared" si="1274"/>
        <v>0</v>
      </c>
      <c r="O1283" s="11">
        <f t="shared" si="1275"/>
        <v>0</v>
      </c>
      <c r="Q1283" s="11">
        <f t="shared" si="1276"/>
        <v>0</v>
      </c>
      <c r="Y1283" s="11">
        <f t="shared" si="1277"/>
        <v>0</v>
      </c>
      <c r="AG1283" s="11">
        <f t="shared" si="1278"/>
        <v>0</v>
      </c>
      <c r="AI1283" s="11">
        <f t="shared" si="1279"/>
        <v>0</v>
      </c>
      <c r="AK1283" s="13">
        <f t="shared" si="1280"/>
        <v>0</v>
      </c>
      <c r="AM1283" s="13">
        <f t="shared" si="1281"/>
        <v>0</v>
      </c>
      <c r="AO1283" s="11">
        <f t="shared" si="1282"/>
        <v>0</v>
      </c>
      <c r="AQ1283" s="11">
        <f t="shared" si="1283"/>
        <v>0</v>
      </c>
      <c r="AS1283" s="11">
        <f t="shared" si="1284"/>
        <v>0</v>
      </c>
      <c r="AU1283" s="11">
        <f t="shared" si="1285"/>
        <v>0</v>
      </c>
      <c r="AW1283" s="11">
        <f t="shared" si="1286"/>
        <v>0</v>
      </c>
      <c r="AY1283" s="11">
        <f t="shared" si="1287"/>
        <v>0</v>
      </c>
      <c r="BA1283" s="11">
        <f t="shared" si="1288"/>
        <v>0</v>
      </c>
      <c r="BC1283" s="11">
        <f t="shared" si="1289"/>
        <v>0</v>
      </c>
      <c r="BE1283" s="11">
        <f t="shared" si="1290"/>
        <v>0</v>
      </c>
      <c r="BG1283" s="11">
        <f t="shared" si="1291"/>
        <v>0</v>
      </c>
      <c r="BN1283" s="8">
        <f t="shared" si="1250"/>
        <v>0</v>
      </c>
      <c r="BO1283" s="8">
        <f t="shared" si="1251"/>
        <v>0</v>
      </c>
      <c r="BP1283" s="8">
        <f t="shared" si="1271"/>
        <v>0</v>
      </c>
      <c r="BQ1283" s="12">
        <f t="shared" si="1272"/>
        <v>0</v>
      </c>
    </row>
    <row r="1284" spans="1:69">
      <c r="A1284" s="28">
        <v>1961</v>
      </c>
      <c r="B1284" s="27" t="s">
        <v>68</v>
      </c>
      <c r="C1284" s="24">
        <f t="shared" si="1292"/>
        <v>1278</v>
      </c>
      <c r="D1284" s="7" t="e">
        <f t="shared" ca="1" si="1293"/>
        <v>#N/A</v>
      </c>
      <c r="E1284" s="26">
        <f t="array" aca="1" ref="E1284" ca="1">AVERAGE(IF(INDIRECT(DatCol&amp;"$"&amp;TEXT(C1284,"###")):INDIRECT(DatCol&amp;"$"&amp;TEXT(C1284+57,"###"))&gt;0,INDIRECT(DatCol&amp;"$"&amp;TEXT(C1284,"###")):INDIRECT(DatCol&amp;"$"&amp;TEXT(C1284+57,"###"))))</f>
        <v>11.5</v>
      </c>
      <c r="F1284" s="26" t="str">
        <f t="shared" ref="F1284:F1350" si="1294">VLOOKUP(B1284,town_region,2,FALSE)</f>
        <v>N</v>
      </c>
      <c r="G1284" s="8"/>
      <c r="K1284" s="9">
        <f t="shared" si="1252"/>
        <v>0</v>
      </c>
      <c r="M1284" s="11">
        <f t="shared" si="1274"/>
        <v>0</v>
      </c>
      <c r="O1284" s="11">
        <f t="shared" si="1275"/>
        <v>0</v>
      </c>
      <c r="Q1284" s="11">
        <f t="shared" si="1276"/>
        <v>0</v>
      </c>
      <c r="Y1284" s="11">
        <f t="shared" si="1277"/>
        <v>0</v>
      </c>
      <c r="AG1284" s="11">
        <f t="shared" si="1278"/>
        <v>0</v>
      </c>
      <c r="AI1284" s="11">
        <f t="shared" si="1279"/>
        <v>0</v>
      </c>
      <c r="AK1284" s="13">
        <f t="shared" si="1280"/>
        <v>0</v>
      </c>
      <c r="AM1284" s="13">
        <f t="shared" si="1281"/>
        <v>0</v>
      </c>
      <c r="AO1284" s="11">
        <f t="shared" si="1282"/>
        <v>0</v>
      </c>
      <c r="AQ1284" s="11">
        <f t="shared" si="1283"/>
        <v>0</v>
      </c>
      <c r="AS1284" s="11">
        <f t="shared" si="1284"/>
        <v>0</v>
      </c>
      <c r="AU1284" s="11">
        <f t="shared" si="1285"/>
        <v>0</v>
      </c>
      <c r="AW1284" s="11">
        <f t="shared" si="1286"/>
        <v>0</v>
      </c>
      <c r="AY1284" s="11">
        <f t="shared" si="1287"/>
        <v>0</v>
      </c>
      <c r="BA1284" s="11">
        <f t="shared" si="1288"/>
        <v>0</v>
      </c>
      <c r="BC1284" s="11">
        <f t="shared" si="1289"/>
        <v>0</v>
      </c>
      <c r="BE1284" s="11">
        <f t="shared" si="1290"/>
        <v>0</v>
      </c>
      <c r="BG1284" s="11">
        <f t="shared" si="1291"/>
        <v>0</v>
      </c>
      <c r="BN1284" s="8">
        <f t="shared" si="1250"/>
        <v>0</v>
      </c>
      <c r="BO1284" s="8">
        <f t="shared" si="1251"/>
        <v>0</v>
      </c>
      <c r="BP1284" s="8">
        <f t="shared" si="1271"/>
        <v>0</v>
      </c>
      <c r="BQ1284" s="12">
        <f t="shared" si="1272"/>
        <v>0</v>
      </c>
    </row>
    <row r="1285" spans="1:69">
      <c r="A1285" s="28">
        <v>1962</v>
      </c>
      <c r="B1285" s="27" t="s">
        <v>68</v>
      </c>
      <c r="C1285" s="24">
        <f t="shared" si="1292"/>
        <v>1278</v>
      </c>
      <c r="D1285" s="7" t="e">
        <f t="shared" ca="1" si="1293"/>
        <v>#N/A</v>
      </c>
      <c r="E1285" s="26">
        <f t="array" aca="1" ref="E1285" ca="1">AVERAGE(IF(INDIRECT(DatCol&amp;"$"&amp;TEXT(C1285,"###")):INDIRECT(DatCol&amp;"$"&amp;TEXT(C1285+57,"###"))&gt;0,INDIRECT(DatCol&amp;"$"&amp;TEXT(C1285,"###")):INDIRECT(DatCol&amp;"$"&amp;TEXT(C1285+57,"###"))))</f>
        <v>11.5</v>
      </c>
      <c r="F1285" s="26" t="str">
        <f t="shared" si="1294"/>
        <v>N</v>
      </c>
      <c r="G1285" s="8"/>
      <c r="K1285" s="9">
        <f t="shared" si="1252"/>
        <v>0</v>
      </c>
      <c r="M1285" s="11">
        <f t="shared" si="1274"/>
        <v>0</v>
      </c>
      <c r="O1285" s="11">
        <f t="shared" si="1275"/>
        <v>0</v>
      </c>
      <c r="Q1285" s="11">
        <f t="shared" si="1276"/>
        <v>0</v>
      </c>
      <c r="Y1285" s="11">
        <f t="shared" si="1277"/>
        <v>0</v>
      </c>
      <c r="AG1285" s="11">
        <f t="shared" si="1278"/>
        <v>0</v>
      </c>
      <c r="AI1285" s="11">
        <f t="shared" si="1279"/>
        <v>0</v>
      </c>
      <c r="AK1285" s="13">
        <f t="shared" si="1280"/>
        <v>0</v>
      </c>
      <c r="AM1285" s="13">
        <f t="shared" si="1281"/>
        <v>0</v>
      </c>
      <c r="AO1285" s="11">
        <f t="shared" si="1282"/>
        <v>0</v>
      </c>
      <c r="AQ1285" s="11">
        <f t="shared" si="1283"/>
        <v>0</v>
      </c>
      <c r="AS1285" s="11">
        <f t="shared" si="1284"/>
        <v>0</v>
      </c>
      <c r="AU1285" s="11">
        <f t="shared" si="1285"/>
        <v>0</v>
      </c>
      <c r="AW1285" s="11">
        <f t="shared" si="1286"/>
        <v>0</v>
      </c>
      <c r="AY1285" s="11">
        <f t="shared" si="1287"/>
        <v>0</v>
      </c>
      <c r="BA1285" s="11">
        <f t="shared" si="1288"/>
        <v>0</v>
      </c>
      <c r="BC1285" s="11">
        <f t="shared" si="1289"/>
        <v>0</v>
      </c>
      <c r="BE1285" s="11">
        <f t="shared" si="1290"/>
        <v>0</v>
      </c>
      <c r="BG1285" s="11">
        <f t="shared" si="1291"/>
        <v>0</v>
      </c>
      <c r="BN1285" s="8">
        <f t="shared" si="1250"/>
        <v>0</v>
      </c>
      <c r="BO1285" s="8">
        <f t="shared" si="1251"/>
        <v>0</v>
      </c>
      <c r="BP1285" s="8">
        <f t="shared" si="1271"/>
        <v>0</v>
      </c>
      <c r="BQ1285" s="12">
        <f t="shared" si="1272"/>
        <v>0</v>
      </c>
    </row>
    <row r="1286" spans="1:69">
      <c r="A1286" s="28">
        <v>1963</v>
      </c>
      <c r="B1286" s="27" t="s">
        <v>68</v>
      </c>
      <c r="C1286" s="24">
        <f t="shared" si="1292"/>
        <v>1278</v>
      </c>
      <c r="D1286" s="7" t="e">
        <f t="shared" ca="1" si="1293"/>
        <v>#N/A</v>
      </c>
      <c r="E1286" s="26">
        <f t="array" aca="1" ref="E1286" ca="1">AVERAGE(IF(INDIRECT(DatCol&amp;"$"&amp;TEXT(C1286,"###")):INDIRECT(DatCol&amp;"$"&amp;TEXT(C1286+57,"###"))&gt;0,INDIRECT(DatCol&amp;"$"&amp;TEXT(C1286,"###")):INDIRECT(DatCol&amp;"$"&amp;TEXT(C1286+57,"###"))))</f>
        <v>11.5</v>
      </c>
      <c r="F1286" s="26" t="str">
        <f t="shared" si="1294"/>
        <v>N</v>
      </c>
      <c r="G1286" s="8"/>
      <c r="K1286" s="9">
        <f t="shared" si="1252"/>
        <v>0</v>
      </c>
      <c r="M1286" s="11">
        <f t="shared" si="1274"/>
        <v>0</v>
      </c>
      <c r="O1286" s="11">
        <f t="shared" si="1275"/>
        <v>0</v>
      </c>
      <c r="Q1286" s="11">
        <f t="shared" si="1276"/>
        <v>0</v>
      </c>
      <c r="Y1286" s="11">
        <f t="shared" si="1277"/>
        <v>0</v>
      </c>
      <c r="AG1286" s="11">
        <f t="shared" si="1278"/>
        <v>0</v>
      </c>
      <c r="AI1286" s="11">
        <f t="shared" si="1279"/>
        <v>0</v>
      </c>
      <c r="AK1286" s="13">
        <f t="shared" si="1280"/>
        <v>0</v>
      </c>
      <c r="AM1286" s="13">
        <f t="shared" si="1281"/>
        <v>0</v>
      </c>
      <c r="AO1286" s="11">
        <f t="shared" si="1282"/>
        <v>0</v>
      </c>
      <c r="AQ1286" s="11">
        <f t="shared" si="1283"/>
        <v>0</v>
      </c>
      <c r="AS1286" s="11">
        <f t="shared" si="1284"/>
        <v>0</v>
      </c>
      <c r="AU1286" s="11">
        <f t="shared" si="1285"/>
        <v>0</v>
      </c>
      <c r="AW1286" s="11">
        <f t="shared" si="1286"/>
        <v>0</v>
      </c>
      <c r="AY1286" s="11">
        <f t="shared" si="1287"/>
        <v>0</v>
      </c>
      <c r="BA1286" s="11">
        <f t="shared" si="1288"/>
        <v>0</v>
      </c>
      <c r="BC1286" s="11">
        <f t="shared" si="1289"/>
        <v>0</v>
      </c>
      <c r="BE1286" s="11">
        <f t="shared" si="1290"/>
        <v>0</v>
      </c>
      <c r="BG1286" s="11">
        <f t="shared" si="1291"/>
        <v>0</v>
      </c>
      <c r="BN1286" s="8">
        <f t="shared" si="1250"/>
        <v>0</v>
      </c>
      <c r="BO1286" s="8">
        <f t="shared" si="1251"/>
        <v>0</v>
      </c>
      <c r="BP1286" s="8">
        <f t="shared" si="1271"/>
        <v>0</v>
      </c>
      <c r="BQ1286" s="12">
        <f t="shared" si="1272"/>
        <v>0</v>
      </c>
    </row>
    <row r="1287" spans="1:69">
      <c r="A1287" s="28">
        <v>1964</v>
      </c>
      <c r="B1287" s="27" t="s">
        <v>68</v>
      </c>
      <c r="C1287" s="24">
        <f t="shared" si="1292"/>
        <v>1278</v>
      </c>
      <c r="D1287" s="7" t="e">
        <f t="shared" ca="1" si="1293"/>
        <v>#N/A</v>
      </c>
      <c r="E1287" s="26">
        <f t="array" aca="1" ref="E1287" ca="1">AVERAGE(IF(INDIRECT(DatCol&amp;"$"&amp;TEXT(C1287,"###")):INDIRECT(DatCol&amp;"$"&amp;TEXT(C1287+57,"###"))&gt;0,INDIRECT(DatCol&amp;"$"&amp;TEXT(C1287,"###")):INDIRECT(DatCol&amp;"$"&amp;TEXT(C1287+57,"###"))))</f>
        <v>11.5</v>
      </c>
      <c r="F1287" s="26" t="str">
        <f t="shared" si="1294"/>
        <v>N</v>
      </c>
      <c r="G1287" s="8"/>
      <c r="K1287" s="9">
        <f t="shared" si="1252"/>
        <v>0</v>
      </c>
      <c r="M1287" s="11">
        <f t="shared" si="1274"/>
        <v>0</v>
      </c>
      <c r="O1287" s="11">
        <f t="shared" si="1275"/>
        <v>0</v>
      </c>
      <c r="Q1287" s="11">
        <f t="shared" si="1276"/>
        <v>0</v>
      </c>
      <c r="Y1287" s="11">
        <f t="shared" si="1277"/>
        <v>0</v>
      </c>
      <c r="AG1287" s="11">
        <f t="shared" si="1278"/>
        <v>0</v>
      </c>
      <c r="AI1287" s="11">
        <f t="shared" si="1279"/>
        <v>0</v>
      </c>
      <c r="AK1287" s="13">
        <f t="shared" si="1280"/>
        <v>0</v>
      </c>
      <c r="AM1287" s="13">
        <f t="shared" si="1281"/>
        <v>0</v>
      </c>
      <c r="AO1287" s="11">
        <f t="shared" si="1282"/>
        <v>0</v>
      </c>
      <c r="AQ1287" s="11">
        <f t="shared" si="1283"/>
        <v>0</v>
      </c>
      <c r="AS1287" s="11">
        <f t="shared" si="1284"/>
        <v>0</v>
      </c>
      <c r="AU1287" s="11">
        <f t="shared" si="1285"/>
        <v>0</v>
      </c>
      <c r="AW1287" s="11">
        <f t="shared" si="1286"/>
        <v>0</v>
      </c>
      <c r="AY1287" s="11">
        <f t="shared" si="1287"/>
        <v>0</v>
      </c>
      <c r="BA1287" s="11">
        <f t="shared" si="1288"/>
        <v>0</v>
      </c>
      <c r="BC1287" s="11">
        <f t="shared" si="1289"/>
        <v>0</v>
      </c>
      <c r="BE1287" s="11">
        <f t="shared" si="1290"/>
        <v>0</v>
      </c>
      <c r="BG1287" s="11">
        <f t="shared" si="1291"/>
        <v>0</v>
      </c>
      <c r="BN1287" s="8">
        <f t="shared" si="1250"/>
        <v>0</v>
      </c>
      <c r="BO1287" s="8">
        <f t="shared" si="1251"/>
        <v>0</v>
      </c>
      <c r="BP1287" s="8">
        <f t="shared" si="1271"/>
        <v>0</v>
      </c>
      <c r="BQ1287" s="12">
        <f t="shared" si="1272"/>
        <v>0</v>
      </c>
    </row>
    <row r="1288" spans="1:69">
      <c r="A1288" s="28">
        <v>1965</v>
      </c>
      <c r="B1288" s="27" t="s">
        <v>68</v>
      </c>
      <c r="C1288" s="24">
        <f t="shared" si="1292"/>
        <v>1278</v>
      </c>
      <c r="D1288" s="7" t="e">
        <f t="shared" ca="1" si="1293"/>
        <v>#N/A</v>
      </c>
      <c r="E1288" s="26">
        <f t="array" aca="1" ref="E1288" ca="1">AVERAGE(IF(INDIRECT(DatCol&amp;"$"&amp;TEXT(C1288,"###")):INDIRECT(DatCol&amp;"$"&amp;TEXT(C1288+57,"###"))&gt;0,INDIRECT(DatCol&amp;"$"&amp;TEXT(C1288,"###")):INDIRECT(DatCol&amp;"$"&amp;TEXT(C1288+57,"###"))))</f>
        <v>11.5</v>
      </c>
      <c r="F1288" s="26" t="str">
        <f t="shared" si="1294"/>
        <v>N</v>
      </c>
      <c r="G1288" s="8"/>
      <c r="K1288" s="9">
        <f t="shared" si="1252"/>
        <v>0</v>
      </c>
      <c r="M1288" s="11">
        <f t="shared" si="1274"/>
        <v>0</v>
      </c>
      <c r="O1288" s="11">
        <f t="shared" si="1275"/>
        <v>0</v>
      </c>
      <c r="Q1288" s="11">
        <f t="shared" si="1276"/>
        <v>0</v>
      </c>
      <c r="Y1288" s="11">
        <f t="shared" si="1277"/>
        <v>0</v>
      </c>
      <c r="AG1288" s="11">
        <f t="shared" si="1278"/>
        <v>0</v>
      </c>
      <c r="AI1288" s="11">
        <f t="shared" si="1279"/>
        <v>0</v>
      </c>
      <c r="AK1288" s="13">
        <f t="shared" si="1280"/>
        <v>0</v>
      </c>
      <c r="AM1288" s="13">
        <f t="shared" si="1281"/>
        <v>0</v>
      </c>
      <c r="AO1288" s="11">
        <f t="shared" si="1282"/>
        <v>0</v>
      </c>
      <c r="AQ1288" s="11">
        <f t="shared" si="1283"/>
        <v>0</v>
      </c>
      <c r="AS1288" s="11">
        <f t="shared" si="1284"/>
        <v>0</v>
      </c>
      <c r="AU1288" s="11">
        <f t="shared" si="1285"/>
        <v>0</v>
      </c>
      <c r="AW1288" s="11">
        <f t="shared" si="1286"/>
        <v>0</v>
      </c>
      <c r="AY1288" s="11">
        <f t="shared" si="1287"/>
        <v>0</v>
      </c>
      <c r="BA1288" s="11">
        <f t="shared" si="1288"/>
        <v>0</v>
      </c>
      <c r="BC1288" s="11">
        <f t="shared" si="1289"/>
        <v>0</v>
      </c>
      <c r="BE1288" s="11">
        <f t="shared" si="1290"/>
        <v>0</v>
      </c>
      <c r="BG1288" s="11">
        <f t="shared" si="1291"/>
        <v>0</v>
      </c>
      <c r="BN1288" s="8">
        <f t="shared" si="1250"/>
        <v>0</v>
      </c>
      <c r="BO1288" s="8">
        <f t="shared" si="1251"/>
        <v>0</v>
      </c>
      <c r="BP1288" s="8">
        <f t="shared" si="1271"/>
        <v>0</v>
      </c>
      <c r="BQ1288" s="12">
        <f t="shared" si="1272"/>
        <v>0</v>
      </c>
    </row>
    <row r="1289" spans="1:69">
      <c r="A1289" s="28">
        <v>1966</v>
      </c>
      <c r="B1289" s="27" t="s">
        <v>68</v>
      </c>
      <c r="C1289" s="24">
        <f t="shared" si="1292"/>
        <v>1278</v>
      </c>
      <c r="D1289" s="7" t="e">
        <f t="shared" ca="1" si="1293"/>
        <v>#N/A</v>
      </c>
      <c r="E1289" s="26">
        <f t="array" aca="1" ref="E1289" ca="1">AVERAGE(IF(INDIRECT(DatCol&amp;"$"&amp;TEXT(C1289,"###")):INDIRECT(DatCol&amp;"$"&amp;TEXT(C1289+57,"###"))&gt;0,INDIRECT(DatCol&amp;"$"&amp;TEXT(C1289,"###")):INDIRECT(DatCol&amp;"$"&amp;TEXT(C1289+57,"###"))))</f>
        <v>11.5</v>
      </c>
      <c r="F1289" s="26" t="str">
        <f t="shared" si="1294"/>
        <v>N</v>
      </c>
      <c r="G1289" s="8"/>
      <c r="K1289" s="9">
        <f t="shared" si="1252"/>
        <v>0</v>
      </c>
      <c r="M1289" s="11">
        <f t="shared" si="1274"/>
        <v>0</v>
      </c>
      <c r="O1289" s="11">
        <f t="shared" si="1275"/>
        <v>0</v>
      </c>
      <c r="Q1289" s="11">
        <f t="shared" si="1276"/>
        <v>0</v>
      </c>
      <c r="Y1289" s="11">
        <f t="shared" si="1277"/>
        <v>0</v>
      </c>
      <c r="AG1289" s="11">
        <f t="shared" si="1278"/>
        <v>0</v>
      </c>
      <c r="AI1289" s="11">
        <f t="shared" si="1279"/>
        <v>0</v>
      </c>
      <c r="AK1289" s="13">
        <f t="shared" si="1280"/>
        <v>0</v>
      </c>
      <c r="AM1289" s="13">
        <f t="shared" si="1281"/>
        <v>0</v>
      </c>
      <c r="AO1289" s="11">
        <f t="shared" si="1282"/>
        <v>0</v>
      </c>
      <c r="AQ1289" s="11">
        <f t="shared" si="1283"/>
        <v>0</v>
      </c>
      <c r="AS1289" s="11">
        <f t="shared" si="1284"/>
        <v>0</v>
      </c>
      <c r="AU1289" s="11">
        <f t="shared" si="1285"/>
        <v>0</v>
      </c>
      <c r="AW1289" s="11">
        <f t="shared" si="1286"/>
        <v>0</v>
      </c>
      <c r="AY1289" s="11">
        <f t="shared" si="1287"/>
        <v>0</v>
      </c>
      <c r="BA1289" s="11">
        <f t="shared" si="1288"/>
        <v>0</v>
      </c>
      <c r="BC1289" s="11">
        <f t="shared" si="1289"/>
        <v>0</v>
      </c>
      <c r="BE1289" s="11">
        <f t="shared" si="1290"/>
        <v>0</v>
      </c>
      <c r="BG1289" s="11">
        <f t="shared" si="1291"/>
        <v>0</v>
      </c>
      <c r="BN1289" s="8">
        <f t="shared" si="1250"/>
        <v>0</v>
      </c>
      <c r="BO1289" s="8">
        <f t="shared" si="1251"/>
        <v>0</v>
      </c>
      <c r="BP1289" s="8">
        <f t="shared" si="1271"/>
        <v>0</v>
      </c>
      <c r="BQ1289" s="12">
        <f t="shared" si="1272"/>
        <v>0</v>
      </c>
    </row>
    <row r="1290" spans="1:69">
      <c r="A1290" s="28">
        <v>1967</v>
      </c>
      <c r="B1290" s="27" t="s">
        <v>68</v>
      </c>
      <c r="C1290" s="24">
        <f t="shared" si="1292"/>
        <v>1278</v>
      </c>
      <c r="D1290" s="7" t="e">
        <f t="shared" ca="1" si="1293"/>
        <v>#N/A</v>
      </c>
      <c r="E1290" s="26">
        <f t="array" aca="1" ref="E1290" ca="1">AVERAGE(IF(INDIRECT(DatCol&amp;"$"&amp;TEXT(C1290,"###")):INDIRECT(DatCol&amp;"$"&amp;TEXT(C1290+57,"###"))&gt;0,INDIRECT(DatCol&amp;"$"&amp;TEXT(C1290,"###")):INDIRECT(DatCol&amp;"$"&amp;TEXT(C1290+57,"###"))))</f>
        <v>11.5</v>
      </c>
      <c r="F1290" s="26" t="str">
        <f t="shared" si="1294"/>
        <v>N</v>
      </c>
      <c r="G1290" s="8"/>
      <c r="K1290" s="9">
        <f t="shared" si="1252"/>
        <v>0</v>
      </c>
      <c r="M1290" s="11">
        <f t="shared" si="1274"/>
        <v>0</v>
      </c>
      <c r="O1290" s="11">
        <f t="shared" si="1275"/>
        <v>0</v>
      </c>
      <c r="Q1290" s="11">
        <f t="shared" si="1276"/>
        <v>0</v>
      </c>
      <c r="Y1290" s="11">
        <f t="shared" si="1277"/>
        <v>0</v>
      </c>
      <c r="AG1290" s="11">
        <f t="shared" si="1278"/>
        <v>0</v>
      </c>
      <c r="AI1290" s="11">
        <f t="shared" si="1279"/>
        <v>0</v>
      </c>
      <c r="AK1290" s="13">
        <f t="shared" si="1280"/>
        <v>0</v>
      </c>
      <c r="AM1290" s="13">
        <f t="shared" si="1281"/>
        <v>0</v>
      </c>
      <c r="AO1290" s="11">
        <f t="shared" si="1282"/>
        <v>0</v>
      </c>
      <c r="AQ1290" s="11">
        <f t="shared" si="1283"/>
        <v>0</v>
      </c>
      <c r="AS1290" s="11">
        <f t="shared" si="1284"/>
        <v>0</v>
      </c>
      <c r="AU1290" s="11">
        <f t="shared" si="1285"/>
        <v>0</v>
      </c>
      <c r="AW1290" s="11">
        <f t="shared" si="1286"/>
        <v>0</v>
      </c>
      <c r="AY1290" s="11">
        <f t="shared" si="1287"/>
        <v>0</v>
      </c>
      <c r="BA1290" s="11">
        <f t="shared" si="1288"/>
        <v>0</v>
      </c>
      <c r="BC1290" s="11">
        <f t="shared" si="1289"/>
        <v>0</v>
      </c>
      <c r="BE1290" s="11">
        <f t="shared" si="1290"/>
        <v>0</v>
      </c>
      <c r="BG1290" s="11">
        <f t="shared" si="1291"/>
        <v>0</v>
      </c>
      <c r="BN1290" s="8">
        <f t="shared" si="1250"/>
        <v>0</v>
      </c>
      <c r="BO1290" s="8">
        <f t="shared" si="1251"/>
        <v>0</v>
      </c>
      <c r="BP1290" s="8">
        <f t="shared" si="1271"/>
        <v>0</v>
      </c>
      <c r="BQ1290" s="12">
        <f t="shared" si="1272"/>
        <v>0</v>
      </c>
    </row>
    <row r="1291" spans="1:69">
      <c r="A1291" s="28">
        <v>1968</v>
      </c>
      <c r="B1291" s="27" t="s">
        <v>68</v>
      </c>
      <c r="C1291" s="24">
        <f t="shared" si="1292"/>
        <v>1278</v>
      </c>
      <c r="D1291" s="7" t="e">
        <f t="shared" ca="1" si="1293"/>
        <v>#N/A</v>
      </c>
      <c r="E1291" s="26">
        <f t="array" aca="1" ref="E1291" ca="1">AVERAGE(IF(INDIRECT(DatCol&amp;"$"&amp;TEXT(C1291,"###")):INDIRECT(DatCol&amp;"$"&amp;TEXT(C1291+57,"###"))&gt;0,INDIRECT(DatCol&amp;"$"&amp;TEXT(C1291,"###")):INDIRECT(DatCol&amp;"$"&amp;TEXT(C1291+57,"###"))))</f>
        <v>11.5</v>
      </c>
      <c r="F1291" s="26" t="str">
        <f t="shared" si="1294"/>
        <v>N</v>
      </c>
      <c r="G1291" s="8"/>
      <c r="K1291" s="9">
        <f t="shared" si="1252"/>
        <v>0</v>
      </c>
      <c r="M1291" s="11">
        <f t="shared" si="1274"/>
        <v>0</v>
      </c>
      <c r="O1291" s="11">
        <f t="shared" si="1275"/>
        <v>0</v>
      </c>
      <c r="Q1291" s="11">
        <f t="shared" si="1276"/>
        <v>0</v>
      </c>
      <c r="Y1291" s="11">
        <f t="shared" si="1277"/>
        <v>0</v>
      </c>
      <c r="AG1291" s="11">
        <f t="shared" si="1278"/>
        <v>0</v>
      </c>
      <c r="AI1291" s="11">
        <f t="shared" si="1279"/>
        <v>0</v>
      </c>
      <c r="AK1291" s="13">
        <f t="shared" si="1280"/>
        <v>0</v>
      </c>
      <c r="AM1291" s="13">
        <f t="shared" si="1281"/>
        <v>0</v>
      </c>
      <c r="AO1291" s="11">
        <f t="shared" si="1282"/>
        <v>0</v>
      </c>
      <c r="AQ1291" s="11">
        <f t="shared" si="1283"/>
        <v>0</v>
      </c>
      <c r="AS1291" s="11">
        <f t="shared" si="1284"/>
        <v>0</v>
      </c>
      <c r="AU1291" s="11">
        <f t="shared" si="1285"/>
        <v>0</v>
      </c>
      <c r="AW1291" s="11">
        <f t="shared" si="1286"/>
        <v>0</v>
      </c>
      <c r="AY1291" s="11">
        <f t="shared" si="1287"/>
        <v>0</v>
      </c>
      <c r="BA1291" s="11">
        <f t="shared" si="1288"/>
        <v>0</v>
      </c>
      <c r="BC1291" s="11">
        <f t="shared" si="1289"/>
        <v>0</v>
      </c>
      <c r="BE1291" s="11">
        <f t="shared" si="1290"/>
        <v>0</v>
      </c>
      <c r="BG1291" s="11">
        <f t="shared" si="1291"/>
        <v>0</v>
      </c>
      <c r="BN1291" s="8">
        <f t="shared" si="1250"/>
        <v>0</v>
      </c>
      <c r="BO1291" s="8">
        <f t="shared" si="1251"/>
        <v>0</v>
      </c>
      <c r="BP1291" s="8">
        <f t="shared" si="1271"/>
        <v>0</v>
      </c>
      <c r="BQ1291" s="12">
        <f t="shared" si="1272"/>
        <v>0</v>
      </c>
    </row>
    <row r="1292" spans="1:69">
      <c r="A1292" s="28">
        <v>1969</v>
      </c>
      <c r="B1292" s="27" t="s">
        <v>68</v>
      </c>
      <c r="C1292" s="24">
        <f t="shared" si="1292"/>
        <v>1278</v>
      </c>
      <c r="D1292" s="7" t="e">
        <f t="shared" ca="1" si="1293"/>
        <v>#N/A</v>
      </c>
      <c r="E1292" s="26">
        <f t="array" aca="1" ref="E1292" ca="1">AVERAGE(IF(INDIRECT(DatCol&amp;"$"&amp;TEXT(C1292,"###")):INDIRECT(DatCol&amp;"$"&amp;TEXT(C1292+57,"###"))&gt;0,INDIRECT(DatCol&amp;"$"&amp;TEXT(C1292,"###")):INDIRECT(DatCol&amp;"$"&amp;TEXT(C1292+57,"###"))))</f>
        <v>11.5</v>
      </c>
      <c r="F1292" s="26" t="str">
        <f t="shared" si="1294"/>
        <v>N</v>
      </c>
      <c r="G1292" s="8"/>
      <c r="H1292" s="8">
        <v>0</v>
      </c>
      <c r="I1292" s="8">
        <v>0</v>
      </c>
      <c r="J1292" s="8">
        <v>10</v>
      </c>
      <c r="K1292" s="9">
        <f t="shared" si="1252"/>
        <v>10</v>
      </c>
      <c r="L1292" s="12">
        <v>25</v>
      </c>
      <c r="M1292" s="11">
        <f t="shared" si="1274"/>
        <v>1250</v>
      </c>
      <c r="N1292" s="12">
        <v>25</v>
      </c>
      <c r="O1292" s="11">
        <f t="shared" si="1275"/>
        <v>1250</v>
      </c>
      <c r="Q1292" s="11">
        <f t="shared" si="1276"/>
        <v>0</v>
      </c>
      <c r="Y1292" s="11">
        <f t="shared" si="1277"/>
        <v>0</v>
      </c>
      <c r="AG1292" s="11">
        <f t="shared" si="1278"/>
        <v>0</v>
      </c>
      <c r="AI1292" s="11">
        <f t="shared" si="1279"/>
        <v>0</v>
      </c>
      <c r="AK1292" s="13">
        <f t="shared" si="1280"/>
        <v>0</v>
      </c>
      <c r="AM1292" s="13">
        <f t="shared" si="1281"/>
        <v>0</v>
      </c>
      <c r="AN1292" s="12">
        <v>50</v>
      </c>
      <c r="AO1292" s="11">
        <f t="shared" si="1282"/>
        <v>4000</v>
      </c>
      <c r="AP1292" s="12">
        <v>50</v>
      </c>
      <c r="AQ1292" s="11">
        <f t="shared" si="1283"/>
        <v>4000</v>
      </c>
      <c r="AR1292" s="12">
        <v>10</v>
      </c>
      <c r="AS1292" s="11">
        <f t="shared" si="1284"/>
        <v>500</v>
      </c>
      <c r="AT1292" s="12">
        <v>10</v>
      </c>
      <c r="AU1292" s="11">
        <f t="shared" si="1285"/>
        <v>500</v>
      </c>
      <c r="AW1292" s="11">
        <f t="shared" si="1286"/>
        <v>0</v>
      </c>
      <c r="AY1292" s="11">
        <f t="shared" si="1287"/>
        <v>0</v>
      </c>
      <c r="BA1292" s="11">
        <f t="shared" si="1288"/>
        <v>0</v>
      </c>
      <c r="BC1292" s="11">
        <f t="shared" si="1289"/>
        <v>0</v>
      </c>
      <c r="BE1292" s="11">
        <f t="shared" si="1290"/>
        <v>0</v>
      </c>
      <c r="BG1292" s="11">
        <f t="shared" si="1291"/>
        <v>0</v>
      </c>
      <c r="BN1292" s="8">
        <f t="shared" si="1250"/>
        <v>85</v>
      </c>
      <c r="BO1292" s="8">
        <f t="shared" si="1251"/>
        <v>5750</v>
      </c>
      <c r="BP1292" s="8">
        <f t="shared" si="1271"/>
        <v>85</v>
      </c>
      <c r="BQ1292" s="12">
        <f t="shared" si="1272"/>
        <v>5750</v>
      </c>
    </row>
    <row r="1293" spans="1:69">
      <c r="A1293" s="28">
        <v>1970</v>
      </c>
      <c r="B1293" s="27" t="s">
        <v>68</v>
      </c>
      <c r="C1293" s="24">
        <f t="shared" si="1292"/>
        <v>1278</v>
      </c>
      <c r="D1293" s="7" t="e">
        <f t="shared" ca="1" si="1293"/>
        <v>#N/A</v>
      </c>
      <c r="E1293" s="26">
        <f t="array" aca="1" ref="E1293" ca="1">AVERAGE(IF(INDIRECT(DatCol&amp;"$"&amp;TEXT(C1293,"###")):INDIRECT(DatCol&amp;"$"&amp;TEXT(C1293+57,"###"))&gt;0,INDIRECT(DatCol&amp;"$"&amp;TEXT(C1293,"###")):INDIRECT(DatCol&amp;"$"&amp;TEXT(C1293+57,"###"))))</f>
        <v>11.5</v>
      </c>
      <c r="F1293" s="26" t="str">
        <f t="shared" si="1294"/>
        <v>N</v>
      </c>
      <c r="G1293" s="8"/>
      <c r="K1293" s="9">
        <f t="shared" si="1252"/>
        <v>0</v>
      </c>
      <c r="M1293" s="11">
        <f t="shared" ref="M1293:M1308" si="1295">(L1293*50)</f>
        <v>0</v>
      </c>
      <c r="O1293" s="11">
        <f t="shared" ref="O1293:O1308" si="1296">(N1293*50)</f>
        <v>0</v>
      </c>
      <c r="Q1293" s="11">
        <f t="shared" ref="Q1293:Q1308" si="1297">((P1293*330)/5.5)</f>
        <v>0</v>
      </c>
      <c r="Y1293" s="11">
        <f t="shared" ref="Y1293:Y1308" si="1298">((X1293*330)/5.5)</f>
        <v>0</v>
      </c>
      <c r="AG1293" s="11">
        <f t="shared" ref="AG1293:AG1308" si="1299">(AF1293*65)</f>
        <v>0</v>
      </c>
      <c r="AI1293" s="11">
        <f t="shared" ref="AI1293:AI1308" si="1300">(AH1293*65)</f>
        <v>0</v>
      </c>
      <c r="AK1293" s="13">
        <f t="shared" ref="AK1293:AK1308" si="1301">(AJ1293*9)</f>
        <v>0</v>
      </c>
      <c r="AM1293" s="13">
        <f t="shared" ref="AM1293:AM1308" si="1302">(AL1293*9)</f>
        <v>0</v>
      </c>
      <c r="AO1293" s="11">
        <f t="shared" ref="AO1293:AO1308" si="1303">(AN1293*80)</f>
        <v>0</v>
      </c>
      <c r="AQ1293" s="11">
        <f t="shared" ref="AQ1293:AQ1308" si="1304">(AP1293*80)</f>
        <v>0</v>
      </c>
      <c r="AS1293" s="11">
        <f t="shared" ref="AS1293:AS1308" si="1305">(AR1293*50)</f>
        <v>0</v>
      </c>
      <c r="AU1293" s="11">
        <f t="shared" ref="AU1293:AU1308" si="1306">(AT1293*50)</f>
        <v>0</v>
      </c>
      <c r="AW1293" s="11">
        <f t="shared" ref="AW1293:AW1308" si="1307">(AV1293*60)</f>
        <v>0</v>
      </c>
      <c r="AY1293" s="11">
        <f t="shared" ref="AY1293:AY1308" si="1308">(AX1293*60)</f>
        <v>0</v>
      </c>
      <c r="BA1293" s="11">
        <f t="shared" ref="BA1293:BA1308" si="1309">(AZ1293*40)</f>
        <v>0</v>
      </c>
      <c r="BC1293" s="11">
        <f t="shared" ref="BC1293:BC1308" si="1310">(BB1293*40)</f>
        <v>0</v>
      </c>
      <c r="BE1293" s="11">
        <f t="shared" ref="BE1293:BE1308" si="1311">(BD1293*95)</f>
        <v>0</v>
      </c>
      <c r="BG1293" s="11">
        <f t="shared" ref="BG1293:BG1308" si="1312">(BF1293*95)</f>
        <v>0</v>
      </c>
      <c r="BN1293" s="8">
        <f t="shared" si="1250"/>
        <v>0</v>
      </c>
      <c r="BO1293" s="8">
        <f t="shared" si="1251"/>
        <v>0</v>
      </c>
      <c r="BP1293" s="8">
        <f t="shared" si="1271"/>
        <v>0</v>
      </c>
      <c r="BQ1293" s="12">
        <f t="shared" si="1272"/>
        <v>0</v>
      </c>
    </row>
    <row r="1294" spans="1:69">
      <c r="A1294" s="28">
        <v>1971</v>
      </c>
      <c r="B1294" s="27" t="s">
        <v>68</v>
      </c>
      <c r="C1294" s="24">
        <f t="shared" si="1292"/>
        <v>1278</v>
      </c>
      <c r="D1294" s="7" t="e">
        <f t="shared" ca="1" si="1293"/>
        <v>#N/A</v>
      </c>
      <c r="E1294" s="26">
        <f t="array" aca="1" ref="E1294" ca="1">AVERAGE(IF(INDIRECT(DatCol&amp;"$"&amp;TEXT(C1294,"###")):INDIRECT(DatCol&amp;"$"&amp;TEXT(C1294+57,"###"))&gt;0,INDIRECT(DatCol&amp;"$"&amp;TEXT(C1294,"###")):INDIRECT(DatCol&amp;"$"&amp;TEXT(C1294+57,"###"))))</f>
        <v>11.5</v>
      </c>
      <c r="F1294" s="26" t="str">
        <f t="shared" si="1294"/>
        <v>N</v>
      </c>
      <c r="G1294" s="8"/>
      <c r="K1294" s="9">
        <f t="shared" si="1252"/>
        <v>0</v>
      </c>
      <c r="M1294" s="11">
        <f t="shared" si="1295"/>
        <v>0</v>
      </c>
      <c r="O1294" s="11">
        <f t="shared" si="1296"/>
        <v>0</v>
      </c>
      <c r="Q1294" s="11">
        <f t="shared" si="1297"/>
        <v>0</v>
      </c>
      <c r="Y1294" s="11">
        <f t="shared" si="1298"/>
        <v>0</v>
      </c>
      <c r="AG1294" s="11">
        <f t="shared" si="1299"/>
        <v>0</v>
      </c>
      <c r="AI1294" s="11">
        <f t="shared" si="1300"/>
        <v>0</v>
      </c>
      <c r="AK1294" s="13">
        <f t="shared" si="1301"/>
        <v>0</v>
      </c>
      <c r="AM1294" s="13">
        <f t="shared" si="1302"/>
        <v>0</v>
      </c>
      <c r="AO1294" s="11">
        <f t="shared" si="1303"/>
        <v>0</v>
      </c>
      <c r="AQ1294" s="11">
        <f t="shared" si="1304"/>
        <v>0</v>
      </c>
      <c r="AS1294" s="11">
        <f t="shared" si="1305"/>
        <v>0</v>
      </c>
      <c r="AU1294" s="11">
        <f t="shared" si="1306"/>
        <v>0</v>
      </c>
      <c r="AW1294" s="11">
        <f t="shared" si="1307"/>
        <v>0</v>
      </c>
      <c r="AY1294" s="11">
        <f t="shared" si="1308"/>
        <v>0</v>
      </c>
      <c r="BA1294" s="11">
        <f t="shared" si="1309"/>
        <v>0</v>
      </c>
      <c r="BC1294" s="11">
        <f t="shared" si="1310"/>
        <v>0</v>
      </c>
      <c r="BE1294" s="11">
        <f t="shared" si="1311"/>
        <v>0</v>
      </c>
      <c r="BG1294" s="11">
        <f t="shared" si="1312"/>
        <v>0</v>
      </c>
      <c r="BN1294" s="8">
        <f t="shared" si="1250"/>
        <v>0</v>
      </c>
      <c r="BO1294" s="8">
        <f t="shared" si="1251"/>
        <v>0</v>
      </c>
      <c r="BP1294" s="8">
        <f t="shared" si="1271"/>
        <v>0</v>
      </c>
      <c r="BQ1294" s="12">
        <f t="shared" si="1272"/>
        <v>0</v>
      </c>
    </row>
    <row r="1295" spans="1:69">
      <c r="A1295" s="28">
        <v>1972</v>
      </c>
      <c r="B1295" s="27" t="s">
        <v>68</v>
      </c>
      <c r="C1295" s="24">
        <f t="shared" si="1292"/>
        <v>1278</v>
      </c>
      <c r="D1295" s="7" t="e">
        <f t="shared" ca="1" si="1293"/>
        <v>#N/A</v>
      </c>
      <c r="E1295" s="26">
        <f t="array" aca="1" ref="E1295" ca="1">AVERAGE(IF(INDIRECT(DatCol&amp;"$"&amp;TEXT(C1295,"###")):INDIRECT(DatCol&amp;"$"&amp;TEXT(C1295+57,"###"))&gt;0,INDIRECT(DatCol&amp;"$"&amp;TEXT(C1295,"###")):INDIRECT(DatCol&amp;"$"&amp;TEXT(C1295+57,"###"))))</f>
        <v>11.5</v>
      </c>
      <c r="F1295" s="26" t="str">
        <f t="shared" si="1294"/>
        <v>N</v>
      </c>
      <c r="G1295" s="8"/>
      <c r="K1295" s="9">
        <f t="shared" si="1252"/>
        <v>0</v>
      </c>
      <c r="M1295" s="11">
        <f t="shared" si="1295"/>
        <v>0</v>
      </c>
      <c r="O1295" s="11">
        <f t="shared" si="1296"/>
        <v>0</v>
      </c>
      <c r="Q1295" s="11">
        <f t="shared" si="1297"/>
        <v>0</v>
      </c>
      <c r="Y1295" s="11">
        <f t="shared" si="1298"/>
        <v>0</v>
      </c>
      <c r="AG1295" s="11">
        <f t="shared" si="1299"/>
        <v>0</v>
      </c>
      <c r="AI1295" s="11">
        <f t="shared" si="1300"/>
        <v>0</v>
      </c>
      <c r="AK1295" s="13">
        <f t="shared" si="1301"/>
        <v>0</v>
      </c>
      <c r="AM1295" s="13">
        <f t="shared" si="1302"/>
        <v>0</v>
      </c>
      <c r="AO1295" s="11">
        <f t="shared" si="1303"/>
        <v>0</v>
      </c>
      <c r="AQ1295" s="11">
        <f t="shared" si="1304"/>
        <v>0</v>
      </c>
      <c r="AS1295" s="11">
        <f t="shared" si="1305"/>
        <v>0</v>
      </c>
      <c r="AU1295" s="11">
        <f t="shared" si="1306"/>
        <v>0</v>
      </c>
      <c r="AW1295" s="11">
        <f t="shared" si="1307"/>
        <v>0</v>
      </c>
      <c r="AY1295" s="11">
        <f t="shared" si="1308"/>
        <v>0</v>
      </c>
      <c r="BA1295" s="11">
        <f t="shared" si="1309"/>
        <v>0</v>
      </c>
      <c r="BC1295" s="11">
        <f t="shared" si="1310"/>
        <v>0</v>
      </c>
      <c r="BE1295" s="11">
        <f t="shared" si="1311"/>
        <v>0</v>
      </c>
      <c r="BG1295" s="11">
        <f t="shared" si="1312"/>
        <v>0</v>
      </c>
      <c r="BN1295" s="8">
        <f t="shared" si="1250"/>
        <v>0</v>
      </c>
      <c r="BO1295" s="8">
        <f t="shared" si="1251"/>
        <v>0</v>
      </c>
      <c r="BP1295" s="8">
        <f t="shared" si="1271"/>
        <v>0</v>
      </c>
      <c r="BQ1295" s="12">
        <f t="shared" si="1272"/>
        <v>0</v>
      </c>
    </row>
    <row r="1296" spans="1:69">
      <c r="A1296" s="28">
        <v>1973</v>
      </c>
      <c r="B1296" s="27" t="s">
        <v>68</v>
      </c>
      <c r="C1296" s="24">
        <f t="shared" si="1292"/>
        <v>1278</v>
      </c>
      <c r="D1296" s="7" t="e">
        <f t="shared" ca="1" si="1293"/>
        <v>#N/A</v>
      </c>
      <c r="E1296" s="26">
        <f t="array" aca="1" ref="E1296" ca="1">AVERAGE(IF(INDIRECT(DatCol&amp;"$"&amp;TEXT(C1296,"###")):INDIRECT(DatCol&amp;"$"&amp;TEXT(C1296+57,"###"))&gt;0,INDIRECT(DatCol&amp;"$"&amp;TEXT(C1296,"###")):INDIRECT(DatCol&amp;"$"&amp;TEXT(C1296+57,"###"))))</f>
        <v>11.5</v>
      </c>
      <c r="F1296" s="26" t="str">
        <f t="shared" si="1294"/>
        <v>N</v>
      </c>
      <c r="G1296" s="8"/>
      <c r="K1296" s="9">
        <f t="shared" si="1252"/>
        <v>0</v>
      </c>
      <c r="M1296" s="11">
        <f t="shared" si="1295"/>
        <v>0</v>
      </c>
      <c r="O1296" s="11">
        <f t="shared" si="1296"/>
        <v>0</v>
      </c>
      <c r="Q1296" s="11">
        <f t="shared" si="1297"/>
        <v>0</v>
      </c>
      <c r="Y1296" s="11">
        <f t="shared" si="1298"/>
        <v>0</v>
      </c>
      <c r="AG1296" s="11">
        <f t="shared" si="1299"/>
        <v>0</v>
      </c>
      <c r="AI1296" s="11">
        <f t="shared" si="1300"/>
        <v>0</v>
      </c>
      <c r="AK1296" s="13">
        <f t="shared" si="1301"/>
        <v>0</v>
      </c>
      <c r="AM1296" s="13">
        <f t="shared" si="1302"/>
        <v>0</v>
      </c>
      <c r="AO1296" s="11">
        <f t="shared" si="1303"/>
        <v>0</v>
      </c>
      <c r="AQ1296" s="11">
        <f t="shared" si="1304"/>
        <v>0</v>
      </c>
      <c r="AS1296" s="11">
        <f t="shared" si="1305"/>
        <v>0</v>
      </c>
      <c r="AU1296" s="11">
        <f t="shared" si="1306"/>
        <v>0</v>
      </c>
      <c r="AW1296" s="11">
        <f t="shared" si="1307"/>
        <v>0</v>
      </c>
      <c r="AY1296" s="11">
        <f t="shared" si="1308"/>
        <v>0</v>
      </c>
      <c r="BA1296" s="11">
        <f t="shared" si="1309"/>
        <v>0</v>
      </c>
      <c r="BC1296" s="11">
        <f t="shared" si="1310"/>
        <v>0</v>
      </c>
      <c r="BE1296" s="11">
        <f t="shared" si="1311"/>
        <v>0</v>
      </c>
      <c r="BG1296" s="11">
        <f t="shared" si="1312"/>
        <v>0</v>
      </c>
      <c r="BN1296" s="8">
        <f t="shared" si="1250"/>
        <v>0</v>
      </c>
      <c r="BO1296" s="8">
        <f t="shared" si="1251"/>
        <v>0</v>
      </c>
      <c r="BP1296" s="8">
        <f t="shared" si="1271"/>
        <v>0</v>
      </c>
      <c r="BQ1296" s="12">
        <f t="shared" si="1272"/>
        <v>0</v>
      </c>
    </row>
    <row r="1297" spans="1:69">
      <c r="A1297" s="28">
        <v>1974</v>
      </c>
      <c r="B1297" s="27" t="s">
        <v>68</v>
      </c>
      <c r="C1297" s="24">
        <f t="shared" si="1292"/>
        <v>1278</v>
      </c>
      <c r="D1297" s="7" t="e">
        <f t="shared" ca="1" si="1293"/>
        <v>#N/A</v>
      </c>
      <c r="E1297" s="26">
        <f t="array" aca="1" ref="E1297" ca="1">AVERAGE(IF(INDIRECT(DatCol&amp;"$"&amp;TEXT(C1297,"###")):INDIRECT(DatCol&amp;"$"&amp;TEXT(C1297+57,"###"))&gt;0,INDIRECT(DatCol&amp;"$"&amp;TEXT(C1297,"###")):INDIRECT(DatCol&amp;"$"&amp;TEXT(C1297+57,"###"))))</f>
        <v>11.5</v>
      </c>
      <c r="F1297" s="26" t="str">
        <f t="shared" si="1294"/>
        <v>N</v>
      </c>
      <c r="G1297" s="8"/>
      <c r="K1297" s="9">
        <f t="shared" si="1252"/>
        <v>0</v>
      </c>
      <c r="M1297" s="11">
        <f t="shared" si="1295"/>
        <v>0</v>
      </c>
      <c r="O1297" s="11">
        <f t="shared" si="1296"/>
        <v>0</v>
      </c>
      <c r="Q1297" s="11">
        <f t="shared" si="1297"/>
        <v>0</v>
      </c>
      <c r="Y1297" s="11">
        <f t="shared" si="1298"/>
        <v>0</v>
      </c>
      <c r="AG1297" s="11">
        <f t="shared" si="1299"/>
        <v>0</v>
      </c>
      <c r="AI1297" s="11">
        <f t="shared" si="1300"/>
        <v>0</v>
      </c>
      <c r="AK1297" s="13">
        <f t="shared" si="1301"/>
        <v>0</v>
      </c>
      <c r="AM1297" s="13">
        <f t="shared" si="1302"/>
        <v>0</v>
      </c>
      <c r="AO1297" s="11">
        <f t="shared" si="1303"/>
        <v>0</v>
      </c>
      <c r="AQ1297" s="11">
        <f t="shared" si="1304"/>
        <v>0</v>
      </c>
      <c r="AS1297" s="11">
        <f t="shared" si="1305"/>
        <v>0</v>
      </c>
      <c r="AU1297" s="11">
        <f t="shared" si="1306"/>
        <v>0</v>
      </c>
      <c r="AW1297" s="11">
        <f t="shared" si="1307"/>
        <v>0</v>
      </c>
      <c r="AY1297" s="11">
        <f t="shared" si="1308"/>
        <v>0</v>
      </c>
      <c r="BA1297" s="11">
        <f t="shared" si="1309"/>
        <v>0</v>
      </c>
      <c r="BC1297" s="11">
        <f t="shared" si="1310"/>
        <v>0</v>
      </c>
      <c r="BE1297" s="11">
        <f t="shared" si="1311"/>
        <v>0</v>
      </c>
      <c r="BG1297" s="11">
        <f t="shared" si="1312"/>
        <v>0</v>
      </c>
      <c r="BN1297" s="8">
        <f t="shared" si="1250"/>
        <v>0</v>
      </c>
      <c r="BO1297" s="8">
        <f t="shared" si="1251"/>
        <v>0</v>
      </c>
      <c r="BP1297" s="8">
        <f t="shared" si="1271"/>
        <v>0</v>
      </c>
      <c r="BQ1297" s="12">
        <f t="shared" si="1272"/>
        <v>0</v>
      </c>
    </row>
    <row r="1298" spans="1:69">
      <c r="A1298" s="28">
        <v>1975</v>
      </c>
      <c r="B1298" s="27" t="s">
        <v>68</v>
      </c>
      <c r="C1298" s="24">
        <f t="shared" si="1292"/>
        <v>1278</v>
      </c>
      <c r="D1298" s="7" t="e">
        <f t="shared" ca="1" si="1293"/>
        <v>#N/A</v>
      </c>
      <c r="E1298" s="26">
        <f t="array" aca="1" ref="E1298" ca="1">AVERAGE(IF(INDIRECT(DatCol&amp;"$"&amp;TEXT(C1298,"###")):INDIRECT(DatCol&amp;"$"&amp;TEXT(C1298+57,"###"))&gt;0,INDIRECT(DatCol&amp;"$"&amp;TEXT(C1298,"###")):INDIRECT(DatCol&amp;"$"&amp;TEXT(C1298+57,"###"))))</f>
        <v>11.5</v>
      </c>
      <c r="F1298" s="26" t="str">
        <f t="shared" si="1294"/>
        <v>N</v>
      </c>
      <c r="G1298" s="8"/>
      <c r="K1298" s="9">
        <f t="shared" si="1252"/>
        <v>0</v>
      </c>
      <c r="M1298" s="11">
        <f t="shared" si="1295"/>
        <v>0</v>
      </c>
      <c r="O1298" s="11">
        <f t="shared" si="1296"/>
        <v>0</v>
      </c>
      <c r="Q1298" s="11">
        <f t="shared" si="1297"/>
        <v>0</v>
      </c>
      <c r="Y1298" s="11">
        <f t="shared" si="1298"/>
        <v>0</v>
      </c>
      <c r="AG1298" s="11">
        <f t="shared" si="1299"/>
        <v>0</v>
      </c>
      <c r="AI1298" s="11">
        <f t="shared" si="1300"/>
        <v>0</v>
      </c>
      <c r="AK1298" s="13">
        <f t="shared" si="1301"/>
        <v>0</v>
      </c>
      <c r="AM1298" s="13">
        <f t="shared" si="1302"/>
        <v>0</v>
      </c>
      <c r="AO1298" s="11">
        <f t="shared" si="1303"/>
        <v>0</v>
      </c>
      <c r="AQ1298" s="11">
        <f t="shared" si="1304"/>
        <v>0</v>
      </c>
      <c r="AS1298" s="11">
        <f t="shared" si="1305"/>
        <v>0</v>
      </c>
      <c r="AU1298" s="11">
        <f t="shared" si="1306"/>
        <v>0</v>
      </c>
      <c r="AW1298" s="11">
        <f t="shared" si="1307"/>
        <v>0</v>
      </c>
      <c r="AY1298" s="11">
        <f t="shared" si="1308"/>
        <v>0</v>
      </c>
      <c r="BA1298" s="11">
        <f t="shared" si="1309"/>
        <v>0</v>
      </c>
      <c r="BC1298" s="11">
        <f t="shared" si="1310"/>
        <v>0</v>
      </c>
      <c r="BE1298" s="11">
        <f t="shared" si="1311"/>
        <v>0</v>
      </c>
      <c r="BG1298" s="11">
        <f t="shared" si="1312"/>
        <v>0</v>
      </c>
      <c r="BN1298" s="8">
        <f t="shared" si="1250"/>
        <v>0</v>
      </c>
      <c r="BO1298" s="8">
        <f t="shared" si="1251"/>
        <v>0</v>
      </c>
      <c r="BP1298" s="8">
        <f t="shared" si="1271"/>
        <v>0</v>
      </c>
      <c r="BQ1298" s="12">
        <f t="shared" si="1272"/>
        <v>0</v>
      </c>
    </row>
    <row r="1299" spans="1:69">
      <c r="A1299" s="28">
        <v>1976</v>
      </c>
      <c r="B1299" s="27" t="s">
        <v>68</v>
      </c>
      <c r="C1299" s="24">
        <f t="shared" si="1292"/>
        <v>1278</v>
      </c>
      <c r="D1299" s="7" t="e">
        <f t="shared" ca="1" si="1293"/>
        <v>#N/A</v>
      </c>
      <c r="E1299" s="26">
        <f t="array" aca="1" ref="E1299" ca="1">AVERAGE(IF(INDIRECT(DatCol&amp;"$"&amp;TEXT(C1299,"###")):INDIRECT(DatCol&amp;"$"&amp;TEXT(C1299+57,"###"))&gt;0,INDIRECT(DatCol&amp;"$"&amp;TEXT(C1299,"###")):INDIRECT(DatCol&amp;"$"&amp;TEXT(C1299+57,"###"))))</f>
        <v>11.5</v>
      </c>
      <c r="F1299" s="26" t="str">
        <f t="shared" si="1294"/>
        <v>N</v>
      </c>
      <c r="G1299" s="8"/>
      <c r="K1299" s="9">
        <f t="shared" si="1252"/>
        <v>0</v>
      </c>
      <c r="M1299" s="11">
        <f t="shared" si="1295"/>
        <v>0</v>
      </c>
      <c r="O1299" s="11">
        <f t="shared" si="1296"/>
        <v>0</v>
      </c>
      <c r="Q1299" s="11">
        <f t="shared" si="1297"/>
        <v>0</v>
      </c>
      <c r="Y1299" s="11">
        <f t="shared" si="1298"/>
        <v>0</v>
      </c>
      <c r="AG1299" s="11">
        <f t="shared" si="1299"/>
        <v>0</v>
      </c>
      <c r="AI1299" s="11">
        <f t="shared" si="1300"/>
        <v>0</v>
      </c>
      <c r="AK1299" s="13">
        <f t="shared" si="1301"/>
        <v>0</v>
      </c>
      <c r="AM1299" s="13">
        <f t="shared" si="1302"/>
        <v>0</v>
      </c>
      <c r="AO1299" s="11">
        <f t="shared" si="1303"/>
        <v>0</v>
      </c>
      <c r="AQ1299" s="11">
        <f t="shared" si="1304"/>
        <v>0</v>
      </c>
      <c r="AS1299" s="11">
        <f t="shared" si="1305"/>
        <v>0</v>
      </c>
      <c r="AU1299" s="11">
        <f t="shared" si="1306"/>
        <v>0</v>
      </c>
      <c r="AW1299" s="11">
        <f t="shared" si="1307"/>
        <v>0</v>
      </c>
      <c r="AY1299" s="11">
        <f t="shared" si="1308"/>
        <v>0</v>
      </c>
      <c r="BA1299" s="11">
        <f t="shared" si="1309"/>
        <v>0</v>
      </c>
      <c r="BC1299" s="11">
        <f t="shared" si="1310"/>
        <v>0</v>
      </c>
      <c r="BE1299" s="11">
        <f t="shared" si="1311"/>
        <v>0</v>
      </c>
      <c r="BG1299" s="11">
        <f t="shared" si="1312"/>
        <v>0</v>
      </c>
      <c r="BN1299" s="8">
        <f t="shared" si="1250"/>
        <v>0</v>
      </c>
      <c r="BO1299" s="8">
        <f t="shared" si="1251"/>
        <v>0</v>
      </c>
      <c r="BP1299" s="8">
        <f t="shared" si="1271"/>
        <v>0</v>
      </c>
      <c r="BQ1299" s="12">
        <f t="shared" si="1272"/>
        <v>0</v>
      </c>
    </row>
    <row r="1300" spans="1:69">
      <c r="A1300" s="28">
        <v>1977</v>
      </c>
      <c r="B1300" s="27" t="s">
        <v>68</v>
      </c>
      <c r="C1300" s="24">
        <f t="shared" si="1292"/>
        <v>1278</v>
      </c>
      <c r="D1300" s="7" t="e">
        <f t="shared" ca="1" si="1293"/>
        <v>#N/A</v>
      </c>
      <c r="E1300" s="26">
        <f t="array" aca="1" ref="E1300" ca="1">AVERAGE(IF(INDIRECT(DatCol&amp;"$"&amp;TEXT(C1300,"###")):INDIRECT(DatCol&amp;"$"&amp;TEXT(C1300+57,"###"))&gt;0,INDIRECT(DatCol&amp;"$"&amp;TEXT(C1300,"###")):INDIRECT(DatCol&amp;"$"&amp;TEXT(C1300+57,"###"))))</f>
        <v>11.5</v>
      </c>
      <c r="F1300" s="26" t="str">
        <f t="shared" si="1294"/>
        <v>N</v>
      </c>
      <c r="G1300" s="8"/>
      <c r="K1300" s="9">
        <f t="shared" si="1252"/>
        <v>0</v>
      </c>
      <c r="M1300" s="11">
        <f t="shared" si="1295"/>
        <v>0</v>
      </c>
      <c r="O1300" s="11">
        <f t="shared" si="1296"/>
        <v>0</v>
      </c>
      <c r="Q1300" s="11">
        <f t="shared" si="1297"/>
        <v>0</v>
      </c>
      <c r="Y1300" s="11">
        <f t="shared" si="1298"/>
        <v>0</v>
      </c>
      <c r="AG1300" s="11">
        <f t="shared" si="1299"/>
        <v>0</v>
      </c>
      <c r="AI1300" s="11">
        <f t="shared" si="1300"/>
        <v>0</v>
      </c>
      <c r="AK1300" s="13">
        <f t="shared" si="1301"/>
        <v>0</v>
      </c>
      <c r="AM1300" s="13">
        <f t="shared" si="1302"/>
        <v>0</v>
      </c>
      <c r="AO1300" s="11">
        <f t="shared" si="1303"/>
        <v>0</v>
      </c>
      <c r="AQ1300" s="11">
        <f t="shared" si="1304"/>
        <v>0</v>
      </c>
      <c r="AS1300" s="11">
        <f t="shared" si="1305"/>
        <v>0</v>
      </c>
      <c r="AU1300" s="11">
        <f t="shared" si="1306"/>
        <v>0</v>
      </c>
      <c r="AW1300" s="11">
        <f t="shared" si="1307"/>
        <v>0</v>
      </c>
      <c r="AY1300" s="11">
        <f t="shared" si="1308"/>
        <v>0</v>
      </c>
      <c r="BA1300" s="11">
        <f t="shared" si="1309"/>
        <v>0</v>
      </c>
      <c r="BC1300" s="11">
        <f t="shared" si="1310"/>
        <v>0</v>
      </c>
      <c r="BE1300" s="11">
        <f t="shared" si="1311"/>
        <v>0</v>
      </c>
      <c r="BG1300" s="11">
        <f t="shared" si="1312"/>
        <v>0</v>
      </c>
      <c r="BN1300" s="8">
        <f t="shared" si="1250"/>
        <v>0</v>
      </c>
      <c r="BO1300" s="8">
        <f t="shared" si="1251"/>
        <v>0</v>
      </c>
      <c r="BP1300" s="8">
        <f t="shared" si="1271"/>
        <v>0</v>
      </c>
      <c r="BQ1300" s="12">
        <f t="shared" si="1272"/>
        <v>0</v>
      </c>
    </row>
    <row r="1301" spans="1:69">
      <c r="A1301" s="28">
        <v>1978</v>
      </c>
      <c r="B1301" s="27" t="s">
        <v>68</v>
      </c>
      <c r="C1301" s="24">
        <f t="shared" si="1292"/>
        <v>1278</v>
      </c>
      <c r="D1301" s="7" t="e">
        <f t="shared" ca="1" si="1293"/>
        <v>#N/A</v>
      </c>
      <c r="E1301" s="26">
        <f t="array" aca="1" ref="E1301" ca="1">AVERAGE(IF(INDIRECT(DatCol&amp;"$"&amp;TEXT(C1301,"###")):INDIRECT(DatCol&amp;"$"&amp;TEXT(C1301+57,"###"))&gt;0,INDIRECT(DatCol&amp;"$"&amp;TEXT(C1301,"###")):INDIRECT(DatCol&amp;"$"&amp;TEXT(C1301+57,"###"))))</f>
        <v>11.5</v>
      </c>
      <c r="F1301" s="26" t="str">
        <f t="shared" si="1294"/>
        <v>N</v>
      </c>
      <c r="G1301" s="8"/>
      <c r="J1301" s="8">
        <v>10</v>
      </c>
      <c r="K1301" s="9">
        <f t="shared" si="1252"/>
        <v>10</v>
      </c>
      <c r="M1301" s="11">
        <f t="shared" si="1295"/>
        <v>0</v>
      </c>
      <c r="N1301" s="12">
        <v>15</v>
      </c>
      <c r="O1301" s="11">
        <f t="shared" si="1296"/>
        <v>750</v>
      </c>
      <c r="Q1301" s="11">
        <f t="shared" si="1297"/>
        <v>0</v>
      </c>
      <c r="Y1301" s="11">
        <f t="shared" si="1298"/>
        <v>0</v>
      </c>
      <c r="AG1301" s="11">
        <f t="shared" si="1299"/>
        <v>0</v>
      </c>
      <c r="AI1301" s="11">
        <f t="shared" si="1300"/>
        <v>0</v>
      </c>
      <c r="AK1301" s="13">
        <f t="shared" si="1301"/>
        <v>0</v>
      </c>
      <c r="AM1301" s="13">
        <f t="shared" si="1302"/>
        <v>0</v>
      </c>
      <c r="AO1301" s="11">
        <f t="shared" si="1303"/>
        <v>0</v>
      </c>
      <c r="AP1301" s="12">
        <v>20</v>
      </c>
      <c r="AQ1301" s="11">
        <f t="shared" si="1304"/>
        <v>1600</v>
      </c>
      <c r="AS1301" s="11">
        <f t="shared" si="1305"/>
        <v>0</v>
      </c>
      <c r="AT1301" s="12">
        <v>5</v>
      </c>
      <c r="AU1301" s="11">
        <f t="shared" si="1306"/>
        <v>250</v>
      </c>
      <c r="AW1301" s="11">
        <f t="shared" si="1307"/>
        <v>0</v>
      </c>
      <c r="AY1301" s="11">
        <f t="shared" si="1308"/>
        <v>0</v>
      </c>
      <c r="BA1301" s="11">
        <f t="shared" si="1309"/>
        <v>0</v>
      </c>
      <c r="BC1301" s="11">
        <f t="shared" si="1310"/>
        <v>0</v>
      </c>
      <c r="BE1301" s="11">
        <f t="shared" si="1311"/>
        <v>0</v>
      </c>
      <c r="BG1301" s="11">
        <f t="shared" si="1312"/>
        <v>0</v>
      </c>
      <c r="BN1301" s="8">
        <f t="shared" si="1250"/>
        <v>0</v>
      </c>
      <c r="BO1301" s="8">
        <f t="shared" si="1251"/>
        <v>0</v>
      </c>
      <c r="BP1301" s="8">
        <f t="shared" si="1271"/>
        <v>40</v>
      </c>
      <c r="BQ1301" s="12">
        <f t="shared" si="1272"/>
        <v>2600</v>
      </c>
    </row>
    <row r="1302" spans="1:69">
      <c r="A1302" s="28">
        <v>1979</v>
      </c>
      <c r="B1302" s="27" t="s">
        <v>68</v>
      </c>
      <c r="C1302" s="24">
        <f t="shared" si="1292"/>
        <v>1278</v>
      </c>
      <c r="D1302" s="7" t="e">
        <f t="shared" ca="1" si="1293"/>
        <v>#N/A</v>
      </c>
      <c r="E1302" s="26">
        <f t="array" aca="1" ref="E1302" ca="1">AVERAGE(IF(INDIRECT(DatCol&amp;"$"&amp;TEXT(C1302,"###")):INDIRECT(DatCol&amp;"$"&amp;TEXT(C1302+57,"###"))&gt;0,INDIRECT(DatCol&amp;"$"&amp;TEXT(C1302,"###")):INDIRECT(DatCol&amp;"$"&amp;TEXT(C1302+57,"###"))))</f>
        <v>11.5</v>
      </c>
      <c r="F1302" s="26" t="str">
        <f t="shared" si="1294"/>
        <v>N</v>
      </c>
      <c r="G1302" s="8"/>
      <c r="K1302" s="9">
        <f t="shared" si="1252"/>
        <v>0</v>
      </c>
      <c r="M1302" s="11">
        <f t="shared" si="1295"/>
        <v>0</v>
      </c>
      <c r="O1302" s="11">
        <f t="shared" si="1296"/>
        <v>0</v>
      </c>
      <c r="Q1302" s="11">
        <f t="shared" si="1297"/>
        <v>0</v>
      </c>
      <c r="Y1302" s="11">
        <f t="shared" si="1298"/>
        <v>0</v>
      </c>
      <c r="AG1302" s="11">
        <f t="shared" si="1299"/>
        <v>0</v>
      </c>
      <c r="AI1302" s="11">
        <f t="shared" si="1300"/>
        <v>0</v>
      </c>
      <c r="AK1302" s="13">
        <f t="shared" si="1301"/>
        <v>0</v>
      </c>
      <c r="AM1302" s="13">
        <f t="shared" si="1302"/>
        <v>0</v>
      </c>
      <c r="AO1302" s="11">
        <f t="shared" si="1303"/>
        <v>0</v>
      </c>
      <c r="AQ1302" s="11">
        <f t="shared" si="1304"/>
        <v>0</v>
      </c>
      <c r="AS1302" s="11">
        <f t="shared" si="1305"/>
        <v>0</v>
      </c>
      <c r="AU1302" s="11">
        <f t="shared" si="1306"/>
        <v>0</v>
      </c>
      <c r="AW1302" s="11">
        <f t="shared" si="1307"/>
        <v>0</v>
      </c>
      <c r="AY1302" s="11">
        <f t="shared" si="1308"/>
        <v>0</v>
      </c>
      <c r="BA1302" s="11">
        <f t="shared" si="1309"/>
        <v>0</v>
      </c>
      <c r="BC1302" s="11">
        <f t="shared" si="1310"/>
        <v>0</v>
      </c>
      <c r="BE1302" s="11">
        <f t="shared" si="1311"/>
        <v>0</v>
      </c>
      <c r="BG1302" s="11">
        <f t="shared" si="1312"/>
        <v>0</v>
      </c>
      <c r="BN1302" s="8">
        <f t="shared" si="1250"/>
        <v>0</v>
      </c>
      <c r="BO1302" s="8">
        <f t="shared" si="1251"/>
        <v>0</v>
      </c>
      <c r="BP1302" s="8">
        <f t="shared" si="1271"/>
        <v>0</v>
      </c>
      <c r="BQ1302" s="12">
        <f t="shared" si="1272"/>
        <v>0</v>
      </c>
    </row>
    <row r="1303" spans="1:69">
      <c r="A1303" s="28">
        <v>1980</v>
      </c>
      <c r="B1303" s="27" t="s">
        <v>68</v>
      </c>
      <c r="C1303" s="24">
        <f t="shared" si="1292"/>
        <v>1278</v>
      </c>
      <c r="D1303" s="7" t="e">
        <f t="shared" ca="1" si="1293"/>
        <v>#N/A</v>
      </c>
      <c r="E1303" s="26">
        <f t="array" aca="1" ref="E1303" ca="1">AVERAGE(IF(INDIRECT(DatCol&amp;"$"&amp;TEXT(C1303,"###")):INDIRECT(DatCol&amp;"$"&amp;TEXT(C1303+57,"###"))&gt;0,INDIRECT(DatCol&amp;"$"&amp;TEXT(C1303,"###")):INDIRECT(DatCol&amp;"$"&amp;TEXT(C1303+57,"###"))))</f>
        <v>11.5</v>
      </c>
      <c r="F1303" s="26" t="str">
        <f t="shared" si="1294"/>
        <v>N</v>
      </c>
      <c r="G1303" s="8"/>
      <c r="K1303" s="9">
        <f t="shared" si="1252"/>
        <v>0</v>
      </c>
      <c r="M1303" s="11">
        <f t="shared" si="1295"/>
        <v>0</v>
      </c>
      <c r="O1303" s="11">
        <f t="shared" si="1296"/>
        <v>0</v>
      </c>
      <c r="Q1303" s="11">
        <f t="shared" si="1297"/>
        <v>0</v>
      </c>
      <c r="Y1303" s="11">
        <f t="shared" si="1298"/>
        <v>0</v>
      </c>
      <c r="AG1303" s="11">
        <f t="shared" si="1299"/>
        <v>0</v>
      </c>
      <c r="AI1303" s="11">
        <f t="shared" si="1300"/>
        <v>0</v>
      </c>
      <c r="AK1303" s="13">
        <f t="shared" si="1301"/>
        <v>0</v>
      </c>
      <c r="AM1303" s="13">
        <f t="shared" si="1302"/>
        <v>0</v>
      </c>
      <c r="AO1303" s="11">
        <f t="shared" si="1303"/>
        <v>0</v>
      </c>
      <c r="AQ1303" s="11">
        <f t="shared" si="1304"/>
        <v>0</v>
      </c>
      <c r="AS1303" s="11">
        <f t="shared" si="1305"/>
        <v>0</v>
      </c>
      <c r="AU1303" s="11">
        <f t="shared" si="1306"/>
        <v>0</v>
      </c>
      <c r="AW1303" s="11">
        <f t="shared" si="1307"/>
        <v>0</v>
      </c>
      <c r="AY1303" s="11">
        <f t="shared" si="1308"/>
        <v>0</v>
      </c>
      <c r="BA1303" s="11">
        <f t="shared" si="1309"/>
        <v>0</v>
      </c>
      <c r="BC1303" s="11">
        <f t="shared" si="1310"/>
        <v>0</v>
      </c>
      <c r="BE1303" s="11">
        <f t="shared" si="1311"/>
        <v>0</v>
      </c>
      <c r="BG1303" s="11">
        <f t="shared" si="1312"/>
        <v>0</v>
      </c>
      <c r="BN1303" s="8">
        <f t="shared" ref="BN1303:BN1367" si="1313">(L1303+P1303+R1303+T1303+V1303+X1303+Z1303+AB1303+AD1303+AF1303+AJ1303+AN1303+AR1303+AV1303+AZ1303+BD1303)</f>
        <v>0</v>
      </c>
      <c r="BO1303" s="8">
        <f t="shared" si="1251"/>
        <v>0</v>
      </c>
      <c r="BP1303" s="8">
        <f t="shared" si="1271"/>
        <v>0</v>
      </c>
      <c r="BQ1303" s="12">
        <f t="shared" si="1272"/>
        <v>0</v>
      </c>
    </row>
    <row r="1304" spans="1:69">
      <c r="A1304" s="28">
        <v>1981</v>
      </c>
      <c r="B1304" s="27" t="s">
        <v>68</v>
      </c>
      <c r="C1304" s="24">
        <f t="shared" si="1292"/>
        <v>1278</v>
      </c>
      <c r="D1304" s="7" t="e">
        <f t="shared" ca="1" si="1293"/>
        <v>#N/A</v>
      </c>
      <c r="E1304" s="26">
        <f t="array" aca="1" ref="E1304" ca="1">AVERAGE(IF(INDIRECT(DatCol&amp;"$"&amp;TEXT(C1304,"###")):INDIRECT(DatCol&amp;"$"&amp;TEXT(C1304+57,"###"))&gt;0,INDIRECT(DatCol&amp;"$"&amp;TEXT(C1304,"###")):INDIRECT(DatCol&amp;"$"&amp;TEXT(C1304+57,"###"))))</f>
        <v>11.5</v>
      </c>
      <c r="F1304" s="26" t="str">
        <f t="shared" si="1294"/>
        <v>N</v>
      </c>
      <c r="G1304" s="8"/>
      <c r="K1304" s="9">
        <f t="shared" si="1252"/>
        <v>0</v>
      </c>
      <c r="M1304" s="11">
        <f t="shared" si="1295"/>
        <v>0</v>
      </c>
      <c r="O1304" s="11">
        <f t="shared" si="1296"/>
        <v>0</v>
      </c>
      <c r="Q1304" s="11">
        <f t="shared" si="1297"/>
        <v>0</v>
      </c>
      <c r="Y1304" s="11">
        <f t="shared" si="1298"/>
        <v>0</v>
      </c>
      <c r="AG1304" s="11">
        <f t="shared" si="1299"/>
        <v>0</v>
      </c>
      <c r="AI1304" s="11">
        <f t="shared" si="1300"/>
        <v>0</v>
      </c>
      <c r="AK1304" s="13">
        <f t="shared" si="1301"/>
        <v>0</v>
      </c>
      <c r="AM1304" s="13">
        <f t="shared" si="1302"/>
        <v>0</v>
      </c>
      <c r="AO1304" s="11">
        <f t="shared" si="1303"/>
        <v>0</v>
      </c>
      <c r="AQ1304" s="11">
        <f t="shared" si="1304"/>
        <v>0</v>
      </c>
      <c r="AS1304" s="11">
        <f t="shared" si="1305"/>
        <v>0</v>
      </c>
      <c r="AU1304" s="11">
        <f t="shared" si="1306"/>
        <v>0</v>
      </c>
      <c r="AW1304" s="11">
        <f t="shared" si="1307"/>
        <v>0</v>
      </c>
      <c r="AY1304" s="11">
        <f t="shared" si="1308"/>
        <v>0</v>
      </c>
      <c r="BA1304" s="11">
        <f t="shared" si="1309"/>
        <v>0</v>
      </c>
      <c r="BC1304" s="11">
        <f t="shared" si="1310"/>
        <v>0</v>
      </c>
      <c r="BE1304" s="11">
        <f t="shared" si="1311"/>
        <v>0</v>
      </c>
      <c r="BG1304" s="11">
        <f t="shared" si="1312"/>
        <v>0</v>
      </c>
      <c r="BN1304" s="8">
        <f t="shared" si="1313"/>
        <v>0</v>
      </c>
      <c r="BO1304" s="8">
        <f t="shared" ref="BO1304:BO1368" si="1314">(M1304+Q1304+S1304+U1304+W1304+Y1304+AA1304+AC1304+AG1304+AK1304+AO1304+AS1304+AW1304+BA1304+BE1304)</f>
        <v>0</v>
      </c>
      <c r="BP1304" s="8">
        <f t="shared" si="1271"/>
        <v>0</v>
      </c>
      <c r="BQ1304" s="12">
        <f t="shared" si="1272"/>
        <v>0</v>
      </c>
    </row>
    <row r="1305" spans="1:69">
      <c r="A1305" s="28">
        <v>1982</v>
      </c>
      <c r="B1305" s="27" t="s">
        <v>68</v>
      </c>
      <c r="C1305" s="24">
        <f t="shared" si="1292"/>
        <v>1278</v>
      </c>
      <c r="D1305" s="7" t="e">
        <f t="shared" ca="1" si="1293"/>
        <v>#N/A</v>
      </c>
      <c r="E1305" s="26">
        <f t="array" aca="1" ref="E1305" ca="1">AVERAGE(IF(INDIRECT(DatCol&amp;"$"&amp;TEXT(C1305,"###")):INDIRECT(DatCol&amp;"$"&amp;TEXT(C1305+57,"###"))&gt;0,INDIRECT(DatCol&amp;"$"&amp;TEXT(C1305,"###")):INDIRECT(DatCol&amp;"$"&amp;TEXT(C1305+57,"###"))))</f>
        <v>11.5</v>
      </c>
      <c r="F1305" s="26" t="str">
        <f t="shared" si="1294"/>
        <v>N</v>
      </c>
      <c r="G1305" s="8"/>
      <c r="H1305" s="8">
        <v>0</v>
      </c>
      <c r="J1305" s="8">
        <v>14</v>
      </c>
      <c r="K1305" s="9">
        <f t="shared" ref="K1305:K1369" si="1315">G1305+H1305+J1305</f>
        <v>14</v>
      </c>
      <c r="M1305" s="11">
        <f t="shared" si="1295"/>
        <v>0</v>
      </c>
      <c r="N1305" s="12">
        <v>3</v>
      </c>
      <c r="O1305" s="11">
        <f t="shared" si="1296"/>
        <v>150</v>
      </c>
      <c r="Q1305" s="11">
        <f t="shared" si="1297"/>
        <v>0</v>
      </c>
      <c r="Y1305" s="11">
        <f t="shared" si="1298"/>
        <v>0</v>
      </c>
      <c r="AG1305" s="11">
        <f t="shared" si="1299"/>
        <v>0</v>
      </c>
      <c r="AI1305" s="11">
        <f t="shared" si="1300"/>
        <v>0</v>
      </c>
      <c r="AK1305" s="13">
        <f t="shared" si="1301"/>
        <v>0</v>
      </c>
      <c r="AM1305" s="13">
        <f t="shared" si="1302"/>
        <v>0</v>
      </c>
      <c r="AO1305" s="11">
        <f t="shared" si="1303"/>
        <v>0</v>
      </c>
      <c r="AQ1305" s="11">
        <f t="shared" si="1304"/>
        <v>0</v>
      </c>
      <c r="AS1305" s="11">
        <f t="shared" si="1305"/>
        <v>0</v>
      </c>
      <c r="AT1305" s="12">
        <v>10</v>
      </c>
      <c r="AU1305" s="11">
        <f t="shared" si="1306"/>
        <v>500</v>
      </c>
      <c r="AW1305" s="11">
        <f t="shared" si="1307"/>
        <v>0</v>
      </c>
      <c r="AY1305" s="11">
        <f t="shared" si="1308"/>
        <v>0</v>
      </c>
      <c r="BA1305" s="11">
        <f t="shared" si="1309"/>
        <v>0</v>
      </c>
      <c r="BC1305" s="11">
        <f t="shared" si="1310"/>
        <v>0</v>
      </c>
      <c r="BE1305" s="11">
        <f t="shared" si="1311"/>
        <v>0</v>
      </c>
      <c r="BG1305" s="11">
        <f t="shared" si="1312"/>
        <v>0</v>
      </c>
      <c r="BN1305" s="8">
        <f t="shared" si="1313"/>
        <v>0</v>
      </c>
      <c r="BO1305" s="8">
        <f t="shared" si="1314"/>
        <v>0</v>
      </c>
      <c r="BP1305" s="8">
        <f t="shared" si="1271"/>
        <v>13</v>
      </c>
      <c r="BQ1305" s="12">
        <f t="shared" si="1272"/>
        <v>650</v>
      </c>
    </row>
    <row r="1306" spans="1:69">
      <c r="A1306" s="28">
        <v>1983</v>
      </c>
      <c r="B1306" s="27" t="s">
        <v>68</v>
      </c>
      <c r="C1306" s="24">
        <f t="shared" si="1292"/>
        <v>1278</v>
      </c>
      <c r="D1306" s="7" t="e">
        <f t="shared" ca="1" si="1293"/>
        <v>#N/A</v>
      </c>
      <c r="E1306" s="26">
        <f t="array" aca="1" ref="E1306" ca="1">AVERAGE(IF(INDIRECT(DatCol&amp;"$"&amp;TEXT(C1306,"###")):INDIRECT(DatCol&amp;"$"&amp;TEXT(C1306+57,"###"))&gt;0,INDIRECT(DatCol&amp;"$"&amp;TEXT(C1306,"###")):INDIRECT(DatCol&amp;"$"&amp;TEXT(C1306+57,"###"))))</f>
        <v>11.5</v>
      </c>
      <c r="F1306" s="26" t="str">
        <f t="shared" si="1294"/>
        <v>N</v>
      </c>
      <c r="G1306" s="8"/>
      <c r="H1306" s="8">
        <v>0</v>
      </c>
      <c r="J1306" s="8">
        <v>20</v>
      </c>
      <c r="K1306" s="9">
        <f t="shared" si="1315"/>
        <v>20</v>
      </c>
      <c r="M1306" s="11">
        <f t="shared" si="1295"/>
        <v>0</v>
      </c>
      <c r="O1306" s="11">
        <f t="shared" si="1296"/>
        <v>0</v>
      </c>
      <c r="Q1306" s="11">
        <f t="shared" si="1297"/>
        <v>0</v>
      </c>
      <c r="Y1306" s="11">
        <f t="shared" si="1298"/>
        <v>0</v>
      </c>
      <c r="AG1306" s="11">
        <f t="shared" si="1299"/>
        <v>0</v>
      </c>
      <c r="AI1306" s="11">
        <f t="shared" si="1300"/>
        <v>0</v>
      </c>
      <c r="AK1306" s="13">
        <f t="shared" si="1301"/>
        <v>0</v>
      </c>
      <c r="AM1306" s="13">
        <f t="shared" si="1302"/>
        <v>0</v>
      </c>
      <c r="AO1306" s="11">
        <f t="shared" si="1303"/>
        <v>0</v>
      </c>
      <c r="AP1306" s="12">
        <v>4</v>
      </c>
      <c r="AQ1306" s="11">
        <f t="shared" si="1304"/>
        <v>320</v>
      </c>
      <c r="AS1306" s="11">
        <f t="shared" si="1305"/>
        <v>0</v>
      </c>
      <c r="AU1306" s="11">
        <f t="shared" si="1306"/>
        <v>0</v>
      </c>
      <c r="AW1306" s="11">
        <f t="shared" si="1307"/>
        <v>0</v>
      </c>
      <c r="AY1306" s="11">
        <f t="shared" si="1308"/>
        <v>0</v>
      </c>
      <c r="BA1306" s="11">
        <f t="shared" si="1309"/>
        <v>0</v>
      </c>
      <c r="BC1306" s="11">
        <f t="shared" si="1310"/>
        <v>0</v>
      </c>
      <c r="BE1306" s="11">
        <f t="shared" si="1311"/>
        <v>0</v>
      </c>
      <c r="BG1306" s="11">
        <f t="shared" si="1312"/>
        <v>0</v>
      </c>
      <c r="BN1306" s="8">
        <f t="shared" si="1313"/>
        <v>0</v>
      </c>
      <c r="BO1306" s="8">
        <f t="shared" si="1314"/>
        <v>0</v>
      </c>
      <c r="BP1306" s="8">
        <f t="shared" si="1271"/>
        <v>4</v>
      </c>
      <c r="BQ1306" s="12">
        <f t="shared" si="1272"/>
        <v>320</v>
      </c>
    </row>
    <row r="1307" spans="1:69">
      <c r="A1307" s="28">
        <v>1984</v>
      </c>
      <c r="B1307" s="27" t="s">
        <v>68</v>
      </c>
      <c r="C1307" s="24">
        <f t="shared" si="1292"/>
        <v>1278</v>
      </c>
      <c r="D1307" s="7" t="e">
        <f t="shared" ca="1" si="1293"/>
        <v>#N/A</v>
      </c>
      <c r="E1307" s="26">
        <f t="array" aca="1" ref="E1307" ca="1">AVERAGE(IF(INDIRECT(DatCol&amp;"$"&amp;TEXT(C1307,"###")):INDIRECT(DatCol&amp;"$"&amp;TEXT(C1307+57,"###"))&gt;0,INDIRECT(DatCol&amp;"$"&amp;TEXT(C1307,"###")):INDIRECT(DatCol&amp;"$"&amp;TEXT(C1307+57,"###"))))</f>
        <v>11.5</v>
      </c>
      <c r="F1307" s="26" t="str">
        <f t="shared" si="1294"/>
        <v>N</v>
      </c>
      <c r="G1307" s="8"/>
      <c r="K1307" s="9">
        <f t="shared" si="1315"/>
        <v>0</v>
      </c>
      <c r="M1307" s="11">
        <f t="shared" si="1295"/>
        <v>0</v>
      </c>
      <c r="O1307" s="11">
        <f t="shared" si="1296"/>
        <v>0</v>
      </c>
      <c r="Q1307" s="11">
        <f t="shared" si="1297"/>
        <v>0</v>
      </c>
      <c r="Y1307" s="11">
        <f t="shared" si="1298"/>
        <v>0</v>
      </c>
      <c r="AG1307" s="11">
        <f t="shared" si="1299"/>
        <v>0</v>
      </c>
      <c r="AI1307" s="11">
        <f t="shared" si="1300"/>
        <v>0</v>
      </c>
      <c r="AK1307" s="13">
        <f t="shared" si="1301"/>
        <v>0</v>
      </c>
      <c r="AM1307" s="13">
        <f t="shared" si="1302"/>
        <v>0</v>
      </c>
      <c r="AO1307" s="11">
        <f t="shared" si="1303"/>
        <v>0</v>
      </c>
      <c r="AQ1307" s="11">
        <f t="shared" si="1304"/>
        <v>0</v>
      </c>
      <c r="AS1307" s="11">
        <f t="shared" si="1305"/>
        <v>0</v>
      </c>
      <c r="AU1307" s="11">
        <f t="shared" si="1306"/>
        <v>0</v>
      </c>
      <c r="AW1307" s="11">
        <f t="shared" si="1307"/>
        <v>0</v>
      </c>
      <c r="AY1307" s="11">
        <f t="shared" si="1308"/>
        <v>0</v>
      </c>
      <c r="BA1307" s="11">
        <f t="shared" si="1309"/>
        <v>0</v>
      </c>
      <c r="BC1307" s="11">
        <f t="shared" si="1310"/>
        <v>0</v>
      </c>
      <c r="BE1307" s="11">
        <f t="shared" si="1311"/>
        <v>0</v>
      </c>
      <c r="BG1307" s="11">
        <f t="shared" si="1312"/>
        <v>0</v>
      </c>
      <c r="BN1307" s="8">
        <f t="shared" si="1313"/>
        <v>0</v>
      </c>
      <c r="BO1307" s="8">
        <f t="shared" si="1314"/>
        <v>0</v>
      </c>
      <c r="BP1307" s="8">
        <f t="shared" si="1271"/>
        <v>0</v>
      </c>
      <c r="BQ1307" s="12">
        <f t="shared" si="1272"/>
        <v>0</v>
      </c>
    </row>
    <row r="1308" spans="1:69">
      <c r="A1308" s="28">
        <v>1985</v>
      </c>
      <c r="B1308" s="27" t="s">
        <v>68</v>
      </c>
      <c r="C1308" s="24">
        <f t="shared" si="1292"/>
        <v>1278</v>
      </c>
      <c r="D1308" s="7" t="e">
        <f t="shared" ca="1" si="1293"/>
        <v>#N/A</v>
      </c>
      <c r="E1308" s="26">
        <f t="array" aca="1" ref="E1308" ca="1">AVERAGE(IF(INDIRECT(DatCol&amp;"$"&amp;TEXT(C1308,"###")):INDIRECT(DatCol&amp;"$"&amp;TEXT(C1308+57,"###"))&gt;0,INDIRECT(DatCol&amp;"$"&amp;TEXT(C1308,"###")):INDIRECT(DatCol&amp;"$"&amp;TEXT(C1308+57,"###"))))</f>
        <v>11.5</v>
      </c>
      <c r="F1308" s="26" t="str">
        <f t="shared" si="1294"/>
        <v>N</v>
      </c>
      <c r="G1308" s="8"/>
      <c r="H1308" s="8">
        <v>0</v>
      </c>
      <c r="J1308" s="8">
        <v>30</v>
      </c>
      <c r="K1308" s="9">
        <f t="shared" si="1315"/>
        <v>30</v>
      </c>
      <c r="M1308" s="11">
        <f t="shared" si="1295"/>
        <v>0</v>
      </c>
      <c r="O1308" s="11">
        <f t="shared" si="1296"/>
        <v>0</v>
      </c>
      <c r="Q1308" s="11">
        <f t="shared" si="1297"/>
        <v>0</v>
      </c>
      <c r="Y1308" s="11">
        <f t="shared" si="1298"/>
        <v>0</v>
      </c>
      <c r="AG1308" s="11">
        <f t="shared" si="1299"/>
        <v>0</v>
      </c>
      <c r="AI1308" s="11">
        <f t="shared" si="1300"/>
        <v>0</v>
      </c>
      <c r="AK1308" s="13">
        <f t="shared" si="1301"/>
        <v>0</v>
      </c>
      <c r="AM1308" s="13">
        <f t="shared" si="1302"/>
        <v>0</v>
      </c>
      <c r="AO1308" s="11">
        <f t="shared" si="1303"/>
        <v>0</v>
      </c>
      <c r="AQ1308" s="11">
        <f t="shared" si="1304"/>
        <v>0</v>
      </c>
      <c r="AS1308" s="11">
        <f t="shared" si="1305"/>
        <v>0</v>
      </c>
      <c r="AU1308" s="11">
        <f t="shared" si="1306"/>
        <v>0</v>
      </c>
      <c r="AW1308" s="11">
        <f t="shared" si="1307"/>
        <v>0</v>
      </c>
      <c r="AY1308" s="11">
        <f t="shared" si="1308"/>
        <v>0</v>
      </c>
      <c r="BA1308" s="11">
        <f t="shared" si="1309"/>
        <v>0</v>
      </c>
      <c r="BC1308" s="11">
        <f t="shared" si="1310"/>
        <v>0</v>
      </c>
      <c r="BE1308" s="11">
        <f t="shared" si="1311"/>
        <v>0</v>
      </c>
      <c r="BG1308" s="11">
        <f t="shared" si="1312"/>
        <v>0</v>
      </c>
      <c r="BN1308" s="8">
        <f t="shared" si="1313"/>
        <v>0</v>
      </c>
      <c r="BO1308" s="8">
        <f t="shared" si="1314"/>
        <v>0</v>
      </c>
      <c r="BP1308" s="8">
        <f t="shared" si="1271"/>
        <v>0</v>
      </c>
      <c r="BQ1308" s="12">
        <f t="shared" si="1272"/>
        <v>0</v>
      </c>
    </row>
    <row r="1309" spans="1:69">
      <c r="A1309" s="28">
        <v>1986</v>
      </c>
      <c r="B1309" s="27" t="s">
        <v>68</v>
      </c>
      <c r="C1309" s="24">
        <f t="shared" si="1292"/>
        <v>1278</v>
      </c>
      <c r="D1309" s="7" t="e">
        <f t="shared" ca="1" si="1293"/>
        <v>#N/A</v>
      </c>
      <c r="E1309" s="26">
        <f t="array" aca="1" ref="E1309" ca="1">AVERAGE(IF(INDIRECT(DatCol&amp;"$"&amp;TEXT(C1309,"###")):INDIRECT(DatCol&amp;"$"&amp;TEXT(C1309+57,"###"))&gt;0,INDIRECT(DatCol&amp;"$"&amp;TEXT(C1309,"###")):INDIRECT(DatCol&amp;"$"&amp;TEXT(C1309+57,"###"))))</f>
        <v>11.5</v>
      </c>
      <c r="F1309" s="26" t="str">
        <f t="shared" si="1294"/>
        <v>N</v>
      </c>
      <c r="G1309" s="8"/>
      <c r="H1309" s="8" t="s">
        <v>28</v>
      </c>
      <c r="K1309" s="9">
        <f t="shared" si="1315"/>
        <v>0</v>
      </c>
      <c r="M1309" s="11">
        <f t="shared" ref="M1309:M1339" si="1316">(L1309*50)</f>
        <v>0</v>
      </c>
      <c r="O1309" s="11">
        <f t="shared" ref="O1309:O1318" si="1317">(N1309*50)</f>
        <v>0</v>
      </c>
      <c r="Q1309" s="11">
        <f t="shared" ref="Q1309:Q1318" si="1318">((P1309*330)/5.5)</f>
        <v>0</v>
      </c>
      <c r="Y1309" s="11">
        <f t="shared" ref="Y1309:Y1318" si="1319">((X1309*330)/5.5)</f>
        <v>0</v>
      </c>
      <c r="AG1309" s="11">
        <f t="shared" ref="AG1309:AG1318" si="1320">(AF1309*65)</f>
        <v>0</v>
      </c>
      <c r="AI1309" s="11">
        <f t="shared" ref="AI1309:AI1318" si="1321">(AH1309*65)</f>
        <v>0</v>
      </c>
      <c r="AK1309" s="13">
        <f t="shared" ref="AK1309:AK1318" si="1322">(AJ1309*9)</f>
        <v>0</v>
      </c>
      <c r="AM1309" s="13">
        <f t="shared" ref="AM1309:AM1318" si="1323">(AL1309*9)</f>
        <v>0</v>
      </c>
      <c r="AO1309" s="11">
        <f t="shared" ref="AO1309:AO1318" si="1324">(AN1309*80)</f>
        <v>0</v>
      </c>
      <c r="AQ1309" s="11">
        <f t="shared" ref="AQ1309:AQ1318" si="1325">(AP1309*80)</f>
        <v>0</v>
      </c>
      <c r="AS1309" s="11">
        <f t="shared" ref="AS1309:AS1318" si="1326">(AR1309*50)</f>
        <v>0</v>
      </c>
      <c r="AU1309" s="11">
        <f t="shared" ref="AU1309:AU1318" si="1327">(AT1309*50)</f>
        <v>0</v>
      </c>
      <c r="AW1309" s="11">
        <f t="shared" ref="AW1309:AW1318" si="1328">(AV1309*60)</f>
        <v>0</v>
      </c>
      <c r="AY1309" s="11">
        <f t="shared" ref="AY1309:AY1318" si="1329">(AX1309*60)</f>
        <v>0</v>
      </c>
      <c r="BA1309" s="11">
        <f t="shared" ref="BA1309:BA1318" si="1330">(AZ1309*40)</f>
        <v>0</v>
      </c>
      <c r="BC1309" s="11">
        <f t="shared" ref="BC1309:BC1318" si="1331">(BB1309*40)</f>
        <v>0</v>
      </c>
      <c r="BE1309" s="11">
        <f t="shared" ref="BE1309:BE1318" si="1332">(BD1309*95)</f>
        <v>0</v>
      </c>
      <c r="BG1309" s="11">
        <f t="shared" ref="BG1309:BG1318" si="1333">(BF1309*95)</f>
        <v>0</v>
      </c>
      <c r="BN1309" s="8">
        <f t="shared" si="1313"/>
        <v>0</v>
      </c>
      <c r="BO1309" s="8">
        <f t="shared" si="1314"/>
        <v>0</v>
      </c>
      <c r="BP1309" s="8">
        <f t="shared" si="1271"/>
        <v>0</v>
      </c>
      <c r="BQ1309" s="12">
        <f t="shared" si="1272"/>
        <v>0</v>
      </c>
    </row>
    <row r="1310" spans="1:69">
      <c r="A1310" s="28">
        <v>1987</v>
      </c>
      <c r="B1310" s="27" t="s">
        <v>68</v>
      </c>
      <c r="C1310" s="24">
        <f t="shared" si="1292"/>
        <v>1278</v>
      </c>
      <c r="D1310" s="7" t="e">
        <f t="shared" ca="1" si="1293"/>
        <v>#N/A</v>
      </c>
      <c r="E1310" s="26">
        <f t="array" aca="1" ref="E1310" ca="1">AVERAGE(IF(INDIRECT(DatCol&amp;"$"&amp;TEXT(C1310,"###")):INDIRECT(DatCol&amp;"$"&amp;TEXT(C1310+57,"###"))&gt;0,INDIRECT(DatCol&amp;"$"&amp;TEXT(C1310,"###")):INDIRECT(DatCol&amp;"$"&amp;TEXT(C1310+57,"###"))))</f>
        <v>11.5</v>
      </c>
      <c r="F1310" s="26" t="str">
        <f t="shared" si="1294"/>
        <v>N</v>
      </c>
      <c r="G1310" s="8"/>
      <c r="H1310" s="8">
        <v>0</v>
      </c>
      <c r="I1310" s="8">
        <v>0</v>
      </c>
      <c r="J1310" s="8">
        <v>0</v>
      </c>
      <c r="K1310" s="9">
        <f t="shared" si="1315"/>
        <v>0</v>
      </c>
      <c r="L1310" s="12">
        <v>0</v>
      </c>
      <c r="M1310" s="11">
        <f t="shared" si="1316"/>
        <v>0</v>
      </c>
      <c r="N1310" s="12">
        <v>3</v>
      </c>
      <c r="O1310" s="11">
        <f t="shared" si="1317"/>
        <v>150</v>
      </c>
      <c r="Q1310" s="11">
        <f t="shared" si="1318"/>
        <v>0</v>
      </c>
      <c r="Y1310" s="11">
        <f t="shared" si="1319"/>
        <v>0</v>
      </c>
      <c r="AG1310" s="11">
        <f t="shared" si="1320"/>
        <v>0</v>
      </c>
      <c r="AI1310" s="11">
        <f t="shared" si="1321"/>
        <v>0</v>
      </c>
      <c r="AK1310" s="13">
        <f t="shared" si="1322"/>
        <v>0</v>
      </c>
      <c r="AM1310" s="13">
        <f t="shared" si="1323"/>
        <v>0</v>
      </c>
      <c r="AO1310" s="11">
        <f t="shared" si="1324"/>
        <v>0</v>
      </c>
      <c r="AP1310" s="12">
        <v>20</v>
      </c>
      <c r="AQ1310" s="11">
        <f t="shared" si="1325"/>
        <v>1600</v>
      </c>
      <c r="AS1310" s="11">
        <f t="shared" si="1326"/>
        <v>0</v>
      </c>
      <c r="AT1310" s="12">
        <v>5</v>
      </c>
      <c r="AU1310" s="11">
        <f t="shared" si="1327"/>
        <v>250</v>
      </c>
      <c r="AW1310" s="11">
        <f t="shared" si="1328"/>
        <v>0</v>
      </c>
      <c r="AY1310" s="11">
        <f t="shared" si="1329"/>
        <v>0</v>
      </c>
      <c r="BA1310" s="11">
        <f t="shared" si="1330"/>
        <v>0</v>
      </c>
      <c r="BC1310" s="11">
        <f t="shared" si="1331"/>
        <v>0</v>
      </c>
      <c r="BE1310" s="11">
        <f t="shared" si="1332"/>
        <v>0</v>
      </c>
      <c r="BG1310" s="11">
        <f t="shared" si="1333"/>
        <v>0</v>
      </c>
      <c r="BN1310" s="8">
        <f t="shared" si="1313"/>
        <v>0</v>
      </c>
      <c r="BO1310" s="8">
        <f t="shared" si="1314"/>
        <v>0</v>
      </c>
      <c r="BP1310" s="8">
        <f t="shared" si="1271"/>
        <v>28</v>
      </c>
      <c r="BQ1310" s="12">
        <f t="shared" si="1272"/>
        <v>2000</v>
      </c>
    </row>
    <row r="1311" spans="1:69">
      <c r="A1311" s="28">
        <v>1988</v>
      </c>
      <c r="B1311" s="27" t="s">
        <v>68</v>
      </c>
      <c r="C1311" s="24">
        <f t="shared" si="1292"/>
        <v>1278</v>
      </c>
      <c r="D1311" s="7" t="e">
        <f t="shared" ca="1" si="1293"/>
        <v>#N/A</v>
      </c>
      <c r="E1311" s="26">
        <f t="array" aca="1" ref="E1311" ca="1">AVERAGE(IF(INDIRECT(DatCol&amp;"$"&amp;TEXT(C1311,"###")):INDIRECT(DatCol&amp;"$"&amp;TEXT(C1311+57,"###"))&gt;0,INDIRECT(DatCol&amp;"$"&amp;TEXT(C1311,"###")):INDIRECT(DatCol&amp;"$"&amp;TEXT(C1311+57,"###"))))</f>
        <v>11.5</v>
      </c>
      <c r="F1311" s="26" t="str">
        <f t="shared" si="1294"/>
        <v>N</v>
      </c>
      <c r="G1311" s="8"/>
      <c r="H1311" s="8">
        <v>0</v>
      </c>
      <c r="I1311" s="8">
        <v>0</v>
      </c>
      <c r="J1311" s="8">
        <v>0</v>
      </c>
      <c r="K1311" s="9">
        <f t="shared" si="1315"/>
        <v>0</v>
      </c>
      <c r="L1311" s="12">
        <v>0</v>
      </c>
      <c r="M1311" s="11">
        <f t="shared" si="1316"/>
        <v>0</v>
      </c>
      <c r="O1311" s="11">
        <f t="shared" si="1317"/>
        <v>0</v>
      </c>
      <c r="Q1311" s="11">
        <f t="shared" si="1318"/>
        <v>0</v>
      </c>
      <c r="Y1311" s="11">
        <f t="shared" si="1319"/>
        <v>0</v>
      </c>
      <c r="AG1311" s="11">
        <f t="shared" si="1320"/>
        <v>0</v>
      </c>
      <c r="AI1311" s="11">
        <f t="shared" si="1321"/>
        <v>0</v>
      </c>
      <c r="AK1311" s="13">
        <f t="shared" si="1322"/>
        <v>0</v>
      </c>
      <c r="AM1311" s="13">
        <f t="shared" si="1323"/>
        <v>0</v>
      </c>
      <c r="AO1311" s="11">
        <f t="shared" si="1324"/>
        <v>0</v>
      </c>
      <c r="AQ1311" s="11">
        <f t="shared" si="1325"/>
        <v>0</v>
      </c>
      <c r="AS1311" s="11">
        <f t="shared" si="1326"/>
        <v>0</v>
      </c>
      <c r="AU1311" s="11">
        <f t="shared" si="1327"/>
        <v>0</v>
      </c>
      <c r="AW1311" s="11">
        <f t="shared" si="1328"/>
        <v>0</v>
      </c>
      <c r="AY1311" s="11">
        <f t="shared" si="1329"/>
        <v>0</v>
      </c>
      <c r="BA1311" s="11">
        <f t="shared" si="1330"/>
        <v>0</v>
      </c>
      <c r="BC1311" s="11">
        <f t="shared" si="1331"/>
        <v>0</v>
      </c>
      <c r="BE1311" s="11">
        <f t="shared" si="1332"/>
        <v>0</v>
      </c>
      <c r="BG1311" s="11">
        <f t="shared" si="1333"/>
        <v>0</v>
      </c>
      <c r="BN1311" s="8">
        <f t="shared" si="1313"/>
        <v>0</v>
      </c>
      <c r="BO1311" s="8">
        <f t="shared" si="1314"/>
        <v>0</v>
      </c>
      <c r="BP1311" s="8">
        <f t="shared" si="1271"/>
        <v>0</v>
      </c>
      <c r="BQ1311" s="12">
        <f t="shared" si="1272"/>
        <v>0</v>
      </c>
    </row>
    <row r="1312" spans="1:69">
      <c r="A1312" s="28">
        <v>1989</v>
      </c>
      <c r="B1312" s="27" t="s">
        <v>68</v>
      </c>
      <c r="C1312" s="24">
        <f t="shared" si="1292"/>
        <v>1278</v>
      </c>
      <c r="D1312" s="7" t="e">
        <f t="shared" ca="1" si="1293"/>
        <v>#N/A</v>
      </c>
      <c r="E1312" s="26">
        <f t="array" aca="1" ref="E1312" ca="1">AVERAGE(IF(INDIRECT(DatCol&amp;"$"&amp;TEXT(C1312,"###")):INDIRECT(DatCol&amp;"$"&amp;TEXT(C1312+57,"###"))&gt;0,INDIRECT(DatCol&amp;"$"&amp;TEXT(C1312,"###")):INDIRECT(DatCol&amp;"$"&amp;TEXT(C1312+57,"###"))))</f>
        <v>11.5</v>
      </c>
      <c r="F1312" s="26" t="str">
        <f t="shared" si="1294"/>
        <v>N</v>
      </c>
      <c r="G1312" s="8"/>
      <c r="H1312" s="8">
        <v>0</v>
      </c>
      <c r="I1312" s="8">
        <v>0</v>
      </c>
      <c r="J1312" s="8">
        <v>0</v>
      </c>
      <c r="K1312" s="9">
        <f t="shared" si="1315"/>
        <v>0</v>
      </c>
      <c r="L1312" s="12">
        <v>0</v>
      </c>
      <c r="M1312" s="11">
        <f t="shared" si="1316"/>
        <v>0</v>
      </c>
      <c r="O1312" s="11">
        <f t="shared" si="1317"/>
        <v>0</v>
      </c>
      <c r="Q1312" s="11">
        <f t="shared" si="1318"/>
        <v>0</v>
      </c>
      <c r="Y1312" s="11">
        <f t="shared" si="1319"/>
        <v>0</v>
      </c>
      <c r="AG1312" s="11">
        <f t="shared" si="1320"/>
        <v>0</v>
      </c>
      <c r="AI1312" s="11">
        <f t="shared" si="1321"/>
        <v>0</v>
      </c>
      <c r="AK1312" s="13">
        <f t="shared" si="1322"/>
        <v>0</v>
      </c>
      <c r="AM1312" s="13">
        <f t="shared" si="1323"/>
        <v>0</v>
      </c>
      <c r="AO1312" s="11">
        <f t="shared" si="1324"/>
        <v>0</v>
      </c>
      <c r="AQ1312" s="11">
        <f t="shared" si="1325"/>
        <v>0</v>
      </c>
      <c r="AS1312" s="11">
        <f t="shared" si="1326"/>
        <v>0</v>
      </c>
      <c r="AU1312" s="11">
        <f t="shared" si="1327"/>
        <v>0</v>
      </c>
      <c r="AW1312" s="11">
        <f t="shared" si="1328"/>
        <v>0</v>
      </c>
      <c r="AY1312" s="11">
        <f t="shared" si="1329"/>
        <v>0</v>
      </c>
      <c r="BA1312" s="11">
        <f t="shared" si="1330"/>
        <v>0</v>
      </c>
      <c r="BC1312" s="11">
        <f t="shared" si="1331"/>
        <v>0</v>
      </c>
      <c r="BE1312" s="11">
        <f t="shared" si="1332"/>
        <v>0</v>
      </c>
      <c r="BG1312" s="11">
        <f t="shared" si="1333"/>
        <v>0</v>
      </c>
      <c r="BN1312" s="8">
        <f t="shared" si="1313"/>
        <v>0</v>
      </c>
      <c r="BO1312" s="8">
        <f t="shared" si="1314"/>
        <v>0</v>
      </c>
      <c r="BP1312" s="8">
        <f t="shared" si="1271"/>
        <v>0</v>
      </c>
      <c r="BQ1312" s="12">
        <f t="shared" si="1272"/>
        <v>0</v>
      </c>
    </row>
    <row r="1313" spans="1:69">
      <c r="A1313" s="28">
        <v>1990</v>
      </c>
      <c r="B1313" s="27" t="s">
        <v>68</v>
      </c>
      <c r="C1313" s="24">
        <f t="shared" si="1292"/>
        <v>1278</v>
      </c>
      <c r="D1313" s="7" t="e">
        <f t="shared" ca="1" si="1293"/>
        <v>#N/A</v>
      </c>
      <c r="E1313" s="26">
        <f t="array" aca="1" ref="E1313" ca="1">AVERAGE(IF(INDIRECT(DatCol&amp;"$"&amp;TEXT(C1313,"###")):INDIRECT(DatCol&amp;"$"&amp;TEXT(C1313+57,"###"))&gt;0,INDIRECT(DatCol&amp;"$"&amp;TEXT(C1313,"###")):INDIRECT(DatCol&amp;"$"&amp;TEXT(C1313+57,"###"))))</f>
        <v>11.5</v>
      </c>
      <c r="F1313" s="26" t="str">
        <f t="shared" si="1294"/>
        <v>N</v>
      </c>
      <c r="G1313" s="8"/>
      <c r="H1313" s="8">
        <v>0</v>
      </c>
      <c r="I1313" s="8">
        <v>0</v>
      </c>
      <c r="J1313" s="8">
        <v>0</v>
      </c>
      <c r="K1313" s="9">
        <f t="shared" si="1315"/>
        <v>0</v>
      </c>
      <c r="L1313" s="12">
        <v>0</v>
      </c>
      <c r="M1313" s="11">
        <f t="shared" si="1316"/>
        <v>0</v>
      </c>
      <c r="O1313" s="11">
        <f t="shared" si="1317"/>
        <v>0</v>
      </c>
      <c r="Q1313" s="11">
        <f t="shared" si="1318"/>
        <v>0</v>
      </c>
      <c r="Y1313" s="11">
        <f t="shared" si="1319"/>
        <v>0</v>
      </c>
      <c r="AG1313" s="11">
        <f t="shared" si="1320"/>
        <v>0</v>
      </c>
      <c r="AI1313" s="11">
        <f t="shared" si="1321"/>
        <v>0</v>
      </c>
      <c r="AK1313" s="13">
        <f t="shared" si="1322"/>
        <v>0</v>
      </c>
      <c r="AM1313" s="13">
        <f t="shared" si="1323"/>
        <v>0</v>
      </c>
      <c r="AO1313" s="11">
        <f t="shared" si="1324"/>
        <v>0</v>
      </c>
      <c r="AQ1313" s="11">
        <f t="shared" si="1325"/>
        <v>0</v>
      </c>
      <c r="AS1313" s="11">
        <f t="shared" si="1326"/>
        <v>0</v>
      </c>
      <c r="AU1313" s="11">
        <f t="shared" si="1327"/>
        <v>0</v>
      </c>
      <c r="AW1313" s="11">
        <f t="shared" si="1328"/>
        <v>0</v>
      </c>
      <c r="AY1313" s="11">
        <f t="shared" si="1329"/>
        <v>0</v>
      </c>
      <c r="BA1313" s="11">
        <f t="shared" si="1330"/>
        <v>0</v>
      </c>
      <c r="BC1313" s="11">
        <f t="shared" si="1331"/>
        <v>0</v>
      </c>
      <c r="BE1313" s="11">
        <f t="shared" si="1332"/>
        <v>0</v>
      </c>
      <c r="BG1313" s="11">
        <f t="shared" si="1333"/>
        <v>0</v>
      </c>
      <c r="BN1313" s="8">
        <f t="shared" si="1313"/>
        <v>0</v>
      </c>
      <c r="BO1313" s="8">
        <f t="shared" si="1314"/>
        <v>0</v>
      </c>
      <c r="BP1313" s="8">
        <f t="shared" si="1271"/>
        <v>0</v>
      </c>
      <c r="BQ1313" s="12">
        <f t="shared" si="1272"/>
        <v>0</v>
      </c>
    </row>
    <row r="1314" spans="1:69">
      <c r="A1314" s="28">
        <v>1991</v>
      </c>
      <c r="B1314" s="27" t="s">
        <v>68</v>
      </c>
      <c r="C1314" s="24">
        <f t="shared" si="1292"/>
        <v>1278</v>
      </c>
      <c r="D1314" s="7" t="e">
        <f t="shared" ca="1" si="1293"/>
        <v>#N/A</v>
      </c>
      <c r="E1314" s="26">
        <f t="array" aca="1" ref="E1314" ca="1">AVERAGE(IF(INDIRECT(DatCol&amp;"$"&amp;TEXT(C1314,"###")):INDIRECT(DatCol&amp;"$"&amp;TEXT(C1314+57,"###"))&gt;0,INDIRECT(DatCol&amp;"$"&amp;TEXT(C1314,"###")):INDIRECT(DatCol&amp;"$"&amp;TEXT(C1314+57,"###"))))</f>
        <v>11.5</v>
      </c>
      <c r="F1314" s="26" t="str">
        <f t="shared" si="1294"/>
        <v>N</v>
      </c>
      <c r="G1314" s="8"/>
      <c r="H1314" s="8">
        <v>0</v>
      </c>
      <c r="I1314" s="8">
        <v>0</v>
      </c>
      <c r="J1314" s="8">
        <v>0</v>
      </c>
      <c r="K1314" s="9">
        <f t="shared" si="1315"/>
        <v>0</v>
      </c>
      <c r="L1314" s="12">
        <v>0</v>
      </c>
      <c r="M1314" s="11">
        <f t="shared" si="1316"/>
        <v>0</v>
      </c>
      <c r="O1314" s="11">
        <f t="shared" si="1317"/>
        <v>0</v>
      </c>
      <c r="Q1314" s="11">
        <f t="shared" si="1318"/>
        <v>0</v>
      </c>
      <c r="Y1314" s="11">
        <f t="shared" si="1319"/>
        <v>0</v>
      </c>
      <c r="AG1314" s="11">
        <f t="shared" si="1320"/>
        <v>0</v>
      </c>
      <c r="AI1314" s="11">
        <f t="shared" si="1321"/>
        <v>0</v>
      </c>
      <c r="AK1314" s="13">
        <f t="shared" si="1322"/>
        <v>0</v>
      </c>
      <c r="AM1314" s="13">
        <f t="shared" si="1323"/>
        <v>0</v>
      </c>
      <c r="AO1314" s="11">
        <f t="shared" si="1324"/>
        <v>0</v>
      </c>
      <c r="AQ1314" s="11">
        <f t="shared" si="1325"/>
        <v>0</v>
      </c>
      <c r="AS1314" s="11">
        <f t="shared" si="1326"/>
        <v>0</v>
      </c>
      <c r="AU1314" s="11">
        <f t="shared" si="1327"/>
        <v>0</v>
      </c>
      <c r="AW1314" s="11">
        <f t="shared" si="1328"/>
        <v>0</v>
      </c>
      <c r="AY1314" s="11">
        <f t="shared" si="1329"/>
        <v>0</v>
      </c>
      <c r="BA1314" s="11">
        <f t="shared" si="1330"/>
        <v>0</v>
      </c>
      <c r="BC1314" s="11">
        <f t="shared" si="1331"/>
        <v>0</v>
      </c>
      <c r="BE1314" s="11">
        <f t="shared" si="1332"/>
        <v>0</v>
      </c>
      <c r="BG1314" s="11">
        <f t="shared" si="1333"/>
        <v>0</v>
      </c>
      <c r="BN1314" s="8">
        <f t="shared" si="1313"/>
        <v>0</v>
      </c>
      <c r="BO1314" s="8">
        <f t="shared" si="1314"/>
        <v>0</v>
      </c>
      <c r="BP1314" s="8">
        <f t="shared" ref="BP1314:BP1378" si="1334">(N1314+X1314+Z1314+AB1314+AD1314+AH1314+AL1314+AP1314+AT1314+AX1314+BB1314+BF1314)</f>
        <v>0</v>
      </c>
      <c r="BQ1314" s="12">
        <f t="shared" ref="BQ1314:BQ1378" si="1335">(O1314+Y1314+AA1314+AC1314+AE1314+AI1314+AM1314+AQ1314+AU1314+AY1314+BC1314+BG1314)</f>
        <v>0</v>
      </c>
    </row>
    <row r="1315" spans="1:69">
      <c r="A1315" s="28">
        <v>1992</v>
      </c>
      <c r="B1315" s="27" t="s">
        <v>68</v>
      </c>
      <c r="C1315" s="24">
        <f t="shared" si="1292"/>
        <v>1278</v>
      </c>
      <c r="D1315" s="7" t="e">
        <f t="shared" ca="1" si="1293"/>
        <v>#N/A</v>
      </c>
      <c r="E1315" s="26">
        <f t="array" aca="1" ref="E1315" ca="1">AVERAGE(IF(INDIRECT(DatCol&amp;"$"&amp;TEXT(C1315,"###")):INDIRECT(DatCol&amp;"$"&amp;TEXT(C1315+57,"###"))&gt;0,INDIRECT(DatCol&amp;"$"&amp;TEXT(C1315,"###")):INDIRECT(DatCol&amp;"$"&amp;TEXT(C1315+57,"###"))))</f>
        <v>11.5</v>
      </c>
      <c r="F1315" s="26" t="str">
        <f t="shared" si="1294"/>
        <v>N</v>
      </c>
      <c r="G1315" s="8"/>
      <c r="H1315" s="8">
        <v>0</v>
      </c>
      <c r="I1315" s="8">
        <v>0</v>
      </c>
      <c r="J1315" s="8">
        <v>0</v>
      </c>
      <c r="K1315" s="9">
        <f t="shared" si="1315"/>
        <v>0</v>
      </c>
      <c r="L1315" s="12">
        <v>0</v>
      </c>
      <c r="M1315" s="11">
        <f t="shared" si="1316"/>
        <v>0</v>
      </c>
      <c r="O1315" s="11">
        <f t="shared" si="1317"/>
        <v>0</v>
      </c>
      <c r="Q1315" s="11">
        <f t="shared" si="1318"/>
        <v>0</v>
      </c>
      <c r="Y1315" s="11">
        <f t="shared" si="1319"/>
        <v>0</v>
      </c>
      <c r="AG1315" s="11">
        <f t="shared" si="1320"/>
        <v>0</v>
      </c>
      <c r="AI1315" s="11">
        <f t="shared" si="1321"/>
        <v>0</v>
      </c>
      <c r="AK1315" s="13">
        <f t="shared" si="1322"/>
        <v>0</v>
      </c>
      <c r="AM1315" s="13">
        <f t="shared" si="1323"/>
        <v>0</v>
      </c>
      <c r="AO1315" s="11">
        <f t="shared" si="1324"/>
        <v>0</v>
      </c>
      <c r="AQ1315" s="11">
        <f t="shared" si="1325"/>
        <v>0</v>
      </c>
      <c r="AS1315" s="11">
        <f t="shared" si="1326"/>
        <v>0</v>
      </c>
      <c r="AU1315" s="11">
        <f t="shared" si="1327"/>
        <v>0</v>
      </c>
      <c r="AW1315" s="11">
        <f t="shared" si="1328"/>
        <v>0</v>
      </c>
      <c r="AY1315" s="11">
        <f t="shared" si="1329"/>
        <v>0</v>
      </c>
      <c r="BA1315" s="11">
        <f t="shared" si="1330"/>
        <v>0</v>
      </c>
      <c r="BC1315" s="11">
        <f t="shared" si="1331"/>
        <v>0</v>
      </c>
      <c r="BE1315" s="11">
        <f t="shared" si="1332"/>
        <v>0</v>
      </c>
      <c r="BG1315" s="11">
        <f t="shared" si="1333"/>
        <v>0</v>
      </c>
      <c r="BN1315" s="8">
        <f t="shared" si="1313"/>
        <v>0</v>
      </c>
      <c r="BO1315" s="8">
        <f t="shared" si="1314"/>
        <v>0</v>
      </c>
      <c r="BP1315" s="8">
        <f t="shared" si="1334"/>
        <v>0</v>
      </c>
      <c r="BQ1315" s="12">
        <f t="shared" si="1335"/>
        <v>0</v>
      </c>
    </row>
    <row r="1316" spans="1:69">
      <c r="A1316" s="28">
        <v>1993</v>
      </c>
      <c r="B1316" s="27" t="s">
        <v>68</v>
      </c>
      <c r="C1316" s="24">
        <f t="shared" si="1292"/>
        <v>1278</v>
      </c>
      <c r="D1316" s="7" t="e">
        <f t="shared" ca="1" si="1293"/>
        <v>#N/A</v>
      </c>
      <c r="E1316" s="26">
        <f t="array" aca="1" ref="E1316" ca="1">AVERAGE(IF(INDIRECT(DatCol&amp;"$"&amp;TEXT(C1316,"###")):INDIRECT(DatCol&amp;"$"&amp;TEXT(C1316+57,"###"))&gt;0,INDIRECT(DatCol&amp;"$"&amp;TEXT(C1316,"###")):INDIRECT(DatCol&amp;"$"&amp;TEXT(C1316+57,"###"))))</f>
        <v>11.5</v>
      </c>
      <c r="F1316" s="26" t="str">
        <f t="shared" si="1294"/>
        <v>N</v>
      </c>
      <c r="G1316" s="8"/>
      <c r="H1316" s="8">
        <v>0</v>
      </c>
      <c r="I1316" s="8">
        <v>0</v>
      </c>
      <c r="J1316" s="8">
        <v>0</v>
      </c>
      <c r="K1316" s="9">
        <f t="shared" si="1315"/>
        <v>0</v>
      </c>
      <c r="L1316" s="12">
        <v>0</v>
      </c>
      <c r="M1316" s="11">
        <f t="shared" si="1316"/>
        <v>0</v>
      </c>
      <c r="O1316" s="11">
        <f t="shared" si="1317"/>
        <v>0</v>
      </c>
      <c r="Q1316" s="11">
        <f t="shared" si="1318"/>
        <v>0</v>
      </c>
      <c r="Y1316" s="11">
        <f t="shared" si="1319"/>
        <v>0</v>
      </c>
      <c r="AG1316" s="11">
        <f t="shared" si="1320"/>
        <v>0</v>
      </c>
      <c r="AI1316" s="11">
        <f t="shared" si="1321"/>
        <v>0</v>
      </c>
      <c r="AK1316" s="13">
        <f t="shared" si="1322"/>
        <v>0</v>
      </c>
      <c r="AM1316" s="13">
        <f t="shared" si="1323"/>
        <v>0</v>
      </c>
      <c r="AO1316" s="11">
        <f t="shared" si="1324"/>
        <v>0</v>
      </c>
      <c r="AQ1316" s="11">
        <f t="shared" si="1325"/>
        <v>0</v>
      </c>
      <c r="AS1316" s="11">
        <f t="shared" si="1326"/>
        <v>0</v>
      </c>
      <c r="AU1316" s="11">
        <f t="shared" si="1327"/>
        <v>0</v>
      </c>
      <c r="AW1316" s="11">
        <f t="shared" si="1328"/>
        <v>0</v>
      </c>
      <c r="AY1316" s="11">
        <f t="shared" si="1329"/>
        <v>0</v>
      </c>
      <c r="BA1316" s="11">
        <f t="shared" si="1330"/>
        <v>0</v>
      </c>
      <c r="BC1316" s="11">
        <f t="shared" si="1331"/>
        <v>0</v>
      </c>
      <c r="BE1316" s="11">
        <f t="shared" si="1332"/>
        <v>0</v>
      </c>
      <c r="BG1316" s="11">
        <f t="shared" si="1333"/>
        <v>0</v>
      </c>
      <c r="BN1316" s="8">
        <f t="shared" si="1313"/>
        <v>0</v>
      </c>
      <c r="BO1316" s="8">
        <f t="shared" si="1314"/>
        <v>0</v>
      </c>
      <c r="BP1316" s="8">
        <f t="shared" si="1334"/>
        <v>0</v>
      </c>
      <c r="BQ1316" s="12">
        <f t="shared" si="1335"/>
        <v>0</v>
      </c>
    </row>
    <row r="1317" spans="1:69">
      <c r="A1317" s="28">
        <v>1994</v>
      </c>
      <c r="B1317" s="27" t="s">
        <v>68</v>
      </c>
      <c r="C1317" s="24">
        <f t="shared" si="1292"/>
        <v>1278</v>
      </c>
      <c r="D1317" s="7" t="e">
        <f t="shared" ca="1" si="1293"/>
        <v>#N/A</v>
      </c>
      <c r="E1317" s="26">
        <f t="array" aca="1" ref="E1317" ca="1">AVERAGE(IF(INDIRECT(DatCol&amp;"$"&amp;TEXT(C1317,"###")):INDIRECT(DatCol&amp;"$"&amp;TEXT(C1317+57,"###"))&gt;0,INDIRECT(DatCol&amp;"$"&amp;TEXT(C1317,"###")):INDIRECT(DatCol&amp;"$"&amp;TEXT(C1317+57,"###"))))</f>
        <v>11.5</v>
      </c>
      <c r="F1317" s="26" t="str">
        <f t="shared" si="1294"/>
        <v>N</v>
      </c>
      <c r="G1317" s="8"/>
      <c r="H1317" s="8">
        <v>0</v>
      </c>
      <c r="I1317" s="8">
        <v>0</v>
      </c>
      <c r="J1317" s="8">
        <v>0</v>
      </c>
      <c r="K1317" s="9">
        <f t="shared" si="1315"/>
        <v>0</v>
      </c>
      <c r="L1317" s="12">
        <v>0</v>
      </c>
      <c r="M1317" s="11">
        <f t="shared" si="1316"/>
        <v>0</v>
      </c>
      <c r="O1317" s="11">
        <f t="shared" si="1317"/>
        <v>0</v>
      </c>
      <c r="Q1317" s="11">
        <f t="shared" si="1318"/>
        <v>0</v>
      </c>
      <c r="Y1317" s="11">
        <f t="shared" si="1319"/>
        <v>0</v>
      </c>
      <c r="AG1317" s="11">
        <f t="shared" si="1320"/>
        <v>0</v>
      </c>
      <c r="AI1317" s="11">
        <f t="shared" si="1321"/>
        <v>0</v>
      </c>
      <c r="AK1317" s="13">
        <f t="shared" si="1322"/>
        <v>0</v>
      </c>
      <c r="AM1317" s="13">
        <f t="shared" si="1323"/>
        <v>0</v>
      </c>
      <c r="AO1317" s="11">
        <f t="shared" si="1324"/>
        <v>0</v>
      </c>
      <c r="AQ1317" s="11">
        <f t="shared" si="1325"/>
        <v>0</v>
      </c>
      <c r="AS1317" s="11">
        <f t="shared" si="1326"/>
        <v>0</v>
      </c>
      <c r="AU1317" s="11">
        <f t="shared" si="1327"/>
        <v>0</v>
      </c>
      <c r="AW1317" s="11">
        <f t="shared" si="1328"/>
        <v>0</v>
      </c>
      <c r="AY1317" s="11">
        <f t="shared" si="1329"/>
        <v>0</v>
      </c>
      <c r="BA1317" s="11">
        <f t="shared" si="1330"/>
        <v>0</v>
      </c>
      <c r="BC1317" s="11">
        <f t="shared" si="1331"/>
        <v>0</v>
      </c>
      <c r="BE1317" s="11">
        <f t="shared" si="1332"/>
        <v>0</v>
      </c>
      <c r="BG1317" s="11">
        <f t="shared" si="1333"/>
        <v>0</v>
      </c>
      <c r="BN1317" s="8">
        <f t="shared" si="1313"/>
        <v>0</v>
      </c>
      <c r="BO1317" s="8">
        <f t="shared" si="1314"/>
        <v>0</v>
      </c>
      <c r="BP1317" s="8">
        <f t="shared" si="1334"/>
        <v>0</v>
      </c>
      <c r="BQ1317" s="12">
        <f t="shared" si="1335"/>
        <v>0</v>
      </c>
    </row>
    <row r="1318" spans="1:69">
      <c r="A1318" s="28">
        <v>1995</v>
      </c>
      <c r="B1318" s="27" t="s">
        <v>68</v>
      </c>
      <c r="C1318" s="24">
        <f t="shared" si="1292"/>
        <v>1278</v>
      </c>
      <c r="D1318" s="7" t="e">
        <f t="shared" ca="1" si="1293"/>
        <v>#N/A</v>
      </c>
      <c r="E1318" s="26">
        <f t="array" aca="1" ref="E1318" ca="1">AVERAGE(IF(INDIRECT(DatCol&amp;"$"&amp;TEXT(C1318,"###")):INDIRECT(DatCol&amp;"$"&amp;TEXT(C1318+57,"###"))&gt;0,INDIRECT(DatCol&amp;"$"&amp;TEXT(C1318,"###")):INDIRECT(DatCol&amp;"$"&amp;TEXT(C1318+57,"###"))))</f>
        <v>11.5</v>
      </c>
      <c r="F1318" s="26" t="str">
        <f t="shared" si="1294"/>
        <v>N</v>
      </c>
      <c r="H1318" s="8">
        <v>0</v>
      </c>
      <c r="I1318" s="8">
        <v>0</v>
      </c>
      <c r="J1318" s="8">
        <v>0</v>
      </c>
      <c r="K1318" s="9">
        <f t="shared" si="1315"/>
        <v>0</v>
      </c>
      <c r="L1318" s="12">
        <v>0</v>
      </c>
      <c r="M1318" s="11">
        <f t="shared" si="1316"/>
        <v>0</v>
      </c>
      <c r="O1318" s="11">
        <f t="shared" si="1317"/>
        <v>0</v>
      </c>
      <c r="Q1318" s="11">
        <f t="shared" si="1318"/>
        <v>0</v>
      </c>
      <c r="Y1318" s="11">
        <f t="shared" si="1319"/>
        <v>0</v>
      </c>
      <c r="AG1318" s="11">
        <f t="shared" si="1320"/>
        <v>0</v>
      </c>
      <c r="AI1318" s="11">
        <f t="shared" si="1321"/>
        <v>0</v>
      </c>
      <c r="AK1318" s="13">
        <f t="shared" si="1322"/>
        <v>0</v>
      </c>
      <c r="AM1318" s="13">
        <f t="shared" si="1323"/>
        <v>0</v>
      </c>
      <c r="AO1318" s="11">
        <f t="shared" si="1324"/>
        <v>0</v>
      </c>
      <c r="AQ1318" s="11">
        <f t="shared" si="1325"/>
        <v>0</v>
      </c>
      <c r="AS1318" s="11">
        <f t="shared" si="1326"/>
        <v>0</v>
      </c>
      <c r="AU1318" s="11">
        <f t="shared" si="1327"/>
        <v>0</v>
      </c>
      <c r="AW1318" s="11">
        <f t="shared" si="1328"/>
        <v>0</v>
      </c>
      <c r="AY1318" s="11">
        <f t="shared" si="1329"/>
        <v>0</v>
      </c>
      <c r="BA1318" s="11">
        <f t="shared" si="1330"/>
        <v>0</v>
      </c>
      <c r="BC1318" s="11">
        <f t="shared" si="1331"/>
        <v>0</v>
      </c>
      <c r="BE1318" s="11">
        <f t="shared" si="1332"/>
        <v>0</v>
      </c>
      <c r="BG1318" s="11">
        <f t="shared" si="1333"/>
        <v>0</v>
      </c>
      <c r="BN1318" s="8">
        <f t="shared" si="1313"/>
        <v>0</v>
      </c>
      <c r="BO1318" s="8">
        <f t="shared" si="1314"/>
        <v>0</v>
      </c>
      <c r="BP1318" s="8">
        <f t="shared" si="1334"/>
        <v>0</v>
      </c>
      <c r="BQ1318" s="12">
        <f t="shared" si="1335"/>
        <v>0</v>
      </c>
    </row>
    <row r="1319" spans="1:69">
      <c r="A1319" s="28">
        <v>1996</v>
      </c>
      <c r="B1319" s="27" t="s">
        <v>68</v>
      </c>
      <c r="C1319" s="24">
        <f t="shared" si="1292"/>
        <v>1278</v>
      </c>
      <c r="D1319" s="7" t="e">
        <f t="shared" ca="1" si="1293"/>
        <v>#N/A</v>
      </c>
      <c r="E1319" s="26">
        <f t="array" aca="1" ref="E1319" ca="1">AVERAGE(IF(INDIRECT(DatCol&amp;"$"&amp;TEXT(C1319,"###")):INDIRECT(DatCol&amp;"$"&amp;TEXT(C1319+57,"###"))&gt;0,INDIRECT(DatCol&amp;"$"&amp;TEXT(C1319,"###")):INDIRECT(DatCol&amp;"$"&amp;TEXT(C1319+57,"###"))))</f>
        <v>11.5</v>
      </c>
      <c r="F1319" s="26" t="str">
        <f t="shared" si="1294"/>
        <v>N</v>
      </c>
      <c r="H1319" s="9">
        <v>0</v>
      </c>
      <c r="I1319" s="9">
        <v>0</v>
      </c>
      <c r="J1319" s="9">
        <v>0</v>
      </c>
      <c r="K1319" s="9">
        <f t="shared" si="1315"/>
        <v>0</v>
      </c>
      <c r="L1319" s="10">
        <v>0</v>
      </c>
      <c r="M1319" s="11">
        <f t="shared" si="1316"/>
        <v>0</v>
      </c>
      <c r="AK1319" s="13"/>
      <c r="AM1319" s="13"/>
      <c r="BN1319" s="8">
        <f t="shared" si="1313"/>
        <v>0</v>
      </c>
      <c r="BO1319" s="8">
        <f t="shared" si="1314"/>
        <v>0</v>
      </c>
      <c r="BP1319" s="8">
        <f t="shared" si="1334"/>
        <v>0</v>
      </c>
      <c r="BQ1319" s="12">
        <f t="shared" si="1335"/>
        <v>0</v>
      </c>
    </row>
    <row r="1320" spans="1:69">
      <c r="A1320" s="28">
        <v>1997</v>
      </c>
      <c r="B1320" s="27" t="s">
        <v>68</v>
      </c>
      <c r="C1320" s="24">
        <f t="shared" si="1292"/>
        <v>1278</v>
      </c>
      <c r="D1320" s="7" t="e">
        <f t="shared" ca="1" si="1293"/>
        <v>#N/A</v>
      </c>
      <c r="E1320" s="26">
        <f t="array" aca="1" ref="E1320" ca="1">AVERAGE(IF(INDIRECT(DatCol&amp;"$"&amp;TEXT(C1320,"###")):INDIRECT(DatCol&amp;"$"&amp;TEXT(C1320+57,"###"))&gt;0,INDIRECT(DatCol&amp;"$"&amp;TEXT(C1320,"###")):INDIRECT(DatCol&amp;"$"&amp;TEXT(C1320+57,"###"))))</f>
        <v>11.5</v>
      </c>
      <c r="F1320" s="26" t="str">
        <f t="shared" si="1294"/>
        <v>N</v>
      </c>
      <c r="H1320" s="9">
        <v>0</v>
      </c>
      <c r="I1320" s="9">
        <v>0</v>
      </c>
      <c r="J1320" s="9">
        <v>0</v>
      </c>
      <c r="K1320" s="9">
        <f t="shared" si="1315"/>
        <v>0</v>
      </c>
      <c r="L1320" s="10">
        <v>0</v>
      </c>
      <c r="M1320" s="11">
        <f t="shared" si="1316"/>
        <v>0</v>
      </c>
      <c r="AK1320" s="13"/>
      <c r="AM1320" s="13"/>
      <c r="BN1320" s="8">
        <f t="shared" si="1313"/>
        <v>0</v>
      </c>
      <c r="BO1320" s="8">
        <f t="shared" si="1314"/>
        <v>0</v>
      </c>
      <c r="BP1320" s="8">
        <f t="shared" si="1334"/>
        <v>0</v>
      </c>
      <c r="BQ1320" s="12">
        <f t="shared" si="1335"/>
        <v>0</v>
      </c>
    </row>
    <row r="1321" spans="1:69">
      <c r="A1321" s="28">
        <v>1998</v>
      </c>
      <c r="B1321" s="27" t="s">
        <v>68</v>
      </c>
      <c r="C1321" s="24">
        <f t="shared" si="1292"/>
        <v>1278</v>
      </c>
      <c r="D1321" s="7" t="e">
        <f t="shared" ca="1" si="1293"/>
        <v>#N/A</v>
      </c>
      <c r="E1321" s="26">
        <f t="array" aca="1" ref="E1321" ca="1">AVERAGE(IF(INDIRECT(DatCol&amp;"$"&amp;TEXT(C1321,"###")):INDIRECT(DatCol&amp;"$"&amp;TEXT(C1321+57,"###"))&gt;0,INDIRECT(DatCol&amp;"$"&amp;TEXT(C1321,"###")):INDIRECT(DatCol&amp;"$"&amp;TEXT(C1321+57,"###"))))</f>
        <v>11.5</v>
      </c>
      <c r="F1321" s="26" t="str">
        <f t="shared" si="1294"/>
        <v>N</v>
      </c>
      <c r="H1321" s="9">
        <v>0</v>
      </c>
      <c r="I1321" s="9">
        <v>0</v>
      </c>
      <c r="J1321" s="9">
        <v>0</v>
      </c>
      <c r="K1321" s="9">
        <f t="shared" si="1315"/>
        <v>0</v>
      </c>
      <c r="L1321" s="10">
        <v>0</v>
      </c>
      <c r="M1321" s="11">
        <f t="shared" si="1316"/>
        <v>0</v>
      </c>
      <c r="AK1321" s="13"/>
      <c r="AM1321" s="13"/>
      <c r="BN1321" s="8">
        <f t="shared" si="1313"/>
        <v>0</v>
      </c>
      <c r="BO1321" s="8">
        <f t="shared" si="1314"/>
        <v>0</v>
      </c>
      <c r="BP1321" s="8">
        <f t="shared" si="1334"/>
        <v>0</v>
      </c>
      <c r="BQ1321" s="12">
        <f t="shared" si="1335"/>
        <v>0</v>
      </c>
    </row>
    <row r="1322" spans="1:69">
      <c r="A1322" s="28">
        <v>1999</v>
      </c>
      <c r="B1322" s="27" t="s">
        <v>68</v>
      </c>
      <c r="C1322" s="24">
        <f t="shared" si="1292"/>
        <v>1278</v>
      </c>
      <c r="D1322" s="7" t="e">
        <f t="shared" ca="1" si="1293"/>
        <v>#N/A</v>
      </c>
      <c r="E1322" s="26">
        <f t="array" aca="1" ref="E1322" ca="1">AVERAGE(IF(INDIRECT(DatCol&amp;"$"&amp;TEXT(C1322,"###")):INDIRECT(DatCol&amp;"$"&amp;TEXT(C1322+57,"###"))&gt;0,INDIRECT(DatCol&amp;"$"&amp;TEXT(C1322,"###")):INDIRECT(DatCol&amp;"$"&amp;TEXT(C1322+57,"###"))))</f>
        <v>11.5</v>
      </c>
      <c r="F1322" s="26" t="str">
        <f t="shared" si="1294"/>
        <v>N</v>
      </c>
      <c r="H1322" s="9">
        <v>0</v>
      </c>
      <c r="I1322" s="9">
        <v>0</v>
      </c>
      <c r="J1322" s="9">
        <v>0</v>
      </c>
      <c r="K1322" s="9">
        <f t="shared" si="1315"/>
        <v>0</v>
      </c>
      <c r="L1322" s="10">
        <v>0</v>
      </c>
      <c r="M1322" s="11">
        <f t="shared" si="1316"/>
        <v>0</v>
      </c>
      <c r="AK1322" s="13"/>
      <c r="AM1322" s="13"/>
      <c r="BN1322" s="8">
        <f t="shared" si="1313"/>
        <v>0</v>
      </c>
      <c r="BO1322" s="8">
        <f t="shared" si="1314"/>
        <v>0</v>
      </c>
      <c r="BP1322" s="8">
        <f t="shared" si="1334"/>
        <v>0</v>
      </c>
      <c r="BQ1322" s="12">
        <f t="shared" si="1335"/>
        <v>0</v>
      </c>
    </row>
    <row r="1323" spans="1:69">
      <c r="A1323" s="28">
        <v>2000</v>
      </c>
      <c r="B1323" s="27" t="s">
        <v>68</v>
      </c>
      <c r="C1323" s="24">
        <f t="shared" si="1292"/>
        <v>1278</v>
      </c>
      <c r="D1323" s="7" t="e">
        <f t="shared" ca="1" si="1293"/>
        <v>#N/A</v>
      </c>
      <c r="E1323" s="26">
        <f t="array" aca="1" ref="E1323" ca="1">AVERAGE(IF(INDIRECT(DatCol&amp;"$"&amp;TEXT(C1323,"###")):INDIRECT(DatCol&amp;"$"&amp;TEXT(C1323+57,"###"))&gt;0,INDIRECT(DatCol&amp;"$"&amp;TEXT(C1323,"###")):INDIRECT(DatCol&amp;"$"&amp;TEXT(C1323+57,"###"))))</f>
        <v>11.5</v>
      </c>
      <c r="F1323" s="26" t="str">
        <f t="shared" si="1294"/>
        <v>N</v>
      </c>
      <c r="H1323" s="9">
        <v>0</v>
      </c>
      <c r="I1323" s="9">
        <v>0</v>
      </c>
      <c r="J1323" s="9">
        <v>0</v>
      </c>
      <c r="K1323" s="9">
        <f t="shared" si="1315"/>
        <v>0</v>
      </c>
      <c r="L1323" s="10">
        <v>0</v>
      </c>
      <c r="M1323" s="11">
        <f t="shared" si="1316"/>
        <v>0</v>
      </c>
      <c r="AK1323" s="13"/>
      <c r="AM1323" s="13"/>
      <c r="BN1323" s="8">
        <f t="shared" si="1313"/>
        <v>0</v>
      </c>
      <c r="BO1323" s="8">
        <f t="shared" si="1314"/>
        <v>0</v>
      </c>
      <c r="BP1323" s="8">
        <f t="shared" si="1334"/>
        <v>0</v>
      </c>
      <c r="BQ1323" s="12">
        <f t="shared" si="1335"/>
        <v>0</v>
      </c>
    </row>
    <row r="1324" spans="1:69">
      <c r="A1324" s="28">
        <v>2001</v>
      </c>
      <c r="B1324" s="27" t="s">
        <v>68</v>
      </c>
      <c r="C1324" s="24">
        <f t="shared" si="1292"/>
        <v>1278</v>
      </c>
      <c r="D1324" s="7" t="e">
        <f t="shared" ca="1" si="1293"/>
        <v>#N/A</v>
      </c>
      <c r="E1324" s="26">
        <f t="array" aca="1" ref="E1324" ca="1">AVERAGE(IF(INDIRECT(DatCol&amp;"$"&amp;TEXT(C1324,"###")):INDIRECT(DatCol&amp;"$"&amp;TEXT(C1324+57,"###"))&gt;0,INDIRECT(DatCol&amp;"$"&amp;TEXT(C1324,"###")):INDIRECT(DatCol&amp;"$"&amp;TEXT(C1324+57,"###"))))</f>
        <v>11.5</v>
      </c>
      <c r="F1324" s="26" t="str">
        <f t="shared" si="1294"/>
        <v>N</v>
      </c>
      <c r="H1324" s="9">
        <v>0</v>
      </c>
      <c r="I1324" s="9">
        <v>0</v>
      </c>
      <c r="J1324" s="9">
        <v>0</v>
      </c>
      <c r="K1324" s="9">
        <f t="shared" si="1315"/>
        <v>0</v>
      </c>
      <c r="L1324" s="10">
        <v>0</v>
      </c>
      <c r="M1324" s="11">
        <f t="shared" si="1316"/>
        <v>0</v>
      </c>
      <c r="AK1324" s="13"/>
      <c r="AM1324" s="13"/>
      <c r="BN1324" s="8">
        <f t="shared" si="1313"/>
        <v>0</v>
      </c>
      <c r="BO1324" s="8">
        <f t="shared" si="1314"/>
        <v>0</v>
      </c>
      <c r="BP1324" s="8">
        <f t="shared" si="1334"/>
        <v>0</v>
      </c>
      <c r="BQ1324" s="12">
        <f t="shared" si="1335"/>
        <v>0</v>
      </c>
    </row>
    <row r="1325" spans="1:69">
      <c r="A1325" s="28">
        <v>2002</v>
      </c>
      <c r="B1325" s="27" t="s">
        <v>68</v>
      </c>
      <c r="C1325" s="24">
        <f t="shared" si="1292"/>
        <v>1278</v>
      </c>
      <c r="D1325" s="7" t="e">
        <f t="shared" ca="1" si="1293"/>
        <v>#N/A</v>
      </c>
      <c r="E1325" s="26">
        <f t="array" aca="1" ref="E1325" ca="1">AVERAGE(IF(INDIRECT(DatCol&amp;"$"&amp;TEXT(C1325,"###")):INDIRECT(DatCol&amp;"$"&amp;TEXT(C1325+57,"###"))&gt;0,INDIRECT(DatCol&amp;"$"&amp;TEXT(C1325,"###")):INDIRECT(DatCol&amp;"$"&amp;TEXT(C1325+57,"###"))))</f>
        <v>11.5</v>
      </c>
      <c r="F1325" s="26" t="str">
        <f t="shared" si="1294"/>
        <v>N</v>
      </c>
      <c r="H1325" s="9">
        <v>0</v>
      </c>
      <c r="I1325" s="9">
        <v>0</v>
      </c>
      <c r="J1325" s="9">
        <v>0</v>
      </c>
      <c r="K1325" s="9">
        <f t="shared" si="1315"/>
        <v>0</v>
      </c>
      <c r="L1325" s="10">
        <v>0</v>
      </c>
      <c r="M1325" s="11">
        <f t="shared" si="1316"/>
        <v>0</v>
      </c>
      <c r="AK1325" s="13"/>
      <c r="AM1325" s="13"/>
      <c r="BN1325" s="8">
        <f t="shared" si="1313"/>
        <v>0</v>
      </c>
      <c r="BO1325" s="8">
        <f t="shared" si="1314"/>
        <v>0</v>
      </c>
      <c r="BP1325" s="8">
        <f t="shared" si="1334"/>
        <v>0</v>
      </c>
      <c r="BQ1325" s="12">
        <f t="shared" si="1335"/>
        <v>0</v>
      </c>
    </row>
    <row r="1326" spans="1:69">
      <c r="A1326" s="28">
        <v>2003</v>
      </c>
      <c r="B1326" s="27" t="s">
        <v>68</v>
      </c>
      <c r="C1326" s="24">
        <f t="shared" si="1292"/>
        <v>1278</v>
      </c>
      <c r="D1326" s="7" t="e">
        <f t="shared" ca="1" si="1293"/>
        <v>#N/A</v>
      </c>
      <c r="E1326" s="26">
        <f t="array" aca="1" ref="E1326" ca="1">AVERAGE(IF(INDIRECT(DatCol&amp;"$"&amp;TEXT(C1326,"###")):INDIRECT(DatCol&amp;"$"&amp;TEXT(C1326+57,"###"))&gt;0,INDIRECT(DatCol&amp;"$"&amp;TEXT(C1326,"###")):INDIRECT(DatCol&amp;"$"&amp;TEXT(C1326+57,"###"))))</f>
        <v>11.5</v>
      </c>
      <c r="F1326" s="26" t="str">
        <f t="shared" si="1294"/>
        <v>N</v>
      </c>
      <c r="H1326" s="9">
        <v>0</v>
      </c>
      <c r="I1326" s="9">
        <v>0</v>
      </c>
      <c r="J1326" s="9">
        <v>0</v>
      </c>
      <c r="K1326" s="9">
        <f t="shared" si="1315"/>
        <v>0</v>
      </c>
      <c r="L1326" s="10">
        <v>0</v>
      </c>
      <c r="M1326" s="11">
        <f t="shared" si="1316"/>
        <v>0</v>
      </c>
      <c r="AK1326" s="13"/>
      <c r="AM1326" s="13"/>
      <c r="BN1326" s="8">
        <f t="shared" si="1313"/>
        <v>0</v>
      </c>
      <c r="BO1326" s="8">
        <f t="shared" si="1314"/>
        <v>0</v>
      </c>
      <c r="BP1326" s="8">
        <f t="shared" si="1334"/>
        <v>0</v>
      </c>
      <c r="BQ1326" s="12">
        <f t="shared" si="1335"/>
        <v>0</v>
      </c>
    </row>
    <row r="1327" spans="1:69">
      <c r="A1327" s="28">
        <v>2004</v>
      </c>
      <c r="B1327" s="27" t="s">
        <v>68</v>
      </c>
      <c r="C1327" s="24">
        <f t="shared" si="1292"/>
        <v>1278</v>
      </c>
      <c r="D1327" s="7" t="e">
        <f t="shared" ca="1" si="1293"/>
        <v>#N/A</v>
      </c>
      <c r="E1327" s="26">
        <f t="array" aca="1" ref="E1327" ca="1">AVERAGE(IF(INDIRECT(DatCol&amp;"$"&amp;TEXT(C1327,"###")):INDIRECT(DatCol&amp;"$"&amp;TEXT(C1327+57,"###"))&gt;0,INDIRECT(DatCol&amp;"$"&amp;TEXT(C1327,"###")):INDIRECT(DatCol&amp;"$"&amp;TEXT(C1327+57,"###"))))</f>
        <v>11.5</v>
      </c>
      <c r="F1327" s="26" t="str">
        <f t="shared" si="1294"/>
        <v>N</v>
      </c>
      <c r="H1327" s="9">
        <v>0</v>
      </c>
      <c r="I1327" s="9">
        <v>0</v>
      </c>
      <c r="J1327" s="9">
        <v>0</v>
      </c>
      <c r="K1327" s="9">
        <f t="shared" si="1315"/>
        <v>0</v>
      </c>
      <c r="L1327" s="10">
        <v>0</v>
      </c>
      <c r="AK1327" s="13"/>
      <c r="AM1327" s="13"/>
      <c r="BN1327" s="8">
        <f t="shared" si="1313"/>
        <v>0</v>
      </c>
      <c r="BO1327" s="8">
        <f t="shared" si="1314"/>
        <v>0</v>
      </c>
      <c r="BP1327" s="8">
        <f t="shared" si="1334"/>
        <v>0</v>
      </c>
      <c r="BQ1327" s="12">
        <f t="shared" si="1335"/>
        <v>0</v>
      </c>
    </row>
    <row r="1328" spans="1:69">
      <c r="A1328" s="28">
        <v>2005</v>
      </c>
      <c r="B1328" s="27" t="s">
        <v>68</v>
      </c>
      <c r="C1328" s="24">
        <f t="shared" si="1292"/>
        <v>1278</v>
      </c>
      <c r="D1328" s="7" t="e">
        <f t="shared" ca="1" si="1293"/>
        <v>#N/A</v>
      </c>
      <c r="E1328" s="26">
        <f t="array" aca="1" ref="E1328" ca="1">AVERAGE(IF(INDIRECT(DatCol&amp;"$"&amp;TEXT(C1328,"###")):INDIRECT(DatCol&amp;"$"&amp;TEXT(C1328+57,"###"))&gt;0,INDIRECT(DatCol&amp;"$"&amp;TEXT(C1328,"###")):INDIRECT(DatCol&amp;"$"&amp;TEXT(C1328+57,"###"))))</f>
        <v>11.5</v>
      </c>
      <c r="F1328" s="26" t="str">
        <f t="shared" si="1294"/>
        <v>N</v>
      </c>
      <c r="K1328" s="9">
        <f t="shared" si="1315"/>
        <v>0</v>
      </c>
      <c r="AK1328" s="13"/>
      <c r="AM1328" s="13"/>
      <c r="BN1328" s="8">
        <f t="shared" si="1313"/>
        <v>0</v>
      </c>
      <c r="BO1328" s="8">
        <f t="shared" si="1314"/>
        <v>0</v>
      </c>
      <c r="BP1328" s="8">
        <f t="shared" si="1334"/>
        <v>0</v>
      </c>
      <c r="BQ1328" s="12">
        <f t="shared" si="1335"/>
        <v>0</v>
      </c>
    </row>
    <row r="1329" spans="1:69">
      <c r="A1329" s="28">
        <v>2006</v>
      </c>
      <c r="B1329" s="27" t="s">
        <v>68</v>
      </c>
      <c r="C1329" s="24">
        <f t="shared" si="1292"/>
        <v>1278</v>
      </c>
      <c r="D1329" s="7" t="e">
        <f t="shared" ca="1" si="1293"/>
        <v>#N/A</v>
      </c>
      <c r="E1329" s="26">
        <f t="array" aca="1" ref="E1329" ca="1">AVERAGE(IF(INDIRECT(DatCol&amp;"$"&amp;TEXT(C1329,"###")):INDIRECT(DatCol&amp;"$"&amp;TEXT(C1329+57,"###"))&gt;0,INDIRECT(DatCol&amp;"$"&amp;TEXT(C1329,"###")):INDIRECT(DatCol&amp;"$"&amp;TEXT(C1329+57,"###"))))</f>
        <v>11.5</v>
      </c>
      <c r="F1329" s="26" t="str">
        <f t="shared" si="1294"/>
        <v>N</v>
      </c>
      <c r="K1329" s="9">
        <f t="shared" si="1315"/>
        <v>0</v>
      </c>
      <c r="AK1329" s="13"/>
      <c r="AM1329" s="13"/>
      <c r="BN1329" s="8">
        <f t="shared" si="1313"/>
        <v>0</v>
      </c>
      <c r="BO1329" s="8">
        <f t="shared" si="1314"/>
        <v>0</v>
      </c>
      <c r="BP1329" s="8">
        <f t="shared" si="1334"/>
        <v>0</v>
      </c>
      <c r="BQ1329" s="12">
        <f t="shared" si="1335"/>
        <v>0</v>
      </c>
    </row>
    <row r="1330" spans="1:69">
      <c r="A1330" s="28">
        <v>2007</v>
      </c>
      <c r="B1330" s="27" t="s">
        <v>68</v>
      </c>
      <c r="C1330" s="24">
        <f t="shared" si="1292"/>
        <v>1278</v>
      </c>
      <c r="D1330" s="7" t="e">
        <f t="shared" ca="1" si="1293"/>
        <v>#N/A</v>
      </c>
      <c r="E1330" s="26">
        <f t="array" aca="1" ref="E1330" ca="1">AVERAGE(IF(INDIRECT(DatCol&amp;"$"&amp;TEXT(C1330,"###")):INDIRECT(DatCol&amp;"$"&amp;TEXT(C1330+57,"###"))&gt;0,INDIRECT(DatCol&amp;"$"&amp;TEXT(C1330,"###")):INDIRECT(DatCol&amp;"$"&amp;TEXT(C1330+57,"###"))))</f>
        <v>11.5</v>
      </c>
      <c r="F1330" s="26" t="str">
        <f t="shared" si="1294"/>
        <v>N</v>
      </c>
      <c r="K1330" s="9">
        <f t="shared" si="1315"/>
        <v>0</v>
      </c>
      <c r="AK1330" s="13"/>
      <c r="AM1330" s="13"/>
      <c r="BN1330" s="8">
        <f t="shared" si="1313"/>
        <v>0</v>
      </c>
      <c r="BO1330" s="8">
        <f t="shared" si="1314"/>
        <v>0</v>
      </c>
      <c r="BP1330" s="8">
        <f t="shared" si="1334"/>
        <v>0</v>
      </c>
      <c r="BQ1330" s="12">
        <f t="shared" si="1335"/>
        <v>0</v>
      </c>
    </row>
    <row r="1331" spans="1:69">
      <c r="A1331" s="28">
        <v>2008</v>
      </c>
      <c r="B1331" s="27" t="s">
        <v>68</v>
      </c>
      <c r="C1331" s="24">
        <f t="shared" si="1292"/>
        <v>1278</v>
      </c>
      <c r="D1331" s="7" t="e">
        <f t="shared" ca="1" si="1293"/>
        <v>#N/A</v>
      </c>
      <c r="E1331" s="26">
        <f t="array" aca="1" ref="E1331" ca="1">AVERAGE(IF(INDIRECT(DatCol&amp;"$"&amp;TEXT(C1331,"###")):INDIRECT(DatCol&amp;"$"&amp;TEXT(C1331+57,"###"))&gt;0,INDIRECT(DatCol&amp;"$"&amp;TEXT(C1331,"###")):INDIRECT(DatCol&amp;"$"&amp;TEXT(C1331+57,"###"))))</f>
        <v>11.5</v>
      </c>
      <c r="F1331" s="26" t="str">
        <f t="shared" si="1294"/>
        <v>N</v>
      </c>
      <c r="K1331" s="9">
        <f t="shared" si="1315"/>
        <v>0</v>
      </c>
      <c r="AK1331" s="13"/>
      <c r="AM1331" s="13"/>
      <c r="BN1331" s="8">
        <f t="shared" si="1313"/>
        <v>0</v>
      </c>
      <c r="BO1331" s="8">
        <f t="shared" si="1314"/>
        <v>0</v>
      </c>
      <c r="BP1331" s="8">
        <f t="shared" si="1334"/>
        <v>0</v>
      </c>
      <c r="BQ1331" s="12">
        <f t="shared" si="1335"/>
        <v>0</v>
      </c>
    </row>
    <row r="1332" spans="1:69">
      <c r="A1332" s="28">
        <v>2009</v>
      </c>
      <c r="B1332" s="27" t="s">
        <v>68</v>
      </c>
      <c r="C1332" s="24">
        <f t="shared" si="1292"/>
        <v>1278</v>
      </c>
      <c r="D1332" s="7" t="e">
        <f t="shared" ca="1" si="1293"/>
        <v>#N/A</v>
      </c>
      <c r="E1332" s="26">
        <f t="array" aca="1" ref="E1332" ca="1">AVERAGE(IF(INDIRECT(DatCol&amp;"$"&amp;TEXT(C1332,"###")):INDIRECT(DatCol&amp;"$"&amp;TEXT(C1332+57,"###"))&gt;0,INDIRECT(DatCol&amp;"$"&amp;TEXT(C1332,"###")):INDIRECT(DatCol&amp;"$"&amp;TEXT(C1332+57,"###"))))</f>
        <v>11.5</v>
      </c>
      <c r="F1332" s="26" t="str">
        <f t="shared" si="1294"/>
        <v>N</v>
      </c>
      <c r="K1332" s="9">
        <f t="shared" si="1315"/>
        <v>0</v>
      </c>
      <c r="AK1332" s="13"/>
      <c r="AM1332" s="13"/>
      <c r="BN1332" s="8">
        <f t="shared" si="1313"/>
        <v>0</v>
      </c>
      <c r="BO1332" s="8">
        <f t="shared" si="1314"/>
        <v>0</v>
      </c>
      <c r="BP1332" s="8">
        <f t="shared" si="1334"/>
        <v>0</v>
      </c>
      <c r="BQ1332" s="12">
        <f t="shared" si="1335"/>
        <v>0</v>
      </c>
    </row>
    <row r="1333" spans="1:69">
      <c r="A1333" s="28">
        <v>2010</v>
      </c>
      <c r="B1333" s="27" t="s">
        <v>68</v>
      </c>
      <c r="C1333" s="24">
        <f t="shared" si="1292"/>
        <v>1278</v>
      </c>
      <c r="D1333" s="7" t="e">
        <f t="shared" ca="1" si="1293"/>
        <v>#N/A</v>
      </c>
      <c r="E1333" s="26">
        <f t="array" aca="1" ref="E1333" ca="1">AVERAGE(IF(INDIRECT(DatCol&amp;"$"&amp;TEXT(C1333,"###")):INDIRECT(DatCol&amp;"$"&amp;TEXT(C1333+57,"###"))&gt;0,INDIRECT(DatCol&amp;"$"&amp;TEXT(C1333,"###")):INDIRECT(DatCol&amp;"$"&amp;TEXT(C1333+57,"###"))))</f>
        <v>11.5</v>
      </c>
      <c r="F1333" s="26" t="str">
        <f t="shared" ref="F1333:F1335" si="1336">VLOOKUP(B1333,town_region,2,FALSE)</f>
        <v>N</v>
      </c>
      <c r="AK1333" s="13"/>
      <c r="AM1333" s="13"/>
      <c r="BN1333" s="8"/>
      <c r="BO1333" s="8"/>
      <c r="BP1333" s="8"/>
      <c r="BQ1333" s="12"/>
    </row>
    <row r="1334" spans="1:69">
      <c r="A1334" s="28">
        <v>2011</v>
      </c>
      <c r="B1334" s="27" t="s">
        <v>68</v>
      </c>
      <c r="C1334" s="24">
        <f t="shared" si="1292"/>
        <v>1278</v>
      </c>
      <c r="D1334" s="7" t="e">
        <f t="shared" ca="1" si="1293"/>
        <v>#N/A</v>
      </c>
      <c r="E1334" s="26">
        <f t="array" aca="1" ref="E1334" ca="1">AVERAGE(IF(INDIRECT(DatCol&amp;"$"&amp;TEXT(C1334,"###")):INDIRECT(DatCol&amp;"$"&amp;TEXT(C1334+57,"###"))&gt;0,INDIRECT(DatCol&amp;"$"&amp;TEXT(C1334,"###")):INDIRECT(DatCol&amp;"$"&amp;TEXT(C1334+57,"###"))))</f>
        <v>11.5</v>
      </c>
      <c r="F1334" s="26" t="str">
        <f t="shared" si="1336"/>
        <v>N</v>
      </c>
      <c r="AK1334" s="13"/>
      <c r="AM1334" s="13"/>
      <c r="BN1334" s="8"/>
      <c r="BO1334" s="8"/>
      <c r="BP1334" s="8"/>
      <c r="BQ1334" s="12"/>
    </row>
    <row r="1335" spans="1:69">
      <c r="A1335" s="28">
        <v>2012</v>
      </c>
      <c r="B1335" s="27" t="s">
        <v>68</v>
      </c>
      <c r="C1335" s="24">
        <f t="shared" si="1292"/>
        <v>1278</v>
      </c>
      <c r="D1335" s="7" t="e">
        <f t="shared" ca="1" si="1293"/>
        <v>#N/A</v>
      </c>
      <c r="E1335" s="26">
        <f t="array" aca="1" ref="E1335" ca="1">AVERAGE(IF(INDIRECT(DatCol&amp;"$"&amp;TEXT(C1335,"###")):INDIRECT(DatCol&amp;"$"&amp;TEXT(C1335+57,"###"))&gt;0,INDIRECT(DatCol&amp;"$"&amp;TEXT(C1335,"###")):INDIRECT(DatCol&amp;"$"&amp;TEXT(C1335+57,"###"))))</f>
        <v>11.5</v>
      </c>
      <c r="F1335" s="26" t="str">
        <f t="shared" si="1336"/>
        <v>N</v>
      </c>
      <c r="AK1335" s="13"/>
      <c r="AM1335" s="13"/>
      <c r="BN1335" s="8"/>
      <c r="BO1335" s="8"/>
      <c r="BP1335" s="8"/>
      <c r="BQ1335" s="12"/>
    </row>
    <row r="1336" spans="1:69">
      <c r="A1336" s="28">
        <v>1955</v>
      </c>
      <c r="B1336" s="27" t="s">
        <v>69</v>
      </c>
      <c r="C1336" s="24">
        <f>ROW()</f>
        <v>1336</v>
      </c>
      <c r="D1336" s="7">
        <f t="shared" ca="1" si="1293"/>
        <v>0.1155880130949383</v>
      </c>
      <c r="E1336" s="26">
        <f t="array" aca="1" ref="E1336" ca="1">AVERAGE(IF(INDIRECT(DatCol&amp;"$"&amp;TEXT(C1336,"###")):INDIRECT(DatCol&amp;"$"&amp;TEXT(C1336+57,"###"))&gt;0,INDIRECT(DatCol&amp;"$"&amp;TEXT(C1336,"###")):INDIRECT(DatCol&amp;"$"&amp;TEXT(C1336+57,"###"))))</f>
        <v>778.62745098039215</v>
      </c>
      <c r="F1336" s="26" t="str">
        <f t="shared" si="1294"/>
        <v>B</v>
      </c>
      <c r="G1336" s="8"/>
      <c r="H1336" s="8">
        <v>1</v>
      </c>
      <c r="I1336" s="8">
        <v>5</v>
      </c>
      <c r="J1336" s="8">
        <v>578</v>
      </c>
      <c r="K1336" s="9">
        <f t="shared" si="1315"/>
        <v>579</v>
      </c>
      <c r="M1336" s="11">
        <f t="shared" si="1316"/>
        <v>0</v>
      </c>
      <c r="N1336" s="12">
        <v>90</v>
      </c>
      <c r="O1336" s="11">
        <f>(N1336*50)</f>
        <v>4500</v>
      </c>
      <c r="P1336" s="12">
        <v>150</v>
      </c>
      <c r="Q1336" s="11">
        <f>((P1336*330)/5.5)</f>
        <v>9000</v>
      </c>
      <c r="X1336" s="12">
        <v>1500</v>
      </c>
      <c r="Y1336" s="11">
        <f>((X1336*330)/5.5)</f>
        <v>90000</v>
      </c>
      <c r="AG1336" s="11">
        <f>(AF1336*65)</f>
        <v>0</v>
      </c>
      <c r="AH1336" s="12">
        <v>300</v>
      </c>
      <c r="AI1336" s="11">
        <f>(AH1336*65)</f>
        <v>19500</v>
      </c>
      <c r="AJ1336" s="12">
        <v>12</v>
      </c>
      <c r="AK1336" s="13">
        <f>(AJ1336*9)</f>
        <v>108</v>
      </c>
      <c r="AL1336" s="12">
        <v>900</v>
      </c>
      <c r="AM1336" s="13">
        <f>(AL1336*9)</f>
        <v>8100</v>
      </c>
      <c r="AO1336" s="11">
        <f>(AN1336*80)</f>
        <v>0</v>
      </c>
      <c r="AQ1336" s="11">
        <f>(AP1336*80)</f>
        <v>0</v>
      </c>
      <c r="AS1336" s="11">
        <f>(AR1336*50)</f>
        <v>0</v>
      </c>
      <c r="AU1336" s="11">
        <f>(AT1336*50)</f>
        <v>0</v>
      </c>
      <c r="AW1336" s="11">
        <f>(AV1336*60)</f>
        <v>0</v>
      </c>
      <c r="AY1336" s="11">
        <f>(AX1336*60)</f>
        <v>0</v>
      </c>
      <c r="BA1336" s="11">
        <f>(AZ1336*40)</f>
        <v>0</v>
      </c>
      <c r="BC1336" s="11">
        <f>(BB1336*40)</f>
        <v>0</v>
      </c>
      <c r="BE1336" s="11">
        <f>(BD1336*95)</f>
        <v>0</v>
      </c>
      <c r="BG1336" s="11">
        <f>(BF1336*95)</f>
        <v>0</v>
      </c>
      <c r="BN1336" s="8">
        <f t="shared" si="1313"/>
        <v>1662</v>
      </c>
      <c r="BO1336" s="8">
        <f t="shared" si="1314"/>
        <v>99108</v>
      </c>
      <c r="BP1336" s="8">
        <f t="shared" si="1334"/>
        <v>2790</v>
      </c>
      <c r="BQ1336" s="12">
        <f t="shared" si="1335"/>
        <v>122100</v>
      </c>
    </row>
    <row r="1337" spans="1:69">
      <c r="A1337" s="28">
        <v>1956</v>
      </c>
      <c r="B1337" s="27" t="s">
        <v>69</v>
      </c>
      <c r="C1337" s="24">
        <f t="shared" ref="C1337:C1393" si="1337">C1336</f>
        <v>1336</v>
      </c>
      <c r="D1337" s="7">
        <f t="shared" ca="1" si="1293"/>
        <v>0.89901787962729796</v>
      </c>
      <c r="E1337" s="26">
        <f t="array" aca="1" ref="E1337" ca="1">AVERAGE(IF(INDIRECT(DatCol&amp;"$"&amp;TEXT(C1337,"###")):INDIRECT(DatCol&amp;"$"&amp;TEXT(C1337+57,"###"))&gt;0,INDIRECT(DatCol&amp;"$"&amp;TEXT(C1337,"###")):INDIRECT(DatCol&amp;"$"&amp;TEXT(C1337+57,"###"))))</f>
        <v>778.62745098039215</v>
      </c>
      <c r="F1337" s="26" t="str">
        <f t="shared" si="1294"/>
        <v>B</v>
      </c>
      <c r="G1337" s="8"/>
      <c r="H1337" s="8">
        <v>4</v>
      </c>
      <c r="I1337" s="8">
        <v>3</v>
      </c>
      <c r="J1337" s="8">
        <v>725</v>
      </c>
      <c r="K1337" s="9">
        <f t="shared" si="1315"/>
        <v>729</v>
      </c>
      <c r="M1337" s="11">
        <f t="shared" si="1316"/>
        <v>0</v>
      </c>
      <c r="N1337" s="12">
        <v>700</v>
      </c>
      <c r="O1337" s="11">
        <f>(N1337*50)</f>
        <v>35000</v>
      </c>
      <c r="P1337" s="12">
        <v>75</v>
      </c>
      <c r="Q1337" s="11">
        <f>((P1337*330)/5.5)</f>
        <v>4500</v>
      </c>
      <c r="X1337" s="12">
        <v>1350</v>
      </c>
      <c r="Y1337" s="11">
        <f>((X1337*330)/5.5)</f>
        <v>81000</v>
      </c>
      <c r="AG1337" s="11">
        <f>(AF1337*65)</f>
        <v>0</v>
      </c>
      <c r="AH1337" s="12">
        <v>400</v>
      </c>
      <c r="AI1337" s="11">
        <f>(AH1337*65)</f>
        <v>26000</v>
      </c>
      <c r="AJ1337" s="12">
        <v>10</v>
      </c>
      <c r="AK1337" s="13">
        <f>(AJ1337*9)</f>
        <v>90</v>
      </c>
      <c r="AL1337" s="12">
        <v>24</v>
      </c>
      <c r="AM1337" s="13">
        <f>(AL1337*9)</f>
        <v>216</v>
      </c>
      <c r="AO1337" s="11">
        <f>(AN1337*80)</f>
        <v>0</v>
      </c>
      <c r="AQ1337" s="11">
        <f>(AP1337*80)</f>
        <v>0</v>
      </c>
      <c r="AS1337" s="11">
        <f>(AR1337*50)</f>
        <v>0</v>
      </c>
      <c r="AU1337" s="11">
        <f>(AT1337*50)</f>
        <v>0</v>
      </c>
      <c r="AW1337" s="11">
        <f>(AV1337*60)</f>
        <v>0</v>
      </c>
      <c r="AY1337" s="11">
        <f>(AX1337*60)</f>
        <v>0</v>
      </c>
      <c r="BA1337" s="11">
        <f>(AZ1337*40)</f>
        <v>0</v>
      </c>
      <c r="BC1337" s="11">
        <f>(BB1337*40)</f>
        <v>0</v>
      </c>
      <c r="BE1337" s="11">
        <f>(BD1337*95)</f>
        <v>0</v>
      </c>
      <c r="BG1337" s="11">
        <f>(BF1337*95)</f>
        <v>0</v>
      </c>
      <c r="BN1337" s="8">
        <f t="shared" si="1313"/>
        <v>1435</v>
      </c>
      <c r="BO1337" s="8">
        <f t="shared" si="1314"/>
        <v>85590</v>
      </c>
      <c r="BP1337" s="8">
        <f t="shared" si="1334"/>
        <v>2474</v>
      </c>
      <c r="BQ1337" s="12">
        <f t="shared" si="1335"/>
        <v>142216</v>
      </c>
    </row>
    <row r="1338" spans="1:69">
      <c r="A1338" s="28">
        <v>1957</v>
      </c>
      <c r="B1338" s="27" t="s">
        <v>69</v>
      </c>
      <c r="C1338" s="24">
        <f t="shared" si="1337"/>
        <v>1336</v>
      </c>
      <c r="D1338" s="7">
        <f t="shared" ca="1" si="1293"/>
        <v>2.5686225132208511</v>
      </c>
      <c r="E1338" s="26">
        <f t="array" aca="1" ref="E1338" ca="1">AVERAGE(IF(INDIRECT(DatCol&amp;"$"&amp;TEXT(C1338,"###")):INDIRECT(DatCol&amp;"$"&amp;TEXT(C1338+57,"###"))&gt;0,INDIRECT(DatCol&amp;"$"&amp;TEXT(C1338,"###")):INDIRECT(DatCol&amp;"$"&amp;TEXT(C1338+57,"###"))))</f>
        <v>778.62745098039215</v>
      </c>
      <c r="F1338" s="26" t="str">
        <f t="shared" si="1294"/>
        <v>B</v>
      </c>
      <c r="G1338" s="8"/>
      <c r="I1338" s="8">
        <v>6</v>
      </c>
      <c r="J1338" s="8">
        <v>864</v>
      </c>
      <c r="K1338" s="9">
        <f t="shared" si="1315"/>
        <v>864</v>
      </c>
      <c r="M1338" s="11">
        <f t="shared" si="1316"/>
        <v>0</v>
      </c>
      <c r="N1338" s="12">
        <v>2000</v>
      </c>
      <c r="O1338" s="11">
        <f>(N1338*50)</f>
        <v>100000</v>
      </c>
      <c r="P1338" s="12">
        <v>90</v>
      </c>
      <c r="Q1338" s="11">
        <f>((P1338*330)/5.5)</f>
        <v>5400</v>
      </c>
      <c r="X1338" s="12">
        <v>1300</v>
      </c>
      <c r="Y1338" s="11">
        <f>((X1338*330)/5.5)</f>
        <v>78000</v>
      </c>
      <c r="AG1338" s="11">
        <f>(AF1338*65)</f>
        <v>0</v>
      </c>
      <c r="AH1338" s="12">
        <v>350</v>
      </c>
      <c r="AI1338" s="11">
        <f>(AH1338*65)</f>
        <v>22750</v>
      </c>
      <c r="AJ1338" s="12">
        <v>35</v>
      </c>
      <c r="AK1338" s="13">
        <f>(AJ1338*9)</f>
        <v>315</v>
      </c>
      <c r="AL1338" s="12">
        <v>2250</v>
      </c>
      <c r="AM1338" s="13">
        <f>(AL1338*9)</f>
        <v>20250</v>
      </c>
      <c r="AO1338" s="11">
        <f>(AN1338*80)</f>
        <v>0</v>
      </c>
      <c r="AQ1338" s="11">
        <f>(AP1338*80)</f>
        <v>0</v>
      </c>
      <c r="AS1338" s="11">
        <f>(AR1338*50)</f>
        <v>0</v>
      </c>
      <c r="AU1338" s="11">
        <f>(AT1338*50)</f>
        <v>0</v>
      </c>
      <c r="AW1338" s="11">
        <f>(AV1338*60)</f>
        <v>0</v>
      </c>
      <c r="AY1338" s="11">
        <f>(AX1338*60)</f>
        <v>0</v>
      </c>
      <c r="BA1338" s="11">
        <f>(AZ1338*40)</f>
        <v>0</v>
      </c>
      <c r="BC1338" s="11">
        <f>(BB1338*40)</f>
        <v>0</v>
      </c>
      <c r="BE1338" s="11">
        <f>(BD1338*95)</f>
        <v>0</v>
      </c>
      <c r="BG1338" s="11">
        <f>(BF1338*95)</f>
        <v>0</v>
      </c>
      <c r="BN1338" s="8">
        <f t="shared" si="1313"/>
        <v>1425</v>
      </c>
      <c r="BO1338" s="8">
        <f t="shared" si="1314"/>
        <v>83715</v>
      </c>
      <c r="BP1338" s="8">
        <f t="shared" si="1334"/>
        <v>5900</v>
      </c>
      <c r="BQ1338" s="12">
        <f t="shared" si="1335"/>
        <v>221000</v>
      </c>
    </row>
    <row r="1339" spans="1:69">
      <c r="A1339" s="28">
        <v>1958</v>
      </c>
      <c r="B1339" s="27" t="s">
        <v>69</v>
      </c>
      <c r="C1339" s="24">
        <f t="shared" si="1337"/>
        <v>1336</v>
      </c>
      <c r="D1339" s="7">
        <f t="shared" ca="1" si="1293"/>
        <v>2.8897003273734576</v>
      </c>
      <c r="E1339" s="26">
        <f t="array" aca="1" ref="E1339" ca="1">AVERAGE(IF(INDIRECT(DatCol&amp;"$"&amp;TEXT(C1339,"###")):INDIRECT(DatCol&amp;"$"&amp;TEXT(C1339+57,"###"))&gt;0,INDIRECT(DatCol&amp;"$"&amp;TEXT(C1339,"###")):INDIRECT(DatCol&amp;"$"&amp;TEXT(C1339+57,"###"))))</f>
        <v>778.62745098039215</v>
      </c>
      <c r="F1339" s="26" t="str">
        <f t="shared" si="1294"/>
        <v>B</v>
      </c>
      <c r="G1339" s="8"/>
      <c r="I1339" s="8">
        <v>19</v>
      </c>
      <c r="J1339" s="8">
        <v>887</v>
      </c>
      <c r="K1339" s="9">
        <f t="shared" si="1315"/>
        <v>887</v>
      </c>
      <c r="M1339" s="11">
        <f t="shared" si="1316"/>
        <v>0</v>
      </c>
      <c r="N1339" s="12">
        <v>2250</v>
      </c>
      <c r="O1339" s="11">
        <f>(N1339*50)</f>
        <v>112500</v>
      </c>
      <c r="P1339" s="12">
        <v>50</v>
      </c>
      <c r="Q1339" s="11">
        <f>((P1339*330)/5.5)</f>
        <v>3000</v>
      </c>
      <c r="X1339" s="12">
        <v>1150</v>
      </c>
      <c r="Y1339" s="11">
        <f>((X1339*330)/5.5)</f>
        <v>69000</v>
      </c>
      <c r="AG1339" s="11">
        <f>(AF1339*65)</f>
        <v>0</v>
      </c>
      <c r="AH1339" s="12">
        <v>275</v>
      </c>
      <c r="AI1339" s="11">
        <f>(AH1339*65)</f>
        <v>17875</v>
      </c>
      <c r="AJ1339" s="12">
        <v>200</v>
      </c>
      <c r="AK1339" s="13">
        <f>(AJ1339*9)</f>
        <v>1800</v>
      </c>
      <c r="AL1339" s="12">
        <v>400</v>
      </c>
      <c r="AM1339" s="13">
        <f>(AL1339*9)</f>
        <v>3600</v>
      </c>
      <c r="AO1339" s="11">
        <f>(AN1339*80)</f>
        <v>0</v>
      </c>
      <c r="AQ1339" s="11">
        <f>(AP1339*80)</f>
        <v>0</v>
      </c>
      <c r="AS1339" s="11">
        <f>(AR1339*50)</f>
        <v>0</v>
      </c>
      <c r="AU1339" s="11">
        <f>(AT1339*50)</f>
        <v>0</v>
      </c>
      <c r="AW1339" s="11">
        <f>(AV1339*60)</f>
        <v>0</v>
      </c>
      <c r="AY1339" s="11">
        <f>(AX1339*60)</f>
        <v>0</v>
      </c>
      <c r="BA1339" s="11">
        <f>(AZ1339*40)</f>
        <v>0</v>
      </c>
      <c r="BC1339" s="11">
        <f>(BB1339*40)</f>
        <v>0</v>
      </c>
      <c r="BE1339" s="11">
        <f>(BD1339*95)</f>
        <v>0</v>
      </c>
      <c r="BG1339" s="11">
        <f>(BF1339*95)</f>
        <v>0</v>
      </c>
      <c r="BN1339" s="8">
        <f t="shared" si="1313"/>
        <v>1400</v>
      </c>
      <c r="BO1339" s="8">
        <f t="shared" si="1314"/>
        <v>73800</v>
      </c>
      <c r="BP1339" s="8">
        <f t="shared" si="1334"/>
        <v>4075</v>
      </c>
      <c r="BQ1339" s="12">
        <f t="shared" si="1335"/>
        <v>202975</v>
      </c>
    </row>
    <row r="1340" spans="1:69">
      <c r="A1340" s="28">
        <v>1959</v>
      </c>
      <c r="B1340" s="27" t="s">
        <v>69</v>
      </c>
      <c r="C1340" s="24">
        <f t="shared" si="1337"/>
        <v>1336</v>
      </c>
      <c r="D1340" s="7">
        <f t="shared" ca="1" si="1293"/>
        <v>2.5686225132208511</v>
      </c>
      <c r="E1340" s="26">
        <f t="array" aca="1" ref="E1340" ca="1">AVERAGE(IF(INDIRECT(DatCol&amp;"$"&amp;TEXT(C1340,"###")):INDIRECT(DatCol&amp;"$"&amp;TEXT(C1340+57,"###"))&gt;0,INDIRECT(DatCol&amp;"$"&amp;TEXT(C1340,"###")):INDIRECT(DatCol&amp;"$"&amp;TEXT(C1340+57,"###"))))</f>
        <v>778.62745098039215</v>
      </c>
      <c r="F1340" s="26" t="str">
        <f t="shared" si="1294"/>
        <v>B</v>
      </c>
      <c r="G1340" s="8"/>
      <c r="I1340" s="8">
        <v>37</v>
      </c>
      <c r="J1340" s="8">
        <v>930</v>
      </c>
      <c r="K1340" s="9">
        <f t="shared" si="1315"/>
        <v>930</v>
      </c>
      <c r="M1340" s="11">
        <f t="shared" ref="M1340:M1355" si="1338">(L1340*50)</f>
        <v>0</v>
      </c>
      <c r="N1340" s="12">
        <v>2000</v>
      </c>
      <c r="O1340" s="11">
        <f t="shared" ref="O1340:O1355" si="1339">(N1340*50)</f>
        <v>100000</v>
      </c>
      <c r="P1340" s="12">
        <v>325</v>
      </c>
      <c r="Q1340" s="11">
        <f t="shared" ref="Q1340:Q1355" si="1340">((P1340*330)/5.5)</f>
        <v>19500</v>
      </c>
      <c r="X1340" s="12">
        <v>650</v>
      </c>
      <c r="Y1340" s="11">
        <f t="shared" ref="Y1340:Y1355" si="1341">((X1340*330)/5.5)</f>
        <v>39000</v>
      </c>
      <c r="AG1340" s="11">
        <f t="shared" ref="AG1340:AG1355" si="1342">(AF1340*65)</f>
        <v>0</v>
      </c>
      <c r="AH1340" s="12">
        <v>350</v>
      </c>
      <c r="AI1340" s="11">
        <f t="shared" ref="AI1340:AI1355" si="1343">(AH1340*65)</f>
        <v>22750</v>
      </c>
      <c r="AJ1340" s="12">
        <v>150</v>
      </c>
      <c r="AK1340" s="13">
        <f t="shared" ref="AK1340:AK1355" si="1344">(AJ1340*9)</f>
        <v>1350</v>
      </c>
      <c r="AL1340" s="12">
        <v>165</v>
      </c>
      <c r="AM1340" s="13">
        <f t="shared" ref="AM1340:AM1355" si="1345">(AL1340*9)</f>
        <v>1485</v>
      </c>
      <c r="AO1340" s="11">
        <f t="shared" ref="AO1340:AO1355" si="1346">(AN1340*80)</f>
        <v>0</v>
      </c>
      <c r="AQ1340" s="11">
        <f t="shared" ref="AQ1340:AQ1355" si="1347">(AP1340*80)</f>
        <v>0</v>
      </c>
      <c r="AS1340" s="11">
        <f t="shared" ref="AS1340:AS1355" si="1348">(AR1340*50)</f>
        <v>0</v>
      </c>
      <c r="AU1340" s="11">
        <f t="shared" ref="AU1340:AU1355" si="1349">(AT1340*50)</f>
        <v>0</v>
      </c>
      <c r="AW1340" s="11">
        <f t="shared" ref="AW1340:AW1355" si="1350">(AV1340*60)</f>
        <v>0</v>
      </c>
      <c r="AY1340" s="11">
        <f t="shared" ref="AY1340:AY1355" si="1351">(AX1340*60)</f>
        <v>0</v>
      </c>
      <c r="BA1340" s="11">
        <f t="shared" ref="BA1340:BA1355" si="1352">(AZ1340*40)</f>
        <v>0</v>
      </c>
      <c r="BC1340" s="11">
        <f t="shared" ref="BC1340:BC1355" si="1353">(BB1340*40)</f>
        <v>0</v>
      </c>
      <c r="BE1340" s="11">
        <f t="shared" ref="BE1340:BE1355" si="1354">(BD1340*95)</f>
        <v>0</v>
      </c>
      <c r="BG1340" s="11">
        <f t="shared" ref="BG1340:BG1355" si="1355">(BF1340*95)</f>
        <v>0</v>
      </c>
      <c r="BN1340" s="8">
        <f t="shared" si="1313"/>
        <v>1125</v>
      </c>
      <c r="BO1340" s="8">
        <f t="shared" si="1314"/>
        <v>59850</v>
      </c>
      <c r="BP1340" s="8">
        <f t="shared" si="1334"/>
        <v>3165</v>
      </c>
      <c r="BQ1340" s="12">
        <f t="shared" si="1335"/>
        <v>163235</v>
      </c>
    </row>
    <row r="1341" spans="1:69">
      <c r="A1341" s="28">
        <v>1960</v>
      </c>
      <c r="B1341" s="27" t="s">
        <v>69</v>
      </c>
      <c r="C1341" s="24">
        <f t="shared" si="1337"/>
        <v>1336</v>
      </c>
      <c r="D1341" s="7">
        <f t="shared" ca="1" si="1293"/>
        <v>2.1191135734072022</v>
      </c>
      <c r="E1341" s="26">
        <f t="array" aca="1" ref="E1341" ca="1">AVERAGE(IF(INDIRECT(DatCol&amp;"$"&amp;TEXT(C1341,"###")):INDIRECT(DatCol&amp;"$"&amp;TEXT(C1341+57,"###"))&gt;0,INDIRECT(DatCol&amp;"$"&amp;TEXT(C1341,"###")):INDIRECT(DatCol&amp;"$"&amp;TEXT(C1341+57,"###"))))</f>
        <v>778.62745098039215</v>
      </c>
      <c r="F1341" s="26" t="str">
        <f t="shared" si="1294"/>
        <v>B</v>
      </c>
      <c r="G1341" s="8"/>
      <c r="I1341" s="8">
        <v>44</v>
      </c>
      <c r="J1341" s="8">
        <v>998</v>
      </c>
      <c r="K1341" s="9">
        <f t="shared" si="1315"/>
        <v>998</v>
      </c>
      <c r="M1341" s="11">
        <f t="shared" si="1338"/>
        <v>0</v>
      </c>
      <c r="N1341" s="12">
        <v>1650</v>
      </c>
      <c r="O1341" s="11">
        <f t="shared" si="1339"/>
        <v>82500</v>
      </c>
      <c r="P1341" s="12">
        <v>50</v>
      </c>
      <c r="Q1341" s="11">
        <f t="shared" si="1340"/>
        <v>3000</v>
      </c>
      <c r="X1341" s="12">
        <v>725</v>
      </c>
      <c r="Y1341" s="11">
        <f t="shared" si="1341"/>
        <v>43500</v>
      </c>
      <c r="AG1341" s="11">
        <f t="shared" si="1342"/>
        <v>0</v>
      </c>
      <c r="AH1341" s="12">
        <v>275</v>
      </c>
      <c r="AI1341" s="11">
        <f t="shared" si="1343"/>
        <v>17875</v>
      </c>
      <c r="AJ1341" s="12">
        <v>1543</v>
      </c>
      <c r="AK1341" s="13">
        <f t="shared" si="1344"/>
        <v>13887</v>
      </c>
      <c r="AL1341" s="12">
        <v>775</v>
      </c>
      <c r="AM1341" s="13">
        <f t="shared" si="1345"/>
        <v>6975</v>
      </c>
      <c r="AO1341" s="11">
        <f t="shared" si="1346"/>
        <v>0</v>
      </c>
      <c r="AQ1341" s="11">
        <f t="shared" si="1347"/>
        <v>0</v>
      </c>
      <c r="AS1341" s="11">
        <f t="shared" si="1348"/>
        <v>0</v>
      </c>
      <c r="AU1341" s="11">
        <f t="shared" si="1349"/>
        <v>0</v>
      </c>
      <c r="AW1341" s="11">
        <f t="shared" si="1350"/>
        <v>0</v>
      </c>
      <c r="AY1341" s="11">
        <f t="shared" si="1351"/>
        <v>0</v>
      </c>
      <c r="BA1341" s="11">
        <f t="shared" si="1352"/>
        <v>0</v>
      </c>
      <c r="BC1341" s="11">
        <f t="shared" si="1353"/>
        <v>0</v>
      </c>
      <c r="BE1341" s="11">
        <f t="shared" si="1354"/>
        <v>0</v>
      </c>
      <c r="BG1341" s="11">
        <f t="shared" si="1355"/>
        <v>0</v>
      </c>
      <c r="BN1341" s="8">
        <f t="shared" si="1313"/>
        <v>2318</v>
      </c>
      <c r="BO1341" s="8">
        <f t="shared" si="1314"/>
        <v>60387</v>
      </c>
      <c r="BP1341" s="8">
        <f t="shared" si="1334"/>
        <v>3425</v>
      </c>
      <c r="BQ1341" s="12">
        <f t="shared" si="1335"/>
        <v>150850</v>
      </c>
    </row>
    <row r="1342" spans="1:69">
      <c r="A1342" s="28">
        <v>1961</v>
      </c>
      <c r="B1342" s="27" t="s">
        <v>69</v>
      </c>
      <c r="C1342" s="24">
        <f t="shared" si="1337"/>
        <v>1336</v>
      </c>
      <c r="D1342" s="7">
        <f t="shared" ca="1" si="1293"/>
        <v>2.054898010576681</v>
      </c>
      <c r="E1342" s="26">
        <f t="array" aca="1" ref="E1342" ca="1">AVERAGE(IF(INDIRECT(DatCol&amp;"$"&amp;TEXT(C1342,"###")):INDIRECT(DatCol&amp;"$"&amp;TEXT(C1342+57,"###"))&gt;0,INDIRECT(DatCol&amp;"$"&amp;TEXT(C1342,"###")):INDIRECT(DatCol&amp;"$"&amp;TEXT(C1342+57,"###"))))</f>
        <v>778.62745098039215</v>
      </c>
      <c r="F1342" s="26" t="str">
        <f t="shared" si="1294"/>
        <v>B</v>
      </c>
      <c r="G1342" s="8"/>
      <c r="I1342" s="8">
        <v>37</v>
      </c>
      <c r="J1342" s="8">
        <v>896</v>
      </c>
      <c r="K1342" s="9">
        <f t="shared" si="1315"/>
        <v>896</v>
      </c>
      <c r="M1342" s="11">
        <f t="shared" si="1338"/>
        <v>0</v>
      </c>
      <c r="N1342" s="12">
        <v>1600</v>
      </c>
      <c r="O1342" s="11">
        <f t="shared" si="1339"/>
        <v>80000</v>
      </c>
      <c r="Q1342" s="11">
        <f t="shared" si="1340"/>
        <v>0</v>
      </c>
      <c r="X1342" s="12">
        <v>850</v>
      </c>
      <c r="Y1342" s="11">
        <f t="shared" si="1341"/>
        <v>51000</v>
      </c>
      <c r="AG1342" s="11">
        <f t="shared" si="1342"/>
        <v>0</v>
      </c>
      <c r="AH1342" s="12">
        <v>300</v>
      </c>
      <c r="AI1342" s="11">
        <f t="shared" si="1343"/>
        <v>19500</v>
      </c>
      <c r="AJ1342" s="12">
        <v>1180</v>
      </c>
      <c r="AK1342" s="13">
        <f t="shared" si="1344"/>
        <v>10620</v>
      </c>
      <c r="AL1342" s="12">
        <v>548</v>
      </c>
      <c r="AM1342" s="13">
        <f t="shared" si="1345"/>
        <v>4932</v>
      </c>
      <c r="AO1342" s="11">
        <f t="shared" si="1346"/>
        <v>0</v>
      </c>
      <c r="AQ1342" s="11">
        <f t="shared" si="1347"/>
        <v>0</v>
      </c>
      <c r="AS1342" s="11">
        <f t="shared" si="1348"/>
        <v>0</v>
      </c>
      <c r="AU1342" s="11">
        <f t="shared" si="1349"/>
        <v>0</v>
      </c>
      <c r="AW1342" s="11">
        <f t="shared" si="1350"/>
        <v>0</v>
      </c>
      <c r="AY1342" s="11">
        <f t="shared" si="1351"/>
        <v>0</v>
      </c>
      <c r="BA1342" s="11">
        <f t="shared" si="1352"/>
        <v>0</v>
      </c>
      <c r="BC1342" s="11">
        <f t="shared" si="1353"/>
        <v>0</v>
      </c>
      <c r="BE1342" s="11">
        <f t="shared" si="1354"/>
        <v>0</v>
      </c>
      <c r="BG1342" s="11">
        <f t="shared" si="1355"/>
        <v>0</v>
      </c>
      <c r="BN1342" s="8">
        <f t="shared" si="1313"/>
        <v>2030</v>
      </c>
      <c r="BO1342" s="8">
        <f t="shared" si="1314"/>
        <v>61620</v>
      </c>
      <c r="BP1342" s="8">
        <f t="shared" si="1334"/>
        <v>3298</v>
      </c>
      <c r="BQ1342" s="12">
        <f t="shared" si="1335"/>
        <v>155432</v>
      </c>
    </row>
    <row r="1343" spans="1:69">
      <c r="A1343" s="28">
        <v>1962</v>
      </c>
      <c r="B1343" s="27" t="s">
        <v>69</v>
      </c>
      <c r="C1343" s="24">
        <f t="shared" si="1337"/>
        <v>1336</v>
      </c>
      <c r="D1343" s="7">
        <f t="shared" ca="1" si="1293"/>
        <v>2.3117602618987663</v>
      </c>
      <c r="E1343" s="26">
        <f t="array" aca="1" ref="E1343" ca="1">AVERAGE(IF(INDIRECT(DatCol&amp;"$"&amp;TEXT(C1343,"###")):INDIRECT(DatCol&amp;"$"&amp;TEXT(C1343+57,"###"))&gt;0,INDIRECT(DatCol&amp;"$"&amp;TEXT(C1343,"###")):INDIRECT(DatCol&amp;"$"&amp;TEXT(C1343+57,"###"))))</f>
        <v>778.62745098039215</v>
      </c>
      <c r="F1343" s="26" t="str">
        <f t="shared" si="1294"/>
        <v>B</v>
      </c>
      <c r="G1343" s="8"/>
      <c r="I1343" s="8">
        <v>48</v>
      </c>
      <c r="J1343" s="8">
        <v>974</v>
      </c>
      <c r="K1343" s="9">
        <f t="shared" si="1315"/>
        <v>974</v>
      </c>
      <c r="M1343" s="11">
        <f t="shared" si="1338"/>
        <v>0</v>
      </c>
      <c r="N1343" s="12">
        <v>1800</v>
      </c>
      <c r="O1343" s="11">
        <f t="shared" si="1339"/>
        <v>90000</v>
      </c>
      <c r="Q1343" s="11">
        <f t="shared" si="1340"/>
        <v>0</v>
      </c>
      <c r="X1343" s="12">
        <v>950</v>
      </c>
      <c r="Y1343" s="11">
        <f t="shared" si="1341"/>
        <v>57000</v>
      </c>
      <c r="AG1343" s="11">
        <f t="shared" si="1342"/>
        <v>0</v>
      </c>
      <c r="AH1343" s="12">
        <v>350</v>
      </c>
      <c r="AI1343" s="11">
        <f t="shared" si="1343"/>
        <v>22750</v>
      </c>
      <c r="AJ1343" s="12">
        <v>4300</v>
      </c>
      <c r="AK1343" s="13">
        <f t="shared" si="1344"/>
        <v>38700</v>
      </c>
      <c r="AL1343" s="12">
        <v>800</v>
      </c>
      <c r="AM1343" s="13">
        <f t="shared" si="1345"/>
        <v>7200</v>
      </c>
      <c r="AO1343" s="11">
        <f t="shared" si="1346"/>
        <v>0</v>
      </c>
      <c r="AQ1343" s="11">
        <f t="shared" si="1347"/>
        <v>0</v>
      </c>
      <c r="AS1343" s="11">
        <f t="shared" si="1348"/>
        <v>0</v>
      </c>
      <c r="AU1343" s="11">
        <f t="shared" si="1349"/>
        <v>0</v>
      </c>
      <c r="AW1343" s="11">
        <f t="shared" si="1350"/>
        <v>0</v>
      </c>
      <c r="AY1343" s="11">
        <f t="shared" si="1351"/>
        <v>0</v>
      </c>
      <c r="BA1343" s="11">
        <f t="shared" si="1352"/>
        <v>0</v>
      </c>
      <c r="BC1343" s="11">
        <f t="shared" si="1353"/>
        <v>0</v>
      </c>
      <c r="BE1343" s="11">
        <f t="shared" si="1354"/>
        <v>0</v>
      </c>
      <c r="BG1343" s="11">
        <f t="shared" si="1355"/>
        <v>0</v>
      </c>
      <c r="BN1343" s="8">
        <f t="shared" si="1313"/>
        <v>5250</v>
      </c>
      <c r="BO1343" s="8">
        <f t="shared" si="1314"/>
        <v>95700</v>
      </c>
      <c r="BP1343" s="8">
        <f t="shared" si="1334"/>
        <v>3900</v>
      </c>
      <c r="BQ1343" s="12">
        <f t="shared" si="1335"/>
        <v>176950</v>
      </c>
    </row>
    <row r="1344" spans="1:69">
      <c r="A1344" s="28">
        <v>1963</v>
      </c>
      <c r="B1344" s="27" t="s">
        <v>69</v>
      </c>
      <c r="C1344" s="24">
        <f t="shared" si="1337"/>
        <v>1336</v>
      </c>
      <c r="D1344" s="7">
        <f t="shared" ca="1" si="1293"/>
        <v>2.5686225132208511</v>
      </c>
      <c r="E1344" s="26">
        <f t="array" aca="1" ref="E1344" ca="1">AVERAGE(IF(INDIRECT(DatCol&amp;"$"&amp;TEXT(C1344,"###")):INDIRECT(DatCol&amp;"$"&amp;TEXT(C1344+57,"###"))&gt;0,INDIRECT(DatCol&amp;"$"&amp;TEXT(C1344,"###")):INDIRECT(DatCol&amp;"$"&amp;TEXT(C1344+57,"###"))))</f>
        <v>778.62745098039215</v>
      </c>
      <c r="F1344" s="26" t="str">
        <f t="shared" si="1294"/>
        <v>B</v>
      </c>
      <c r="G1344" s="8"/>
      <c r="I1344" s="8">
        <v>14</v>
      </c>
      <c r="J1344" s="8">
        <v>945</v>
      </c>
      <c r="K1344" s="9">
        <f t="shared" si="1315"/>
        <v>945</v>
      </c>
      <c r="M1344" s="11">
        <f t="shared" si="1338"/>
        <v>0</v>
      </c>
      <c r="N1344" s="12">
        <v>2000</v>
      </c>
      <c r="O1344" s="11">
        <f t="shared" si="1339"/>
        <v>100000</v>
      </c>
      <c r="Q1344" s="11">
        <f t="shared" si="1340"/>
        <v>0</v>
      </c>
      <c r="X1344" s="12">
        <v>925</v>
      </c>
      <c r="Y1344" s="11">
        <f t="shared" si="1341"/>
        <v>55500</v>
      </c>
      <c r="AF1344" s="12">
        <v>5</v>
      </c>
      <c r="AG1344" s="11">
        <f t="shared" si="1342"/>
        <v>325</v>
      </c>
      <c r="AH1344" s="12">
        <v>375</v>
      </c>
      <c r="AI1344" s="11">
        <f t="shared" si="1343"/>
        <v>24375</v>
      </c>
      <c r="AJ1344" s="12">
        <v>445</v>
      </c>
      <c r="AK1344" s="13">
        <f t="shared" si="1344"/>
        <v>4005</v>
      </c>
      <c r="AL1344" s="12">
        <v>54</v>
      </c>
      <c r="AM1344" s="13">
        <f t="shared" si="1345"/>
        <v>486</v>
      </c>
      <c r="AO1344" s="11">
        <f t="shared" si="1346"/>
        <v>0</v>
      </c>
      <c r="AQ1344" s="11">
        <f t="shared" si="1347"/>
        <v>0</v>
      </c>
      <c r="AS1344" s="11">
        <f t="shared" si="1348"/>
        <v>0</v>
      </c>
      <c r="AU1344" s="11">
        <f t="shared" si="1349"/>
        <v>0</v>
      </c>
      <c r="AW1344" s="11">
        <f t="shared" si="1350"/>
        <v>0</v>
      </c>
      <c r="AY1344" s="11">
        <f t="shared" si="1351"/>
        <v>0</v>
      </c>
      <c r="BA1344" s="11">
        <f t="shared" si="1352"/>
        <v>0</v>
      </c>
      <c r="BC1344" s="11">
        <f t="shared" si="1353"/>
        <v>0</v>
      </c>
      <c r="BE1344" s="11">
        <f t="shared" si="1354"/>
        <v>0</v>
      </c>
      <c r="BG1344" s="11">
        <f t="shared" si="1355"/>
        <v>0</v>
      </c>
      <c r="BN1344" s="8">
        <f t="shared" si="1313"/>
        <v>1375</v>
      </c>
      <c r="BO1344" s="8">
        <f t="shared" si="1314"/>
        <v>59830</v>
      </c>
      <c r="BP1344" s="8">
        <f t="shared" si="1334"/>
        <v>3354</v>
      </c>
      <c r="BQ1344" s="12">
        <f t="shared" si="1335"/>
        <v>180361</v>
      </c>
    </row>
    <row r="1345" spans="1:69">
      <c r="A1345" s="28">
        <v>1964</v>
      </c>
      <c r="B1345" s="27" t="s">
        <v>69</v>
      </c>
      <c r="C1345" s="24">
        <f t="shared" si="1337"/>
        <v>1336</v>
      </c>
      <c r="D1345" s="7">
        <f t="shared" ca="1" si="1293"/>
        <v>2.4401913875598087</v>
      </c>
      <c r="E1345" s="26">
        <f t="array" aca="1" ref="E1345" ca="1">AVERAGE(IF(INDIRECT(DatCol&amp;"$"&amp;TEXT(C1345,"###")):INDIRECT(DatCol&amp;"$"&amp;TEXT(C1345+57,"###"))&gt;0,INDIRECT(DatCol&amp;"$"&amp;TEXT(C1345,"###")):INDIRECT(DatCol&amp;"$"&amp;TEXT(C1345+57,"###"))))</f>
        <v>778.62745098039215</v>
      </c>
      <c r="F1345" s="26" t="str">
        <f t="shared" si="1294"/>
        <v>B</v>
      </c>
      <c r="G1345" s="8"/>
      <c r="I1345" s="8">
        <v>77</v>
      </c>
      <c r="J1345" s="8">
        <v>808</v>
      </c>
      <c r="K1345" s="9">
        <f t="shared" si="1315"/>
        <v>808</v>
      </c>
      <c r="M1345" s="11">
        <f t="shared" si="1338"/>
        <v>0</v>
      </c>
      <c r="N1345" s="12">
        <v>1900</v>
      </c>
      <c r="O1345" s="11">
        <f t="shared" si="1339"/>
        <v>95000</v>
      </c>
      <c r="P1345" s="12">
        <v>550</v>
      </c>
      <c r="Q1345" s="11">
        <f t="shared" si="1340"/>
        <v>33000</v>
      </c>
      <c r="X1345" s="12">
        <v>875</v>
      </c>
      <c r="Y1345" s="11">
        <f t="shared" si="1341"/>
        <v>52500</v>
      </c>
      <c r="AG1345" s="11">
        <f t="shared" si="1342"/>
        <v>0</v>
      </c>
      <c r="AH1345" s="12">
        <v>225</v>
      </c>
      <c r="AI1345" s="11">
        <f t="shared" si="1343"/>
        <v>14625</v>
      </c>
      <c r="AJ1345" s="12">
        <v>700</v>
      </c>
      <c r="AK1345" s="13">
        <f t="shared" si="1344"/>
        <v>6300</v>
      </c>
      <c r="AL1345" s="12">
        <v>300</v>
      </c>
      <c r="AM1345" s="13">
        <f t="shared" si="1345"/>
        <v>2700</v>
      </c>
      <c r="AO1345" s="11">
        <f t="shared" si="1346"/>
        <v>0</v>
      </c>
      <c r="AQ1345" s="11">
        <f t="shared" si="1347"/>
        <v>0</v>
      </c>
      <c r="AS1345" s="11">
        <f t="shared" si="1348"/>
        <v>0</v>
      </c>
      <c r="AU1345" s="11">
        <f t="shared" si="1349"/>
        <v>0</v>
      </c>
      <c r="AW1345" s="11">
        <f t="shared" si="1350"/>
        <v>0</v>
      </c>
      <c r="AY1345" s="11">
        <f t="shared" si="1351"/>
        <v>0</v>
      </c>
      <c r="BA1345" s="11">
        <f t="shared" si="1352"/>
        <v>0</v>
      </c>
      <c r="BC1345" s="11">
        <f t="shared" si="1353"/>
        <v>0</v>
      </c>
      <c r="BE1345" s="11">
        <f t="shared" si="1354"/>
        <v>0</v>
      </c>
      <c r="BG1345" s="11">
        <f t="shared" si="1355"/>
        <v>0</v>
      </c>
      <c r="BN1345" s="8">
        <f t="shared" si="1313"/>
        <v>2125</v>
      </c>
      <c r="BO1345" s="8">
        <f t="shared" si="1314"/>
        <v>91800</v>
      </c>
      <c r="BP1345" s="8">
        <f t="shared" si="1334"/>
        <v>3300</v>
      </c>
      <c r="BQ1345" s="12">
        <f t="shared" si="1335"/>
        <v>164825</v>
      </c>
    </row>
    <row r="1346" spans="1:69">
      <c r="A1346" s="28">
        <v>1965</v>
      </c>
      <c r="B1346" s="27" t="s">
        <v>69</v>
      </c>
      <c r="C1346" s="24">
        <f t="shared" si="1337"/>
        <v>1336</v>
      </c>
      <c r="D1346" s="7">
        <f t="shared" ref="D1346:D1409" ca="1" si="1356">IF(AND((INDIRECT(DatCol&amp;TEXT(ROW(),"###"))&gt;0),((F1346=RegionSelect)+(RegionSelect="A"))),INDIRECT(DatCol&amp;TEXT(ROW(),"###"))/E1346,NA())</f>
        <v>2.6970536388818935</v>
      </c>
      <c r="E1346" s="26">
        <f t="array" aca="1" ref="E1346" ca="1">AVERAGE(IF(INDIRECT(DatCol&amp;"$"&amp;TEXT(C1346,"###")):INDIRECT(DatCol&amp;"$"&amp;TEXT(C1346+57,"###"))&gt;0,INDIRECT(DatCol&amp;"$"&amp;TEXT(C1346,"###")):INDIRECT(DatCol&amp;"$"&amp;TEXT(C1346+57,"###"))))</f>
        <v>778.62745098039215</v>
      </c>
      <c r="F1346" s="26" t="str">
        <f t="shared" si="1294"/>
        <v>B</v>
      </c>
      <c r="G1346" s="8"/>
      <c r="I1346" s="8">
        <v>12</v>
      </c>
      <c r="J1346" s="8">
        <v>798</v>
      </c>
      <c r="K1346" s="9">
        <f t="shared" si="1315"/>
        <v>798</v>
      </c>
      <c r="M1346" s="11">
        <f t="shared" si="1338"/>
        <v>0</v>
      </c>
      <c r="N1346" s="12">
        <v>2100</v>
      </c>
      <c r="O1346" s="11">
        <f t="shared" si="1339"/>
        <v>105000</v>
      </c>
      <c r="P1346" s="12">
        <v>178</v>
      </c>
      <c r="Q1346" s="11">
        <f t="shared" si="1340"/>
        <v>10680</v>
      </c>
      <c r="X1346" s="12">
        <v>750</v>
      </c>
      <c r="Y1346" s="11">
        <f t="shared" si="1341"/>
        <v>45000</v>
      </c>
      <c r="AG1346" s="11">
        <f t="shared" si="1342"/>
        <v>0</v>
      </c>
      <c r="AI1346" s="11">
        <f t="shared" si="1343"/>
        <v>0</v>
      </c>
      <c r="AJ1346" s="12">
        <v>86</v>
      </c>
      <c r="AK1346" s="13">
        <f t="shared" si="1344"/>
        <v>774</v>
      </c>
      <c r="AL1346" s="12">
        <v>100</v>
      </c>
      <c r="AM1346" s="13">
        <f t="shared" si="1345"/>
        <v>900</v>
      </c>
      <c r="AO1346" s="11">
        <f t="shared" si="1346"/>
        <v>0</v>
      </c>
      <c r="AQ1346" s="11">
        <f t="shared" si="1347"/>
        <v>0</v>
      </c>
      <c r="AS1346" s="11">
        <f t="shared" si="1348"/>
        <v>0</v>
      </c>
      <c r="AU1346" s="11">
        <f t="shared" si="1349"/>
        <v>0</v>
      </c>
      <c r="AW1346" s="11">
        <f t="shared" si="1350"/>
        <v>0</v>
      </c>
      <c r="AY1346" s="11">
        <f t="shared" si="1351"/>
        <v>0</v>
      </c>
      <c r="BA1346" s="11">
        <f t="shared" si="1352"/>
        <v>0</v>
      </c>
      <c r="BC1346" s="11">
        <f t="shared" si="1353"/>
        <v>0</v>
      </c>
      <c r="BE1346" s="11">
        <f t="shared" si="1354"/>
        <v>0</v>
      </c>
      <c r="BG1346" s="11">
        <f t="shared" si="1355"/>
        <v>0</v>
      </c>
      <c r="BN1346" s="8">
        <f t="shared" si="1313"/>
        <v>1014</v>
      </c>
      <c r="BO1346" s="8">
        <f t="shared" si="1314"/>
        <v>56454</v>
      </c>
      <c r="BP1346" s="8">
        <f t="shared" si="1334"/>
        <v>2950</v>
      </c>
      <c r="BQ1346" s="12">
        <f t="shared" si="1335"/>
        <v>150900</v>
      </c>
    </row>
    <row r="1347" spans="1:69">
      <c r="A1347" s="28">
        <v>1966</v>
      </c>
      <c r="B1347" s="27" t="s">
        <v>69</v>
      </c>
      <c r="C1347" s="24">
        <f t="shared" si="1337"/>
        <v>1336</v>
      </c>
      <c r="D1347" s="7">
        <f t="shared" ca="1" si="1356"/>
        <v>2.8575925459581968</v>
      </c>
      <c r="E1347" s="26">
        <f t="array" aca="1" ref="E1347" ca="1">AVERAGE(IF(INDIRECT(DatCol&amp;"$"&amp;TEXT(C1347,"###")):INDIRECT(DatCol&amp;"$"&amp;TEXT(C1347+57,"###"))&gt;0,INDIRECT(DatCol&amp;"$"&amp;TEXT(C1347,"###")):INDIRECT(DatCol&amp;"$"&amp;TEXT(C1347+57,"###"))))</f>
        <v>778.62745098039215</v>
      </c>
      <c r="F1347" s="26" t="str">
        <f t="shared" si="1294"/>
        <v>B</v>
      </c>
      <c r="G1347" s="8"/>
      <c r="I1347" s="8">
        <v>34</v>
      </c>
      <c r="J1347" s="8">
        <v>866</v>
      </c>
      <c r="K1347" s="9">
        <f t="shared" si="1315"/>
        <v>866</v>
      </c>
      <c r="M1347" s="11">
        <f t="shared" si="1338"/>
        <v>0</v>
      </c>
      <c r="N1347" s="12">
        <v>2225</v>
      </c>
      <c r="O1347" s="11">
        <f t="shared" si="1339"/>
        <v>111250</v>
      </c>
      <c r="P1347" s="12">
        <v>635</v>
      </c>
      <c r="Q1347" s="11">
        <f t="shared" si="1340"/>
        <v>38100</v>
      </c>
      <c r="X1347" s="12">
        <v>825</v>
      </c>
      <c r="Y1347" s="11">
        <f t="shared" si="1341"/>
        <v>49500</v>
      </c>
      <c r="AG1347" s="11">
        <f t="shared" si="1342"/>
        <v>0</v>
      </c>
      <c r="AH1347" s="12">
        <v>250</v>
      </c>
      <c r="AI1347" s="11">
        <f t="shared" si="1343"/>
        <v>16250</v>
      </c>
      <c r="AJ1347" s="12">
        <v>575</v>
      </c>
      <c r="AK1347" s="13">
        <f t="shared" si="1344"/>
        <v>5175</v>
      </c>
      <c r="AL1347" s="12">
        <v>350</v>
      </c>
      <c r="AM1347" s="13">
        <f t="shared" si="1345"/>
        <v>3150</v>
      </c>
      <c r="AO1347" s="11">
        <f t="shared" si="1346"/>
        <v>0</v>
      </c>
      <c r="AQ1347" s="11">
        <f t="shared" si="1347"/>
        <v>0</v>
      </c>
      <c r="AS1347" s="11">
        <f t="shared" si="1348"/>
        <v>0</v>
      </c>
      <c r="AU1347" s="11">
        <f t="shared" si="1349"/>
        <v>0</v>
      </c>
      <c r="AW1347" s="11">
        <f t="shared" si="1350"/>
        <v>0</v>
      </c>
      <c r="AY1347" s="11">
        <f t="shared" si="1351"/>
        <v>0</v>
      </c>
      <c r="BA1347" s="11">
        <f t="shared" si="1352"/>
        <v>0</v>
      </c>
      <c r="BC1347" s="11">
        <f t="shared" si="1353"/>
        <v>0</v>
      </c>
      <c r="BE1347" s="11">
        <f t="shared" si="1354"/>
        <v>0</v>
      </c>
      <c r="BG1347" s="11">
        <f t="shared" si="1355"/>
        <v>0</v>
      </c>
      <c r="BN1347" s="8">
        <f t="shared" si="1313"/>
        <v>2035</v>
      </c>
      <c r="BO1347" s="8">
        <f t="shared" si="1314"/>
        <v>92775</v>
      </c>
      <c r="BP1347" s="8">
        <f t="shared" si="1334"/>
        <v>3650</v>
      </c>
      <c r="BQ1347" s="12">
        <f t="shared" si="1335"/>
        <v>180150</v>
      </c>
    </row>
    <row r="1348" spans="1:69">
      <c r="A1348" s="28">
        <v>1967</v>
      </c>
      <c r="B1348" s="27" t="s">
        <v>69</v>
      </c>
      <c r="C1348" s="24">
        <f t="shared" si="1337"/>
        <v>1336</v>
      </c>
      <c r="D1348" s="7">
        <f t="shared" ca="1" si="1356"/>
        <v>3.1594056912616471</v>
      </c>
      <c r="E1348" s="26">
        <f t="array" aca="1" ref="E1348" ca="1">AVERAGE(IF(INDIRECT(DatCol&amp;"$"&amp;TEXT(C1348,"###")):INDIRECT(DatCol&amp;"$"&amp;TEXT(C1348+57,"###"))&gt;0,INDIRECT(DatCol&amp;"$"&amp;TEXT(C1348,"###")):INDIRECT(DatCol&amp;"$"&amp;TEXT(C1348+57,"###"))))</f>
        <v>778.62745098039215</v>
      </c>
      <c r="F1348" s="26" t="str">
        <f t="shared" si="1294"/>
        <v>B</v>
      </c>
      <c r="G1348" s="8"/>
      <c r="H1348" s="8">
        <v>0</v>
      </c>
      <c r="I1348" s="8">
        <v>40</v>
      </c>
      <c r="J1348" s="8">
        <v>890</v>
      </c>
      <c r="K1348" s="9">
        <f t="shared" si="1315"/>
        <v>890</v>
      </c>
      <c r="L1348" s="12">
        <v>230</v>
      </c>
      <c r="M1348" s="11">
        <f t="shared" si="1338"/>
        <v>11500</v>
      </c>
      <c r="N1348" s="12">
        <v>2460</v>
      </c>
      <c r="O1348" s="11">
        <f t="shared" si="1339"/>
        <v>123000</v>
      </c>
      <c r="P1348" s="12">
        <v>525</v>
      </c>
      <c r="Q1348" s="11">
        <f t="shared" si="1340"/>
        <v>31500</v>
      </c>
      <c r="X1348" s="12">
        <v>900</v>
      </c>
      <c r="Y1348" s="11">
        <f t="shared" si="1341"/>
        <v>54000</v>
      </c>
      <c r="AG1348" s="11">
        <f t="shared" si="1342"/>
        <v>0</v>
      </c>
      <c r="AH1348" s="12">
        <v>225</v>
      </c>
      <c r="AI1348" s="11">
        <f t="shared" si="1343"/>
        <v>14625</v>
      </c>
      <c r="AJ1348" s="12">
        <v>950</v>
      </c>
      <c r="AK1348" s="13">
        <f t="shared" si="1344"/>
        <v>8550</v>
      </c>
      <c r="AL1348" s="12">
        <v>675</v>
      </c>
      <c r="AM1348" s="13">
        <f t="shared" si="1345"/>
        <v>6075</v>
      </c>
      <c r="AO1348" s="11">
        <f t="shared" si="1346"/>
        <v>0</v>
      </c>
      <c r="AQ1348" s="11">
        <f t="shared" si="1347"/>
        <v>0</v>
      </c>
      <c r="AS1348" s="11">
        <f t="shared" si="1348"/>
        <v>0</v>
      </c>
      <c r="AU1348" s="11">
        <f t="shared" si="1349"/>
        <v>0</v>
      </c>
      <c r="AW1348" s="11">
        <f t="shared" si="1350"/>
        <v>0</v>
      </c>
      <c r="AY1348" s="11">
        <f t="shared" si="1351"/>
        <v>0</v>
      </c>
      <c r="BA1348" s="11">
        <f t="shared" si="1352"/>
        <v>0</v>
      </c>
      <c r="BC1348" s="11">
        <f t="shared" si="1353"/>
        <v>0</v>
      </c>
      <c r="BE1348" s="11">
        <f t="shared" si="1354"/>
        <v>0</v>
      </c>
      <c r="BG1348" s="11">
        <f t="shared" si="1355"/>
        <v>0</v>
      </c>
      <c r="BN1348" s="8">
        <f t="shared" si="1313"/>
        <v>2605</v>
      </c>
      <c r="BO1348" s="8">
        <f t="shared" si="1314"/>
        <v>105550</v>
      </c>
      <c r="BP1348" s="8">
        <f t="shared" si="1334"/>
        <v>4260</v>
      </c>
      <c r="BQ1348" s="12">
        <f t="shared" si="1335"/>
        <v>197700</v>
      </c>
    </row>
    <row r="1349" spans="1:69">
      <c r="A1349" s="28">
        <v>1968</v>
      </c>
      <c r="B1349" s="27" t="s">
        <v>69</v>
      </c>
      <c r="C1349" s="24">
        <f t="shared" si="1337"/>
        <v>1336</v>
      </c>
      <c r="D1349" s="7">
        <f t="shared" ca="1" si="1356"/>
        <v>3.5318559556786702</v>
      </c>
      <c r="E1349" s="26">
        <f t="array" aca="1" ref="E1349" ca="1">AVERAGE(IF(INDIRECT(DatCol&amp;"$"&amp;TEXT(C1349,"###")):INDIRECT(DatCol&amp;"$"&amp;TEXT(C1349+57,"###"))&gt;0,INDIRECT(DatCol&amp;"$"&amp;TEXT(C1349,"###")):INDIRECT(DatCol&amp;"$"&amp;TEXT(C1349+57,"###"))))</f>
        <v>778.62745098039215</v>
      </c>
      <c r="F1349" s="26" t="str">
        <f t="shared" si="1294"/>
        <v>B</v>
      </c>
      <c r="G1349" s="8"/>
      <c r="I1349" s="8">
        <v>102</v>
      </c>
      <c r="J1349" s="8">
        <v>1001</v>
      </c>
      <c r="K1349" s="9">
        <f t="shared" si="1315"/>
        <v>1001</v>
      </c>
      <c r="L1349" s="12">
        <v>40</v>
      </c>
      <c r="M1349" s="11">
        <f t="shared" si="1338"/>
        <v>2000</v>
      </c>
      <c r="N1349" s="12">
        <v>2750</v>
      </c>
      <c r="O1349" s="11">
        <f t="shared" si="1339"/>
        <v>137500</v>
      </c>
      <c r="P1349" s="12">
        <v>450</v>
      </c>
      <c r="Q1349" s="11">
        <f t="shared" si="1340"/>
        <v>27000</v>
      </c>
      <c r="X1349" s="12">
        <v>825</v>
      </c>
      <c r="Y1349" s="11">
        <f t="shared" si="1341"/>
        <v>49500</v>
      </c>
      <c r="AG1349" s="11">
        <f t="shared" si="1342"/>
        <v>0</v>
      </c>
      <c r="AH1349" s="12">
        <v>175</v>
      </c>
      <c r="AI1349" s="11">
        <f t="shared" si="1343"/>
        <v>11375</v>
      </c>
      <c r="AJ1349" s="12">
        <v>1700</v>
      </c>
      <c r="AK1349" s="13">
        <f t="shared" si="1344"/>
        <v>15300</v>
      </c>
      <c r="AL1349" s="12">
        <v>950</v>
      </c>
      <c r="AM1349" s="13">
        <f t="shared" si="1345"/>
        <v>8550</v>
      </c>
      <c r="AO1349" s="11">
        <f t="shared" si="1346"/>
        <v>0</v>
      </c>
      <c r="AQ1349" s="11">
        <f t="shared" si="1347"/>
        <v>0</v>
      </c>
      <c r="AS1349" s="11">
        <f t="shared" si="1348"/>
        <v>0</v>
      </c>
      <c r="AU1349" s="11">
        <f t="shared" si="1349"/>
        <v>0</v>
      </c>
      <c r="AW1349" s="11">
        <f t="shared" si="1350"/>
        <v>0</v>
      </c>
      <c r="AY1349" s="11">
        <f t="shared" si="1351"/>
        <v>0</v>
      </c>
      <c r="BA1349" s="11">
        <f t="shared" si="1352"/>
        <v>0</v>
      </c>
      <c r="BC1349" s="11">
        <f t="shared" si="1353"/>
        <v>0</v>
      </c>
      <c r="BE1349" s="11">
        <f t="shared" si="1354"/>
        <v>0</v>
      </c>
      <c r="BG1349" s="11">
        <f t="shared" si="1355"/>
        <v>0</v>
      </c>
      <c r="BN1349" s="8">
        <f t="shared" si="1313"/>
        <v>3015</v>
      </c>
      <c r="BO1349" s="8">
        <f t="shared" si="1314"/>
        <v>93800</v>
      </c>
      <c r="BP1349" s="8">
        <f t="shared" si="1334"/>
        <v>4700</v>
      </c>
      <c r="BQ1349" s="12">
        <f t="shared" si="1335"/>
        <v>206925</v>
      </c>
    </row>
    <row r="1350" spans="1:69">
      <c r="A1350" s="28">
        <v>1969</v>
      </c>
      <c r="B1350" s="27" t="s">
        <v>69</v>
      </c>
      <c r="C1350" s="24">
        <f t="shared" si="1337"/>
        <v>1336</v>
      </c>
      <c r="D1350" s="7">
        <f t="shared" ca="1" si="1356"/>
        <v>3.3392092671871065</v>
      </c>
      <c r="E1350" s="26">
        <f t="array" aca="1" ref="E1350" ca="1">AVERAGE(IF(INDIRECT(DatCol&amp;"$"&amp;TEXT(C1350,"###")):INDIRECT(DatCol&amp;"$"&amp;TEXT(C1350+57,"###"))&gt;0,INDIRECT(DatCol&amp;"$"&amp;TEXT(C1350,"###")):INDIRECT(DatCol&amp;"$"&amp;TEXT(C1350+57,"###"))))</f>
        <v>778.62745098039215</v>
      </c>
      <c r="F1350" s="26" t="str">
        <f t="shared" si="1294"/>
        <v>B</v>
      </c>
      <c r="G1350" s="8"/>
      <c r="H1350" s="8">
        <v>36</v>
      </c>
      <c r="I1350" s="8">
        <v>71</v>
      </c>
      <c r="J1350" s="8">
        <v>1016</v>
      </c>
      <c r="K1350" s="9">
        <f t="shared" si="1315"/>
        <v>1052</v>
      </c>
      <c r="M1350" s="11">
        <f t="shared" si="1338"/>
        <v>0</v>
      </c>
      <c r="N1350" s="12">
        <v>2600</v>
      </c>
      <c r="O1350" s="11">
        <f t="shared" si="1339"/>
        <v>130000</v>
      </c>
      <c r="P1350" s="12">
        <v>400</v>
      </c>
      <c r="Q1350" s="11">
        <f t="shared" si="1340"/>
        <v>24000</v>
      </c>
      <c r="X1350" s="12">
        <v>650</v>
      </c>
      <c r="Y1350" s="11">
        <f t="shared" si="1341"/>
        <v>39000</v>
      </c>
      <c r="AG1350" s="11">
        <f t="shared" si="1342"/>
        <v>0</v>
      </c>
      <c r="AH1350" s="12">
        <v>250</v>
      </c>
      <c r="AI1350" s="11">
        <f t="shared" si="1343"/>
        <v>16250</v>
      </c>
      <c r="AJ1350" s="12">
        <v>2800</v>
      </c>
      <c r="AK1350" s="13">
        <f t="shared" si="1344"/>
        <v>25200</v>
      </c>
      <c r="AL1350" s="12">
        <v>1600</v>
      </c>
      <c r="AM1350" s="13">
        <f t="shared" si="1345"/>
        <v>14400</v>
      </c>
      <c r="AO1350" s="11">
        <f t="shared" si="1346"/>
        <v>0</v>
      </c>
      <c r="AQ1350" s="11">
        <f t="shared" si="1347"/>
        <v>0</v>
      </c>
      <c r="AS1350" s="11">
        <f t="shared" si="1348"/>
        <v>0</v>
      </c>
      <c r="AU1350" s="11">
        <f t="shared" si="1349"/>
        <v>0</v>
      </c>
      <c r="AW1350" s="11">
        <f t="shared" si="1350"/>
        <v>0</v>
      </c>
      <c r="AY1350" s="11">
        <f t="shared" si="1351"/>
        <v>0</v>
      </c>
      <c r="BA1350" s="11">
        <f t="shared" si="1352"/>
        <v>0</v>
      </c>
      <c r="BC1350" s="11">
        <f t="shared" si="1353"/>
        <v>0</v>
      </c>
      <c r="BE1350" s="11">
        <f t="shared" si="1354"/>
        <v>0</v>
      </c>
      <c r="BG1350" s="11">
        <f t="shared" si="1355"/>
        <v>0</v>
      </c>
      <c r="BN1350" s="8">
        <f t="shared" si="1313"/>
        <v>3850</v>
      </c>
      <c r="BO1350" s="8">
        <f t="shared" si="1314"/>
        <v>88200</v>
      </c>
      <c r="BP1350" s="8">
        <f t="shared" si="1334"/>
        <v>5100</v>
      </c>
      <c r="BQ1350" s="12">
        <f t="shared" si="1335"/>
        <v>199650</v>
      </c>
    </row>
    <row r="1351" spans="1:69">
      <c r="A1351" s="28">
        <v>1970</v>
      </c>
      <c r="B1351" s="27" t="s">
        <v>69</v>
      </c>
      <c r="C1351" s="24">
        <f t="shared" si="1337"/>
        <v>1336</v>
      </c>
      <c r="D1351" s="7">
        <f t="shared" ca="1" si="1356"/>
        <v>3.9813648954923195</v>
      </c>
      <c r="E1351" s="26">
        <f t="array" aca="1" ref="E1351" ca="1">AVERAGE(IF(INDIRECT(DatCol&amp;"$"&amp;TEXT(C1351,"###")):INDIRECT(DatCol&amp;"$"&amp;TEXT(C1351+57,"###"))&gt;0,INDIRECT(DatCol&amp;"$"&amp;TEXT(C1351,"###")):INDIRECT(DatCol&amp;"$"&amp;TEXT(C1351+57,"###"))))</f>
        <v>778.62745098039215</v>
      </c>
      <c r="F1351" s="26" t="str">
        <f t="shared" ref="F1351:F1417" si="1357">VLOOKUP(B1351,town_region,2,FALSE)</f>
        <v>B</v>
      </c>
      <c r="G1351" s="8"/>
      <c r="H1351" s="8">
        <v>10</v>
      </c>
      <c r="I1351" s="8">
        <v>111</v>
      </c>
      <c r="J1351" s="8">
        <v>1061</v>
      </c>
      <c r="K1351" s="9">
        <f t="shared" si="1315"/>
        <v>1071</v>
      </c>
      <c r="M1351" s="11">
        <f t="shared" si="1338"/>
        <v>0</v>
      </c>
      <c r="N1351" s="12">
        <v>3100</v>
      </c>
      <c r="O1351" s="11">
        <f t="shared" si="1339"/>
        <v>155000</v>
      </c>
      <c r="P1351" s="12">
        <v>520</v>
      </c>
      <c r="Q1351" s="11">
        <f t="shared" si="1340"/>
        <v>31200</v>
      </c>
      <c r="X1351" s="12">
        <v>950</v>
      </c>
      <c r="Y1351" s="11">
        <f t="shared" si="1341"/>
        <v>57000</v>
      </c>
      <c r="AG1351" s="11">
        <f t="shared" si="1342"/>
        <v>0</v>
      </c>
      <c r="AH1351" s="12">
        <v>275</v>
      </c>
      <c r="AI1351" s="11">
        <f t="shared" si="1343"/>
        <v>17875</v>
      </c>
      <c r="AJ1351" s="12">
        <v>6000</v>
      </c>
      <c r="AK1351" s="13">
        <f t="shared" si="1344"/>
        <v>54000</v>
      </c>
      <c r="AL1351" s="12">
        <v>1800</v>
      </c>
      <c r="AM1351" s="13">
        <f t="shared" si="1345"/>
        <v>16200</v>
      </c>
      <c r="AO1351" s="11">
        <f t="shared" si="1346"/>
        <v>0</v>
      </c>
      <c r="AQ1351" s="11">
        <f t="shared" si="1347"/>
        <v>0</v>
      </c>
      <c r="AS1351" s="11">
        <f t="shared" si="1348"/>
        <v>0</v>
      </c>
      <c r="AU1351" s="11">
        <f t="shared" si="1349"/>
        <v>0</v>
      </c>
      <c r="AW1351" s="11">
        <f t="shared" si="1350"/>
        <v>0</v>
      </c>
      <c r="AY1351" s="11">
        <f t="shared" si="1351"/>
        <v>0</v>
      </c>
      <c r="BA1351" s="11">
        <f t="shared" si="1352"/>
        <v>0</v>
      </c>
      <c r="BC1351" s="11">
        <f t="shared" si="1353"/>
        <v>0</v>
      </c>
      <c r="BE1351" s="11">
        <f t="shared" si="1354"/>
        <v>0</v>
      </c>
      <c r="BG1351" s="11">
        <f t="shared" si="1355"/>
        <v>0</v>
      </c>
      <c r="BN1351" s="8">
        <f t="shared" si="1313"/>
        <v>7470</v>
      </c>
      <c r="BO1351" s="8">
        <f t="shared" si="1314"/>
        <v>142200</v>
      </c>
      <c r="BP1351" s="8">
        <f t="shared" si="1334"/>
        <v>6125</v>
      </c>
      <c r="BQ1351" s="12">
        <f t="shared" si="1335"/>
        <v>246075</v>
      </c>
    </row>
    <row r="1352" spans="1:69">
      <c r="A1352" s="28">
        <v>1971</v>
      </c>
      <c r="B1352" s="27" t="s">
        <v>69</v>
      </c>
      <c r="C1352" s="24">
        <f t="shared" si="1337"/>
        <v>1336</v>
      </c>
      <c r="D1352" s="7">
        <f t="shared" ca="1" si="1356"/>
        <v>1.7466633089901789</v>
      </c>
      <c r="E1352" s="26">
        <f t="array" aca="1" ref="E1352" ca="1">AVERAGE(IF(INDIRECT(DatCol&amp;"$"&amp;TEXT(C1352,"###")):INDIRECT(DatCol&amp;"$"&amp;TEXT(C1352+57,"###"))&gt;0,INDIRECT(DatCol&amp;"$"&amp;TEXT(C1352,"###")):INDIRECT(DatCol&amp;"$"&amp;TEXT(C1352+57,"###"))))</f>
        <v>778.62745098039215</v>
      </c>
      <c r="F1352" s="26" t="str">
        <f t="shared" si="1357"/>
        <v>B</v>
      </c>
      <c r="G1352" s="8"/>
      <c r="H1352" s="8">
        <v>12</v>
      </c>
      <c r="I1352" s="8">
        <v>115</v>
      </c>
      <c r="J1352" s="8">
        <v>1006</v>
      </c>
      <c r="K1352" s="9">
        <f t="shared" si="1315"/>
        <v>1018</v>
      </c>
      <c r="M1352" s="11">
        <f t="shared" si="1338"/>
        <v>0</v>
      </c>
      <c r="N1352" s="12">
        <v>1360</v>
      </c>
      <c r="O1352" s="11">
        <f t="shared" si="1339"/>
        <v>68000</v>
      </c>
      <c r="P1352" s="12">
        <v>760</v>
      </c>
      <c r="Q1352" s="11">
        <f t="shared" si="1340"/>
        <v>45600</v>
      </c>
      <c r="X1352" s="12">
        <v>1120</v>
      </c>
      <c r="Y1352" s="11">
        <f t="shared" si="1341"/>
        <v>67200</v>
      </c>
      <c r="AG1352" s="11">
        <f t="shared" si="1342"/>
        <v>0</v>
      </c>
      <c r="AH1352" s="12">
        <v>320</v>
      </c>
      <c r="AI1352" s="11">
        <f t="shared" si="1343"/>
        <v>20800</v>
      </c>
      <c r="AJ1352" s="12">
        <v>16420</v>
      </c>
      <c r="AK1352" s="13">
        <f t="shared" si="1344"/>
        <v>147780</v>
      </c>
      <c r="AL1352" s="12">
        <v>2100</v>
      </c>
      <c r="AM1352" s="13">
        <f t="shared" si="1345"/>
        <v>18900</v>
      </c>
      <c r="AO1352" s="11">
        <f t="shared" si="1346"/>
        <v>0</v>
      </c>
      <c r="AQ1352" s="11">
        <f t="shared" si="1347"/>
        <v>0</v>
      </c>
      <c r="AS1352" s="11">
        <f t="shared" si="1348"/>
        <v>0</v>
      </c>
      <c r="AU1352" s="11">
        <f t="shared" si="1349"/>
        <v>0</v>
      </c>
      <c r="AW1352" s="11">
        <f t="shared" si="1350"/>
        <v>0</v>
      </c>
      <c r="AY1352" s="11">
        <f t="shared" si="1351"/>
        <v>0</v>
      </c>
      <c r="BA1352" s="11">
        <f t="shared" si="1352"/>
        <v>0</v>
      </c>
      <c r="BC1352" s="11">
        <f t="shared" si="1353"/>
        <v>0</v>
      </c>
      <c r="BE1352" s="11">
        <f t="shared" si="1354"/>
        <v>0</v>
      </c>
      <c r="BG1352" s="11">
        <f t="shared" si="1355"/>
        <v>0</v>
      </c>
      <c r="BN1352" s="8">
        <f t="shared" si="1313"/>
        <v>18300</v>
      </c>
      <c r="BO1352" s="8">
        <f t="shared" si="1314"/>
        <v>260580</v>
      </c>
      <c r="BP1352" s="8">
        <f t="shared" si="1334"/>
        <v>4900</v>
      </c>
      <c r="BQ1352" s="12">
        <f t="shared" si="1335"/>
        <v>174900</v>
      </c>
    </row>
    <row r="1353" spans="1:69">
      <c r="A1353" s="28">
        <v>1972</v>
      </c>
      <c r="B1353" s="27" t="s">
        <v>69</v>
      </c>
      <c r="C1353" s="24">
        <f t="shared" si="1337"/>
        <v>1336</v>
      </c>
      <c r="D1353" s="7">
        <f t="shared" ca="1" si="1356"/>
        <v>0.97607655502392343</v>
      </c>
      <c r="E1353" s="26">
        <f t="array" aca="1" ref="E1353" ca="1">AVERAGE(IF(INDIRECT(DatCol&amp;"$"&amp;TEXT(C1353,"###")):INDIRECT(DatCol&amp;"$"&amp;TEXT(C1353+57,"###"))&gt;0,INDIRECT(DatCol&amp;"$"&amp;TEXT(C1353,"###")):INDIRECT(DatCol&amp;"$"&amp;TEXT(C1353+57,"###"))))</f>
        <v>778.62745098039215</v>
      </c>
      <c r="F1353" s="26" t="str">
        <f t="shared" si="1357"/>
        <v>B</v>
      </c>
      <c r="G1353" s="8"/>
      <c r="H1353" s="8">
        <v>6</v>
      </c>
      <c r="I1353" s="8">
        <v>53</v>
      </c>
      <c r="J1353" s="8">
        <v>863</v>
      </c>
      <c r="K1353" s="9">
        <f t="shared" si="1315"/>
        <v>869</v>
      </c>
      <c r="M1353" s="11">
        <f t="shared" si="1338"/>
        <v>0</v>
      </c>
      <c r="N1353" s="12">
        <v>760</v>
      </c>
      <c r="O1353" s="11">
        <f t="shared" si="1339"/>
        <v>38000</v>
      </c>
      <c r="P1353" s="12">
        <v>980</v>
      </c>
      <c r="Q1353" s="11">
        <f t="shared" si="1340"/>
        <v>58800</v>
      </c>
      <c r="X1353" s="12">
        <v>1230</v>
      </c>
      <c r="Y1353" s="11">
        <f t="shared" si="1341"/>
        <v>73800</v>
      </c>
      <c r="AG1353" s="11">
        <f t="shared" si="1342"/>
        <v>0</v>
      </c>
      <c r="AH1353" s="12">
        <v>402</v>
      </c>
      <c r="AI1353" s="11">
        <f t="shared" si="1343"/>
        <v>26130</v>
      </c>
      <c r="AJ1353" s="12">
        <v>3200</v>
      </c>
      <c r="AK1353" s="13">
        <f t="shared" si="1344"/>
        <v>28800</v>
      </c>
      <c r="AL1353" s="12">
        <v>620</v>
      </c>
      <c r="AM1353" s="13">
        <f t="shared" si="1345"/>
        <v>5580</v>
      </c>
      <c r="AO1353" s="11">
        <f t="shared" si="1346"/>
        <v>0</v>
      </c>
      <c r="AQ1353" s="11">
        <f t="shared" si="1347"/>
        <v>0</v>
      </c>
      <c r="AS1353" s="11">
        <f t="shared" si="1348"/>
        <v>0</v>
      </c>
      <c r="AU1353" s="11">
        <f t="shared" si="1349"/>
        <v>0</v>
      </c>
      <c r="AW1353" s="11">
        <f t="shared" si="1350"/>
        <v>0</v>
      </c>
      <c r="AY1353" s="11">
        <f t="shared" si="1351"/>
        <v>0</v>
      </c>
      <c r="BA1353" s="11">
        <f t="shared" si="1352"/>
        <v>0</v>
      </c>
      <c r="BC1353" s="11">
        <f t="shared" si="1353"/>
        <v>0</v>
      </c>
      <c r="BE1353" s="11">
        <f t="shared" si="1354"/>
        <v>0</v>
      </c>
      <c r="BG1353" s="11">
        <f t="shared" si="1355"/>
        <v>0</v>
      </c>
      <c r="BN1353" s="8">
        <f t="shared" si="1313"/>
        <v>5410</v>
      </c>
      <c r="BO1353" s="8">
        <f t="shared" si="1314"/>
        <v>161400</v>
      </c>
      <c r="BP1353" s="8">
        <f t="shared" si="1334"/>
        <v>3012</v>
      </c>
      <c r="BQ1353" s="12">
        <f t="shared" si="1335"/>
        <v>143510</v>
      </c>
    </row>
    <row r="1354" spans="1:69">
      <c r="A1354" s="28">
        <v>1973</v>
      </c>
      <c r="B1354" s="27" t="s">
        <v>69</v>
      </c>
      <c r="C1354" s="24">
        <f t="shared" si="1337"/>
        <v>1336</v>
      </c>
      <c r="D1354" s="7">
        <f t="shared" ca="1" si="1356"/>
        <v>1.4384286074036767</v>
      </c>
      <c r="E1354" s="26">
        <f t="array" aca="1" ref="E1354" ca="1">AVERAGE(IF(INDIRECT(DatCol&amp;"$"&amp;TEXT(C1354,"###")):INDIRECT(DatCol&amp;"$"&amp;TEXT(C1354+57,"###"))&gt;0,INDIRECT(DatCol&amp;"$"&amp;TEXT(C1354,"###")):INDIRECT(DatCol&amp;"$"&amp;TEXT(C1354+57,"###"))))</f>
        <v>778.62745098039215</v>
      </c>
      <c r="F1354" s="26" t="str">
        <f t="shared" si="1357"/>
        <v>B</v>
      </c>
      <c r="G1354" s="8"/>
      <c r="H1354" s="8">
        <v>8</v>
      </c>
      <c r="I1354" s="8">
        <v>11</v>
      </c>
      <c r="J1354" s="8">
        <v>947</v>
      </c>
      <c r="K1354" s="9">
        <f t="shared" si="1315"/>
        <v>955</v>
      </c>
      <c r="M1354" s="11">
        <f t="shared" si="1338"/>
        <v>0</v>
      </c>
      <c r="N1354" s="12">
        <v>1120</v>
      </c>
      <c r="O1354" s="11">
        <f t="shared" si="1339"/>
        <v>56000</v>
      </c>
      <c r="P1354" s="12">
        <v>560</v>
      </c>
      <c r="Q1354" s="11">
        <f t="shared" si="1340"/>
        <v>33600</v>
      </c>
      <c r="X1354" s="12">
        <v>935</v>
      </c>
      <c r="Y1354" s="11">
        <f t="shared" si="1341"/>
        <v>56100</v>
      </c>
      <c r="AG1354" s="11">
        <f t="shared" si="1342"/>
        <v>0</v>
      </c>
      <c r="AH1354" s="12">
        <v>700</v>
      </c>
      <c r="AI1354" s="11">
        <f t="shared" si="1343"/>
        <v>45500</v>
      </c>
      <c r="AJ1354" s="12">
        <v>10</v>
      </c>
      <c r="AK1354" s="13">
        <f t="shared" si="1344"/>
        <v>90</v>
      </c>
      <c r="AL1354" s="12">
        <v>11</v>
      </c>
      <c r="AM1354" s="13">
        <f t="shared" si="1345"/>
        <v>99</v>
      </c>
      <c r="AO1354" s="11">
        <f t="shared" si="1346"/>
        <v>0</v>
      </c>
      <c r="AQ1354" s="11">
        <f t="shared" si="1347"/>
        <v>0</v>
      </c>
      <c r="AS1354" s="11">
        <f t="shared" si="1348"/>
        <v>0</v>
      </c>
      <c r="AU1354" s="11">
        <f t="shared" si="1349"/>
        <v>0</v>
      </c>
      <c r="AW1354" s="11">
        <f t="shared" si="1350"/>
        <v>0</v>
      </c>
      <c r="AY1354" s="11">
        <f t="shared" si="1351"/>
        <v>0</v>
      </c>
      <c r="BA1354" s="11">
        <f t="shared" si="1352"/>
        <v>0</v>
      </c>
      <c r="BC1354" s="11">
        <f t="shared" si="1353"/>
        <v>0</v>
      </c>
      <c r="BE1354" s="11">
        <f t="shared" si="1354"/>
        <v>0</v>
      </c>
      <c r="BG1354" s="11">
        <f t="shared" si="1355"/>
        <v>0</v>
      </c>
      <c r="BN1354" s="8">
        <f t="shared" si="1313"/>
        <v>1505</v>
      </c>
      <c r="BO1354" s="8">
        <f t="shared" si="1314"/>
        <v>89790</v>
      </c>
      <c r="BP1354" s="8">
        <f t="shared" si="1334"/>
        <v>2766</v>
      </c>
      <c r="BQ1354" s="12">
        <f t="shared" si="1335"/>
        <v>157699</v>
      </c>
    </row>
    <row r="1355" spans="1:69">
      <c r="A1355" s="28">
        <v>1974</v>
      </c>
      <c r="B1355" s="27" t="s">
        <v>69</v>
      </c>
      <c r="C1355" s="24">
        <f t="shared" si="1337"/>
        <v>1336</v>
      </c>
      <c r="D1355" s="7">
        <f t="shared" ca="1" si="1356"/>
        <v>1.1815663560815914</v>
      </c>
      <c r="E1355" s="26">
        <f t="array" aca="1" ref="E1355" ca="1">AVERAGE(IF(INDIRECT(DatCol&amp;"$"&amp;TEXT(C1355,"###")):INDIRECT(DatCol&amp;"$"&amp;TEXT(C1355+57,"###"))&gt;0,INDIRECT(DatCol&amp;"$"&amp;TEXT(C1355,"###")):INDIRECT(DatCol&amp;"$"&amp;TEXT(C1355+57,"###"))))</f>
        <v>778.62745098039215</v>
      </c>
      <c r="F1355" s="26" t="str">
        <f t="shared" si="1357"/>
        <v>B</v>
      </c>
      <c r="G1355" s="8"/>
      <c r="H1355" s="8">
        <v>17</v>
      </c>
      <c r="I1355" s="8">
        <v>10</v>
      </c>
      <c r="J1355" s="8">
        <v>954</v>
      </c>
      <c r="K1355" s="9">
        <f t="shared" si="1315"/>
        <v>971</v>
      </c>
      <c r="M1355" s="11">
        <f t="shared" si="1338"/>
        <v>0</v>
      </c>
      <c r="N1355" s="12">
        <v>920</v>
      </c>
      <c r="O1355" s="11">
        <f t="shared" si="1339"/>
        <v>46000</v>
      </c>
      <c r="P1355" s="12">
        <v>780</v>
      </c>
      <c r="Q1355" s="11">
        <f t="shared" si="1340"/>
        <v>46800</v>
      </c>
      <c r="X1355" s="12">
        <v>981</v>
      </c>
      <c r="Y1355" s="11">
        <f t="shared" si="1341"/>
        <v>58860</v>
      </c>
      <c r="AG1355" s="11">
        <f t="shared" si="1342"/>
        <v>0</v>
      </c>
      <c r="AH1355" s="12">
        <v>650</v>
      </c>
      <c r="AI1355" s="11">
        <f t="shared" si="1343"/>
        <v>42250</v>
      </c>
      <c r="AJ1355" s="12">
        <v>0</v>
      </c>
      <c r="AK1355" s="13">
        <f t="shared" si="1344"/>
        <v>0</v>
      </c>
      <c r="AL1355" s="12">
        <v>2</v>
      </c>
      <c r="AM1355" s="13">
        <f t="shared" si="1345"/>
        <v>18</v>
      </c>
      <c r="AO1355" s="11">
        <f t="shared" si="1346"/>
        <v>0</v>
      </c>
      <c r="AQ1355" s="11">
        <f t="shared" si="1347"/>
        <v>0</v>
      </c>
      <c r="AS1355" s="11">
        <f t="shared" si="1348"/>
        <v>0</v>
      </c>
      <c r="AU1355" s="11">
        <f t="shared" si="1349"/>
        <v>0</v>
      </c>
      <c r="AW1355" s="11">
        <f t="shared" si="1350"/>
        <v>0</v>
      </c>
      <c r="AY1355" s="11">
        <f t="shared" si="1351"/>
        <v>0</v>
      </c>
      <c r="BA1355" s="11">
        <f t="shared" si="1352"/>
        <v>0</v>
      </c>
      <c r="BC1355" s="11">
        <f t="shared" si="1353"/>
        <v>0</v>
      </c>
      <c r="BE1355" s="11">
        <f t="shared" si="1354"/>
        <v>0</v>
      </c>
      <c r="BG1355" s="11">
        <f t="shared" si="1355"/>
        <v>0</v>
      </c>
      <c r="BN1355" s="8">
        <f t="shared" si="1313"/>
        <v>1761</v>
      </c>
      <c r="BO1355" s="8">
        <f t="shared" si="1314"/>
        <v>105660</v>
      </c>
      <c r="BP1355" s="8">
        <f t="shared" si="1334"/>
        <v>2553</v>
      </c>
      <c r="BQ1355" s="12">
        <f t="shared" si="1335"/>
        <v>147128</v>
      </c>
    </row>
    <row r="1356" spans="1:69">
      <c r="A1356" s="28">
        <v>1975</v>
      </c>
      <c r="B1356" s="27" t="s">
        <v>69</v>
      </c>
      <c r="C1356" s="24">
        <f t="shared" si="1337"/>
        <v>1336</v>
      </c>
      <c r="D1356" s="7" t="e">
        <f t="shared" ca="1" si="1356"/>
        <v>#N/A</v>
      </c>
      <c r="E1356" s="26">
        <f t="array" aca="1" ref="E1356" ca="1">AVERAGE(IF(INDIRECT(DatCol&amp;"$"&amp;TEXT(C1356,"###")):INDIRECT(DatCol&amp;"$"&amp;TEXT(C1356+57,"###"))&gt;0,INDIRECT(DatCol&amp;"$"&amp;TEXT(C1356,"###")):INDIRECT(DatCol&amp;"$"&amp;TEXT(C1356+57,"###"))))</f>
        <v>778.62745098039215</v>
      </c>
      <c r="F1356" s="26" t="str">
        <f t="shared" si="1357"/>
        <v>B</v>
      </c>
      <c r="G1356" s="8"/>
      <c r="H1356" s="8">
        <v>4</v>
      </c>
      <c r="I1356" s="8">
        <v>29</v>
      </c>
      <c r="J1356" s="8">
        <v>589</v>
      </c>
      <c r="K1356" s="9">
        <f t="shared" si="1315"/>
        <v>593</v>
      </c>
      <c r="M1356" s="11">
        <f t="shared" ref="M1356:M1371" si="1358">(L1356*50)</f>
        <v>0</v>
      </c>
      <c r="N1356" s="12">
        <v>0</v>
      </c>
      <c r="O1356" s="11">
        <f t="shared" ref="O1356:O1371" si="1359">(N1356*50)</f>
        <v>0</v>
      </c>
      <c r="P1356" s="12">
        <v>1235</v>
      </c>
      <c r="Q1356" s="11">
        <f t="shared" ref="Q1356:Q1371" si="1360">((P1356*330)/5.5)</f>
        <v>74100</v>
      </c>
      <c r="X1356" s="12">
        <v>1130</v>
      </c>
      <c r="Y1356" s="11">
        <f t="shared" ref="Y1356:Y1371" si="1361">((X1356*330)/5.5)</f>
        <v>67800</v>
      </c>
      <c r="AG1356" s="11">
        <f t="shared" ref="AG1356:AG1371" si="1362">(AF1356*65)</f>
        <v>0</v>
      </c>
      <c r="AH1356" s="12">
        <v>980</v>
      </c>
      <c r="AI1356" s="11">
        <f t="shared" ref="AI1356:AI1371" si="1363">(AH1356*65)</f>
        <v>63700</v>
      </c>
      <c r="AJ1356" s="12">
        <v>0</v>
      </c>
      <c r="AK1356" s="13">
        <f t="shared" ref="AK1356:AK1371" si="1364">(AJ1356*9)</f>
        <v>0</v>
      </c>
      <c r="AL1356" s="12">
        <v>2</v>
      </c>
      <c r="AM1356" s="13">
        <f t="shared" ref="AM1356:AM1371" si="1365">(AL1356*9)</f>
        <v>18</v>
      </c>
      <c r="AO1356" s="11">
        <f t="shared" ref="AO1356:AO1371" si="1366">(AN1356*80)</f>
        <v>0</v>
      </c>
      <c r="AQ1356" s="11">
        <f t="shared" ref="AQ1356:AQ1371" si="1367">(AP1356*80)</f>
        <v>0</v>
      </c>
      <c r="AS1356" s="11">
        <f t="shared" ref="AS1356:AS1371" si="1368">(AR1356*50)</f>
        <v>0</v>
      </c>
      <c r="AU1356" s="11">
        <f t="shared" ref="AU1356:AU1371" si="1369">(AT1356*50)</f>
        <v>0</v>
      </c>
      <c r="AW1356" s="11">
        <f t="shared" ref="AW1356:AW1371" si="1370">(AV1356*60)</f>
        <v>0</v>
      </c>
      <c r="AY1356" s="11">
        <f t="shared" ref="AY1356:AY1371" si="1371">(AX1356*60)</f>
        <v>0</v>
      </c>
      <c r="BA1356" s="11">
        <f t="shared" ref="BA1356:BA1371" si="1372">(AZ1356*40)</f>
        <v>0</v>
      </c>
      <c r="BC1356" s="11">
        <f t="shared" ref="BC1356:BC1371" si="1373">(BB1356*40)</f>
        <v>0</v>
      </c>
      <c r="BE1356" s="11">
        <f t="shared" ref="BE1356:BE1371" si="1374">(BD1356*95)</f>
        <v>0</v>
      </c>
      <c r="BG1356" s="11">
        <f t="shared" ref="BG1356:BG1371" si="1375">(BF1356*95)</f>
        <v>0</v>
      </c>
      <c r="BN1356" s="8">
        <f t="shared" si="1313"/>
        <v>2365</v>
      </c>
      <c r="BO1356" s="8">
        <f t="shared" si="1314"/>
        <v>141900</v>
      </c>
      <c r="BP1356" s="8">
        <f t="shared" si="1334"/>
        <v>2112</v>
      </c>
      <c r="BQ1356" s="12">
        <f t="shared" si="1335"/>
        <v>131518</v>
      </c>
    </row>
    <row r="1357" spans="1:69">
      <c r="A1357" s="28">
        <v>1976</v>
      </c>
      <c r="B1357" s="27" t="s">
        <v>69</v>
      </c>
      <c r="C1357" s="24">
        <f t="shared" si="1337"/>
        <v>1336</v>
      </c>
      <c r="D1357" s="7">
        <f t="shared" ca="1" si="1356"/>
        <v>0.28254847645429365</v>
      </c>
      <c r="E1357" s="26">
        <f t="array" aca="1" ref="E1357" ca="1">AVERAGE(IF(INDIRECT(DatCol&amp;"$"&amp;TEXT(C1357,"###")):INDIRECT(DatCol&amp;"$"&amp;TEXT(C1357+57,"###"))&gt;0,INDIRECT(DatCol&amp;"$"&amp;TEXT(C1357,"###")):INDIRECT(DatCol&amp;"$"&amp;TEXT(C1357+57,"###"))))</f>
        <v>778.62745098039215</v>
      </c>
      <c r="F1357" s="26" t="str">
        <f t="shared" si="1357"/>
        <v>B</v>
      </c>
      <c r="G1357" s="8"/>
      <c r="H1357" s="8">
        <v>9</v>
      </c>
      <c r="I1357" s="8">
        <v>11</v>
      </c>
      <c r="J1357" s="8">
        <v>874</v>
      </c>
      <c r="K1357" s="9">
        <f t="shared" si="1315"/>
        <v>883</v>
      </c>
      <c r="M1357" s="11">
        <f t="shared" si="1358"/>
        <v>0</v>
      </c>
      <c r="N1357" s="12">
        <v>220</v>
      </c>
      <c r="O1357" s="11">
        <f t="shared" si="1359"/>
        <v>11000</v>
      </c>
      <c r="P1357" s="12">
        <v>200</v>
      </c>
      <c r="Q1357" s="11">
        <f t="shared" si="1360"/>
        <v>12000</v>
      </c>
      <c r="X1357" s="12">
        <v>415</v>
      </c>
      <c r="Y1357" s="11">
        <f t="shared" si="1361"/>
        <v>24900</v>
      </c>
      <c r="AG1357" s="11">
        <f t="shared" si="1362"/>
        <v>0</v>
      </c>
      <c r="AH1357" s="12">
        <v>320</v>
      </c>
      <c r="AI1357" s="11">
        <f t="shared" si="1363"/>
        <v>20800</v>
      </c>
      <c r="AJ1357" s="12">
        <v>0</v>
      </c>
      <c r="AK1357" s="13">
        <f t="shared" si="1364"/>
        <v>0</v>
      </c>
      <c r="AL1357" s="12">
        <v>0</v>
      </c>
      <c r="AM1357" s="13">
        <f t="shared" si="1365"/>
        <v>0</v>
      </c>
      <c r="AO1357" s="11">
        <f t="shared" si="1366"/>
        <v>0</v>
      </c>
      <c r="AQ1357" s="11">
        <f t="shared" si="1367"/>
        <v>0</v>
      </c>
      <c r="AS1357" s="11">
        <f t="shared" si="1368"/>
        <v>0</v>
      </c>
      <c r="AU1357" s="11">
        <f t="shared" si="1369"/>
        <v>0</v>
      </c>
      <c r="AW1357" s="11">
        <f t="shared" si="1370"/>
        <v>0</v>
      </c>
      <c r="AY1357" s="11">
        <f t="shared" si="1371"/>
        <v>0</v>
      </c>
      <c r="BA1357" s="11">
        <f t="shared" si="1372"/>
        <v>0</v>
      </c>
      <c r="BC1357" s="11">
        <f t="shared" si="1373"/>
        <v>0</v>
      </c>
      <c r="BE1357" s="11">
        <f t="shared" si="1374"/>
        <v>0</v>
      </c>
      <c r="BG1357" s="11">
        <f t="shared" si="1375"/>
        <v>0</v>
      </c>
      <c r="BN1357" s="8">
        <f t="shared" si="1313"/>
        <v>615</v>
      </c>
      <c r="BO1357" s="8">
        <f t="shared" si="1314"/>
        <v>36900</v>
      </c>
      <c r="BP1357" s="8">
        <f t="shared" si="1334"/>
        <v>955</v>
      </c>
      <c r="BQ1357" s="12">
        <f t="shared" si="1335"/>
        <v>56700</v>
      </c>
    </row>
    <row r="1358" spans="1:69">
      <c r="A1358" s="28">
        <v>1977</v>
      </c>
      <c r="B1358" s="27" t="s">
        <v>69</v>
      </c>
      <c r="C1358" s="24">
        <f t="shared" si="1337"/>
        <v>1336</v>
      </c>
      <c r="D1358" s="7">
        <f t="shared" ca="1" si="1356"/>
        <v>0.19778393351800555</v>
      </c>
      <c r="E1358" s="26">
        <f t="array" aca="1" ref="E1358" ca="1">AVERAGE(IF(INDIRECT(DatCol&amp;"$"&amp;TEXT(C1358,"###")):INDIRECT(DatCol&amp;"$"&amp;TEXT(C1358+57,"###"))&gt;0,INDIRECT(DatCol&amp;"$"&amp;TEXT(C1358,"###")):INDIRECT(DatCol&amp;"$"&amp;TEXT(C1358+57,"###"))))</f>
        <v>778.62745098039215</v>
      </c>
      <c r="F1358" s="26" t="str">
        <f t="shared" si="1357"/>
        <v>B</v>
      </c>
      <c r="G1358" s="8"/>
      <c r="H1358" s="8">
        <v>12</v>
      </c>
      <c r="I1358" s="8">
        <v>13</v>
      </c>
      <c r="J1358" s="8">
        <v>765</v>
      </c>
      <c r="K1358" s="9">
        <f t="shared" si="1315"/>
        <v>777</v>
      </c>
      <c r="M1358" s="11">
        <f t="shared" si="1358"/>
        <v>0</v>
      </c>
      <c r="N1358" s="12">
        <v>154</v>
      </c>
      <c r="O1358" s="11">
        <f t="shared" si="1359"/>
        <v>7700</v>
      </c>
      <c r="P1358" s="12">
        <v>189</v>
      </c>
      <c r="Q1358" s="11">
        <f t="shared" si="1360"/>
        <v>11340</v>
      </c>
      <c r="X1358" s="12">
        <v>223</v>
      </c>
      <c r="Y1358" s="11">
        <f t="shared" si="1361"/>
        <v>13380</v>
      </c>
      <c r="AG1358" s="11">
        <f t="shared" si="1362"/>
        <v>0</v>
      </c>
      <c r="AH1358" s="12">
        <v>112</v>
      </c>
      <c r="AI1358" s="11">
        <f t="shared" si="1363"/>
        <v>7280</v>
      </c>
      <c r="AK1358" s="13">
        <f t="shared" si="1364"/>
        <v>0</v>
      </c>
      <c r="AL1358" s="12">
        <v>5</v>
      </c>
      <c r="AM1358" s="13">
        <f t="shared" si="1365"/>
        <v>45</v>
      </c>
      <c r="AO1358" s="11">
        <f t="shared" si="1366"/>
        <v>0</v>
      </c>
      <c r="AQ1358" s="11">
        <f t="shared" si="1367"/>
        <v>0</v>
      </c>
      <c r="AS1358" s="11">
        <f t="shared" si="1368"/>
        <v>0</v>
      </c>
      <c r="AU1358" s="11">
        <f t="shared" si="1369"/>
        <v>0</v>
      </c>
      <c r="AW1358" s="11">
        <f t="shared" si="1370"/>
        <v>0</v>
      </c>
      <c r="AY1358" s="11">
        <f t="shared" si="1371"/>
        <v>0</v>
      </c>
      <c r="BA1358" s="11">
        <f t="shared" si="1372"/>
        <v>0</v>
      </c>
      <c r="BC1358" s="11">
        <f t="shared" si="1373"/>
        <v>0</v>
      </c>
      <c r="BE1358" s="11">
        <f t="shared" si="1374"/>
        <v>0</v>
      </c>
      <c r="BG1358" s="11">
        <f t="shared" si="1375"/>
        <v>0</v>
      </c>
      <c r="BN1358" s="8">
        <f t="shared" si="1313"/>
        <v>412</v>
      </c>
      <c r="BO1358" s="8">
        <f t="shared" si="1314"/>
        <v>24720</v>
      </c>
      <c r="BP1358" s="8">
        <f t="shared" si="1334"/>
        <v>494</v>
      </c>
      <c r="BQ1358" s="12">
        <f t="shared" si="1335"/>
        <v>28405</v>
      </c>
    </row>
    <row r="1359" spans="1:69">
      <c r="A1359" s="28">
        <v>1978</v>
      </c>
      <c r="B1359" s="27" t="s">
        <v>69</v>
      </c>
      <c r="C1359" s="24">
        <f t="shared" si="1337"/>
        <v>1336</v>
      </c>
      <c r="D1359" s="7">
        <f t="shared" ca="1" si="1356"/>
        <v>4.4950893981364898E-2</v>
      </c>
      <c r="E1359" s="26">
        <f t="array" aca="1" ref="E1359" ca="1">AVERAGE(IF(INDIRECT(DatCol&amp;"$"&amp;TEXT(C1359,"###")):INDIRECT(DatCol&amp;"$"&amp;TEXT(C1359+57,"###"))&gt;0,INDIRECT(DatCol&amp;"$"&amp;TEXT(C1359,"###")):INDIRECT(DatCol&amp;"$"&amp;TEXT(C1359+57,"###"))))</f>
        <v>778.62745098039215</v>
      </c>
      <c r="F1359" s="26" t="str">
        <f t="shared" si="1357"/>
        <v>B</v>
      </c>
      <c r="G1359" s="8"/>
      <c r="H1359" s="8">
        <v>11</v>
      </c>
      <c r="I1359" s="8">
        <v>264</v>
      </c>
      <c r="J1359" s="8">
        <v>773</v>
      </c>
      <c r="K1359" s="9">
        <f t="shared" si="1315"/>
        <v>784</v>
      </c>
      <c r="M1359" s="11">
        <f t="shared" si="1358"/>
        <v>0</v>
      </c>
      <c r="N1359" s="12">
        <v>35</v>
      </c>
      <c r="O1359" s="11">
        <f t="shared" si="1359"/>
        <v>1750</v>
      </c>
      <c r="P1359" s="12">
        <v>2050</v>
      </c>
      <c r="Q1359" s="11">
        <f t="shared" si="1360"/>
        <v>123000</v>
      </c>
      <c r="X1359" s="12">
        <v>400</v>
      </c>
      <c r="Y1359" s="11">
        <f t="shared" si="1361"/>
        <v>24000</v>
      </c>
      <c r="AG1359" s="11">
        <f t="shared" si="1362"/>
        <v>0</v>
      </c>
      <c r="AH1359" s="12">
        <v>250</v>
      </c>
      <c r="AI1359" s="11">
        <f t="shared" si="1363"/>
        <v>16250</v>
      </c>
      <c r="AJ1359" s="12">
        <v>12200</v>
      </c>
      <c r="AK1359" s="13">
        <f t="shared" si="1364"/>
        <v>109800</v>
      </c>
      <c r="AL1359" s="12">
        <v>700</v>
      </c>
      <c r="AM1359" s="13">
        <f t="shared" si="1365"/>
        <v>6300</v>
      </c>
      <c r="AO1359" s="11">
        <f t="shared" si="1366"/>
        <v>0</v>
      </c>
      <c r="AQ1359" s="11">
        <f t="shared" si="1367"/>
        <v>0</v>
      </c>
      <c r="AS1359" s="11">
        <f t="shared" si="1368"/>
        <v>0</v>
      </c>
      <c r="AU1359" s="11">
        <f t="shared" si="1369"/>
        <v>0</v>
      </c>
      <c r="AV1359" s="12">
        <v>60</v>
      </c>
      <c r="AW1359" s="11">
        <f t="shared" si="1370"/>
        <v>3600</v>
      </c>
      <c r="AY1359" s="11">
        <f t="shared" si="1371"/>
        <v>0</v>
      </c>
      <c r="BA1359" s="11">
        <f t="shared" si="1372"/>
        <v>0</v>
      </c>
      <c r="BC1359" s="11">
        <f t="shared" si="1373"/>
        <v>0</v>
      </c>
      <c r="BE1359" s="11">
        <f t="shared" si="1374"/>
        <v>0</v>
      </c>
      <c r="BG1359" s="11">
        <f t="shared" si="1375"/>
        <v>0</v>
      </c>
      <c r="BN1359" s="8">
        <f t="shared" si="1313"/>
        <v>14710</v>
      </c>
      <c r="BO1359" s="8">
        <f t="shared" si="1314"/>
        <v>260400</v>
      </c>
      <c r="BP1359" s="8">
        <f t="shared" si="1334"/>
        <v>1385</v>
      </c>
      <c r="BQ1359" s="12">
        <f t="shared" si="1335"/>
        <v>48300</v>
      </c>
    </row>
    <row r="1360" spans="1:69">
      <c r="A1360" s="28">
        <v>1979</v>
      </c>
      <c r="B1360" s="27" t="s">
        <v>69</v>
      </c>
      <c r="C1360" s="24">
        <f t="shared" si="1337"/>
        <v>1336</v>
      </c>
      <c r="D1360" s="7">
        <f t="shared" ca="1" si="1356"/>
        <v>6.4215562830521281E-2</v>
      </c>
      <c r="E1360" s="26">
        <f t="array" aca="1" ref="E1360" ca="1">AVERAGE(IF(INDIRECT(DatCol&amp;"$"&amp;TEXT(C1360,"###")):INDIRECT(DatCol&amp;"$"&amp;TEXT(C1360+57,"###"))&gt;0,INDIRECT(DatCol&amp;"$"&amp;TEXT(C1360,"###")):INDIRECT(DatCol&amp;"$"&amp;TEXT(C1360+57,"###"))))</f>
        <v>778.62745098039215</v>
      </c>
      <c r="F1360" s="26" t="str">
        <f t="shared" si="1357"/>
        <v>B</v>
      </c>
      <c r="G1360" s="8"/>
      <c r="H1360" s="8">
        <v>28</v>
      </c>
      <c r="I1360" s="8">
        <v>106</v>
      </c>
      <c r="J1360" s="8">
        <v>938</v>
      </c>
      <c r="K1360" s="9">
        <f t="shared" si="1315"/>
        <v>966</v>
      </c>
      <c r="M1360" s="11">
        <f t="shared" si="1358"/>
        <v>0</v>
      </c>
      <c r="N1360" s="12">
        <v>50</v>
      </c>
      <c r="O1360" s="11">
        <f t="shared" si="1359"/>
        <v>2500</v>
      </c>
      <c r="P1360" s="12">
        <v>555</v>
      </c>
      <c r="Q1360" s="11">
        <f t="shared" si="1360"/>
        <v>33300</v>
      </c>
      <c r="X1360" s="12">
        <v>550</v>
      </c>
      <c r="Y1360" s="11">
        <f t="shared" si="1361"/>
        <v>33000</v>
      </c>
      <c r="AG1360" s="11">
        <f t="shared" si="1362"/>
        <v>0</v>
      </c>
      <c r="AH1360" s="12">
        <v>400</v>
      </c>
      <c r="AI1360" s="11">
        <f t="shared" si="1363"/>
        <v>26000</v>
      </c>
      <c r="AJ1360" s="12">
        <v>658</v>
      </c>
      <c r="AK1360" s="13">
        <f t="shared" si="1364"/>
        <v>5922</v>
      </c>
      <c r="AL1360" s="12">
        <v>100</v>
      </c>
      <c r="AM1360" s="13">
        <f t="shared" si="1365"/>
        <v>900</v>
      </c>
      <c r="AO1360" s="11">
        <f t="shared" si="1366"/>
        <v>0</v>
      </c>
      <c r="AQ1360" s="11">
        <f t="shared" si="1367"/>
        <v>0</v>
      </c>
      <c r="AS1360" s="11">
        <f t="shared" si="1368"/>
        <v>0</v>
      </c>
      <c r="AU1360" s="11">
        <f t="shared" si="1369"/>
        <v>0</v>
      </c>
      <c r="AW1360" s="11">
        <f t="shared" si="1370"/>
        <v>0</v>
      </c>
      <c r="AY1360" s="11">
        <f t="shared" si="1371"/>
        <v>0</v>
      </c>
      <c r="BA1360" s="11">
        <f t="shared" si="1372"/>
        <v>0</v>
      </c>
      <c r="BC1360" s="11">
        <f t="shared" si="1373"/>
        <v>0</v>
      </c>
      <c r="BE1360" s="11">
        <f t="shared" si="1374"/>
        <v>0</v>
      </c>
      <c r="BG1360" s="11">
        <f t="shared" si="1375"/>
        <v>0</v>
      </c>
      <c r="BN1360" s="8">
        <f t="shared" si="1313"/>
        <v>1763</v>
      </c>
      <c r="BO1360" s="8">
        <f t="shared" si="1314"/>
        <v>72222</v>
      </c>
      <c r="BP1360" s="8">
        <f t="shared" si="1334"/>
        <v>1100</v>
      </c>
      <c r="BQ1360" s="12">
        <f t="shared" si="1335"/>
        <v>62400</v>
      </c>
    </row>
    <row r="1361" spans="1:69">
      <c r="A1361" s="28">
        <v>1980</v>
      </c>
      <c r="B1361" s="27" t="s">
        <v>69</v>
      </c>
      <c r="C1361" s="24">
        <f t="shared" si="1337"/>
        <v>1336</v>
      </c>
      <c r="D1361" s="7">
        <f t="shared" ca="1" si="1356"/>
        <v>0.14127423822714683</v>
      </c>
      <c r="E1361" s="26">
        <f t="array" aca="1" ref="E1361" ca="1">AVERAGE(IF(INDIRECT(DatCol&amp;"$"&amp;TEXT(C1361,"###")):INDIRECT(DatCol&amp;"$"&amp;TEXT(C1361+57,"###"))&gt;0,INDIRECT(DatCol&amp;"$"&amp;TEXT(C1361,"###")):INDIRECT(DatCol&amp;"$"&amp;TEXT(C1361+57,"###"))))</f>
        <v>778.62745098039215</v>
      </c>
      <c r="F1361" s="26" t="str">
        <f t="shared" si="1357"/>
        <v>B</v>
      </c>
      <c r="G1361" s="8"/>
      <c r="H1361" s="8">
        <v>35</v>
      </c>
      <c r="I1361" s="8">
        <v>43</v>
      </c>
      <c r="J1361" s="8">
        <v>877</v>
      </c>
      <c r="K1361" s="9">
        <f t="shared" si="1315"/>
        <v>912</v>
      </c>
      <c r="M1361" s="11">
        <f t="shared" si="1358"/>
        <v>0</v>
      </c>
      <c r="N1361" s="12">
        <v>110</v>
      </c>
      <c r="O1361" s="11">
        <f t="shared" si="1359"/>
        <v>5500</v>
      </c>
      <c r="P1361" s="12">
        <v>1660</v>
      </c>
      <c r="Q1361" s="11">
        <f t="shared" si="1360"/>
        <v>99600</v>
      </c>
      <c r="X1361" s="12">
        <v>650</v>
      </c>
      <c r="Y1361" s="11">
        <f t="shared" si="1361"/>
        <v>39000</v>
      </c>
      <c r="AF1361" s="12">
        <v>40</v>
      </c>
      <c r="AG1361" s="11">
        <f t="shared" si="1362"/>
        <v>2600</v>
      </c>
      <c r="AH1361" s="12">
        <v>430</v>
      </c>
      <c r="AI1361" s="11">
        <f t="shared" si="1363"/>
        <v>27950</v>
      </c>
      <c r="AJ1361" s="12">
        <v>25</v>
      </c>
      <c r="AK1361" s="13">
        <f t="shared" si="1364"/>
        <v>225</v>
      </c>
      <c r="AL1361" s="12">
        <v>20</v>
      </c>
      <c r="AM1361" s="13">
        <f t="shared" si="1365"/>
        <v>180</v>
      </c>
      <c r="AO1361" s="11">
        <f t="shared" si="1366"/>
        <v>0</v>
      </c>
      <c r="AQ1361" s="11">
        <f t="shared" si="1367"/>
        <v>0</v>
      </c>
      <c r="AS1361" s="11">
        <f t="shared" si="1368"/>
        <v>0</v>
      </c>
      <c r="AU1361" s="11">
        <f t="shared" si="1369"/>
        <v>0</v>
      </c>
      <c r="AW1361" s="11">
        <f t="shared" si="1370"/>
        <v>0</v>
      </c>
      <c r="AY1361" s="11">
        <f t="shared" si="1371"/>
        <v>0</v>
      </c>
      <c r="BA1361" s="11">
        <f t="shared" si="1372"/>
        <v>0</v>
      </c>
      <c r="BC1361" s="11">
        <f t="shared" si="1373"/>
        <v>0</v>
      </c>
      <c r="BE1361" s="11">
        <f t="shared" si="1374"/>
        <v>0</v>
      </c>
      <c r="BG1361" s="11">
        <f t="shared" si="1375"/>
        <v>0</v>
      </c>
      <c r="BN1361" s="8">
        <f t="shared" si="1313"/>
        <v>2375</v>
      </c>
      <c r="BO1361" s="8">
        <f t="shared" si="1314"/>
        <v>141425</v>
      </c>
      <c r="BP1361" s="8">
        <f t="shared" si="1334"/>
        <v>1210</v>
      </c>
      <c r="BQ1361" s="12">
        <f t="shared" si="1335"/>
        <v>72630</v>
      </c>
    </row>
    <row r="1362" spans="1:69">
      <c r="A1362" s="28">
        <v>1981</v>
      </c>
      <c r="B1362" s="27" t="s">
        <v>69</v>
      </c>
      <c r="C1362" s="24">
        <f t="shared" si="1337"/>
        <v>1336</v>
      </c>
      <c r="D1362" s="7">
        <f t="shared" ca="1" si="1356"/>
        <v>0.14127423822714683</v>
      </c>
      <c r="E1362" s="26">
        <f t="array" aca="1" ref="E1362" ca="1">AVERAGE(IF(INDIRECT(DatCol&amp;"$"&amp;TEXT(C1362,"###")):INDIRECT(DatCol&amp;"$"&amp;TEXT(C1362+57,"###"))&gt;0,INDIRECT(DatCol&amp;"$"&amp;TEXT(C1362,"###")):INDIRECT(DatCol&amp;"$"&amp;TEXT(C1362+57,"###"))))</f>
        <v>778.62745098039215</v>
      </c>
      <c r="F1362" s="26" t="str">
        <f t="shared" si="1357"/>
        <v>B</v>
      </c>
      <c r="G1362" s="8"/>
      <c r="H1362" s="8">
        <v>32</v>
      </c>
      <c r="I1362" s="8">
        <v>48</v>
      </c>
      <c r="J1362" s="8">
        <v>840</v>
      </c>
      <c r="K1362" s="9">
        <f t="shared" si="1315"/>
        <v>872</v>
      </c>
      <c r="M1362" s="11">
        <f t="shared" si="1358"/>
        <v>0</v>
      </c>
      <c r="N1362" s="12">
        <v>110</v>
      </c>
      <c r="O1362" s="11">
        <f t="shared" si="1359"/>
        <v>5500</v>
      </c>
      <c r="P1362" s="12">
        <v>623</v>
      </c>
      <c r="Q1362" s="11">
        <f t="shared" si="1360"/>
        <v>37380</v>
      </c>
      <c r="X1362" s="12">
        <v>300</v>
      </c>
      <c r="Y1362" s="11">
        <f t="shared" si="1361"/>
        <v>18000</v>
      </c>
      <c r="AG1362" s="11">
        <f t="shared" si="1362"/>
        <v>0</v>
      </c>
      <c r="AH1362" s="12">
        <v>200</v>
      </c>
      <c r="AI1362" s="11">
        <f t="shared" si="1363"/>
        <v>13000</v>
      </c>
      <c r="AJ1362" s="12">
        <v>88</v>
      </c>
      <c r="AK1362" s="13">
        <f t="shared" si="1364"/>
        <v>792</v>
      </c>
      <c r="AL1362" s="12">
        <v>15</v>
      </c>
      <c r="AM1362" s="13">
        <f t="shared" si="1365"/>
        <v>135</v>
      </c>
      <c r="AO1362" s="11">
        <f t="shared" si="1366"/>
        <v>0</v>
      </c>
      <c r="AQ1362" s="11">
        <f t="shared" si="1367"/>
        <v>0</v>
      </c>
      <c r="AS1362" s="11">
        <f t="shared" si="1368"/>
        <v>0</v>
      </c>
      <c r="AU1362" s="11">
        <f t="shared" si="1369"/>
        <v>0</v>
      </c>
      <c r="AW1362" s="11">
        <f t="shared" si="1370"/>
        <v>0</v>
      </c>
      <c r="AY1362" s="11">
        <f t="shared" si="1371"/>
        <v>0</v>
      </c>
      <c r="BA1362" s="11">
        <f t="shared" si="1372"/>
        <v>0</v>
      </c>
      <c r="BC1362" s="11">
        <f t="shared" si="1373"/>
        <v>0</v>
      </c>
      <c r="BE1362" s="11">
        <f t="shared" si="1374"/>
        <v>0</v>
      </c>
      <c r="BG1362" s="11">
        <f t="shared" si="1375"/>
        <v>0</v>
      </c>
      <c r="BN1362" s="8">
        <f t="shared" si="1313"/>
        <v>1011</v>
      </c>
      <c r="BO1362" s="8">
        <f t="shared" si="1314"/>
        <v>56172</v>
      </c>
      <c r="BP1362" s="8">
        <f t="shared" si="1334"/>
        <v>625</v>
      </c>
      <c r="BQ1362" s="12">
        <f t="shared" si="1335"/>
        <v>36635</v>
      </c>
    </row>
    <row r="1363" spans="1:69">
      <c r="A1363" s="28">
        <v>1982</v>
      </c>
      <c r="B1363" s="27" t="s">
        <v>69</v>
      </c>
      <c r="C1363" s="24">
        <f t="shared" si="1337"/>
        <v>1336</v>
      </c>
      <c r="D1363" s="7">
        <f t="shared" ca="1" si="1356"/>
        <v>0.12457819189121128</v>
      </c>
      <c r="E1363" s="26">
        <f t="array" aca="1" ref="E1363" ca="1">AVERAGE(IF(INDIRECT(DatCol&amp;"$"&amp;TEXT(C1363,"###")):INDIRECT(DatCol&amp;"$"&amp;TEXT(C1363+57,"###"))&gt;0,INDIRECT(DatCol&amp;"$"&amp;TEXT(C1363,"###")):INDIRECT(DatCol&amp;"$"&amp;TEXT(C1363+57,"###"))))</f>
        <v>778.62745098039215</v>
      </c>
      <c r="F1363" s="26" t="str">
        <f t="shared" si="1357"/>
        <v>B</v>
      </c>
      <c r="G1363" s="8"/>
      <c r="H1363" s="8">
        <v>30</v>
      </c>
      <c r="I1363" s="8">
        <v>81</v>
      </c>
      <c r="J1363" s="8">
        <v>814</v>
      </c>
      <c r="K1363" s="9">
        <f t="shared" si="1315"/>
        <v>844</v>
      </c>
      <c r="M1363" s="11">
        <f t="shared" si="1358"/>
        <v>0</v>
      </c>
      <c r="N1363" s="12">
        <v>97</v>
      </c>
      <c r="O1363" s="11">
        <f t="shared" si="1359"/>
        <v>4850</v>
      </c>
      <c r="P1363" s="12">
        <v>300</v>
      </c>
      <c r="Q1363" s="11">
        <f t="shared" si="1360"/>
        <v>18000</v>
      </c>
      <c r="X1363" s="12">
        <v>187</v>
      </c>
      <c r="Y1363" s="11">
        <f t="shared" si="1361"/>
        <v>11220</v>
      </c>
      <c r="AG1363" s="11">
        <f t="shared" si="1362"/>
        <v>0</v>
      </c>
      <c r="AH1363" s="12">
        <v>112</v>
      </c>
      <c r="AI1363" s="11">
        <f t="shared" si="1363"/>
        <v>7280</v>
      </c>
      <c r="AJ1363" s="12">
        <v>75</v>
      </c>
      <c r="AK1363" s="13">
        <f t="shared" si="1364"/>
        <v>675</v>
      </c>
      <c r="AL1363" s="12">
        <v>68</v>
      </c>
      <c r="AM1363" s="13">
        <f t="shared" si="1365"/>
        <v>612</v>
      </c>
      <c r="AO1363" s="11">
        <f t="shared" si="1366"/>
        <v>0</v>
      </c>
      <c r="AQ1363" s="11">
        <f t="shared" si="1367"/>
        <v>0</v>
      </c>
      <c r="AS1363" s="11">
        <f t="shared" si="1368"/>
        <v>0</v>
      </c>
      <c r="AU1363" s="11">
        <f t="shared" si="1369"/>
        <v>0</v>
      </c>
      <c r="AV1363" s="12">
        <v>20</v>
      </c>
      <c r="AW1363" s="11">
        <f t="shared" si="1370"/>
        <v>1200</v>
      </c>
      <c r="AY1363" s="11">
        <f t="shared" si="1371"/>
        <v>0</v>
      </c>
      <c r="BA1363" s="11">
        <f t="shared" si="1372"/>
        <v>0</v>
      </c>
      <c r="BC1363" s="11">
        <f t="shared" si="1373"/>
        <v>0</v>
      </c>
      <c r="BE1363" s="11">
        <f t="shared" si="1374"/>
        <v>0</v>
      </c>
      <c r="BG1363" s="11">
        <f t="shared" si="1375"/>
        <v>0</v>
      </c>
      <c r="BN1363" s="8">
        <f t="shared" si="1313"/>
        <v>582</v>
      </c>
      <c r="BO1363" s="8">
        <f t="shared" si="1314"/>
        <v>31095</v>
      </c>
      <c r="BP1363" s="8">
        <f t="shared" si="1334"/>
        <v>464</v>
      </c>
      <c r="BQ1363" s="12">
        <f t="shared" si="1335"/>
        <v>23962</v>
      </c>
    </row>
    <row r="1364" spans="1:69">
      <c r="A1364" s="28">
        <v>1983</v>
      </c>
      <c r="B1364" s="27" t="s">
        <v>69</v>
      </c>
      <c r="C1364" s="24">
        <f t="shared" si="1337"/>
        <v>1336</v>
      </c>
      <c r="D1364" s="7">
        <f t="shared" ca="1" si="1356"/>
        <v>0.12714681440443212</v>
      </c>
      <c r="E1364" s="26">
        <f t="array" aca="1" ref="E1364" ca="1">AVERAGE(IF(INDIRECT(DatCol&amp;"$"&amp;TEXT(C1364,"###")):INDIRECT(DatCol&amp;"$"&amp;TEXT(C1364+57,"###"))&gt;0,INDIRECT(DatCol&amp;"$"&amp;TEXT(C1364,"###")):INDIRECT(DatCol&amp;"$"&amp;TEXT(C1364+57,"###"))))</f>
        <v>778.62745098039215</v>
      </c>
      <c r="F1364" s="26" t="str">
        <f t="shared" si="1357"/>
        <v>B</v>
      </c>
      <c r="G1364" s="8"/>
      <c r="H1364" s="8">
        <v>36</v>
      </c>
      <c r="I1364" s="8">
        <v>28</v>
      </c>
      <c r="J1364" s="8">
        <v>656</v>
      </c>
      <c r="K1364" s="9">
        <f t="shared" si="1315"/>
        <v>692</v>
      </c>
      <c r="M1364" s="11">
        <f t="shared" si="1358"/>
        <v>0</v>
      </c>
      <c r="N1364" s="12">
        <v>99</v>
      </c>
      <c r="O1364" s="11">
        <f t="shared" si="1359"/>
        <v>4950</v>
      </c>
      <c r="P1364" s="12">
        <v>408</v>
      </c>
      <c r="Q1364" s="11">
        <f t="shared" si="1360"/>
        <v>24480</v>
      </c>
      <c r="X1364" s="12">
        <v>170</v>
      </c>
      <c r="Y1364" s="11">
        <f t="shared" si="1361"/>
        <v>10200</v>
      </c>
      <c r="AG1364" s="11">
        <f t="shared" si="1362"/>
        <v>0</v>
      </c>
      <c r="AH1364" s="12">
        <v>84</v>
      </c>
      <c r="AI1364" s="11">
        <f t="shared" si="1363"/>
        <v>5460</v>
      </c>
      <c r="AJ1364" s="12">
        <v>47</v>
      </c>
      <c r="AK1364" s="13">
        <f t="shared" si="1364"/>
        <v>423</v>
      </c>
      <c r="AL1364" s="12">
        <v>21</v>
      </c>
      <c r="AM1364" s="13">
        <f t="shared" si="1365"/>
        <v>189</v>
      </c>
      <c r="AO1364" s="11">
        <f t="shared" si="1366"/>
        <v>0</v>
      </c>
      <c r="AQ1364" s="11">
        <f t="shared" si="1367"/>
        <v>0</v>
      </c>
      <c r="AS1364" s="11">
        <f t="shared" si="1368"/>
        <v>0</v>
      </c>
      <c r="AU1364" s="11">
        <f t="shared" si="1369"/>
        <v>0</v>
      </c>
      <c r="AW1364" s="11">
        <f t="shared" si="1370"/>
        <v>0</v>
      </c>
      <c r="AY1364" s="11">
        <f t="shared" si="1371"/>
        <v>0</v>
      </c>
      <c r="BA1364" s="11">
        <f t="shared" si="1372"/>
        <v>0</v>
      </c>
      <c r="BC1364" s="11">
        <f t="shared" si="1373"/>
        <v>0</v>
      </c>
      <c r="BE1364" s="11">
        <f t="shared" si="1374"/>
        <v>0</v>
      </c>
      <c r="BG1364" s="11">
        <f t="shared" si="1375"/>
        <v>0</v>
      </c>
      <c r="BN1364" s="8">
        <f t="shared" si="1313"/>
        <v>625</v>
      </c>
      <c r="BO1364" s="8">
        <f t="shared" si="1314"/>
        <v>35103</v>
      </c>
      <c r="BP1364" s="8">
        <f t="shared" si="1334"/>
        <v>374</v>
      </c>
      <c r="BQ1364" s="12">
        <f t="shared" si="1335"/>
        <v>20799</v>
      </c>
    </row>
    <row r="1365" spans="1:69">
      <c r="A1365" s="28">
        <v>1984</v>
      </c>
      <c r="B1365" s="27" t="s">
        <v>69</v>
      </c>
      <c r="C1365" s="24">
        <f t="shared" si="1337"/>
        <v>1336</v>
      </c>
      <c r="D1365" s="7">
        <f t="shared" ca="1" si="1356"/>
        <v>3.9813648954923196E-2</v>
      </c>
      <c r="E1365" s="26">
        <f t="array" aca="1" ref="E1365" ca="1">AVERAGE(IF(INDIRECT(DatCol&amp;"$"&amp;TEXT(C1365,"###")):INDIRECT(DatCol&amp;"$"&amp;TEXT(C1365+57,"###"))&gt;0,INDIRECT(DatCol&amp;"$"&amp;TEXT(C1365,"###")):INDIRECT(DatCol&amp;"$"&amp;TEXT(C1365+57,"###"))))</f>
        <v>778.62745098039215</v>
      </c>
      <c r="F1365" s="26" t="str">
        <f t="shared" si="1357"/>
        <v>B</v>
      </c>
      <c r="G1365" s="8"/>
      <c r="H1365" s="8">
        <v>33</v>
      </c>
      <c r="I1365" s="8">
        <v>12</v>
      </c>
      <c r="J1365" s="8">
        <v>561</v>
      </c>
      <c r="K1365" s="9">
        <f t="shared" si="1315"/>
        <v>594</v>
      </c>
      <c r="M1365" s="11">
        <f t="shared" si="1358"/>
        <v>0</v>
      </c>
      <c r="N1365" s="12">
        <v>31</v>
      </c>
      <c r="O1365" s="11">
        <f t="shared" si="1359"/>
        <v>1550</v>
      </c>
      <c r="P1365" s="12">
        <v>1875</v>
      </c>
      <c r="Q1365" s="11">
        <f>((P1365*330)/5.5)</f>
        <v>112500</v>
      </c>
      <c r="X1365" s="12">
        <v>65</v>
      </c>
      <c r="Y1365" s="11">
        <f t="shared" si="1361"/>
        <v>3900</v>
      </c>
      <c r="AG1365" s="11">
        <f t="shared" si="1362"/>
        <v>0</v>
      </c>
      <c r="AH1365" s="12">
        <v>61</v>
      </c>
      <c r="AI1365" s="11">
        <f t="shared" si="1363"/>
        <v>3965</v>
      </c>
      <c r="AK1365" s="13">
        <f t="shared" si="1364"/>
        <v>0</v>
      </c>
      <c r="AL1365" s="12">
        <v>0.5</v>
      </c>
      <c r="AM1365" s="13">
        <f t="shared" si="1365"/>
        <v>4.5</v>
      </c>
      <c r="AO1365" s="11">
        <f t="shared" si="1366"/>
        <v>0</v>
      </c>
      <c r="AQ1365" s="11">
        <f t="shared" si="1367"/>
        <v>0</v>
      </c>
      <c r="AS1365" s="11">
        <f t="shared" si="1368"/>
        <v>0</v>
      </c>
      <c r="AU1365" s="11">
        <f t="shared" si="1369"/>
        <v>0</v>
      </c>
      <c r="AW1365" s="11">
        <f t="shared" si="1370"/>
        <v>0</v>
      </c>
      <c r="AY1365" s="11">
        <f t="shared" si="1371"/>
        <v>0</v>
      </c>
      <c r="BA1365" s="11">
        <f t="shared" si="1372"/>
        <v>0</v>
      </c>
      <c r="BC1365" s="11">
        <f t="shared" si="1373"/>
        <v>0</v>
      </c>
      <c r="BE1365" s="11">
        <f t="shared" si="1374"/>
        <v>0</v>
      </c>
      <c r="BG1365" s="11">
        <f t="shared" si="1375"/>
        <v>0</v>
      </c>
      <c r="BN1365" s="8">
        <f t="shared" si="1313"/>
        <v>1940</v>
      </c>
      <c r="BO1365" s="8">
        <f t="shared" si="1314"/>
        <v>116400</v>
      </c>
      <c r="BP1365" s="8">
        <f t="shared" si="1334"/>
        <v>157.5</v>
      </c>
      <c r="BQ1365" s="12">
        <f t="shared" si="1335"/>
        <v>9419.5</v>
      </c>
    </row>
    <row r="1366" spans="1:69">
      <c r="A1366" s="28">
        <v>1985</v>
      </c>
      <c r="B1366" s="27" t="s">
        <v>69</v>
      </c>
      <c r="C1366" s="24">
        <f t="shared" si="1337"/>
        <v>1336</v>
      </c>
      <c r="D1366" s="7">
        <f t="shared" ca="1" si="1356"/>
        <v>2.054898010576681E-2</v>
      </c>
      <c r="E1366" s="26">
        <f t="array" aca="1" ref="E1366" ca="1">AVERAGE(IF(INDIRECT(DatCol&amp;"$"&amp;TEXT(C1366,"###")):INDIRECT(DatCol&amp;"$"&amp;TEXT(C1366+57,"###"))&gt;0,INDIRECT(DatCol&amp;"$"&amp;TEXT(C1366,"###")):INDIRECT(DatCol&amp;"$"&amp;TEXT(C1366+57,"###"))))</f>
        <v>778.62745098039215</v>
      </c>
      <c r="F1366" s="26" t="str">
        <f t="shared" si="1357"/>
        <v>B</v>
      </c>
      <c r="G1366" s="8">
        <v>218</v>
      </c>
      <c r="H1366" s="8">
        <v>26</v>
      </c>
      <c r="I1366" s="8">
        <v>34</v>
      </c>
      <c r="J1366" s="8">
        <v>549</v>
      </c>
      <c r="K1366" s="9">
        <f t="shared" si="1315"/>
        <v>793</v>
      </c>
      <c r="M1366" s="11">
        <f t="shared" si="1358"/>
        <v>0</v>
      </c>
      <c r="N1366" s="12">
        <v>16</v>
      </c>
      <c r="O1366" s="11">
        <f t="shared" si="1359"/>
        <v>800</v>
      </c>
      <c r="P1366" s="12">
        <v>552</v>
      </c>
      <c r="Q1366" s="11">
        <f t="shared" si="1360"/>
        <v>33120</v>
      </c>
      <c r="X1366" s="12">
        <v>181</v>
      </c>
      <c r="Y1366" s="11">
        <f t="shared" si="1361"/>
        <v>10860</v>
      </c>
      <c r="AG1366" s="11">
        <f t="shared" si="1362"/>
        <v>0</v>
      </c>
      <c r="AH1366" s="12">
        <v>68.5</v>
      </c>
      <c r="AI1366" s="11">
        <f t="shared" si="1363"/>
        <v>4452.5</v>
      </c>
      <c r="AJ1366" s="12">
        <v>28</v>
      </c>
      <c r="AK1366" s="13">
        <f t="shared" si="1364"/>
        <v>252</v>
      </c>
      <c r="AL1366" s="12">
        <v>25.5</v>
      </c>
      <c r="AM1366" s="13">
        <f t="shared" si="1365"/>
        <v>229.5</v>
      </c>
      <c r="AO1366" s="11">
        <f t="shared" si="1366"/>
        <v>0</v>
      </c>
      <c r="AQ1366" s="11">
        <f t="shared" si="1367"/>
        <v>0</v>
      </c>
      <c r="AS1366" s="11">
        <f t="shared" si="1368"/>
        <v>0</v>
      </c>
      <c r="AU1366" s="11">
        <f t="shared" si="1369"/>
        <v>0</v>
      </c>
      <c r="AW1366" s="11">
        <f t="shared" si="1370"/>
        <v>0</v>
      </c>
      <c r="AY1366" s="11">
        <f t="shared" si="1371"/>
        <v>0</v>
      </c>
      <c r="BA1366" s="11">
        <f t="shared" si="1372"/>
        <v>0</v>
      </c>
      <c r="BC1366" s="11">
        <f t="shared" si="1373"/>
        <v>0</v>
      </c>
      <c r="BE1366" s="11">
        <f t="shared" si="1374"/>
        <v>0</v>
      </c>
      <c r="BG1366" s="11">
        <f t="shared" si="1375"/>
        <v>0</v>
      </c>
      <c r="BH1366" s="13" t="s">
        <v>70</v>
      </c>
      <c r="BN1366" s="8">
        <f t="shared" si="1313"/>
        <v>761</v>
      </c>
      <c r="BO1366" s="8">
        <f t="shared" si="1314"/>
        <v>44232</v>
      </c>
      <c r="BP1366" s="8">
        <f t="shared" si="1334"/>
        <v>291</v>
      </c>
      <c r="BQ1366" s="12">
        <f t="shared" si="1335"/>
        <v>16342</v>
      </c>
    </row>
    <row r="1367" spans="1:69">
      <c r="A1367" s="28">
        <v>1986</v>
      </c>
      <c r="B1367" s="27" t="s">
        <v>69</v>
      </c>
      <c r="C1367" s="24">
        <f t="shared" si="1337"/>
        <v>1336</v>
      </c>
      <c r="D1367" s="7" t="e">
        <f t="shared" ca="1" si="1356"/>
        <v>#N/A</v>
      </c>
      <c r="E1367" s="26">
        <f t="array" aca="1" ref="E1367" ca="1">AVERAGE(IF(INDIRECT(DatCol&amp;"$"&amp;TEXT(C1367,"###")):INDIRECT(DatCol&amp;"$"&amp;TEXT(C1367+57,"###"))&gt;0,INDIRECT(DatCol&amp;"$"&amp;TEXT(C1367,"###")):INDIRECT(DatCol&amp;"$"&amp;TEXT(C1367+57,"###"))))</f>
        <v>778.62745098039215</v>
      </c>
      <c r="F1367" s="26" t="str">
        <f t="shared" si="1357"/>
        <v>B</v>
      </c>
      <c r="G1367" s="8">
        <v>245</v>
      </c>
      <c r="H1367" s="8">
        <v>15</v>
      </c>
      <c r="I1367" s="8">
        <v>35</v>
      </c>
      <c r="J1367" s="8">
        <v>532</v>
      </c>
      <c r="K1367" s="9">
        <f t="shared" si="1315"/>
        <v>792</v>
      </c>
      <c r="M1367" s="11">
        <f t="shared" si="1358"/>
        <v>0</v>
      </c>
      <c r="O1367" s="11">
        <f t="shared" si="1359"/>
        <v>0</v>
      </c>
      <c r="P1367" s="12">
        <v>954</v>
      </c>
      <c r="Q1367" s="11">
        <f t="shared" si="1360"/>
        <v>57240</v>
      </c>
      <c r="Y1367" s="11">
        <f t="shared" si="1361"/>
        <v>0</v>
      </c>
      <c r="AG1367" s="11">
        <f t="shared" si="1362"/>
        <v>0</v>
      </c>
      <c r="AI1367" s="11">
        <f t="shared" si="1363"/>
        <v>0</v>
      </c>
      <c r="AK1367" s="13">
        <f t="shared" si="1364"/>
        <v>0</v>
      </c>
      <c r="AM1367" s="13">
        <f t="shared" si="1365"/>
        <v>0</v>
      </c>
      <c r="AO1367" s="11">
        <f t="shared" si="1366"/>
        <v>0</v>
      </c>
      <c r="AQ1367" s="11">
        <f t="shared" si="1367"/>
        <v>0</v>
      </c>
      <c r="AS1367" s="11">
        <f t="shared" si="1368"/>
        <v>0</v>
      </c>
      <c r="AU1367" s="11">
        <f t="shared" si="1369"/>
        <v>0</v>
      </c>
      <c r="AW1367" s="11">
        <f t="shared" si="1370"/>
        <v>0</v>
      </c>
      <c r="AY1367" s="11">
        <f t="shared" si="1371"/>
        <v>0</v>
      </c>
      <c r="BA1367" s="11">
        <f t="shared" si="1372"/>
        <v>0</v>
      </c>
      <c r="BC1367" s="11">
        <f t="shared" si="1373"/>
        <v>0</v>
      </c>
      <c r="BE1367" s="11">
        <f t="shared" si="1374"/>
        <v>0</v>
      </c>
      <c r="BG1367" s="11">
        <f t="shared" si="1375"/>
        <v>0</v>
      </c>
      <c r="BN1367" s="8">
        <f t="shared" si="1313"/>
        <v>954</v>
      </c>
      <c r="BO1367" s="8">
        <f t="shared" si="1314"/>
        <v>57240</v>
      </c>
      <c r="BP1367" s="8">
        <f t="shared" si="1334"/>
        <v>0</v>
      </c>
      <c r="BQ1367" s="12">
        <f t="shared" si="1335"/>
        <v>0</v>
      </c>
    </row>
    <row r="1368" spans="1:69">
      <c r="A1368" s="28">
        <v>1987</v>
      </c>
      <c r="B1368" s="27" t="s">
        <v>69</v>
      </c>
      <c r="C1368" s="24">
        <f t="shared" si="1337"/>
        <v>1336</v>
      </c>
      <c r="D1368" s="7">
        <f t="shared" ca="1" si="1356"/>
        <v>0.39813648954923192</v>
      </c>
      <c r="E1368" s="26">
        <f t="array" aca="1" ref="E1368" ca="1">AVERAGE(IF(INDIRECT(DatCol&amp;"$"&amp;TEXT(C1368,"###")):INDIRECT(DatCol&amp;"$"&amp;TEXT(C1368+57,"###"))&gt;0,INDIRECT(DatCol&amp;"$"&amp;TEXT(C1368,"###")):INDIRECT(DatCol&amp;"$"&amp;TEXT(C1368+57,"###"))))</f>
        <v>778.62745098039215</v>
      </c>
      <c r="F1368" s="26" t="str">
        <f t="shared" si="1357"/>
        <v>B</v>
      </c>
      <c r="G1368" s="8">
        <v>267</v>
      </c>
      <c r="H1368" s="8">
        <v>13</v>
      </c>
      <c r="I1368" s="8">
        <v>22</v>
      </c>
      <c r="J1368" s="8">
        <v>530</v>
      </c>
      <c r="K1368" s="9">
        <f t="shared" si="1315"/>
        <v>810</v>
      </c>
      <c r="M1368" s="11">
        <f t="shared" si="1358"/>
        <v>0</v>
      </c>
      <c r="N1368" s="12">
        <v>310</v>
      </c>
      <c r="O1368" s="11">
        <f t="shared" si="1359"/>
        <v>15500</v>
      </c>
      <c r="P1368" s="12">
        <v>770</v>
      </c>
      <c r="Q1368" s="11">
        <f t="shared" si="1360"/>
        <v>46200</v>
      </c>
      <c r="X1368" s="12">
        <v>155</v>
      </c>
      <c r="Y1368" s="11">
        <f t="shared" si="1361"/>
        <v>9300</v>
      </c>
      <c r="AF1368" s="12">
        <v>0</v>
      </c>
      <c r="AG1368" s="11">
        <f t="shared" si="1362"/>
        <v>0</v>
      </c>
      <c r="AH1368" s="12">
        <v>180</v>
      </c>
      <c r="AI1368" s="11">
        <f t="shared" si="1363"/>
        <v>11700</v>
      </c>
      <c r="AK1368" s="13">
        <f t="shared" si="1364"/>
        <v>0</v>
      </c>
      <c r="AM1368" s="13">
        <f t="shared" si="1365"/>
        <v>0</v>
      </c>
      <c r="AO1368" s="11">
        <f t="shared" si="1366"/>
        <v>0</v>
      </c>
      <c r="AQ1368" s="11">
        <f t="shared" si="1367"/>
        <v>0</v>
      </c>
      <c r="AS1368" s="11">
        <f t="shared" si="1368"/>
        <v>0</v>
      </c>
      <c r="AU1368" s="11">
        <f t="shared" si="1369"/>
        <v>0</v>
      </c>
      <c r="AW1368" s="11">
        <f t="shared" si="1370"/>
        <v>0</v>
      </c>
      <c r="AY1368" s="11">
        <f t="shared" si="1371"/>
        <v>0</v>
      </c>
      <c r="BA1368" s="11">
        <f t="shared" si="1372"/>
        <v>0</v>
      </c>
      <c r="BC1368" s="11">
        <f t="shared" si="1373"/>
        <v>0</v>
      </c>
      <c r="BE1368" s="11">
        <f t="shared" si="1374"/>
        <v>0</v>
      </c>
      <c r="BG1368" s="11">
        <f t="shared" si="1375"/>
        <v>0</v>
      </c>
      <c r="BN1368" s="8">
        <f t="shared" ref="BN1368:BN1432" si="1376">(L1368+P1368+R1368+T1368+V1368+X1368+Z1368+AB1368+AD1368+AF1368+AJ1368+AN1368+AR1368+AV1368+AZ1368+BD1368)</f>
        <v>925</v>
      </c>
      <c r="BO1368" s="8">
        <f t="shared" si="1314"/>
        <v>55500</v>
      </c>
      <c r="BP1368" s="8">
        <f t="shared" si="1334"/>
        <v>645</v>
      </c>
      <c r="BQ1368" s="12">
        <f t="shared" si="1335"/>
        <v>36500</v>
      </c>
    </row>
    <row r="1369" spans="1:69">
      <c r="A1369" s="28">
        <v>1988</v>
      </c>
      <c r="B1369" s="27" t="s">
        <v>69</v>
      </c>
      <c r="C1369" s="24">
        <f t="shared" si="1337"/>
        <v>1336</v>
      </c>
      <c r="D1369" s="7">
        <f t="shared" ca="1" si="1356"/>
        <v>0.24401913875598086</v>
      </c>
      <c r="E1369" s="26">
        <f t="array" aca="1" ref="E1369" ca="1">AVERAGE(IF(INDIRECT(DatCol&amp;"$"&amp;TEXT(C1369,"###")):INDIRECT(DatCol&amp;"$"&amp;TEXT(C1369+57,"###"))&gt;0,INDIRECT(DatCol&amp;"$"&amp;TEXT(C1369,"###")):INDIRECT(DatCol&amp;"$"&amp;TEXT(C1369+57,"###"))))</f>
        <v>778.62745098039215</v>
      </c>
      <c r="F1369" s="26" t="str">
        <f t="shared" si="1357"/>
        <v>B</v>
      </c>
      <c r="G1369" s="8">
        <v>285</v>
      </c>
      <c r="H1369" s="8">
        <v>19</v>
      </c>
      <c r="I1369" s="8">
        <v>21</v>
      </c>
      <c r="J1369" s="8">
        <v>509</v>
      </c>
      <c r="K1369" s="9">
        <f t="shared" si="1315"/>
        <v>813</v>
      </c>
      <c r="M1369" s="11">
        <f t="shared" si="1358"/>
        <v>0</v>
      </c>
      <c r="N1369" s="12">
        <v>190</v>
      </c>
      <c r="O1369" s="11">
        <f t="shared" si="1359"/>
        <v>9500</v>
      </c>
      <c r="P1369" s="12">
        <v>981</v>
      </c>
      <c r="Q1369" s="11">
        <f t="shared" si="1360"/>
        <v>58860</v>
      </c>
      <c r="X1369" s="12">
        <v>365</v>
      </c>
      <c r="Y1369" s="11">
        <f t="shared" si="1361"/>
        <v>21900</v>
      </c>
      <c r="AF1369" s="12">
        <v>9</v>
      </c>
      <c r="AG1369" s="11">
        <f t="shared" si="1362"/>
        <v>585</v>
      </c>
      <c r="AH1369" s="12">
        <v>160</v>
      </c>
      <c r="AI1369" s="11">
        <f t="shared" si="1363"/>
        <v>10400</v>
      </c>
      <c r="AJ1369" s="12">
        <v>81</v>
      </c>
      <c r="AK1369" s="13">
        <f t="shared" si="1364"/>
        <v>729</v>
      </c>
      <c r="AL1369" s="12">
        <v>37</v>
      </c>
      <c r="AM1369" s="13">
        <f t="shared" si="1365"/>
        <v>333</v>
      </c>
      <c r="AO1369" s="11">
        <f t="shared" si="1366"/>
        <v>0</v>
      </c>
      <c r="AQ1369" s="11">
        <f t="shared" si="1367"/>
        <v>0</v>
      </c>
      <c r="AS1369" s="11">
        <f t="shared" si="1368"/>
        <v>0</v>
      </c>
      <c r="AU1369" s="11">
        <f t="shared" si="1369"/>
        <v>0</v>
      </c>
      <c r="AW1369" s="11">
        <f t="shared" si="1370"/>
        <v>0</v>
      </c>
      <c r="AY1369" s="11">
        <f t="shared" si="1371"/>
        <v>0</v>
      </c>
      <c r="BA1369" s="11">
        <f t="shared" si="1372"/>
        <v>0</v>
      </c>
      <c r="BC1369" s="11">
        <f t="shared" si="1373"/>
        <v>0</v>
      </c>
      <c r="BE1369" s="11">
        <f t="shared" si="1374"/>
        <v>0</v>
      </c>
      <c r="BG1369" s="11">
        <f t="shared" si="1375"/>
        <v>0</v>
      </c>
      <c r="BN1369" s="8">
        <f t="shared" si="1376"/>
        <v>1436</v>
      </c>
      <c r="BO1369" s="8">
        <f t="shared" ref="BO1369:BO1433" si="1377">(M1369+Q1369+S1369+U1369+W1369+Y1369+AA1369+AC1369+AG1369+AK1369+AO1369+AS1369+AW1369+BA1369+BE1369)</f>
        <v>82074</v>
      </c>
      <c r="BP1369" s="8">
        <f t="shared" si="1334"/>
        <v>752</v>
      </c>
      <c r="BQ1369" s="12">
        <f t="shared" si="1335"/>
        <v>42133</v>
      </c>
    </row>
    <row r="1370" spans="1:69">
      <c r="A1370" s="28">
        <v>1989</v>
      </c>
      <c r="B1370" s="27" t="s">
        <v>69</v>
      </c>
      <c r="C1370" s="24">
        <f t="shared" si="1337"/>
        <v>1336</v>
      </c>
      <c r="D1370" s="7">
        <f t="shared" ca="1" si="1356"/>
        <v>0.43923444976076553</v>
      </c>
      <c r="E1370" s="26">
        <f t="array" aca="1" ref="E1370" ca="1">AVERAGE(IF(INDIRECT(DatCol&amp;"$"&amp;TEXT(C1370,"###")):INDIRECT(DatCol&amp;"$"&amp;TEXT(C1370+57,"###"))&gt;0,INDIRECT(DatCol&amp;"$"&amp;TEXT(C1370,"###")):INDIRECT(DatCol&amp;"$"&amp;TEXT(C1370+57,"###"))))</f>
        <v>778.62745098039215</v>
      </c>
      <c r="F1370" s="26" t="str">
        <f t="shared" si="1357"/>
        <v>B</v>
      </c>
      <c r="G1370" s="8">
        <v>299</v>
      </c>
      <c r="H1370" s="8">
        <v>26</v>
      </c>
      <c r="I1370" s="8">
        <v>23</v>
      </c>
      <c r="J1370" s="8">
        <v>471</v>
      </c>
      <c r="K1370" s="9">
        <f t="shared" ref="K1370:K1434" si="1378">G1370+H1370+J1370</f>
        <v>796</v>
      </c>
      <c r="L1370" s="12">
        <v>64</v>
      </c>
      <c r="M1370" s="11">
        <f t="shared" si="1358"/>
        <v>3200</v>
      </c>
      <c r="N1370" s="12">
        <v>342</v>
      </c>
      <c r="O1370" s="11">
        <f t="shared" si="1359"/>
        <v>17100</v>
      </c>
      <c r="P1370" s="12">
        <v>1010</v>
      </c>
      <c r="Q1370" s="11">
        <f t="shared" si="1360"/>
        <v>60600</v>
      </c>
      <c r="X1370" s="12">
        <v>475</v>
      </c>
      <c r="Y1370" s="11">
        <f t="shared" si="1361"/>
        <v>28500</v>
      </c>
      <c r="AF1370" s="12">
        <v>0</v>
      </c>
      <c r="AG1370" s="11">
        <f t="shared" si="1362"/>
        <v>0</v>
      </c>
      <c r="AH1370" s="12">
        <v>133</v>
      </c>
      <c r="AI1370" s="11">
        <f t="shared" si="1363"/>
        <v>8645</v>
      </c>
      <c r="AJ1370" s="12">
        <v>0</v>
      </c>
      <c r="AK1370" s="13">
        <f t="shared" si="1364"/>
        <v>0</v>
      </c>
      <c r="AL1370" s="12">
        <v>0</v>
      </c>
      <c r="AM1370" s="13">
        <f t="shared" si="1365"/>
        <v>0</v>
      </c>
      <c r="AO1370" s="11">
        <f t="shared" si="1366"/>
        <v>0</v>
      </c>
      <c r="AQ1370" s="11">
        <f t="shared" si="1367"/>
        <v>0</v>
      </c>
      <c r="AS1370" s="11">
        <f t="shared" si="1368"/>
        <v>0</v>
      </c>
      <c r="AU1370" s="11">
        <f t="shared" si="1369"/>
        <v>0</v>
      </c>
      <c r="AW1370" s="11">
        <f t="shared" si="1370"/>
        <v>0</v>
      </c>
      <c r="AY1370" s="11">
        <f t="shared" si="1371"/>
        <v>0</v>
      </c>
      <c r="BA1370" s="11">
        <f t="shared" si="1372"/>
        <v>0</v>
      </c>
      <c r="BC1370" s="11">
        <f t="shared" si="1373"/>
        <v>0</v>
      </c>
      <c r="BE1370" s="11">
        <f t="shared" si="1374"/>
        <v>0</v>
      </c>
      <c r="BG1370" s="11">
        <f t="shared" si="1375"/>
        <v>0</v>
      </c>
      <c r="BN1370" s="8">
        <f t="shared" si="1376"/>
        <v>1549</v>
      </c>
      <c r="BO1370" s="8">
        <f t="shared" si="1377"/>
        <v>92300</v>
      </c>
      <c r="BP1370" s="8">
        <f t="shared" si="1334"/>
        <v>950</v>
      </c>
      <c r="BQ1370" s="12">
        <f t="shared" si="1335"/>
        <v>54245</v>
      </c>
    </row>
    <row r="1371" spans="1:69">
      <c r="A1371" s="28">
        <v>1990</v>
      </c>
      <c r="B1371" s="27" t="s">
        <v>69</v>
      </c>
      <c r="C1371" s="24">
        <f t="shared" si="1337"/>
        <v>1336</v>
      </c>
      <c r="D1371" s="7">
        <f t="shared" ca="1" si="1356"/>
        <v>0.41740115839838832</v>
      </c>
      <c r="E1371" s="26">
        <f t="array" aca="1" ref="E1371" ca="1">AVERAGE(IF(INDIRECT(DatCol&amp;"$"&amp;TEXT(C1371,"###")):INDIRECT(DatCol&amp;"$"&amp;TEXT(C1371+57,"###"))&gt;0,INDIRECT(DatCol&amp;"$"&amp;TEXT(C1371,"###")):INDIRECT(DatCol&amp;"$"&amp;TEXT(C1371+57,"###"))))</f>
        <v>778.62745098039215</v>
      </c>
      <c r="F1371" s="26" t="str">
        <f t="shared" si="1357"/>
        <v>B</v>
      </c>
      <c r="G1371" s="8">
        <v>25</v>
      </c>
      <c r="H1371" s="8">
        <v>45</v>
      </c>
      <c r="I1371" s="8">
        <v>18</v>
      </c>
      <c r="J1371" s="8">
        <v>553</v>
      </c>
      <c r="K1371" s="9">
        <f t="shared" si="1378"/>
        <v>623</v>
      </c>
      <c r="L1371" s="12">
        <v>0</v>
      </c>
      <c r="M1371" s="11">
        <f t="shared" si="1358"/>
        <v>0</v>
      </c>
      <c r="N1371" s="12">
        <v>325</v>
      </c>
      <c r="O1371" s="11">
        <f t="shared" si="1359"/>
        <v>16250</v>
      </c>
      <c r="P1371" s="12">
        <v>879</v>
      </c>
      <c r="Q1371" s="11">
        <f t="shared" si="1360"/>
        <v>52740</v>
      </c>
      <c r="X1371" s="12">
        <v>563</v>
      </c>
      <c r="Y1371" s="11">
        <f t="shared" si="1361"/>
        <v>33780</v>
      </c>
      <c r="AF1371" s="12">
        <v>25</v>
      </c>
      <c r="AG1371" s="11">
        <f t="shared" si="1362"/>
        <v>1625</v>
      </c>
      <c r="AH1371" s="12">
        <v>170</v>
      </c>
      <c r="AI1371" s="11">
        <f t="shared" si="1363"/>
        <v>11050</v>
      </c>
      <c r="AJ1371" s="12">
        <v>70</v>
      </c>
      <c r="AK1371" s="13">
        <f t="shared" si="1364"/>
        <v>630</v>
      </c>
      <c r="AL1371" s="12">
        <v>25</v>
      </c>
      <c r="AM1371" s="13">
        <f t="shared" si="1365"/>
        <v>225</v>
      </c>
      <c r="AO1371" s="11">
        <f t="shared" si="1366"/>
        <v>0</v>
      </c>
      <c r="AQ1371" s="11">
        <f t="shared" si="1367"/>
        <v>0</v>
      </c>
      <c r="AS1371" s="11">
        <f t="shared" si="1368"/>
        <v>0</v>
      </c>
      <c r="AU1371" s="11">
        <f t="shared" si="1369"/>
        <v>0</v>
      </c>
      <c r="AW1371" s="11">
        <f t="shared" si="1370"/>
        <v>0</v>
      </c>
      <c r="AY1371" s="11">
        <f t="shared" si="1371"/>
        <v>0</v>
      </c>
      <c r="BA1371" s="11">
        <f t="shared" si="1372"/>
        <v>0</v>
      </c>
      <c r="BC1371" s="11">
        <f t="shared" si="1373"/>
        <v>0</v>
      </c>
      <c r="BE1371" s="11">
        <f t="shared" si="1374"/>
        <v>0</v>
      </c>
      <c r="BG1371" s="11">
        <f t="shared" si="1375"/>
        <v>0</v>
      </c>
      <c r="BN1371" s="8">
        <f t="shared" si="1376"/>
        <v>1537</v>
      </c>
      <c r="BO1371" s="8">
        <f t="shared" si="1377"/>
        <v>88775</v>
      </c>
      <c r="BP1371" s="8">
        <f t="shared" si="1334"/>
        <v>1083</v>
      </c>
      <c r="BQ1371" s="12">
        <f t="shared" si="1335"/>
        <v>61305</v>
      </c>
    </row>
    <row r="1372" spans="1:69">
      <c r="A1372" s="28">
        <v>1991</v>
      </c>
      <c r="B1372" s="27" t="s">
        <v>69</v>
      </c>
      <c r="C1372" s="24">
        <f t="shared" si="1337"/>
        <v>1336</v>
      </c>
      <c r="D1372" s="7">
        <f t="shared" ca="1" si="1356"/>
        <v>0.48161672122890958</v>
      </c>
      <c r="E1372" s="26">
        <f t="array" aca="1" ref="E1372" ca="1">AVERAGE(IF(INDIRECT(DatCol&amp;"$"&amp;TEXT(C1372,"###")):INDIRECT(DatCol&amp;"$"&amp;TEXT(C1372+57,"###"))&gt;0,INDIRECT(DatCol&amp;"$"&amp;TEXT(C1372,"###")):INDIRECT(DatCol&amp;"$"&amp;TEXT(C1372+57,"###"))))</f>
        <v>778.62745098039215</v>
      </c>
      <c r="F1372" s="26" t="str">
        <f t="shared" si="1357"/>
        <v>B</v>
      </c>
      <c r="G1372" s="8">
        <v>26</v>
      </c>
      <c r="H1372" s="8">
        <v>51</v>
      </c>
      <c r="I1372" s="8">
        <v>19</v>
      </c>
      <c r="J1372" s="8">
        <v>524</v>
      </c>
      <c r="K1372" s="9">
        <f t="shared" si="1378"/>
        <v>601</v>
      </c>
      <c r="L1372" s="12">
        <v>0</v>
      </c>
      <c r="M1372" s="11">
        <f t="shared" ref="M1372:M1402" si="1379">(L1372*50)</f>
        <v>0</v>
      </c>
      <c r="N1372" s="12">
        <v>375</v>
      </c>
      <c r="O1372" s="11">
        <f t="shared" ref="O1372:O1402" si="1380">(N1372*50)</f>
        <v>18750</v>
      </c>
      <c r="P1372" s="12">
        <v>765</v>
      </c>
      <c r="Q1372" s="11">
        <f t="shared" ref="Q1372:Q1402" si="1381">((P1372*330)/5.5)</f>
        <v>45900</v>
      </c>
      <c r="X1372" s="12">
        <v>675</v>
      </c>
      <c r="Y1372" s="11">
        <f t="shared" ref="Y1372:Y1402" si="1382">((X1372*330)/5.5)</f>
        <v>40500</v>
      </c>
      <c r="AF1372" s="12">
        <v>45</v>
      </c>
      <c r="AG1372" s="11">
        <f t="shared" ref="AG1372:AG1402" si="1383">(AF1372*65)</f>
        <v>2925</v>
      </c>
      <c r="AH1372" s="12">
        <v>200</v>
      </c>
      <c r="AI1372" s="11">
        <f t="shared" ref="AI1372:AI1402" si="1384">(AH1372*65)</f>
        <v>13000</v>
      </c>
      <c r="AJ1372" s="12">
        <v>0</v>
      </c>
      <c r="AK1372" s="13">
        <f t="shared" ref="AK1372:AK1402" si="1385">(AJ1372*9)</f>
        <v>0</v>
      </c>
      <c r="AL1372" s="12">
        <v>120</v>
      </c>
      <c r="AM1372" s="13">
        <f t="shared" ref="AM1372:AM1402" si="1386">(AL1372*9)</f>
        <v>1080</v>
      </c>
      <c r="AO1372" s="11">
        <f>(AN1372*80)</f>
        <v>0</v>
      </c>
      <c r="AQ1372" s="11">
        <f>(AP1372*80)</f>
        <v>0</v>
      </c>
      <c r="AS1372" s="11">
        <f>(AR1372*50)</f>
        <v>0</v>
      </c>
      <c r="AU1372" s="11">
        <f>(AT1372*50)</f>
        <v>0</v>
      </c>
      <c r="AW1372" s="11">
        <f>(AV1372*60)</f>
        <v>0</v>
      </c>
      <c r="AY1372" s="11">
        <f>(AX1372*60)</f>
        <v>0</v>
      </c>
      <c r="BA1372" s="11">
        <f>(AZ1372*40)</f>
        <v>0</v>
      </c>
      <c r="BC1372" s="11">
        <f>(BB1372*40)</f>
        <v>0</v>
      </c>
      <c r="BE1372" s="11">
        <f>(BD1372*95)</f>
        <v>0</v>
      </c>
      <c r="BG1372" s="11">
        <f>(BF1372*95)</f>
        <v>0</v>
      </c>
      <c r="BN1372" s="8">
        <f t="shared" si="1376"/>
        <v>1485</v>
      </c>
      <c r="BO1372" s="8">
        <f t="shared" si="1377"/>
        <v>89325</v>
      </c>
      <c r="BP1372" s="8">
        <f t="shared" si="1334"/>
        <v>1370</v>
      </c>
      <c r="BQ1372" s="12">
        <f t="shared" si="1335"/>
        <v>73330</v>
      </c>
    </row>
    <row r="1373" spans="1:69">
      <c r="A1373" s="28">
        <v>1992</v>
      </c>
      <c r="B1373" s="27" t="s">
        <v>69</v>
      </c>
      <c r="C1373" s="24">
        <f t="shared" si="1337"/>
        <v>1336</v>
      </c>
      <c r="D1373" s="7">
        <f t="shared" ca="1" si="1356"/>
        <v>0.32107781415260639</v>
      </c>
      <c r="E1373" s="26">
        <f t="array" aca="1" ref="E1373" ca="1">AVERAGE(IF(INDIRECT(DatCol&amp;"$"&amp;TEXT(C1373,"###")):INDIRECT(DatCol&amp;"$"&amp;TEXT(C1373+57,"###"))&gt;0,INDIRECT(DatCol&amp;"$"&amp;TEXT(C1373,"###")):INDIRECT(DatCol&amp;"$"&amp;TEXT(C1373+57,"###"))))</f>
        <v>778.62745098039215</v>
      </c>
      <c r="F1373" s="26" t="str">
        <f t="shared" si="1357"/>
        <v>B</v>
      </c>
      <c r="G1373" s="8">
        <v>13</v>
      </c>
      <c r="H1373" s="8">
        <v>22</v>
      </c>
      <c r="I1373" s="8">
        <v>21</v>
      </c>
      <c r="J1373" s="8">
        <v>475</v>
      </c>
      <c r="K1373" s="9">
        <f t="shared" si="1378"/>
        <v>510</v>
      </c>
      <c r="L1373" s="12">
        <v>90</v>
      </c>
      <c r="M1373" s="11">
        <f t="shared" si="1379"/>
        <v>4500</v>
      </c>
      <c r="N1373" s="12">
        <v>250</v>
      </c>
      <c r="O1373" s="11">
        <f t="shared" si="1380"/>
        <v>12500</v>
      </c>
      <c r="P1373" s="12">
        <f>150+220+380</f>
        <v>750</v>
      </c>
      <c r="Q1373" s="11">
        <f t="shared" si="1381"/>
        <v>45000</v>
      </c>
      <c r="X1373" s="12">
        <f>400+115+60</f>
        <v>575</v>
      </c>
      <c r="Y1373" s="11">
        <f t="shared" si="1382"/>
        <v>34500</v>
      </c>
      <c r="AF1373" s="12">
        <v>50</v>
      </c>
      <c r="AG1373" s="11">
        <f t="shared" si="1383"/>
        <v>3250</v>
      </c>
      <c r="AH1373" s="12">
        <v>170</v>
      </c>
      <c r="AI1373" s="11">
        <f t="shared" si="1384"/>
        <v>11050</v>
      </c>
      <c r="AJ1373" s="12">
        <v>80</v>
      </c>
      <c r="AK1373" s="13">
        <f t="shared" si="1385"/>
        <v>720</v>
      </c>
      <c r="AL1373" s="12">
        <v>35</v>
      </c>
      <c r="AM1373" s="13">
        <f t="shared" si="1386"/>
        <v>315</v>
      </c>
      <c r="AO1373" s="11">
        <f>(AN1373*80)</f>
        <v>0</v>
      </c>
      <c r="AQ1373" s="11">
        <f>(AP1373*80)</f>
        <v>0</v>
      </c>
      <c r="AS1373" s="11">
        <f>(AR1373*50)</f>
        <v>0</v>
      </c>
      <c r="AU1373" s="11">
        <f>(AT1373*50)</f>
        <v>0</v>
      </c>
      <c r="AW1373" s="11">
        <f>(AV1373*60)</f>
        <v>0</v>
      </c>
      <c r="AY1373" s="11">
        <f>(AX1373*60)</f>
        <v>0</v>
      </c>
      <c r="BA1373" s="11">
        <f>(AZ1373*40)</f>
        <v>0</v>
      </c>
      <c r="BC1373" s="11">
        <f>(BB1373*40)</f>
        <v>0</v>
      </c>
      <c r="BE1373" s="11">
        <f>(BD1373*95)</f>
        <v>0</v>
      </c>
      <c r="BG1373" s="11">
        <f>(BF1373*95)</f>
        <v>0</v>
      </c>
      <c r="BN1373" s="8">
        <f t="shared" si="1376"/>
        <v>1545</v>
      </c>
      <c r="BO1373" s="8">
        <f t="shared" si="1377"/>
        <v>87970</v>
      </c>
      <c r="BP1373" s="8">
        <f t="shared" si="1334"/>
        <v>1030</v>
      </c>
      <c r="BQ1373" s="12">
        <f t="shared" si="1335"/>
        <v>58365</v>
      </c>
    </row>
    <row r="1374" spans="1:69">
      <c r="A1374" s="28">
        <v>1993</v>
      </c>
      <c r="B1374" s="27" t="s">
        <v>69</v>
      </c>
      <c r="C1374" s="24">
        <f t="shared" si="1337"/>
        <v>1336</v>
      </c>
      <c r="D1374" s="7">
        <f t="shared" ca="1" si="1356"/>
        <v>0.35318559556786705</v>
      </c>
      <c r="E1374" s="26">
        <f t="array" aca="1" ref="E1374" ca="1">AVERAGE(IF(INDIRECT(DatCol&amp;"$"&amp;TEXT(C1374,"###")):INDIRECT(DatCol&amp;"$"&amp;TEXT(C1374+57,"###"))&gt;0,INDIRECT(DatCol&amp;"$"&amp;TEXT(C1374,"###")):INDIRECT(DatCol&amp;"$"&amp;TEXT(C1374+57,"###"))))</f>
        <v>778.62745098039215</v>
      </c>
      <c r="F1374" s="26" t="str">
        <f t="shared" si="1357"/>
        <v>B</v>
      </c>
      <c r="G1374" s="8">
        <v>21</v>
      </c>
      <c r="H1374" s="8">
        <v>20</v>
      </c>
      <c r="I1374" s="8">
        <v>23</v>
      </c>
      <c r="J1374" s="8">
        <v>494</v>
      </c>
      <c r="K1374" s="9">
        <f t="shared" si="1378"/>
        <v>535</v>
      </c>
      <c r="L1374" s="12">
        <v>45</v>
      </c>
      <c r="M1374" s="11">
        <f t="shared" si="1379"/>
        <v>2250</v>
      </c>
      <c r="N1374" s="12">
        <v>275</v>
      </c>
      <c r="O1374" s="11">
        <f t="shared" si="1380"/>
        <v>13750</v>
      </c>
      <c r="P1374" s="12">
        <f>602+642+1445</f>
        <v>2689</v>
      </c>
      <c r="Q1374" s="11">
        <f t="shared" si="1381"/>
        <v>161340</v>
      </c>
      <c r="X1374" s="12">
        <f>70+130+450</f>
        <v>650</v>
      </c>
      <c r="Y1374" s="11">
        <f t="shared" si="1382"/>
        <v>39000</v>
      </c>
      <c r="AF1374" s="12">
        <v>22</v>
      </c>
      <c r="AG1374" s="11">
        <f t="shared" si="1383"/>
        <v>1430</v>
      </c>
      <c r="AH1374" s="12">
        <v>10</v>
      </c>
      <c r="AI1374" s="11">
        <f t="shared" si="1384"/>
        <v>650</v>
      </c>
      <c r="AJ1374" s="12">
        <v>115</v>
      </c>
      <c r="AK1374" s="13">
        <f t="shared" si="1385"/>
        <v>1035</v>
      </c>
      <c r="AL1374" s="12">
        <v>15</v>
      </c>
      <c r="AM1374" s="13">
        <f t="shared" si="1386"/>
        <v>135</v>
      </c>
      <c r="AN1374" s="12">
        <v>0</v>
      </c>
      <c r="AO1374" s="11">
        <f>(AN1374*80)</f>
        <v>0</v>
      </c>
      <c r="AP1374" s="12">
        <v>0</v>
      </c>
      <c r="AQ1374" s="11">
        <f>(AP1374*80)</f>
        <v>0</v>
      </c>
      <c r="AR1374" s="12">
        <v>0</v>
      </c>
      <c r="AS1374" s="11">
        <f>(AR1374*50)</f>
        <v>0</v>
      </c>
      <c r="AT1374" s="12">
        <v>0</v>
      </c>
      <c r="AU1374" s="11">
        <f>(AT1374*50)</f>
        <v>0</v>
      </c>
      <c r="AV1374" s="12">
        <v>0</v>
      </c>
      <c r="AW1374" s="11">
        <f>(AV1374*60)</f>
        <v>0</v>
      </c>
      <c r="AX1374" s="12">
        <v>0</v>
      </c>
      <c r="AY1374" s="11">
        <f>(AX1374*60)</f>
        <v>0</v>
      </c>
      <c r="AZ1374" s="12">
        <v>0</v>
      </c>
      <c r="BA1374" s="11">
        <f>(AZ1374*40)</f>
        <v>0</v>
      </c>
      <c r="BB1374" s="12">
        <v>0</v>
      </c>
      <c r="BC1374" s="11">
        <f>(BB1374*40)</f>
        <v>0</v>
      </c>
      <c r="BD1374" s="12">
        <v>0</v>
      </c>
      <c r="BE1374" s="11">
        <f>(BD1374*95)</f>
        <v>0</v>
      </c>
      <c r="BF1374" s="12">
        <v>0</v>
      </c>
      <c r="BG1374" s="11">
        <f>(BF1374*95)</f>
        <v>0</v>
      </c>
      <c r="BN1374" s="8">
        <f t="shared" si="1376"/>
        <v>3521</v>
      </c>
      <c r="BO1374" s="8">
        <f t="shared" si="1377"/>
        <v>205055</v>
      </c>
      <c r="BP1374" s="8">
        <f t="shared" si="1334"/>
        <v>950</v>
      </c>
      <c r="BQ1374" s="12">
        <f t="shared" si="1335"/>
        <v>53535</v>
      </c>
    </row>
    <row r="1375" spans="1:69">
      <c r="A1375" s="28">
        <v>1994</v>
      </c>
      <c r="B1375" s="27" t="s">
        <v>69</v>
      </c>
      <c r="C1375" s="24">
        <f t="shared" si="1337"/>
        <v>1336</v>
      </c>
      <c r="D1375" s="7">
        <f t="shared" ca="1" si="1356"/>
        <v>0.75132208511709897</v>
      </c>
      <c r="E1375" s="26">
        <f t="array" aca="1" ref="E1375" ca="1">AVERAGE(IF(INDIRECT(DatCol&amp;"$"&amp;TEXT(C1375,"###")):INDIRECT(DatCol&amp;"$"&amp;TEXT(C1375+57,"###"))&gt;0,INDIRECT(DatCol&amp;"$"&amp;TEXT(C1375,"###")):INDIRECT(DatCol&amp;"$"&amp;TEXT(C1375+57,"###"))))</f>
        <v>778.62745098039215</v>
      </c>
      <c r="F1375" s="26" t="str">
        <f t="shared" si="1357"/>
        <v>B</v>
      </c>
      <c r="G1375" s="8">
        <v>250</v>
      </c>
      <c r="H1375" s="8">
        <v>14</v>
      </c>
      <c r="I1375" s="8">
        <v>26</v>
      </c>
      <c r="J1375" s="8">
        <v>505</v>
      </c>
      <c r="K1375" s="9">
        <f t="shared" si="1378"/>
        <v>769</v>
      </c>
      <c r="L1375" s="12">
        <v>0</v>
      </c>
      <c r="M1375" s="11">
        <f t="shared" si="1379"/>
        <v>0</v>
      </c>
      <c r="N1375" s="12">
        <v>585</v>
      </c>
      <c r="O1375" s="11">
        <f t="shared" si="1380"/>
        <v>29250</v>
      </c>
      <c r="P1375" s="12">
        <f>471+505+982</f>
        <v>1958</v>
      </c>
      <c r="Q1375" s="11">
        <f t="shared" si="1381"/>
        <v>117480</v>
      </c>
      <c r="X1375" s="12">
        <v>556</v>
      </c>
      <c r="Y1375" s="11">
        <f t="shared" si="1382"/>
        <v>33360</v>
      </c>
      <c r="AF1375" s="12">
        <v>2</v>
      </c>
      <c r="AG1375" s="11">
        <f t="shared" si="1383"/>
        <v>130</v>
      </c>
      <c r="AH1375" s="12">
        <v>4</v>
      </c>
      <c r="AI1375" s="11">
        <f t="shared" si="1384"/>
        <v>260</v>
      </c>
      <c r="AJ1375" s="12">
        <v>45</v>
      </c>
      <c r="AK1375" s="13">
        <f t="shared" si="1385"/>
        <v>405</v>
      </c>
      <c r="AL1375" s="12">
        <v>35</v>
      </c>
      <c r="AM1375" s="13">
        <f t="shared" si="1386"/>
        <v>315</v>
      </c>
      <c r="AN1375" s="12">
        <v>0</v>
      </c>
      <c r="AO1375" s="11">
        <f>(AN1375*80)</f>
        <v>0</v>
      </c>
      <c r="AP1375" s="12">
        <v>0</v>
      </c>
      <c r="AQ1375" s="11">
        <f>(AP1375*80)</f>
        <v>0</v>
      </c>
      <c r="AR1375" s="12">
        <v>0</v>
      </c>
      <c r="AS1375" s="11">
        <f>(AR1375*50)</f>
        <v>0</v>
      </c>
      <c r="AT1375" s="12">
        <v>0</v>
      </c>
      <c r="AU1375" s="11">
        <f>(AT1375*50)</f>
        <v>0</v>
      </c>
      <c r="AV1375" s="12">
        <v>0</v>
      </c>
      <c r="AW1375" s="11">
        <f>(AV1375*60)</f>
        <v>0</v>
      </c>
      <c r="AX1375" s="12">
        <v>0</v>
      </c>
      <c r="AY1375" s="11">
        <f>(AX1375*60)</f>
        <v>0</v>
      </c>
      <c r="AZ1375" s="12">
        <v>0</v>
      </c>
      <c r="BA1375" s="11">
        <f>(AZ1375*40)</f>
        <v>0</v>
      </c>
      <c r="BB1375" s="12">
        <v>1</v>
      </c>
      <c r="BC1375" s="11">
        <f>(BB1375*40)</f>
        <v>40</v>
      </c>
      <c r="BD1375" s="12">
        <v>0</v>
      </c>
      <c r="BE1375" s="11">
        <f>(BD1375*95)</f>
        <v>0</v>
      </c>
      <c r="BF1375" s="12">
        <v>0</v>
      </c>
      <c r="BG1375" s="11">
        <f>(BF1375*95)</f>
        <v>0</v>
      </c>
      <c r="BH1375" s="13">
        <v>0</v>
      </c>
      <c r="BI1375" s="13">
        <v>5</v>
      </c>
      <c r="BN1375" s="8">
        <f t="shared" si="1376"/>
        <v>2561</v>
      </c>
      <c r="BO1375" s="8">
        <f t="shared" si="1377"/>
        <v>151375</v>
      </c>
      <c r="BP1375" s="8">
        <f t="shared" si="1334"/>
        <v>1181</v>
      </c>
      <c r="BQ1375" s="12">
        <f t="shared" si="1335"/>
        <v>63225</v>
      </c>
    </row>
    <row r="1376" spans="1:69">
      <c r="A1376" s="28">
        <v>1995</v>
      </c>
      <c r="B1376" s="27" t="s">
        <v>69</v>
      </c>
      <c r="C1376" s="24">
        <f t="shared" si="1337"/>
        <v>1336</v>
      </c>
      <c r="D1376" s="7">
        <f t="shared" ca="1" si="1356"/>
        <v>0.16952908587257617</v>
      </c>
      <c r="E1376" s="26">
        <f t="array" aca="1" ref="E1376" ca="1">AVERAGE(IF(INDIRECT(DatCol&amp;"$"&amp;TEXT(C1376,"###")):INDIRECT(DatCol&amp;"$"&amp;TEXT(C1376+57,"###"))&gt;0,INDIRECT(DatCol&amp;"$"&amp;TEXT(C1376,"###")):INDIRECT(DatCol&amp;"$"&amp;TEXT(C1376+57,"###"))))</f>
        <v>778.62745098039215</v>
      </c>
      <c r="F1376" s="26" t="str">
        <f t="shared" si="1357"/>
        <v>B</v>
      </c>
      <c r="G1376" s="9">
        <v>95</v>
      </c>
      <c r="H1376" s="9">
        <v>19</v>
      </c>
      <c r="I1376" s="9">
        <v>57</v>
      </c>
      <c r="J1376" s="9">
        <v>527</v>
      </c>
      <c r="K1376" s="9">
        <f t="shared" si="1378"/>
        <v>641</v>
      </c>
      <c r="L1376" s="10">
        <v>0</v>
      </c>
      <c r="M1376" s="11">
        <f t="shared" si="1379"/>
        <v>0</v>
      </c>
      <c r="N1376" s="10">
        <v>132</v>
      </c>
      <c r="O1376" s="11">
        <f t="shared" si="1380"/>
        <v>6600</v>
      </c>
      <c r="P1376" s="10">
        <f>2394+1436+718+239</f>
        <v>4787</v>
      </c>
      <c r="Q1376" s="11">
        <f t="shared" si="1381"/>
        <v>287220</v>
      </c>
      <c r="X1376" s="10">
        <f>147+68+39+40</f>
        <v>294</v>
      </c>
      <c r="Y1376" s="11">
        <f t="shared" si="1382"/>
        <v>17640</v>
      </c>
      <c r="AF1376" s="10">
        <v>56</v>
      </c>
      <c r="AG1376" s="11">
        <f t="shared" si="1383"/>
        <v>3640</v>
      </c>
      <c r="AH1376" s="10">
        <v>0</v>
      </c>
      <c r="AI1376" s="11">
        <f t="shared" si="1384"/>
        <v>0</v>
      </c>
      <c r="AJ1376" s="10">
        <v>1758</v>
      </c>
      <c r="AK1376" s="13">
        <f t="shared" si="1385"/>
        <v>15822</v>
      </c>
      <c r="AL1376" s="10">
        <v>396</v>
      </c>
      <c r="AM1376" s="13">
        <f t="shared" si="1386"/>
        <v>3564</v>
      </c>
      <c r="AN1376" s="10">
        <v>0</v>
      </c>
      <c r="AO1376" s="11">
        <f>(AN1376*80)</f>
        <v>0</v>
      </c>
      <c r="AP1376" s="10">
        <v>0</v>
      </c>
      <c r="AQ1376" s="11">
        <f>(AP1376*80)</f>
        <v>0</v>
      </c>
      <c r="AR1376" s="10">
        <v>0</v>
      </c>
      <c r="AS1376" s="11">
        <f>(AR1376*50)</f>
        <v>0</v>
      </c>
      <c r="AT1376" s="10">
        <v>0</v>
      </c>
      <c r="AU1376" s="11">
        <f>(AT1376*50)</f>
        <v>0</v>
      </c>
      <c r="AV1376" s="10">
        <v>0</v>
      </c>
      <c r="AW1376" s="11">
        <f>(AV1376*60)</f>
        <v>0</v>
      </c>
      <c r="AX1376" s="10">
        <v>0</v>
      </c>
      <c r="AY1376" s="11">
        <f>(AX1376*60)</f>
        <v>0</v>
      </c>
      <c r="AZ1376" s="10">
        <v>0</v>
      </c>
      <c r="BA1376" s="11">
        <f>(AZ1376*40)</f>
        <v>0</v>
      </c>
      <c r="BB1376" s="10">
        <v>0</v>
      </c>
      <c r="BC1376" s="11">
        <f>(BB1376*40)</f>
        <v>0</v>
      </c>
      <c r="BD1376" s="10">
        <v>0</v>
      </c>
      <c r="BE1376" s="11">
        <f>(BD1376*95)</f>
        <v>0</v>
      </c>
      <c r="BF1376" s="10">
        <v>0</v>
      </c>
      <c r="BG1376" s="11">
        <f>(BF1376*95)</f>
        <v>0</v>
      </c>
      <c r="BH1376" s="11">
        <v>0</v>
      </c>
      <c r="BI1376" s="11">
        <v>0</v>
      </c>
      <c r="BN1376" s="8">
        <f t="shared" si="1376"/>
        <v>6895</v>
      </c>
      <c r="BO1376" s="8">
        <f t="shared" si="1377"/>
        <v>324322</v>
      </c>
      <c r="BP1376" s="8">
        <f t="shared" si="1334"/>
        <v>822</v>
      </c>
      <c r="BQ1376" s="12">
        <f t="shared" si="1335"/>
        <v>27804</v>
      </c>
    </row>
    <row r="1377" spans="1:69">
      <c r="A1377" s="28">
        <v>1996</v>
      </c>
      <c r="B1377" s="27" t="s">
        <v>69</v>
      </c>
      <c r="C1377" s="24">
        <f t="shared" si="1337"/>
        <v>1336</v>
      </c>
      <c r="D1377" s="7">
        <f t="shared" ca="1" si="1356"/>
        <v>0.15925459581969278</v>
      </c>
      <c r="E1377" s="26">
        <f t="array" aca="1" ref="E1377" ca="1">AVERAGE(IF(INDIRECT(DatCol&amp;"$"&amp;TEXT(C1377,"###")):INDIRECT(DatCol&amp;"$"&amp;TEXT(C1377+57,"###"))&gt;0,INDIRECT(DatCol&amp;"$"&amp;TEXT(C1377,"###")):INDIRECT(DatCol&amp;"$"&amp;TEXT(C1377+57,"###"))))</f>
        <v>778.62745098039215</v>
      </c>
      <c r="F1377" s="26" t="str">
        <f t="shared" si="1357"/>
        <v>B</v>
      </c>
      <c r="G1377" s="9">
        <v>121</v>
      </c>
      <c r="H1377" s="9">
        <v>18</v>
      </c>
      <c r="I1377" s="9">
        <v>34</v>
      </c>
      <c r="J1377" s="9">
        <v>461</v>
      </c>
      <c r="K1377" s="9">
        <f t="shared" si="1378"/>
        <v>600</v>
      </c>
      <c r="L1377" s="10">
        <v>0</v>
      </c>
      <c r="M1377" s="11">
        <f t="shared" si="1379"/>
        <v>0</v>
      </c>
      <c r="N1377" s="10">
        <v>124</v>
      </c>
      <c r="O1377" s="11">
        <f t="shared" si="1380"/>
        <v>6200</v>
      </c>
      <c r="P1377" s="10">
        <f>677.5+218+212+860+310+350</f>
        <v>2627.5</v>
      </c>
      <c r="Q1377" s="11">
        <f t="shared" si="1381"/>
        <v>157650</v>
      </c>
      <c r="X1377" s="10">
        <f>141+70+40+31</f>
        <v>282</v>
      </c>
      <c r="Y1377" s="11">
        <f t="shared" si="1382"/>
        <v>16920</v>
      </c>
      <c r="AF1377" s="10">
        <v>0</v>
      </c>
      <c r="AG1377" s="11">
        <f t="shared" si="1383"/>
        <v>0</v>
      </c>
      <c r="AH1377" s="10">
        <v>4</v>
      </c>
      <c r="AI1377" s="11">
        <f t="shared" si="1384"/>
        <v>260</v>
      </c>
      <c r="AJ1377" s="10">
        <v>10</v>
      </c>
      <c r="AK1377" s="13">
        <f t="shared" si="1385"/>
        <v>90</v>
      </c>
      <c r="AL1377" s="10">
        <v>12</v>
      </c>
      <c r="AM1377" s="13">
        <f t="shared" si="1386"/>
        <v>108</v>
      </c>
      <c r="AN1377" s="10">
        <v>0</v>
      </c>
      <c r="AO1377" s="11">
        <v>0</v>
      </c>
      <c r="AP1377" s="10">
        <v>0</v>
      </c>
      <c r="AQ1377" s="11">
        <v>0</v>
      </c>
      <c r="AR1377" s="10">
        <v>0</v>
      </c>
      <c r="AS1377" s="11">
        <v>0</v>
      </c>
      <c r="AT1377" s="10">
        <v>0</v>
      </c>
      <c r="AU1377" s="11">
        <v>0</v>
      </c>
      <c r="AV1377" s="10">
        <v>0</v>
      </c>
      <c r="AW1377" s="11">
        <v>0</v>
      </c>
      <c r="AX1377" s="10">
        <v>0</v>
      </c>
      <c r="AY1377" s="11">
        <v>0</v>
      </c>
      <c r="AZ1377" s="10">
        <v>0</v>
      </c>
      <c r="BA1377" s="11">
        <v>0</v>
      </c>
      <c r="BB1377" s="10">
        <v>0</v>
      </c>
      <c r="BC1377" s="11">
        <v>0</v>
      </c>
      <c r="BD1377" s="10">
        <v>0</v>
      </c>
      <c r="BE1377" s="11">
        <v>0</v>
      </c>
      <c r="BF1377" s="10">
        <v>0</v>
      </c>
      <c r="BG1377" s="11">
        <v>0</v>
      </c>
      <c r="BH1377" s="11">
        <v>65</v>
      </c>
      <c r="BI1377" s="11">
        <v>0</v>
      </c>
      <c r="BN1377" s="8">
        <f t="shared" si="1376"/>
        <v>2919.5</v>
      </c>
      <c r="BO1377" s="8">
        <f t="shared" si="1377"/>
        <v>174660</v>
      </c>
      <c r="BP1377" s="8">
        <f t="shared" si="1334"/>
        <v>422</v>
      </c>
      <c r="BQ1377" s="12">
        <f t="shared" si="1335"/>
        <v>23488</v>
      </c>
    </row>
    <row r="1378" spans="1:69">
      <c r="A1378" s="28">
        <v>1997</v>
      </c>
      <c r="B1378" s="27" t="s">
        <v>69</v>
      </c>
      <c r="C1378" s="24">
        <f t="shared" si="1337"/>
        <v>1336</v>
      </c>
      <c r="D1378" s="7">
        <f t="shared" ca="1" si="1356"/>
        <v>0.17209770838579702</v>
      </c>
      <c r="E1378" s="26">
        <f t="array" aca="1" ref="E1378" ca="1">AVERAGE(IF(INDIRECT(DatCol&amp;"$"&amp;TEXT(C1378,"###")):INDIRECT(DatCol&amp;"$"&amp;TEXT(C1378+57,"###"))&gt;0,INDIRECT(DatCol&amp;"$"&amp;TEXT(C1378,"###")):INDIRECT(DatCol&amp;"$"&amp;TEXT(C1378+57,"###"))))</f>
        <v>778.62745098039215</v>
      </c>
      <c r="F1378" s="26" t="str">
        <f t="shared" si="1357"/>
        <v>B</v>
      </c>
      <c r="G1378" s="9">
        <v>141</v>
      </c>
      <c r="H1378" s="9">
        <v>12</v>
      </c>
      <c r="I1378" s="9">
        <v>23</v>
      </c>
      <c r="J1378" s="9">
        <v>438</v>
      </c>
      <c r="K1378" s="9">
        <f t="shared" si="1378"/>
        <v>591</v>
      </c>
      <c r="L1378" s="10">
        <v>0</v>
      </c>
      <c r="M1378" s="11">
        <f t="shared" si="1379"/>
        <v>0</v>
      </c>
      <c r="N1378" s="10">
        <v>134</v>
      </c>
      <c r="O1378" s="11">
        <f t="shared" si="1380"/>
        <v>6700</v>
      </c>
      <c r="P1378" s="10">
        <f>637+204+217+790+300+340</f>
        <v>2488</v>
      </c>
      <c r="Q1378" s="11">
        <f t="shared" si="1381"/>
        <v>149280</v>
      </c>
      <c r="X1378" s="10">
        <f>151+80+36+35</f>
        <v>302</v>
      </c>
      <c r="Y1378" s="11">
        <f t="shared" si="1382"/>
        <v>18120</v>
      </c>
      <c r="AF1378" s="10">
        <v>0</v>
      </c>
      <c r="AG1378" s="11">
        <f t="shared" si="1383"/>
        <v>0</v>
      </c>
      <c r="AH1378" s="10">
        <v>15</v>
      </c>
      <c r="AI1378" s="11">
        <f t="shared" si="1384"/>
        <v>975</v>
      </c>
      <c r="AJ1378" s="10">
        <f>8+15</f>
        <v>23</v>
      </c>
      <c r="AK1378" s="13">
        <f t="shared" si="1385"/>
        <v>207</v>
      </c>
      <c r="AL1378" s="10">
        <v>30</v>
      </c>
      <c r="AM1378" s="13">
        <f t="shared" si="1386"/>
        <v>270</v>
      </c>
      <c r="AN1378" s="10">
        <v>0</v>
      </c>
      <c r="AO1378" s="11">
        <v>0</v>
      </c>
      <c r="AP1378" s="10">
        <v>0</v>
      </c>
      <c r="AQ1378" s="11">
        <v>0</v>
      </c>
      <c r="AR1378" s="10">
        <v>0</v>
      </c>
      <c r="AS1378" s="11">
        <v>0</v>
      </c>
      <c r="AT1378" s="10">
        <v>0</v>
      </c>
      <c r="AU1378" s="11">
        <v>0</v>
      </c>
      <c r="AV1378" s="10">
        <v>0</v>
      </c>
      <c r="AW1378" s="11">
        <v>0</v>
      </c>
      <c r="AX1378" s="10">
        <v>0</v>
      </c>
      <c r="AY1378" s="11">
        <v>0</v>
      </c>
      <c r="AZ1378" s="10">
        <v>0</v>
      </c>
      <c r="BA1378" s="11">
        <v>0</v>
      </c>
      <c r="BB1378" s="10">
        <v>0</v>
      </c>
      <c r="BC1378" s="11">
        <v>0</v>
      </c>
      <c r="BD1378" s="10">
        <v>0</v>
      </c>
      <c r="BE1378" s="11">
        <v>0</v>
      </c>
      <c r="BF1378" s="10">
        <v>0</v>
      </c>
      <c r="BG1378" s="11">
        <v>0</v>
      </c>
      <c r="BH1378" s="11">
        <v>65</v>
      </c>
      <c r="BI1378" s="11">
        <v>0</v>
      </c>
      <c r="BN1378" s="8">
        <f t="shared" si="1376"/>
        <v>2813</v>
      </c>
      <c r="BO1378" s="8">
        <f t="shared" si="1377"/>
        <v>167607</v>
      </c>
      <c r="BP1378" s="8">
        <f t="shared" si="1334"/>
        <v>481</v>
      </c>
      <c r="BQ1378" s="12">
        <f t="shared" si="1335"/>
        <v>26065</v>
      </c>
    </row>
    <row r="1379" spans="1:69">
      <c r="A1379" s="28">
        <v>1998</v>
      </c>
      <c r="B1379" s="27" t="s">
        <v>69</v>
      </c>
      <c r="C1379" s="24">
        <f t="shared" si="1337"/>
        <v>1336</v>
      </c>
      <c r="D1379" s="7">
        <f t="shared" ca="1" si="1356"/>
        <v>0.1155880130949383</v>
      </c>
      <c r="E1379" s="26">
        <f t="array" aca="1" ref="E1379" ca="1">AVERAGE(IF(INDIRECT(DatCol&amp;"$"&amp;TEXT(C1379,"###")):INDIRECT(DatCol&amp;"$"&amp;TEXT(C1379+57,"###"))&gt;0,INDIRECT(DatCol&amp;"$"&amp;TEXT(C1379,"###")):INDIRECT(DatCol&amp;"$"&amp;TEXT(C1379+57,"###"))))</f>
        <v>778.62745098039215</v>
      </c>
      <c r="F1379" s="26" t="str">
        <f t="shared" si="1357"/>
        <v>B</v>
      </c>
      <c r="G1379" s="9">
        <v>155</v>
      </c>
      <c r="H1379" s="9">
        <v>12</v>
      </c>
      <c r="I1379" s="9">
        <v>24</v>
      </c>
      <c r="J1379" s="9">
        <v>447</v>
      </c>
      <c r="K1379" s="9">
        <f t="shared" si="1378"/>
        <v>614</v>
      </c>
      <c r="L1379" s="10">
        <v>0</v>
      </c>
      <c r="M1379" s="11">
        <v>0</v>
      </c>
      <c r="N1379" s="10">
        <f>(O1379/50)</f>
        <v>90</v>
      </c>
      <c r="O1379" s="11">
        <v>4500</v>
      </c>
      <c r="P1379" s="10">
        <f>Q1379/60</f>
        <v>826.66666666666663</v>
      </c>
      <c r="Q1379" s="11">
        <v>49600</v>
      </c>
      <c r="R1379" s="10">
        <f>S1379/60</f>
        <v>480</v>
      </c>
      <c r="S1379" s="11">
        <v>28800</v>
      </c>
      <c r="T1379" s="10">
        <f>U1379/60</f>
        <v>170</v>
      </c>
      <c r="U1379" s="11">
        <v>10200</v>
      </c>
      <c r="V1379" s="10">
        <f>W1379/60</f>
        <v>190</v>
      </c>
      <c r="W1379" s="11">
        <v>11400</v>
      </c>
      <c r="X1379" s="10">
        <f>Y1379/60</f>
        <v>215</v>
      </c>
      <c r="Y1379" s="11">
        <v>12900</v>
      </c>
      <c r="Z1379" s="10">
        <f>AA1379/60</f>
        <v>110</v>
      </c>
      <c r="AA1379" s="11">
        <v>6600</v>
      </c>
      <c r="AB1379" s="10">
        <f>AC1379/60</f>
        <v>60</v>
      </c>
      <c r="AC1379" s="11">
        <v>3600</v>
      </c>
      <c r="AD1379" s="10">
        <f>AE1379/60</f>
        <v>45</v>
      </c>
      <c r="AE1379" s="11">
        <v>2700</v>
      </c>
      <c r="AF1379" s="10">
        <f>(AG1379/65)</f>
        <v>15.384615384615385</v>
      </c>
      <c r="AG1379" s="11">
        <v>1000</v>
      </c>
      <c r="AH1379" s="10">
        <f>(AI1379/65)</f>
        <v>23.076923076923077</v>
      </c>
      <c r="AI1379" s="11">
        <v>1500</v>
      </c>
      <c r="AJ1379" s="10">
        <f>AK1379/9</f>
        <v>711.11111111111109</v>
      </c>
      <c r="AK1379" s="13">
        <v>6400</v>
      </c>
      <c r="AL1379" s="10">
        <f t="shared" ref="AL1379:AL1388" si="1387">AM1379/9</f>
        <v>377.77777777777777</v>
      </c>
      <c r="AM1379" s="13">
        <v>3400</v>
      </c>
      <c r="AN1379" s="10">
        <v>0</v>
      </c>
      <c r="AO1379" s="11">
        <v>0</v>
      </c>
      <c r="AP1379" s="10">
        <v>0</v>
      </c>
      <c r="AQ1379" s="11">
        <v>0</v>
      </c>
      <c r="AR1379" s="10">
        <v>0</v>
      </c>
      <c r="AS1379" s="11">
        <v>0</v>
      </c>
      <c r="AT1379" s="10">
        <v>0</v>
      </c>
      <c r="AU1379" s="11">
        <v>0</v>
      </c>
      <c r="AV1379" s="10">
        <v>0</v>
      </c>
      <c r="AW1379" s="11">
        <v>0</v>
      </c>
      <c r="AX1379" s="10">
        <v>0</v>
      </c>
      <c r="AY1379" s="11">
        <v>0</v>
      </c>
      <c r="AZ1379" s="10">
        <v>0</v>
      </c>
      <c r="BA1379" s="11">
        <v>0</v>
      </c>
      <c r="BB1379" s="10">
        <v>0</v>
      </c>
      <c r="BC1379" s="11">
        <v>0</v>
      </c>
      <c r="BD1379" s="10">
        <v>0</v>
      </c>
      <c r="BE1379" s="11">
        <v>0</v>
      </c>
      <c r="BF1379" s="10">
        <v>0</v>
      </c>
      <c r="BG1379" s="11">
        <v>0</v>
      </c>
      <c r="BN1379" s="8">
        <f t="shared" si="1376"/>
        <v>2823.1623931623926</v>
      </c>
      <c r="BO1379" s="8">
        <f t="shared" si="1377"/>
        <v>130500</v>
      </c>
      <c r="BP1379" s="8">
        <f t="shared" ref="BP1379:BP1443" si="1388">(N1379+X1379+Z1379+AB1379+AD1379+AH1379+AL1379+AP1379+AT1379+AX1379+BB1379+BF1379)</f>
        <v>920.85470085470092</v>
      </c>
      <c r="BQ1379" s="12">
        <f t="shared" ref="BQ1379:BQ1443" si="1389">(O1379+Y1379+AA1379+AC1379+AE1379+AI1379+AM1379+AQ1379+AU1379+AY1379+BC1379+BG1379)</f>
        <v>35200</v>
      </c>
    </row>
    <row r="1380" spans="1:69">
      <c r="A1380" s="28">
        <v>1999</v>
      </c>
      <c r="B1380" s="27" t="s">
        <v>69</v>
      </c>
      <c r="C1380" s="24">
        <f t="shared" si="1337"/>
        <v>1336</v>
      </c>
      <c r="D1380" s="7">
        <f t="shared" ca="1" si="1356"/>
        <v>6.5499874087131704E-2</v>
      </c>
      <c r="E1380" s="26">
        <f t="array" aca="1" ref="E1380" ca="1">AVERAGE(IF(INDIRECT(DatCol&amp;"$"&amp;TEXT(C1380,"###")):INDIRECT(DatCol&amp;"$"&amp;TEXT(C1380+57,"###"))&gt;0,INDIRECT(DatCol&amp;"$"&amp;TEXT(C1380,"###")):INDIRECT(DatCol&amp;"$"&amp;TEXT(C1380+57,"###"))))</f>
        <v>778.62745098039215</v>
      </c>
      <c r="F1380" s="26" t="str">
        <f t="shared" si="1357"/>
        <v>B</v>
      </c>
      <c r="G1380" s="9">
        <v>175</v>
      </c>
      <c r="H1380" s="9">
        <v>18</v>
      </c>
      <c r="I1380" s="9">
        <v>24</v>
      </c>
      <c r="J1380" s="9">
        <v>452</v>
      </c>
      <c r="K1380" s="9">
        <f t="shared" si="1378"/>
        <v>645</v>
      </c>
      <c r="L1380" s="10">
        <v>0</v>
      </c>
      <c r="M1380" s="11">
        <v>0</v>
      </c>
      <c r="N1380" s="10">
        <f t="shared" ref="N1380:N1388" si="1390">O1380/50</f>
        <v>51</v>
      </c>
      <c r="O1380" s="11">
        <v>2550</v>
      </c>
      <c r="P1380" s="10">
        <f>Q1380/60</f>
        <v>749</v>
      </c>
      <c r="Q1380" s="11">
        <v>44940</v>
      </c>
      <c r="R1380" s="10">
        <f>S1380/60</f>
        <v>563</v>
      </c>
      <c r="S1380" s="11">
        <v>33780</v>
      </c>
      <c r="T1380" s="10">
        <f>U1380/60</f>
        <v>162</v>
      </c>
      <c r="U1380" s="11">
        <v>9720</v>
      </c>
      <c r="V1380" s="10">
        <f>W1380/60</f>
        <v>24</v>
      </c>
      <c r="W1380" s="11">
        <v>1440</v>
      </c>
      <c r="X1380" s="10">
        <f>Y1380/60</f>
        <v>266</v>
      </c>
      <c r="Y1380" s="11">
        <v>15960</v>
      </c>
      <c r="Z1380" s="10">
        <f>AA1380/60</f>
        <v>107</v>
      </c>
      <c r="AA1380" s="11">
        <v>6420</v>
      </c>
      <c r="AB1380" s="10">
        <f>AC1380/60</f>
        <v>106</v>
      </c>
      <c r="AC1380" s="11">
        <v>6360</v>
      </c>
      <c r="AD1380" s="10">
        <f>AE1380/60</f>
        <v>53</v>
      </c>
      <c r="AE1380" s="11">
        <v>3180</v>
      </c>
      <c r="AF1380" s="10">
        <f>AG1380/50</f>
        <v>24</v>
      </c>
      <c r="AG1380" s="11">
        <v>1200</v>
      </c>
      <c r="AH1380" s="10">
        <f>AI1380/60</f>
        <v>33.333333333333336</v>
      </c>
      <c r="AI1380" s="11">
        <v>2000</v>
      </c>
      <c r="AJ1380" s="10">
        <f>AK1380/9</f>
        <v>66.666666666666671</v>
      </c>
      <c r="AK1380" s="13">
        <v>600</v>
      </c>
      <c r="AL1380" s="10">
        <f t="shared" si="1387"/>
        <v>100</v>
      </c>
      <c r="AM1380" s="13">
        <v>900</v>
      </c>
      <c r="AN1380" s="10">
        <v>0</v>
      </c>
      <c r="AO1380" s="11">
        <v>0</v>
      </c>
      <c r="AP1380" s="10">
        <v>0</v>
      </c>
      <c r="AQ1380" s="11">
        <v>0</v>
      </c>
      <c r="AR1380" s="10">
        <v>0</v>
      </c>
      <c r="AS1380" s="11">
        <v>0</v>
      </c>
      <c r="AT1380" s="10">
        <v>0</v>
      </c>
      <c r="AU1380" s="11">
        <v>0</v>
      </c>
      <c r="AV1380" s="10">
        <v>0</v>
      </c>
      <c r="AW1380" s="11">
        <v>0</v>
      </c>
      <c r="AX1380" s="10">
        <v>0</v>
      </c>
      <c r="AY1380" s="11">
        <v>0</v>
      </c>
      <c r="AZ1380" s="10">
        <v>0</v>
      </c>
      <c r="BA1380" s="11">
        <v>0</v>
      </c>
      <c r="BB1380" s="10">
        <v>0</v>
      </c>
      <c r="BC1380" s="11">
        <v>0</v>
      </c>
      <c r="BD1380" s="10">
        <v>0</v>
      </c>
      <c r="BE1380" s="11">
        <v>0</v>
      </c>
      <c r="BF1380" s="10">
        <v>0</v>
      </c>
      <c r="BG1380" s="11">
        <v>0</v>
      </c>
      <c r="BN1380" s="8">
        <f t="shared" si="1376"/>
        <v>2120.6666666666665</v>
      </c>
      <c r="BO1380" s="8">
        <f t="shared" si="1377"/>
        <v>120420</v>
      </c>
      <c r="BP1380" s="8">
        <f t="shared" si="1388"/>
        <v>716.33333333333337</v>
      </c>
      <c r="BQ1380" s="12">
        <f t="shared" si="1389"/>
        <v>37370</v>
      </c>
    </row>
    <row r="1381" spans="1:69">
      <c r="A1381" s="28">
        <v>2000</v>
      </c>
      <c r="B1381" s="27" t="s">
        <v>69</v>
      </c>
      <c r="C1381" s="24">
        <f t="shared" si="1337"/>
        <v>1336</v>
      </c>
      <c r="D1381" s="7">
        <f t="shared" ca="1" si="1356"/>
        <v>4.109796021153362E-2</v>
      </c>
      <c r="E1381" s="26">
        <f t="array" aca="1" ref="E1381" ca="1">AVERAGE(IF(INDIRECT(DatCol&amp;"$"&amp;TEXT(C1381,"###")):INDIRECT(DatCol&amp;"$"&amp;TEXT(C1381+57,"###"))&gt;0,INDIRECT(DatCol&amp;"$"&amp;TEXT(C1381,"###")):INDIRECT(DatCol&amp;"$"&amp;TEXT(C1381+57,"###"))))</f>
        <v>778.62745098039215</v>
      </c>
      <c r="F1381" s="26" t="str">
        <f t="shared" si="1357"/>
        <v>B</v>
      </c>
      <c r="G1381" s="9">
        <v>82</v>
      </c>
      <c r="H1381" s="9">
        <v>9</v>
      </c>
      <c r="I1381" s="9">
        <v>27</v>
      </c>
      <c r="J1381" s="9">
        <v>462</v>
      </c>
      <c r="K1381" s="9">
        <f t="shared" si="1378"/>
        <v>553</v>
      </c>
      <c r="L1381" s="10">
        <v>0</v>
      </c>
      <c r="M1381" s="11">
        <v>0</v>
      </c>
      <c r="N1381" s="10">
        <f t="shared" si="1390"/>
        <v>32</v>
      </c>
      <c r="O1381" s="11">
        <v>1600</v>
      </c>
      <c r="P1381" s="10">
        <f>Q1381/49.5</f>
        <v>1653.090909090909</v>
      </c>
      <c r="Q1381" s="11">
        <v>81828</v>
      </c>
      <c r="R1381" s="10">
        <f>S1381/49.5</f>
        <v>740.60606060606062</v>
      </c>
      <c r="S1381" s="11">
        <v>36660</v>
      </c>
      <c r="T1381" s="10">
        <f>U1381/56</f>
        <v>391.41071428571428</v>
      </c>
      <c r="U1381" s="11">
        <v>21919</v>
      </c>
      <c r="V1381" s="10">
        <f>W1381/57.5</f>
        <v>404.33043478260868</v>
      </c>
      <c r="W1381" s="11">
        <v>23249</v>
      </c>
      <c r="X1381" s="10">
        <f>Y1381/49.5</f>
        <v>196.30303030303031</v>
      </c>
      <c r="Y1381" s="11">
        <v>9717</v>
      </c>
      <c r="Z1381" s="10">
        <f>AA1381/49.5</f>
        <v>95.050505050505052</v>
      </c>
      <c r="AA1381" s="11">
        <v>4705</v>
      </c>
      <c r="AB1381" s="10">
        <f>AC1381/56</f>
        <v>43.428571428571431</v>
      </c>
      <c r="AC1381" s="11">
        <v>2432</v>
      </c>
      <c r="AD1381" s="10">
        <f>AE1381/57.5</f>
        <v>44.869565217391305</v>
      </c>
      <c r="AE1381" s="11">
        <v>2580</v>
      </c>
      <c r="AF1381" s="10">
        <f>AG1381/47.5</f>
        <v>96.589473684210532</v>
      </c>
      <c r="AG1381" s="11">
        <v>4588</v>
      </c>
      <c r="AH1381" s="10">
        <f t="shared" ref="AH1381:AH1388" si="1391">AI1381/47.5</f>
        <v>36.315789473684212</v>
      </c>
      <c r="AI1381" s="11">
        <v>1725</v>
      </c>
      <c r="AJ1381" s="10">
        <f>AK1381/9</f>
        <v>13.888888888888889</v>
      </c>
      <c r="AK1381" s="13">
        <v>125</v>
      </c>
      <c r="AL1381" s="10">
        <f t="shared" si="1387"/>
        <v>11.111111111111111</v>
      </c>
      <c r="AM1381" s="13">
        <v>100</v>
      </c>
      <c r="AN1381" s="10">
        <v>0</v>
      </c>
      <c r="AO1381" s="11">
        <v>0</v>
      </c>
      <c r="AP1381" s="10">
        <v>0</v>
      </c>
      <c r="AQ1381" s="11">
        <v>0</v>
      </c>
      <c r="AR1381" s="10">
        <v>0</v>
      </c>
      <c r="AS1381" s="11">
        <v>0</v>
      </c>
      <c r="AT1381" s="10">
        <v>0</v>
      </c>
      <c r="AU1381" s="11">
        <v>0</v>
      </c>
      <c r="AV1381" s="10">
        <v>0</v>
      </c>
      <c r="AW1381" s="11">
        <v>0</v>
      </c>
      <c r="AY1381" s="11">
        <v>0</v>
      </c>
      <c r="BA1381" s="11">
        <v>0</v>
      </c>
      <c r="BB1381" s="10">
        <v>0</v>
      </c>
      <c r="BC1381" s="11">
        <v>0</v>
      </c>
      <c r="BD1381" s="10">
        <v>0</v>
      </c>
      <c r="BE1381" s="11">
        <v>0</v>
      </c>
      <c r="BF1381" s="10">
        <v>0</v>
      </c>
      <c r="BG1381" s="11">
        <v>0</v>
      </c>
      <c r="BH1381" s="11">
        <v>0</v>
      </c>
      <c r="BI1381" s="11">
        <v>0</v>
      </c>
      <c r="BN1381" s="8">
        <f t="shared" si="1376"/>
        <v>3679.5681533378902</v>
      </c>
      <c r="BO1381" s="8">
        <f t="shared" si="1377"/>
        <v>185223</v>
      </c>
      <c r="BP1381" s="8">
        <f t="shared" si="1388"/>
        <v>459.0785725842934</v>
      </c>
      <c r="BQ1381" s="12">
        <f t="shared" si="1389"/>
        <v>22859</v>
      </c>
    </row>
    <row r="1382" spans="1:69">
      <c r="A1382" s="28">
        <v>2001</v>
      </c>
      <c r="B1382" s="27" t="s">
        <v>69</v>
      </c>
      <c r="C1382" s="24">
        <f t="shared" si="1337"/>
        <v>1336</v>
      </c>
      <c r="D1382" s="7">
        <f t="shared" ca="1" si="1356"/>
        <v>5.6509695290858725E-2</v>
      </c>
      <c r="E1382" s="26">
        <f t="array" aca="1" ref="E1382" ca="1">AVERAGE(IF(INDIRECT(DatCol&amp;"$"&amp;TEXT(C1382,"###")):INDIRECT(DatCol&amp;"$"&amp;TEXT(C1382+57,"###"))&gt;0,INDIRECT(DatCol&amp;"$"&amp;TEXT(C1382,"###")):INDIRECT(DatCol&amp;"$"&amp;TEXT(C1382+57,"###"))))</f>
        <v>778.62745098039215</v>
      </c>
      <c r="F1382" s="26" t="str">
        <f t="shared" si="1357"/>
        <v>B</v>
      </c>
      <c r="H1382" s="9">
        <v>20</v>
      </c>
      <c r="I1382" s="9">
        <v>24</v>
      </c>
      <c r="J1382" s="9">
        <v>620</v>
      </c>
      <c r="K1382" s="9">
        <f t="shared" si="1378"/>
        <v>640</v>
      </c>
      <c r="L1382" s="10">
        <v>0</v>
      </c>
      <c r="M1382" s="11">
        <v>0</v>
      </c>
      <c r="N1382" s="10">
        <f t="shared" si="1390"/>
        <v>44</v>
      </c>
      <c r="O1382" s="11">
        <v>2200</v>
      </c>
      <c r="P1382" s="10">
        <v>0</v>
      </c>
      <c r="Q1382" s="11">
        <v>0</v>
      </c>
      <c r="R1382" s="10">
        <f t="shared" ref="R1382:R1388" si="1392">S1382/75</f>
        <v>685</v>
      </c>
      <c r="S1382" s="11">
        <v>51375</v>
      </c>
      <c r="T1382" s="10">
        <f t="shared" ref="T1382:T1388" si="1393">U1382/75</f>
        <v>434</v>
      </c>
      <c r="U1382" s="11">
        <v>32550</v>
      </c>
      <c r="V1382" s="10">
        <f t="shared" ref="V1382:V1388" si="1394">W1382/75</f>
        <v>286</v>
      </c>
      <c r="W1382" s="11">
        <v>21450</v>
      </c>
      <c r="X1382" s="10">
        <v>0</v>
      </c>
      <c r="Y1382" s="11">
        <v>0</v>
      </c>
      <c r="Z1382" s="10">
        <f t="shared" ref="Z1382:Z1388" si="1395">AA1382/75</f>
        <v>155</v>
      </c>
      <c r="AA1382" s="11">
        <v>11625</v>
      </c>
      <c r="AB1382" s="10">
        <f>AC1382/75</f>
        <v>77.5</v>
      </c>
      <c r="AC1382" s="11">
        <v>5812.5</v>
      </c>
      <c r="AD1382" s="10">
        <f>AE1382/75</f>
        <v>77.5</v>
      </c>
      <c r="AE1382" s="11">
        <v>5812.5</v>
      </c>
      <c r="AF1382" s="10">
        <v>47.5</v>
      </c>
      <c r="AG1382" s="11">
        <v>3650</v>
      </c>
      <c r="AH1382" s="10">
        <f t="shared" si="1391"/>
        <v>75.263157894736835</v>
      </c>
      <c r="AI1382" s="11">
        <v>3575</v>
      </c>
      <c r="AJ1382" s="10">
        <f>AK1382/9</f>
        <v>391.77777777777777</v>
      </c>
      <c r="AK1382" s="13">
        <v>3526</v>
      </c>
      <c r="AL1382" s="10">
        <f t="shared" si="1387"/>
        <v>677.77777777777783</v>
      </c>
      <c r="AM1382" s="13">
        <v>6100</v>
      </c>
      <c r="AN1382" s="10">
        <v>0</v>
      </c>
      <c r="AO1382" s="11">
        <v>0</v>
      </c>
      <c r="AP1382" s="10">
        <v>0</v>
      </c>
      <c r="AQ1382" s="11">
        <v>0</v>
      </c>
      <c r="AR1382" s="10">
        <v>0</v>
      </c>
      <c r="AS1382" s="11">
        <v>0</v>
      </c>
      <c r="AT1382" s="10">
        <v>0</v>
      </c>
      <c r="AU1382" s="11">
        <v>0</v>
      </c>
      <c r="AW1382" s="11">
        <v>0</v>
      </c>
      <c r="AX1382" s="10">
        <v>0</v>
      </c>
      <c r="AY1382" s="11">
        <v>0</v>
      </c>
      <c r="AZ1382" s="10">
        <v>0</v>
      </c>
      <c r="BA1382" s="11">
        <v>0</v>
      </c>
      <c r="BB1382" s="10">
        <v>0</v>
      </c>
      <c r="BC1382" s="11">
        <v>0</v>
      </c>
      <c r="BD1382" s="10">
        <v>0</v>
      </c>
      <c r="BE1382" s="11">
        <v>0</v>
      </c>
      <c r="BF1382" s="10">
        <v>0</v>
      </c>
      <c r="BG1382" s="11">
        <v>0</v>
      </c>
      <c r="BH1382" s="11">
        <v>0</v>
      </c>
      <c r="BI1382" s="11">
        <v>0</v>
      </c>
      <c r="BN1382" s="8">
        <f t="shared" si="1376"/>
        <v>2154.2777777777778</v>
      </c>
      <c r="BO1382" s="8">
        <f t="shared" si="1377"/>
        <v>129988.5</v>
      </c>
      <c r="BP1382" s="8">
        <f t="shared" si="1388"/>
        <v>1107.0409356725147</v>
      </c>
      <c r="BQ1382" s="12">
        <f t="shared" si="1389"/>
        <v>35125</v>
      </c>
    </row>
    <row r="1383" spans="1:69">
      <c r="A1383" s="28">
        <v>2002</v>
      </c>
      <c r="B1383" s="27" t="s">
        <v>69</v>
      </c>
      <c r="C1383" s="24">
        <f t="shared" si="1337"/>
        <v>1336</v>
      </c>
      <c r="D1383" s="7">
        <f t="shared" ca="1" si="1356"/>
        <v>5.1372450264417023E-2</v>
      </c>
      <c r="E1383" s="26">
        <f t="array" aca="1" ref="E1383" ca="1">AVERAGE(IF(INDIRECT(DatCol&amp;"$"&amp;TEXT(C1383,"###")):INDIRECT(DatCol&amp;"$"&amp;TEXT(C1383+57,"###"))&gt;0,INDIRECT(DatCol&amp;"$"&amp;TEXT(C1383,"###")):INDIRECT(DatCol&amp;"$"&amp;TEXT(C1383+57,"###"))))</f>
        <v>778.62745098039215</v>
      </c>
      <c r="F1383" s="26" t="str">
        <f t="shared" si="1357"/>
        <v>B</v>
      </c>
      <c r="H1383" s="9">
        <v>46</v>
      </c>
      <c r="I1383" s="9">
        <v>24</v>
      </c>
      <c r="J1383" s="9">
        <v>592</v>
      </c>
      <c r="K1383" s="9">
        <f t="shared" si="1378"/>
        <v>638</v>
      </c>
      <c r="L1383" s="10">
        <v>0</v>
      </c>
      <c r="M1383" s="11">
        <v>0</v>
      </c>
      <c r="N1383" s="10">
        <f t="shared" si="1390"/>
        <v>40</v>
      </c>
      <c r="O1383" s="11">
        <v>2000</v>
      </c>
      <c r="P1383" s="10">
        <v>0</v>
      </c>
      <c r="Q1383" s="11">
        <v>0</v>
      </c>
      <c r="R1383" s="10">
        <f t="shared" si="1392"/>
        <v>645.66666666666663</v>
      </c>
      <c r="S1383" s="11">
        <v>48425</v>
      </c>
      <c r="T1383" s="10">
        <f t="shared" si="1393"/>
        <v>399.33333333333331</v>
      </c>
      <c r="U1383" s="11">
        <v>29950</v>
      </c>
      <c r="V1383" s="10">
        <f t="shared" si="1394"/>
        <v>292</v>
      </c>
      <c r="W1383" s="11">
        <v>21900</v>
      </c>
      <c r="X1383" s="10">
        <v>0</v>
      </c>
      <c r="Y1383" s="11">
        <v>0</v>
      </c>
      <c r="Z1383" s="10">
        <f t="shared" si="1395"/>
        <v>126</v>
      </c>
      <c r="AA1383" s="11">
        <v>9450</v>
      </c>
      <c r="AB1383" s="10">
        <v>63</v>
      </c>
      <c r="AC1383" s="11">
        <v>4725</v>
      </c>
      <c r="AD1383" s="10">
        <f>AE1383/75</f>
        <v>63.44</v>
      </c>
      <c r="AE1383" s="11">
        <v>4758</v>
      </c>
      <c r="AF1383" s="10">
        <f t="shared" ref="AF1383:AF1388" si="1396">AG1383/47.5</f>
        <v>154.73684210526315</v>
      </c>
      <c r="AG1383" s="11">
        <v>7350</v>
      </c>
      <c r="AH1383" s="10">
        <f t="shared" si="1391"/>
        <v>64.21052631578948</v>
      </c>
      <c r="AI1383" s="11">
        <v>3050</v>
      </c>
      <c r="AJ1383" s="10">
        <f>AK1383/9</f>
        <v>525</v>
      </c>
      <c r="AK1383" s="13">
        <v>4725</v>
      </c>
      <c r="AL1383" s="10">
        <f t="shared" si="1387"/>
        <v>338.88888888888891</v>
      </c>
      <c r="AM1383" s="13">
        <v>3050</v>
      </c>
      <c r="AN1383" s="10">
        <v>0</v>
      </c>
      <c r="AO1383" s="11">
        <v>0</v>
      </c>
      <c r="AP1383" s="10">
        <v>0</v>
      </c>
      <c r="AQ1383" s="11">
        <v>0</v>
      </c>
      <c r="AR1383" s="10">
        <v>0</v>
      </c>
      <c r="AS1383" s="11">
        <v>0</v>
      </c>
      <c r="AT1383" s="10">
        <v>0</v>
      </c>
      <c r="AU1383" s="11">
        <v>0</v>
      </c>
      <c r="AV1383" s="10">
        <v>0</v>
      </c>
      <c r="AW1383" s="11">
        <v>0</v>
      </c>
      <c r="AX1383" s="10">
        <v>0</v>
      </c>
      <c r="AY1383" s="11">
        <v>0</v>
      </c>
      <c r="AZ1383" s="10">
        <v>0</v>
      </c>
      <c r="BA1383" s="11">
        <v>0</v>
      </c>
      <c r="BB1383" s="10">
        <v>0</v>
      </c>
      <c r="BC1383" s="11">
        <v>0</v>
      </c>
      <c r="BD1383" s="10">
        <v>0</v>
      </c>
      <c r="BE1383" s="11">
        <v>0</v>
      </c>
      <c r="BF1383" s="10">
        <v>0</v>
      </c>
      <c r="BG1383" s="11">
        <v>0</v>
      </c>
      <c r="BH1383" s="11">
        <v>0</v>
      </c>
      <c r="BI1383" s="11">
        <v>0</v>
      </c>
      <c r="BN1383" s="8">
        <f t="shared" si="1376"/>
        <v>2269.1768421052629</v>
      </c>
      <c r="BO1383" s="8">
        <f t="shared" si="1377"/>
        <v>126525</v>
      </c>
      <c r="BP1383" s="8">
        <f t="shared" si="1388"/>
        <v>695.53941520467833</v>
      </c>
      <c r="BQ1383" s="12">
        <f t="shared" si="1389"/>
        <v>27033</v>
      </c>
    </row>
    <row r="1384" spans="1:69">
      <c r="A1384" s="28">
        <v>2003</v>
      </c>
      <c r="B1384" s="27" t="s">
        <v>69</v>
      </c>
      <c r="C1384" s="24">
        <f t="shared" si="1337"/>
        <v>1336</v>
      </c>
      <c r="D1384" s="7">
        <f t="shared" ca="1" si="1356"/>
        <v>1.7980357592545959E-2</v>
      </c>
      <c r="E1384" s="26">
        <f t="array" aca="1" ref="E1384" ca="1">AVERAGE(IF(INDIRECT(DatCol&amp;"$"&amp;TEXT(C1384,"###")):INDIRECT(DatCol&amp;"$"&amp;TEXT(C1384+57,"###"))&gt;0,INDIRECT(DatCol&amp;"$"&amp;TEXT(C1384,"###")):INDIRECT(DatCol&amp;"$"&amp;TEXT(C1384+57,"###"))))</f>
        <v>778.62745098039215</v>
      </c>
      <c r="F1384" s="26" t="str">
        <f t="shared" si="1357"/>
        <v>B</v>
      </c>
      <c r="H1384" s="9">
        <v>29</v>
      </c>
      <c r="I1384" s="9">
        <v>17</v>
      </c>
      <c r="J1384" s="9">
        <v>447</v>
      </c>
      <c r="K1384" s="9">
        <f t="shared" si="1378"/>
        <v>476</v>
      </c>
      <c r="L1384" s="10">
        <v>0</v>
      </c>
      <c r="M1384" s="11">
        <v>0</v>
      </c>
      <c r="N1384" s="10">
        <f t="shared" si="1390"/>
        <v>14</v>
      </c>
      <c r="O1384" s="11">
        <v>700</v>
      </c>
      <c r="P1384" s="10">
        <v>0</v>
      </c>
      <c r="Q1384" s="11">
        <v>0</v>
      </c>
      <c r="R1384" s="10">
        <f t="shared" si="1392"/>
        <v>106</v>
      </c>
      <c r="S1384" s="11">
        <v>7950</v>
      </c>
      <c r="T1384" s="10">
        <f t="shared" si="1393"/>
        <v>77</v>
      </c>
      <c r="U1384" s="11">
        <v>5775</v>
      </c>
      <c r="V1384" s="10">
        <f t="shared" si="1394"/>
        <v>44</v>
      </c>
      <c r="W1384" s="11">
        <v>3300</v>
      </c>
      <c r="X1384" s="10">
        <v>0</v>
      </c>
      <c r="Y1384" s="11">
        <v>0</v>
      </c>
      <c r="Z1384" s="10">
        <f t="shared" si="1395"/>
        <v>20</v>
      </c>
      <c r="AA1384" s="11">
        <v>1500</v>
      </c>
      <c r="AB1384" s="10">
        <v>20</v>
      </c>
      <c r="AC1384" s="11">
        <v>1500</v>
      </c>
      <c r="AD1384" s="10">
        <v>20</v>
      </c>
      <c r="AE1384" s="11">
        <v>1500</v>
      </c>
      <c r="AF1384" s="10">
        <f t="shared" si="1396"/>
        <v>12.631578947368421</v>
      </c>
      <c r="AG1384" s="11">
        <v>600</v>
      </c>
      <c r="AH1384" s="10">
        <f t="shared" si="1391"/>
        <v>23.157894736842106</v>
      </c>
      <c r="AI1384" s="11">
        <v>1100</v>
      </c>
      <c r="AJ1384" s="10">
        <v>0</v>
      </c>
      <c r="AK1384" s="13">
        <v>0</v>
      </c>
      <c r="AL1384" s="10">
        <f t="shared" si="1387"/>
        <v>16.666666666666668</v>
      </c>
      <c r="AM1384" s="13">
        <v>150</v>
      </c>
      <c r="AN1384" s="10">
        <v>0</v>
      </c>
      <c r="AO1384" s="11">
        <v>0</v>
      </c>
      <c r="AP1384" s="10">
        <v>0</v>
      </c>
      <c r="AQ1384" s="11">
        <v>0</v>
      </c>
      <c r="AR1384" s="10">
        <v>0</v>
      </c>
      <c r="AS1384" s="11">
        <v>0</v>
      </c>
      <c r="AT1384" s="10">
        <v>0</v>
      </c>
      <c r="AU1384" s="11">
        <v>0</v>
      </c>
      <c r="AV1384" s="10">
        <v>0.2</v>
      </c>
      <c r="AW1384" s="11">
        <v>13</v>
      </c>
      <c r="AX1384" s="10">
        <v>0</v>
      </c>
      <c r="AY1384" s="11">
        <v>0</v>
      </c>
      <c r="AZ1384" s="10">
        <v>0</v>
      </c>
      <c r="BA1384" s="11">
        <v>0</v>
      </c>
      <c r="BB1384" s="10">
        <v>0</v>
      </c>
      <c r="BC1384" s="11">
        <v>0</v>
      </c>
      <c r="BD1384" s="10">
        <v>0</v>
      </c>
      <c r="BE1384" s="11">
        <v>0</v>
      </c>
      <c r="BF1384" s="10">
        <v>0</v>
      </c>
      <c r="BG1384" s="11">
        <v>0</v>
      </c>
      <c r="BH1384" s="11">
        <v>0</v>
      </c>
      <c r="BI1384" s="11">
        <v>0</v>
      </c>
      <c r="BJ1384" s="10">
        <v>0</v>
      </c>
      <c r="BK1384" s="11">
        <v>0</v>
      </c>
      <c r="BL1384" s="10">
        <v>0</v>
      </c>
      <c r="BM1384" s="11">
        <v>0</v>
      </c>
      <c r="BN1384" s="8">
        <f t="shared" si="1376"/>
        <v>299.83157894736843</v>
      </c>
      <c r="BO1384" s="8">
        <f t="shared" si="1377"/>
        <v>20638</v>
      </c>
      <c r="BP1384" s="8">
        <f t="shared" si="1388"/>
        <v>113.82456140350878</v>
      </c>
      <c r="BQ1384" s="12">
        <f t="shared" si="1389"/>
        <v>6450</v>
      </c>
    </row>
    <row r="1385" spans="1:69">
      <c r="A1385" s="28">
        <v>2004</v>
      </c>
      <c r="B1385" s="27" t="s">
        <v>69</v>
      </c>
      <c r="C1385" s="24">
        <f t="shared" si="1337"/>
        <v>1336</v>
      </c>
      <c r="D1385" s="7">
        <f t="shared" ca="1" si="1356"/>
        <v>1.2843112566104256E-2</v>
      </c>
      <c r="E1385" s="26">
        <f t="array" aca="1" ref="E1385" ca="1">AVERAGE(IF(INDIRECT(DatCol&amp;"$"&amp;TEXT(C1385,"###")):INDIRECT(DatCol&amp;"$"&amp;TEXT(C1385+57,"###"))&gt;0,INDIRECT(DatCol&amp;"$"&amp;TEXT(C1385,"###")):INDIRECT(DatCol&amp;"$"&amp;TEXT(C1385+57,"###"))))</f>
        <v>778.62745098039215</v>
      </c>
      <c r="F1385" s="26" t="str">
        <f t="shared" si="1357"/>
        <v>B</v>
      </c>
      <c r="H1385" s="9">
        <v>29</v>
      </c>
      <c r="I1385" s="9">
        <v>16</v>
      </c>
      <c r="J1385" s="9">
        <v>376</v>
      </c>
      <c r="K1385" s="9">
        <f t="shared" si="1378"/>
        <v>405</v>
      </c>
      <c r="L1385" s="10">
        <v>0</v>
      </c>
      <c r="M1385" s="11">
        <v>0</v>
      </c>
      <c r="N1385" s="10">
        <f t="shared" si="1390"/>
        <v>10</v>
      </c>
      <c r="O1385" s="11">
        <v>500</v>
      </c>
      <c r="P1385" s="10">
        <v>0</v>
      </c>
      <c r="Q1385" s="11">
        <v>0</v>
      </c>
      <c r="R1385" s="10">
        <f t="shared" si="1392"/>
        <v>150</v>
      </c>
      <c r="S1385" s="11">
        <v>11250</v>
      </c>
      <c r="T1385" s="10">
        <f t="shared" si="1393"/>
        <v>180</v>
      </c>
      <c r="U1385" s="11">
        <v>13500</v>
      </c>
      <c r="V1385" s="10">
        <f t="shared" si="1394"/>
        <v>180</v>
      </c>
      <c r="W1385" s="11">
        <v>13500</v>
      </c>
      <c r="X1385" s="10">
        <v>0</v>
      </c>
      <c r="Y1385" s="11">
        <v>0</v>
      </c>
      <c r="Z1385" s="10">
        <f t="shared" si="1395"/>
        <v>60</v>
      </c>
      <c r="AA1385" s="11">
        <v>4500</v>
      </c>
      <c r="AB1385" s="10">
        <f>AC1385/75</f>
        <v>35</v>
      </c>
      <c r="AC1385" s="11">
        <v>2625</v>
      </c>
      <c r="AD1385" s="10">
        <f>AE1385/75</f>
        <v>35</v>
      </c>
      <c r="AE1385" s="11">
        <v>2625</v>
      </c>
      <c r="AF1385" s="10">
        <f t="shared" si="1396"/>
        <v>2.1052631578947367</v>
      </c>
      <c r="AG1385" s="11">
        <v>100</v>
      </c>
      <c r="AH1385" s="10">
        <f t="shared" si="1391"/>
        <v>10.526315789473685</v>
      </c>
      <c r="AI1385" s="11">
        <v>500</v>
      </c>
      <c r="AJ1385" s="10">
        <f>AK1385/9</f>
        <v>333.33333333333331</v>
      </c>
      <c r="AK1385" s="13">
        <v>3000</v>
      </c>
      <c r="AL1385" s="10">
        <f t="shared" si="1387"/>
        <v>222.22222222222223</v>
      </c>
      <c r="AM1385" s="13">
        <v>2000</v>
      </c>
      <c r="AN1385" s="10">
        <v>0</v>
      </c>
      <c r="BN1385" s="8">
        <f t="shared" si="1376"/>
        <v>975.43859649122805</v>
      </c>
      <c r="BO1385" s="8">
        <f t="shared" si="1377"/>
        <v>48475</v>
      </c>
      <c r="BP1385" s="8">
        <f t="shared" si="1388"/>
        <v>372.74853801169593</v>
      </c>
      <c r="BQ1385" s="12">
        <f t="shared" si="1389"/>
        <v>12750</v>
      </c>
    </row>
    <row r="1386" spans="1:69">
      <c r="A1386" s="28">
        <v>2005</v>
      </c>
      <c r="B1386" s="27" t="s">
        <v>69</v>
      </c>
      <c r="C1386" s="24">
        <f t="shared" si="1337"/>
        <v>1336</v>
      </c>
      <c r="D1386" s="7">
        <f t="shared" ca="1" si="1356"/>
        <v>1.5411735079325107E-2</v>
      </c>
      <c r="E1386" s="26">
        <f t="array" aca="1" ref="E1386" ca="1">AVERAGE(IF(INDIRECT(DatCol&amp;"$"&amp;TEXT(C1386,"###")):INDIRECT(DatCol&amp;"$"&amp;TEXT(C1386+57,"###"))&gt;0,INDIRECT(DatCol&amp;"$"&amp;TEXT(C1386,"###")):INDIRECT(DatCol&amp;"$"&amp;TEXT(C1386+57,"###"))))</f>
        <v>778.62745098039215</v>
      </c>
      <c r="F1386" s="26" t="str">
        <f t="shared" si="1357"/>
        <v>B</v>
      </c>
      <c r="H1386" s="9">
        <v>29</v>
      </c>
      <c r="I1386" s="9">
        <v>17</v>
      </c>
      <c r="J1386" s="9">
        <v>382</v>
      </c>
      <c r="K1386" s="9">
        <f t="shared" si="1378"/>
        <v>411</v>
      </c>
      <c r="L1386" s="10">
        <v>0</v>
      </c>
      <c r="M1386" s="11">
        <v>0</v>
      </c>
      <c r="N1386" s="10">
        <f t="shared" si="1390"/>
        <v>12</v>
      </c>
      <c r="O1386" s="11">
        <v>600</v>
      </c>
      <c r="P1386" s="10">
        <v>0</v>
      </c>
      <c r="Q1386" s="11">
        <v>0</v>
      </c>
      <c r="R1386" s="10">
        <f t="shared" si="1392"/>
        <v>136</v>
      </c>
      <c r="S1386" s="11">
        <v>10200</v>
      </c>
      <c r="T1386" s="10">
        <f t="shared" si="1393"/>
        <v>90.4</v>
      </c>
      <c r="U1386" s="11">
        <v>6780</v>
      </c>
      <c r="V1386" s="10">
        <f t="shared" si="1394"/>
        <v>89.6</v>
      </c>
      <c r="W1386" s="11">
        <v>6720</v>
      </c>
      <c r="X1386" s="10">
        <v>0</v>
      </c>
      <c r="Y1386" s="11">
        <v>0</v>
      </c>
      <c r="Z1386" s="10">
        <f t="shared" si="1395"/>
        <v>48</v>
      </c>
      <c r="AA1386" s="11">
        <v>3600</v>
      </c>
      <c r="AB1386" s="10">
        <f>AC1386/75</f>
        <v>32</v>
      </c>
      <c r="AC1386" s="11">
        <v>2400</v>
      </c>
      <c r="AD1386" s="10">
        <f>AE1386/75</f>
        <v>20</v>
      </c>
      <c r="AE1386" s="11">
        <v>1500</v>
      </c>
      <c r="AF1386" s="10">
        <f t="shared" si="1396"/>
        <v>69.473684210526315</v>
      </c>
      <c r="AG1386" s="11">
        <v>3300</v>
      </c>
      <c r="AH1386" s="10">
        <f t="shared" si="1391"/>
        <v>20</v>
      </c>
      <c r="AI1386" s="11">
        <v>950</v>
      </c>
      <c r="AJ1386" s="10">
        <f>AK1386/9</f>
        <v>177.77777777777777</v>
      </c>
      <c r="AK1386" s="13">
        <v>1600</v>
      </c>
      <c r="AL1386" s="10">
        <f t="shared" si="1387"/>
        <v>88.888888888888886</v>
      </c>
      <c r="AM1386" s="13">
        <v>800</v>
      </c>
      <c r="AN1386" s="10">
        <v>0</v>
      </c>
      <c r="AO1386" s="11">
        <v>0</v>
      </c>
      <c r="AP1386" s="10">
        <v>0</v>
      </c>
      <c r="AQ1386" s="11">
        <v>0</v>
      </c>
      <c r="AR1386" s="10">
        <v>0</v>
      </c>
      <c r="AS1386" s="11">
        <v>0</v>
      </c>
      <c r="AT1386" s="10">
        <v>0</v>
      </c>
      <c r="AU1386" s="11">
        <v>0</v>
      </c>
      <c r="AV1386" s="10">
        <v>0</v>
      </c>
      <c r="AW1386" s="11">
        <v>0</v>
      </c>
      <c r="AX1386" s="10">
        <v>0</v>
      </c>
      <c r="AY1386" s="11">
        <v>0</v>
      </c>
      <c r="AZ1386" s="10">
        <v>0</v>
      </c>
      <c r="BA1386" s="11">
        <v>0</v>
      </c>
      <c r="BB1386" s="10">
        <v>0</v>
      </c>
      <c r="BC1386" s="11">
        <v>0</v>
      </c>
      <c r="BN1386" s="8">
        <f t="shared" si="1376"/>
        <v>663.25146198830407</v>
      </c>
      <c r="BO1386" s="8">
        <f t="shared" si="1377"/>
        <v>34600</v>
      </c>
      <c r="BP1386" s="8">
        <f t="shared" si="1388"/>
        <v>220.88888888888889</v>
      </c>
      <c r="BQ1386" s="12">
        <f t="shared" si="1389"/>
        <v>9850</v>
      </c>
    </row>
    <row r="1387" spans="1:69">
      <c r="A1387" s="28">
        <v>2006</v>
      </c>
      <c r="B1387" s="27" t="s">
        <v>69</v>
      </c>
      <c r="C1387" s="24">
        <f t="shared" si="1337"/>
        <v>1336</v>
      </c>
      <c r="D1387" s="7">
        <f t="shared" ca="1" si="1356"/>
        <v>4.3666582724754467E-2</v>
      </c>
      <c r="E1387" s="26">
        <f t="array" aca="1" ref="E1387" ca="1">AVERAGE(IF(INDIRECT(DatCol&amp;"$"&amp;TEXT(C1387,"###")):INDIRECT(DatCol&amp;"$"&amp;TEXT(C1387+57,"###"))&gt;0,INDIRECT(DatCol&amp;"$"&amp;TEXT(C1387,"###")):INDIRECT(DatCol&amp;"$"&amp;TEXT(C1387+57,"###"))))</f>
        <v>778.62745098039215</v>
      </c>
      <c r="F1387" s="26" t="str">
        <f t="shared" si="1357"/>
        <v>B</v>
      </c>
      <c r="H1387" s="9">
        <v>19</v>
      </c>
      <c r="I1387" s="9">
        <v>13</v>
      </c>
      <c r="J1387" s="9">
        <v>400</v>
      </c>
      <c r="K1387" s="9">
        <f t="shared" si="1378"/>
        <v>419</v>
      </c>
      <c r="L1387" s="10">
        <v>0</v>
      </c>
      <c r="M1387" s="11">
        <v>0</v>
      </c>
      <c r="N1387" s="10">
        <f t="shared" si="1390"/>
        <v>34</v>
      </c>
      <c r="O1387" s="11">
        <v>1700</v>
      </c>
      <c r="P1387" s="10">
        <v>0</v>
      </c>
      <c r="Q1387" s="11">
        <v>0</v>
      </c>
      <c r="R1387" s="10">
        <f t="shared" si="1392"/>
        <v>88.8</v>
      </c>
      <c r="S1387" s="11">
        <v>6660</v>
      </c>
      <c r="T1387" s="10">
        <f t="shared" si="1393"/>
        <v>76</v>
      </c>
      <c r="U1387" s="11">
        <v>5700</v>
      </c>
      <c r="V1387" s="10">
        <f t="shared" si="1394"/>
        <v>60.4</v>
      </c>
      <c r="W1387" s="11">
        <v>4530</v>
      </c>
      <c r="X1387" s="10">
        <v>0</v>
      </c>
      <c r="Y1387" s="11">
        <v>0</v>
      </c>
      <c r="Z1387" s="10">
        <f t="shared" si="1395"/>
        <v>66.400000000000006</v>
      </c>
      <c r="AA1387" s="11">
        <v>4980</v>
      </c>
      <c r="AB1387" s="10">
        <f>AC1387/75</f>
        <v>33.200000000000003</v>
      </c>
      <c r="AC1387" s="11">
        <v>2490</v>
      </c>
      <c r="AD1387" s="10">
        <f>AE1387/75</f>
        <v>33.200000000000003</v>
      </c>
      <c r="AE1387" s="11">
        <v>2490</v>
      </c>
      <c r="AF1387" s="10">
        <f t="shared" si="1396"/>
        <v>326.84210526315792</v>
      </c>
      <c r="AG1387" s="11">
        <v>15525</v>
      </c>
      <c r="AH1387" s="10">
        <f t="shared" si="1391"/>
        <v>35.789473684210527</v>
      </c>
      <c r="AI1387" s="11">
        <v>1700</v>
      </c>
      <c r="AJ1387" s="10">
        <f>AK1387/9</f>
        <v>22.222222222222221</v>
      </c>
      <c r="AK1387" s="13">
        <v>200</v>
      </c>
      <c r="AL1387" s="10">
        <f t="shared" si="1387"/>
        <v>22.222222222222221</v>
      </c>
      <c r="AM1387" s="13">
        <v>200</v>
      </c>
      <c r="AN1387" s="10">
        <v>0</v>
      </c>
      <c r="AO1387" s="11">
        <v>0</v>
      </c>
      <c r="AP1387" s="10">
        <v>0</v>
      </c>
      <c r="AQ1387" s="11">
        <v>0</v>
      </c>
      <c r="AR1387" s="10">
        <v>0</v>
      </c>
      <c r="AS1387" s="11">
        <v>0</v>
      </c>
      <c r="AT1387" s="10">
        <v>0</v>
      </c>
      <c r="AU1387" s="11">
        <v>0</v>
      </c>
      <c r="AV1387" s="10">
        <v>0</v>
      </c>
      <c r="AW1387" s="11">
        <v>0</v>
      </c>
      <c r="AX1387" s="10">
        <v>0</v>
      </c>
      <c r="AY1387" s="11">
        <v>0</v>
      </c>
      <c r="AZ1387" s="10">
        <v>0</v>
      </c>
      <c r="BA1387" s="11">
        <v>0</v>
      </c>
      <c r="BB1387" s="10">
        <v>0</v>
      </c>
      <c r="BC1387" s="11">
        <v>0</v>
      </c>
      <c r="BD1387" s="10">
        <v>0</v>
      </c>
      <c r="BE1387" s="11">
        <v>0</v>
      </c>
      <c r="BF1387" s="10">
        <v>0</v>
      </c>
      <c r="BN1387" s="8">
        <f t="shared" si="1376"/>
        <v>707.06432748538009</v>
      </c>
      <c r="BO1387" s="8">
        <f t="shared" si="1377"/>
        <v>40085</v>
      </c>
      <c r="BP1387" s="8">
        <f t="shared" si="1388"/>
        <v>224.81169590643276</v>
      </c>
      <c r="BQ1387" s="12">
        <f t="shared" si="1389"/>
        <v>13560</v>
      </c>
    </row>
    <row r="1388" spans="1:69">
      <c r="A1388" s="28">
        <v>2007</v>
      </c>
      <c r="B1388" s="27" t="s">
        <v>69</v>
      </c>
      <c r="C1388" s="24">
        <f t="shared" si="1337"/>
        <v>1336</v>
      </c>
      <c r="D1388" s="7">
        <f t="shared" ca="1" si="1356"/>
        <v>4.3666582724754467E-2</v>
      </c>
      <c r="E1388" s="26">
        <f t="array" aca="1" ref="E1388" ca="1">AVERAGE(IF(INDIRECT(DatCol&amp;"$"&amp;TEXT(C1388,"###")):INDIRECT(DatCol&amp;"$"&amp;TEXT(C1388+57,"###"))&gt;0,INDIRECT(DatCol&amp;"$"&amp;TEXT(C1388,"###")):INDIRECT(DatCol&amp;"$"&amp;TEXT(C1388+57,"###"))))</f>
        <v>778.62745098039215</v>
      </c>
      <c r="F1388" s="26" t="str">
        <f t="shared" si="1357"/>
        <v>B</v>
      </c>
      <c r="H1388" s="9">
        <v>25</v>
      </c>
      <c r="I1388" s="9">
        <v>16</v>
      </c>
      <c r="J1388" s="9">
        <v>387</v>
      </c>
      <c r="K1388" s="9">
        <f t="shared" si="1378"/>
        <v>412</v>
      </c>
      <c r="L1388" s="10">
        <v>0</v>
      </c>
      <c r="M1388" s="11">
        <v>0</v>
      </c>
      <c r="N1388" s="10">
        <f t="shared" si="1390"/>
        <v>34</v>
      </c>
      <c r="O1388" s="11">
        <v>1700</v>
      </c>
      <c r="P1388" s="10">
        <v>0</v>
      </c>
      <c r="Q1388" s="11">
        <v>0</v>
      </c>
      <c r="R1388" s="10">
        <f t="shared" si="1392"/>
        <v>164.64</v>
      </c>
      <c r="S1388" s="11">
        <v>12348</v>
      </c>
      <c r="T1388" s="10">
        <f t="shared" si="1393"/>
        <v>65.040000000000006</v>
      </c>
      <c r="U1388" s="11">
        <v>4878</v>
      </c>
      <c r="V1388" s="10">
        <f t="shared" si="1394"/>
        <v>55.44</v>
      </c>
      <c r="W1388" s="11">
        <v>4158</v>
      </c>
      <c r="X1388" s="10">
        <v>0</v>
      </c>
      <c r="Y1388" s="11">
        <v>0</v>
      </c>
      <c r="Z1388" s="10">
        <f t="shared" si="1395"/>
        <v>68.8</v>
      </c>
      <c r="AA1388" s="11">
        <v>5160</v>
      </c>
      <c r="AB1388" s="10">
        <f>AC1388/75</f>
        <v>34.4</v>
      </c>
      <c r="AC1388" s="11">
        <v>2580</v>
      </c>
      <c r="AD1388" s="10">
        <f>AE1388/75</f>
        <v>34.4</v>
      </c>
      <c r="AE1388" s="11">
        <v>2580</v>
      </c>
      <c r="AF1388" s="10">
        <f t="shared" si="1396"/>
        <v>140.52631578947367</v>
      </c>
      <c r="AG1388" s="11">
        <v>6675</v>
      </c>
      <c r="AH1388" s="10">
        <f t="shared" si="1391"/>
        <v>42.10526315789474</v>
      </c>
      <c r="AI1388" s="11">
        <v>2000</v>
      </c>
      <c r="AJ1388" s="10">
        <v>0</v>
      </c>
      <c r="AK1388" s="13">
        <v>0</v>
      </c>
      <c r="AL1388" s="10">
        <f t="shared" si="1387"/>
        <v>11.111111111111111</v>
      </c>
      <c r="AM1388" s="13">
        <v>100</v>
      </c>
      <c r="AN1388" s="10">
        <v>0</v>
      </c>
      <c r="AO1388" s="11">
        <v>0</v>
      </c>
      <c r="AP1388" s="10">
        <v>0</v>
      </c>
      <c r="AQ1388" s="11">
        <v>0</v>
      </c>
      <c r="AR1388" s="10">
        <v>0</v>
      </c>
      <c r="AS1388" s="11">
        <v>0</v>
      </c>
      <c r="AT1388" s="10">
        <v>0</v>
      </c>
      <c r="AU1388" s="11">
        <v>0</v>
      </c>
      <c r="AV1388" s="10">
        <v>0</v>
      </c>
      <c r="AW1388" s="11">
        <v>0</v>
      </c>
      <c r="AX1388" s="10">
        <v>0</v>
      </c>
      <c r="AY1388" s="11">
        <v>0</v>
      </c>
      <c r="AZ1388" s="10">
        <v>0</v>
      </c>
      <c r="BA1388" s="11">
        <v>0</v>
      </c>
      <c r="BB1388" s="10">
        <v>0</v>
      </c>
      <c r="BC1388" s="11">
        <v>0</v>
      </c>
      <c r="BD1388" s="10">
        <v>0</v>
      </c>
      <c r="BE1388" s="11">
        <v>0</v>
      </c>
      <c r="BF1388" s="10">
        <v>0</v>
      </c>
      <c r="BG1388" s="11">
        <v>0</v>
      </c>
      <c r="BN1388" s="8">
        <f t="shared" si="1376"/>
        <v>563.24631578947367</v>
      </c>
      <c r="BO1388" s="8">
        <f t="shared" si="1377"/>
        <v>35799</v>
      </c>
      <c r="BP1388" s="8">
        <f t="shared" si="1388"/>
        <v>224.81637426900585</v>
      </c>
      <c r="BQ1388" s="12">
        <f t="shared" si="1389"/>
        <v>14120</v>
      </c>
    </row>
    <row r="1389" spans="1:69">
      <c r="A1389" s="28">
        <v>2008</v>
      </c>
      <c r="B1389" s="27" t="s">
        <v>69</v>
      </c>
      <c r="C1389" s="24">
        <f t="shared" si="1337"/>
        <v>1336</v>
      </c>
      <c r="D1389" s="7" t="e">
        <f t="shared" ca="1" si="1356"/>
        <v>#N/A</v>
      </c>
      <c r="E1389" s="26">
        <f t="array" aca="1" ref="E1389" ca="1">AVERAGE(IF(INDIRECT(DatCol&amp;"$"&amp;TEXT(C1389,"###")):INDIRECT(DatCol&amp;"$"&amp;TEXT(C1389+57,"###"))&gt;0,INDIRECT(DatCol&amp;"$"&amp;TEXT(C1389,"###")):INDIRECT(DatCol&amp;"$"&amp;TEXT(C1389+57,"###"))))</f>
        <v>778.62745098039215</v>
      </c>
      <c r="F1389" s="26" t="str">
        <f t="shared" si="1357"/>
        <v>B</v>
      </c>
      <c r="J1389" s="9">
        <v>418</v>
      </c>
      <c r="K1389" s="9">
        <f t="shared" si="1378"/>
        <v>418</v>
      </c>
      <c r="AK1389" s="13"/>
      <c r="AM1389" s="13"/>
      <c r="BN1389" s="8">
        <f t="shared" si="1376"/>
        <v>0</v>
      </c>
      <c r="BO1389" s="8">
        <f t="shared" si="1377"/>
        <v>0</v>
      </c>
      <c r="BP1389" s="8">
        <f t="shared" si="1388"/>
        <v>0</v>
      </c>
      <c r="BQ1389" s="12">
        <f t="shared" si="1389"/>
        <v>0</v>
      </c>
    </row>
    <row r="1390" spans="1:69">
      <c r="A1390" s="28">
        <v>2009</v>
      </c>
      <c r="B1390" s="27" t="s">
        <v>69</v>
      </c>
      <c r="C1390" s="24">
        <f t="shared" si="1337"/>
        <v>1336</v>
      </c>
      <c r="D1390" s="7" t="e">
        <f t="shared" ca="1" si="1356"/>
        <v>#N/A</v>
      </c>
      <c r="E1390" s="26">
        <f t="array" aca="1" ref="E1390" ca="1">AVERAGE(IF(INDIRECT(DatCol&amp;"$"&amp;TEXT(C1390,"###")):INDIRECT(DatCol&amp;"$"&amp;TEXT(C1390+57,"###"))&gt;0,INDIRECT(DatCol&amp;"$"&amp;TEXT(C1390,"###")):INDIRECT(DatCol&amp;"$"&amp;TEXT(C1390+57,"###"))))</f>
        <v>778.62745098039215</v>
      </c>
      <c r="F1390" s="26" t="str">
        <f t="shared" si="1357"/>
        <v>B</v>
      </c>
      <c r="G1390" s="9">
        <v>25</v>
      </c>
      <c r="H1390" s="9">
        <v>19</v>
      </c>
      <c r="J1390" s="9">
        <v>437</v>
      </c>
      <c r="K1390" s="9">
        <f t="shared" si="1378"/>
        <v>481</v>
      </c>
      <c r="AK1390" s="13"/>
      <c r="AM1390" s="13"/>
      <c r="BN1390" s="8">
        <f t="shared" si="1376"/>
        <v>0</v>
      </c>
      <c r="BO1390" s="8">
        <f t="shared" si="1377"/>
        <v>0</v>
      </c>
      <c r="BP1390" s="8">
        <f t="shared" si="1388"/>
        <v>0</v>
      </c>
      <c r="BQ1390" s="12">
        <f t="shared" si="1389"/>
        <v>0</v>
      </c>
    </row>
    <row r="1391" spans="1:69">
      <c r="A1391" s="28">
        <v>2010</v>
      </c>
      <c r="B1391" s="27" t="s">
        <v>69</v>
      </c>
      <c r="C1391" s="24">
        <f t="shared" si="1337"/>
        <v>1336</v>
      </c>
      <c r="D1391" s="7" t="e">
        <f t="shared" ca="1" si="1356"/>
        <v>#N/A</v>
      </c>
      <c r="E1391" s="26">
        <f t="array" aca="1" ref="E1391" ca="1">AVERAGE(IF(INDIRECT(DatCol&amp;"$"&amp;TEXT(C1391,"###")):INDIRECT(DatCol&amp;"$"&amp;TEXT(C1391+57,"###"))&gt;0,INDIRECT(DatCol&amp;"$"&amp;TEXT(C1391,"###")):INDIRECT(DatCol&amp;"$"&amp;TEXT(C1391+57,"###"))))</f>
        <v>778.62745098039215</v>
      </c>
      <c r="F1391" s="26" t="str">
        <f t="shared" ref="F1391:F1393" si="1397">VLOOKUP(B1391,town_region,2,FALSE)</f>
        <v>B</v>
      </c>
      <c r="G1391" s="9">
        <v>81</v>
      </c>
      <c r="H1391" s="9">
        <v>16</v>
      </c>
      <c r="J1391" s="9">
        <v>435</v>
      </c>
      <c r="K1391" s="9">
        <f t="shared" si="1378"/>
        <v>532</v>
      </c>
      <c r="AK1391" s="13"/>
      <c r="AM1391" s="13"/>
      <c r="BN1391" s="8"/>
      <c r="BO1391" s="8"/>
      <c r="BP1391" s="8"/>
      <c r="BQ1391" s="12"/>
    </row>
    <row r="1392" spans="1:69">
      <c r="A1392" s="28">
        <v>2011</v>
      </c>
      <c r="B1392" s="27" t="s">
        <v>69</v>
      </c>
      <c r="C1392" s="24">
        <f t="shared" si="1337"/>
        <v>1336</v>
      </c>
      <c r="D1392" s="7" t="e">
        <f t="shared" ca="1" si="1356"/>
        <v>#N/A</v>
      </c>
      <c r="E1392" s="26">
        <f t="array" aca="1" ref="E1392" ca="1">AVERAGE(IF(INDIRECT(DatCol&amp;"$"&amp;TEXT(C1392,"###")):INDIRECT(DatCol&amp;"$"&amp;TEXT(C1392+57,"###"))&gt;0,INDIRECT(DatCol&amp;"$"&amp;TEXT(C1392,"###")):INDIRECT(DatCol&amp;"$"&amp;TEXT(C1392+57,"###"))))</f>
        <v>778.62745098039215</v>
      </c>
      <c r="F1392" s="26" t="str">
        <f t="shared" si="1397"/>
        <v>B</v>
      </c>
      <c r="AK1392" s="13"/>
      <c r="AM1392" s="13"/>
      <c r="BN1392" s="8"/>
      <c r="BO1392" s="8"/>
      <c r="BP1392" s="8"/>
      <c r="BQ1392" s="12"/>
    </row>
    <row r="1393" spans="1:69">
      <c r="A1393" s="28">
        <v>2012</v>
      </c>
      <c r="B1393" s="27" t="s">
        <v>69</v>
      </c>
      <c r="C1393" s="24">
        <f t="shared" si="1337"/>
        <v>1336</v>
      </c>
      <c r="D1393" s="7" t="e">
        <f t="shared" ca="1" si="1356"/>
        <v>#N/A</v>
      </c>
      <c r="E1393" s="26">
        <f t="array" aca="1" ref="E1393" ca="1">AVERAGE(IF(INDIRECT(DatCol&amp;"$"&amp;TEXT(C1393,"###")):INDIRECT(DatCol&amp;"$"&amp;TEXT(C1393+57,"###"))&gt;0,INDIRECT(DatCol&amp;"$"&amp;TEXT(C1393,"###")):INDIRECT(DatCol&amp;"$"&amp;TEXT(C1393+57,"###"))))</f>
        <v>778.62745098039215</v>
      </c>
      <c r="F1393" s="26" t="str">
        <f t="shared" si="1397"/>
        <v>B</v>
      </c>
      <c r="AK1393" s="13"/>
      <c r="AM1393" s="13"/>
      <c r="BN1393" s="8"/>
      <c r="BO1393" s="8"/>
      <c r="BP1393" s="8"/>
      <c r="BQ1393" s="12"/>
    </row>
    <row r="1394" spans="1:69">
      <c r="A1394" s="28">
        <v>1955</v>
      </c>
      <c r="B1394" s="27" t="s">
        <v>71</v>
      </c>
      <c r="C1394" s="24">
        <f>ROW()</f>
        <v>1394</v>
      </c>
      <c r="D1394" s="7" t="e">
        <f t="shared" ca="1" si="1356"/>
        <v>#N/A</v>
      </c>
      <c r="E1394" s="26">
        <f t="array" aca="1" ref="E1394" ca="1">AVERAGE(IF(INDIRECT(DatCol&amp;"$"&amp;TEXT(C1394,"###")):INDIRECT(DatCol&amp;"$"&amp;TEXT(C1394+57,"###"))&gt;0,INDIRECT(DatCol&amp;"$"&amp;TEXT(C1394,"###")):INDIRECT(DatCol&amp;"$"&amp;TEXT(C1394+57,"###"))))</f>
        <v>561.98248000000001</v>
      </c>
      <c r="F1394" s="26" t="str">
        <f t="shared" si="1357"/>
        <v>S</v>
      </c>
      <c r="G1394" s="8"/>
      <c r="K1394" s="9">
        <f t="shared" si="1378"/>
        <v>0</v>
      </c>
      <c r="M1394" s="11">
        <f t="shared" si="1379"/>
        <v>0</v>
      </c>
      <c r="O1394" s="11">
        <f t="shared" si="1380"/>
        <v>0</v>
      </c>
      <c r="Q1394" s="11">
        <f t="shared" si="1381"/>
        <v>0</v>
      </c>
      <c r="Y1394" s="11">
        <f t="shared" si="1382"/>
        <v>0</v>
      </c>
      <c r="AG1394" s="11">
        <f t="shared" si="1383"/>
        <v>0</v>
      </c>
      <c r="AI1394" s="11">
        <f t="shared" si="1384"/>
        <v>0</v>
      </c>
      <c r="AK1394" s="13">
        <f t="shared" si="1385"/>
        <v>0</v>
      </c>
      <c r="AM1394" s="13">
        <f t="shared" si="1386"/>
        <v>0</v>
      </c>
      <c r="AO1394" s="11">
        <f t="shared" ref="AO1394:AO1402" si="1398">(AN1394*80)</f>
        <v>0</v>
      </c>
      <c r="AQ1394" s="11">
        <f t="shared" ref="AQ1394:AQ1402" si="1399">(AP1394*80)</f>
        <v>0</v>
      </c>
      <c r="AS1394" s="11">
        <f t="shared" ref="AS1394:AS1402" si="1400">(AR1394*50)</f>
        <v>0</v>
      </c>
      <c r="AU1394" s="11">
        <f t="shared" ref="AU1394:AU1402" si="1401">(AT1394*50)</f>
        <v>0</v>
      </c>
      <c r="AW1394" s="11">
        <f t="shared" ref="AW1394:AW1402" si="1402">(AV1394*60)</f>
        <v>0</v>
      </c>
      <c r="AY1394" s="11">
        <f t="shared" ref="AY1394:AY1402" si="1403">(AX1394*60)</f>
        <v>0</v>
      </c>
      <c r="BA1394" s="11">
        <f t="shared" ref="BA1394:BA1402" si="1404">(AZ1394*40)</f>
        <v>0</v>
      </c>
      <c r="BC1394" s="11">
        <f t="shared" ref="BC1394:BC1402" si="1405">(BB1394*40)</f>
        <v>0</v>
      </c>
      <c r="BE1394" s="11">
        <f t="shared" ref="BE1394:BE1402" si="1406">(BD1394*95)</f>
        <v>0</v>
      </c>
      <c r="BG1394" s="11">
        <f t="shared" ref="BG1394:BG1402" si="1407">(BF1394*95)</f>
        <v>0</v>
      </c>
      <c r="BN1394" s="8">
        <f t="shared" si="1376"/>
        <v>0</v>
      </c>
      <c r="BO1394" s="8">
        <f t="shared" si="1377"/>
        <v>0</v>
      </c>
      <c r="BP1394" s="8">
        <f t="shared" si="1388"/>
        <v>0</v>
      </c>
      <c r="BQ1394" s="12">
        <f t="shared" si="1389"/>
        <v>0</v>
      </c>
    </row>
    <row r="1395" spans="1:69">
      <c r="A1395" s="28">
        <v>1956</v>
      </c>
      <c r="B1395" s="27" t="s">
        <v>71</v>
      </c>
      <c r="C1395" s="24">
        <f t="shared" ref="C1395:C1451" si="1408">C1394</f>
        <v>1394</v>
      </c>
      <c r="D1395" s="7" t="e">
        <f t="shared" ca="1" si="1356"/>
        <v>#N/A</v>
      </c>
      <c r="E1395" s="26">
        <f t="array" aca="1" ref="E1395" ca="1">AVERAGE(IF(INDIRECT(DatCol&amp;"$"&amp;TEXT(C1395,"###")):INDIRECT(DatCol&amp;"$"&amp;TEXT(C1395+57,"###"))&gt;0,INDIRECT(DatCol&amp;"$"&amp;TEXT(C1395,"###")):INDIRECT(DatCol&amp;"$"&amp;TEXT(C1395+57,"###"))))</f>
        <v>561.98248000000001</v>
      </c>
      <c r="F1395" s="26" t="str">
        <f t="shared" si="1357"/>
        <v>S</v>
      </c>
      <c r="G1395" s="8"/>
      <c r="K1395" s="9">
        <f t="shared" si="1378"/>
        <v>0</v>
      </c>
      <c r="M1395" s="11">
        <f t="shared" si="1379"/>
        <v>0</v>
      </c>
      <c r="O1395" s="11">
        <f t="shared" si="1380"/>
        <v>0</v>
      </c>
      <c r="Q1395" s="11">
        <f t="shared" si="1381"/>
        <v>0</v>
      </c>
      <c r="Y1395" s="11">
        <f t="shared" si="1382"/>
        <v>0</v>
      </c>
      <c r="AG1395" s="11">
        <f t="shared" si="1383"/>
        <v>0</v>
      </c>
      <c r="AI1395" s="11">
        <f t="shared" si="1384"/>
        <v>0</v>
      </c>
      <c r="AK1395" s="13">
        <f t="shared" si="1385"/>
        <v>0</v>
      </c>
      <c r="AM1395" s="13">
        <f t="shared" si="1386"/>
        <v>0</v>
      </c>
      <c r="AO1395" s="11">
        <f t="shared" si="1398"/>
        <v>0</v>
      </c>
      <c r="AQ1395" s="11">
        <f t="shared" si="1399"/>
        <v>0</v>
      </c>
      <c r="AS1395" s="11">
        <f t="shared" si="1400"/>
        <v>0</v>
      </c>
      <c r="AU1395" s="11">
        <f t="shared" si="1401"/>
        <v>0</v>
      </c>
      <c r="AW1395" s="11">
        <f t="shared" si="1402"/>
        <v>0</v>
      </c>
      <c r="AY1395" s="11">
        <f t="shared" si="1403"/>
        <v>0</v>
      </c>
      <c r="BA1395" s="11">
        <f t="shared" si="1404"/>
        <v>0</v>
      </c>
      <c r="BC1395" s="11">
        <f t="shared" si="1405"/>
        <v>0</v>
      </c>
      <c r="BE1395" s="11">
        <f t="shared" si="1406"/>
        <v>0</v>
      </c>
      <c r="BG1395" s="11">
        <f t="shared" si="1407"/>
        <v>0</v>
      </c>
      <c r="BN1395" s="8">
        <f t="shared" si="1376"/>
        <v>0</v>
      </c>
      <c r="BO1395" s="8">
        <f t="shared" si="1377"/>
        <v>0</v>
      </c>
      <c r="BP1395" s="8">
        <f t="shared" si="1388"/>
        <v>0</v>
      </c>
      <c r="BQ1395" s="12">
        <f t="shared" si="1389"/>
        <v>0</v>
      </c>
    </row>
    <row r="1396" spans="1:69">
      <c r="A1396" s="28">
        <v>1957</v>
      </c>
      <c r="B1396" s="27" t="s">
        <v>71</v>
      </c>
      <c r="C1396" s="24">
        <f t="shared" si="1408"/>
        <v>1394</v>
      </c>
      <c r="D1396" s="7" t="e">
        <f t="shared" ca="1" si="1356"/>
        <v>#N/A</v>
      </c>
      <c r="E1396" s="26">
        <f t="array" aca="1" ref="E1396" ca="1">AVERAGE(IF(INDIRECT(DatCol&amp;"$"&amp;TEXT(C1396,"###")):INDIRECT(DatCol&amp;"$"&amp;TEXT(C1396+57,"###"))&gt;0,INDIRECT(DatCol&amp;"$"&amp;TEXT(C1396,"###")):INDIRECT(DatCol&amp;"$"&amp;TEXT(C1396+57,"###"))))</f>
        <v>561.98248000000001</v>
      </c>
      <c r="F1396" s="26" t="str">
        <f t="shared" si="1357"/>
        <v>S</v>
      </c>
      <c r="G1396" s="8"/>
      <c r="K1396" s="9">
        <f t="shared" si="1378"/>
        <v>0</v>
      </c>
      <c r="M1396" s="11">
        <f t="shared" si="1379"/>
        <v>0</v>
      </c>
      <c r="O1396" s="11">
        <f t="shared" si="1380"/>
        <v>0</v>
      </c>
      <c r="Q1396" s="11">
        <f t="shared" si="1381"/>
        <v>0</v>
      </c>
      <c r="Y1396" s="11">
        <f t="shared" si="1382"/>
        <v>0</v>
      </c>
      <c r="AG1396" s="11">
        <f t="shared" si="1383"/>
        <v>0</v>
      </c>
      <c r="AI1396" s="11">
        <f t="shared" si="1384"/>
        <v>0</v>
      </c>
      <c r="AK1396" s="13">
        <f t="shared" si="1385"/>
        <v>0</v>
      </c>
      <c r="AM1396" s="13">
        <f t="shared" si="1386"/>
        <v>0</v>
      </c>
      <c r="AO1396" s="11">
        <f t="shared" si="1398"/>
        <v>0</v>
      </c>
      <c r="AQ1396" s="11">
        <f t="shared" si="1399"/>
        <v>0</v>
      </c>
      <c r="AS1396" s="11">
        <f t="shared" si="1400"/>
        <v>0</v>
      </c>
      <c r="AU1396" s="11">
        <f t="shared" si="1401"/>
        <v>0</v>
      </c>
      <c r="AW1396" s="11">
        <f t="shared" si="1402"/>
        <v>0</v>
      </c>
      <c r="AY1396" s="11">
        <f t="shared" si="1403"/>
        <v>0</v>
      </c>
      <c r="BA1396" s="11">
        <f t="shared" si="1404"/>
        <v>0</v>
      </c>
      <c r="BC1396" s="11">
        <f t="shared" si="1405"/>
        <v>0</v>
      </c>
      <c r="BE1396" s="11">
        <f t="shared" si="1406"/>
        <v>0</v>
      </c>
      <c r="BG1396" s="11">
        <f t="shared" si="1407"/>
        <v>0</v>
      </c>
      <c r="BN1396" s="8">
        <f t="shared" si="1376"/>
        <v>0</v>
      </c>
      <c r="BO1396" s="8">
        <f t="shared" si="1377"/>
        <v>0</v>
      </c>
      <c r="BP1396" s="8">
        <f t="shared" si="1388"/>
        <v>0</v>
      </c>
      <c r="BQ1396" s="12">
        <f t="shared" si="1389"/>
        <v>0</v>
      </c>
    </row>
    <row r="1397" spans="1:69">
      <c r="A1397" s="28">
        <v>1958</v>
      </c>
      <c r="B1397" s="27" t="s">
        <v>71</v>
      </c>
      <c r="C1397" s="24">
        <f t="shared" si="1408"/>
        <v>1394</v>
      </c>
      <c r="D1397" s="7" t="e">
        <f t="shared" ca="1" si="1356"/>
        <v>#N/A</v>
      </c>
      <c r="E1397" s="26">
        <f t="array" aca="1" ref="E1397" ca="1">AVERAGE(IF(INDIRECT(DatCol&amp;"$"&amp;TEXT(C1397,"###")):INDIRECT(DatCol&amp;"$"&amp;TEXT(C1397+57,"###"))&gt;0,INDIRECT(DatCol&amp;"$"&amp;TEXT(C1397,"###")):INDIRECT(DatCol&amp;"$"&amp;TEXT(C1397+57,"###"))))</f>
        <v>561.98248000000001</v>
      </c>
      <c r="F1397" s="26" t="str">
        <f t="shared" si="1357"/>
        <v>S</v>
      </c>
      <c r="G1397" s="8"/>
      <c r="K1397" s="9">
        <f t="shared" si="1378"/>
        <v>0</v>
      </c>
      <c r="M1397" s="11">
        <f t="shared" si="1379"/>
        <v>0</v>
      </c>
      <c r="O1397" s="11">
        <f t="shared" si="1380"/>
        <v>0</v>
      </c>
      <c r="Q1397" s="11">
        <f t="shared" si="1381"/>
        <v>0</v>
      </c>
      <c r="Y1397" s="11">
        <f t="shared" si="1382"/>
        <v>0</v>
      </c>
      <c r="AG1397" s="11">
        <f t="shared" si="1383"/>
        <v>0</v>
      </c>
      <c r="AI1397" s="11">
        <f t="shared" si="1384"/>
        <v>0</v>
      </c>
      <c r="AK1397" s="13">
        <f t="shared" si="1385"/>
        <v>0</v>
      </c>
      <c r="AM1397" s="13">
        <f t="shared" si="1386"/>
        <v>0</v>
      </c>
      <c r="AO1397" s="11">
        <f t="shared" si="1398"/>
        <v>0</v>
      </c>
      <c r="AQ1397" s="11">
        <f t="shared" si="1399"/>
        <v>0</v>
      </c>
      <c r="AS1397" s="11">
        <f t="shared" si="1400"/>
        <v>0</v>
      </c>
      <c r="AU1397" s="11">
        <f t="shared" si="1401"/>
        <v>0</v>
      </c>
      <c r="AW1397" s="11">
        <f t="shared" si="1402"/>
        <v>0</v>
      </c>
      <c r="AY1397" s="11">
        <f t="shared" si="1403"/>
        <v>0</v>
      </c>
      <c r="BA1397" s="11">
        <f t="shared" si="1404"/>
        <v>0</v>
      </c>
      <c r="BC1397" s="11">
        <f t="shared" si="1405"/>
        <v>0</v>
      </c>
      <c r="BE1397" s="11">
        <f t="shared" si="1406"/>
        <v>0</v>
      </c>
      <c r="BG1397" s="11">
        <f t="shared" si="1407"/>
        <v>0</v>
      </c>
      <c r="BN1397" s="8">
        <f t="shared" si="1376"/>
        <v>0</v>
      </c>
      <c r="BO1397" s="8">
        <f t="shared" si="1377"/>
        <v>0</v>
      </c>
      <c r="BP1397" s="8">
        <f t="shared" si="1388"/>
        <v>0</v>
      </c>
      <c r="BQ1397" s="12">
        <f t="shared" si="1389"/>
        <v>0</v>
      </c>
    </row>
    <row r="1398" spans="1:69">
      <c r="A1398" s="28">
        <v>1959</v>
      </c>
      <c r="B1398" s="27" t="s">
        <v>71</v>
      </c>
      <c r="C1398" s="24">
        <f t="shared" si="1408"/>
        <v>1394</v>
      </c>
      <c r="D1398" s="7" t="e">
        <f t="shared" ca="1" si="1356"/>
        <v>#N/A</v>
      </c>
      <c r="E1398" s="26">
        <f t="array" aca="1" ref="E1398" ca="1">AVERAGE(IF(INDIRECT(DatCol&amp;"$"&amp;TEXT(C1398,"###")):INDIRECT(DatCol&amp;"$"&amp;TEXT(C1398+57,"###"))&gt;0,INDIRECT(DatCol&amp;"$"&amp;TEXT(C1398,"###")):INDIRECT(DatCol&amp;"$"&amp;TEXT(C1398+57,"###"))))</f>
        <v>561.98248000000001</v>
      </c>
      <c r="F1398" s="26" t="str">
        <f t="shared" si="1357"/>
        <v>S</v>
      </c>
      <c r="G1398" s="8"/>
      <c r="K1398" s="9">
        <f t="shared" si="1378"/>
        <v>0</v>
      </c>
      <c r="M1398" s="11">
        <f t="shared" si="1379"/>
        <v>0</v>
      </c>
      <c r="O1398" s="11">
        <f t="shared" si="1380"/>
        <v>0</v>
      </c>
      <c r="Q1398" s="11">
        <f t="shared" si="1381"/>
        <v>0</v>
      </c>
      <c r="Y1398" s="11">
        <f t="shared" si="1382"/>
        <v>0</v>
      </c>
      <c r="AG1398" s="11">
        <f t="shared" si="1383"/>
        <v>0</v>
      </c>
      <c r="AI1398" s="11">
        <f t="shared" si="1384"/>
        <v>0</v>
      </c>
      <c r="AK1398" s="13">
        <f t="shared" si="1385"/>
        <v>0</v>
      </c>
      <c r="AM1398" s="13">
        <f t="shared" si="1386"/>
        <v>0</v>
      </c>
      <c r="AO1398" s="11">
        <f t="shared" si="1398"/>
        <v>0</v>
      </c>
      <c r="AQ1398" s="11">
        <f t="shared" si="1399"/>
        <v>0</v>
      </c>
      <c r="AS1398" s="11">
        <f t="shared" si="1400"/>
        <v>0</v>
      </c>
      <c r="AU1398" s="11">
        <f t="shared" si="1401"/>
        <v>0</v>
      </c>
      <c r="AW1398" s="11">
        <f t="shared" si="1402"/>
        <v>0</v>
      </c>
      <c r="AY1398" s="11">
        <f t="shared" si="1403"/>
        <v>0</v>
      </c>
      <c r="BA1398" s="11">
        <f t="shared" si="1404"/>
        <v>0</v>
      </c>
      <c r="BC1398" s="11">
        <f t="shared" si="1405"/>
        <v>0</v>
      </c>
      <c r="BE1398" s="11">
        <f t="shared" si="1406"/>
        <v>0</v>
      </c>
      <c r="BG1398" s="11">
        <f t="shared" si="1407"/>
        <v>0</v>
      </c>
      <c r="BN1398" s="8">
        <f t="shared" si="1376"/>
        <v>0</v>
      </c>
      <c r="BO1398" s="8">
        <f t="shared" si="1377"/>
        <v>0</v>
      </c>
      <c r="BP1398" s="8">
        <f t="shared" si="1388"/>
        <v>0</v>
      </c>
      <c r="BQ1398" s="12">
        <f t="shared" si="1389"/>
        <v>0</v>
      </c>
    </row>
    <row r="1399" spans="1:69">
      <c r="A1399" s="28">
        <v>1960</v>
      </c>
      <c r="B1399" s="27" t="s">
        <v>71</v>
      </c>
      <c r="C1399" s="24">
        <f t="shared" si="1408"/>
        <v>1394</v>
      </c>
      <c r="D1399" s="7" t="e">
        <f t="shared" ca="1" si="1356"/>
        <v>#N/A</v>
      </c>
      <c r="E1399" s="26">
        <f t="array" aca="1" ref="E1399" ca="1">AVERAGE(IF(INDIRECT(DatCol&amp;"$"&amp;TEXT(C1399,"###")):INDIRECT(DatCol&amp;"$"&amp;TEXT(C1399+57,"###"))&gt;0,INDIRECT(DatCol&amp;"$"&amp;TEXT(C1399,"###")):INDIRECT(DatCol&amp;"$"&amp;TEXT(C1399+57,"###"))))</f>
        <v>561.98248000000001</v>
      </c>
      <c r="F1399" s="26" t="str">
        <f t="shared" si="1357"/>
        <v>S</v>
      </c>
      <c r="G1399" s="8"/>
      <c r="K1399" s="9">
        <f t="shared" si="1378"/>
        <v>0</v>
      </c>
      <c r="M1399" s="11">
        <f t="shared" si="1379"/>
        <v>0</v>
      </c>
      <c r="O1399" s="11">
        <f t="shared" si="1380"/>
        <v>0</v>
      </c>
      <c r="Q1399" s="11">
        <f t="shared" si="1381"/>
        <v>0</v>
      </c>
      <c r="Y1399" s="11">
        <f t="shared" si="1382"/>
        <v>0</v>
      </c>
      <c r="AG1399" s="11">
        <f t="shared" si="1383"/>
        <v>0</v>
      </c>
      <c r="AI1399" s="11">
        <f t="shared" si="1384"/>
        <v>0</v>
      </c>
      <c r="AK1399" s="13">
        <f t="shared" si="1385"/>
        <v>0</v>
      </c>
      <c r="AM1399" s="13">
        <f t="shared" si="1386"/>
        <v>0</v>
      </c>
      <c r="AO1399" s="11">
        <f t="shared" si="1398"/>
        <v>0</v>
      </c>
      <c r="AQ1399" s="11">
        <f t="shared" si="1399"/>
        <v>0</v>
      </c>
      <c r="AS1399" s="11">
        <f t="shared" si="1400"/>
        <v>0</v>
      </c>
      <c r="AU1399" s="11">
        <f t="shared" si="1401"/>
        <v>0</v>
      </c>
      <c r="AW1399" s="11">
        <f t="shared" si="1402"/>
        <v>0</v>
      </c>
      <c r="AY1399" s="11">
        <f t="shared" si="1403"/>
        <v>0</v>
      </c>
      <c r="BA1399" s="11">
        <f t="shared" si="1404"/>
        <v>0</v>
      </c>
      <c r="BC1399" s="11">
        <f t="shared" si="1405"/>
        <v>0</v>
      </c>
      <c r="BE1399" s="11">
        <f t="shared" si="1406"/>
        <v>0</v>
      </c>
      <c r="BG1399" s="11">
        <f t="shared" si="1407"/>
        <v>0</v>
      </c>
      <c r="BN1399" s="8">
        <f t="shared" si="1376"/>
        <v>0</v>
      </c>
      <c r="BO1399" s="8">
        <f t="shared" si="1377"/>
        <v>0</v>
      </c>
      <c r="BP1399" s="8">
        <f t="shared" si="1388"/>
        <v>0</v>
      </c>
      <c r="BQ1399" s="12">
        <f t="shared" si="1389"/>
        <v>0</v>
      </c>
    </row>
    <row r="1400" spans="1:69">
      <c r="A1400" s="28">
        <v>1961</v>
      </c>
      <c r="B1400" s="27" t="s">
        <v>71</v>
      </c>
      <c r="C1400" s="24">
        <f t="shared" si="1408"/>
        <v>1394</v>
      </c>
      <c r="D1400" s="7" t="e">
        <f t="shared" ca="1" si="1356"/>
        <v>#N/A</v>
      </c>
      <c r="E1400" s="26">
        <f t="array" aca="1" ref="E1400" ca="1">AVERAGE(IF(INDIRECT(DatCol&amp;"$"&amp;TEXT(C1400,"###")):INDIRECT(DatCol&amp;"$"&amp;TEXT(C1400+57,"###"))&gt;0,INDIRECT(DatCol&amp;"$"&amp;TEXT(C1400,"###")):INDIRECT(DatCol&amp;"$"&amp;TEXT(C1400+57,"###"))))</f>
        <v>561.98248000000001</v>
      </c>
      <c r="F1400" s="26" t="str">
        <f t="shared" si="1357"/>
        <v>S</v>
      </c>
      <c r="G1400" s="8"/>
      <c r="I1400" s="8">
        <v>13</v>
      </c>
      <c r="K1400" s="9">
        <f t="shared" si="1378"/>
        <v>0</v>
      </c>
      <c r="L1400" s="12">
        <v>319</v>
      </c>
      <c r="M1400" s="11">
        <f t="shared" si="1379"/>
        <v>15950</v>
      </c>
      <c r="O1400" s="11">
        <f t="shared" si="1380"/>
        <v>0</v>
      </c>
      <c r="Q1400" s="11">
        <f t="shared" si="1381"/>
        <v>0</v>
      </c>
      <c r="Y1400" s="11">
        <f t="shared" si="1382"/>
        <v>0</v>
      </c>
      <c r="AG1400" s="11">
        <f t="shared" si="1383"/>
        <v>0</v>
      </c>
      <c r="AI1400" s="11">
        <f t="shared" si="1384"/>
        <v>0</v>
      </c>
      <c r="AK1400" s="13">
        <f t="shared" si="1385"/>
        <v>0</v>
      </c>
      <c r="AM1400" s="13">
        <f t="shared" si="1386"/>
        <v>0</v>
      </c>
      <c r="AO1400" s="11">
        <f t="shared" si="1398"/>
        <v>0</v>
      </c>
      <c r="AQ1400" s="11">
        <f t="shared" si="1399"/>
        <v>0</v>
      </c>
      <c r="AS1400" s="11">
        <f t="shared" si="1400"/>
        <v>0</v>
      </c>
      <c r="AU1400" s="11">
        <f t="shared" si="1401"/>
        <v>0</v>
      </c>
      <c r="AW1400" s="11">
        <f t="shared" si="1402"/>
        <v>0</v>
      </c>
      <c r="AY1400" s="11">
        <f t="shared" si="1403"/>
        <v>0</v>
      </c>
      <c r="BA1400" s="11">
        <f t="shared" si="1404"/>
        <v>0</v>
      </c>
      <c r="BC1400" s="11">
        <f t="shared" si="1405"/>
        <v>0</v>
      </c>
      <c r="BE1400" s="11">
        <f t="shared" si="1406"/>
        <v>0</v>
      </c>
      <c r="BG1400" s="11">
        <f t="shared" si="1407"/>
        <v>0</v>
      </c>
      <c r="BN1400" s="8">
        <f t="shared" si="1376"/>
        <v>319</v>
      </c>
      <c r="BO1400" s="8">
        <f t="shared" si="1377"/>
        <v>15950</v>
      </c>
      <c r="BP1400" s="8">
        <f t="shared" si="1388"/>
        <v>0</v>
      </c>
      <c r="BQ1400" s="12">
        <f t="shared" si="1389"/>
        <v>0</v>
      </c>
    </row>
    <row r="1401" spans="1:69">
      <c r="A1401" s="28">
        <v>1962</v>
      </c>
      <c r="B1401" s="27" t="s">
        <v>71</v>
      </c>
      <c r="C1401" s="24">
        <f t="shared" si="1408"/>
        <v>1394</v>
      </c>
      <c r="D1401" s="7" t="e">
        <f t="shared" ca="1" si="1356"/>
        <v>#N/A</v>
      </c>
      <c r="E1401" s="26">
        <f t="array" aca="1" ref="E1401" ca="1">AVERAGE(IF(INDIRECT(DatCol&amp;"$"&amp;TEXT(C1401,"###")):INDIRECT(DatCol&amp;"$"&amp;TEXT(C1401+57,"###"))&gt;0,INDIRECT(DatCol&amp;"$"&amp;TEXT(C1401,"###")):INDIRECT(DatCol&amp;"$"&amp;TEXT(C1401+57,"###"))))</f>
        <v>561.98248000000001</v>
      </c>
      <c r="F1401" s="26" t="str">
        <f t="shared" si="1357"/>
        <v>S</v>
      </c>
      <c r="G1401" s="8"/>
      <c r="I1401" s="8">
        <v>21</v>
      </c>
      <c r="K1401" s="9">
        <f t="shared" si="1378"/>
        <v>0</v>
      </c>
      <c r="L1401" s="12">
        <v>681</v>
      </c>
      <c r="M1401" s="11">
        <f t="shared" si="1379"/>
        <v>34050</v>
      </c>
      <c r="O1401" s="11">
        <f t="shared" si="1380"/>
        <v>0</v>
      </c>
      <c r="Q1401" s="11">
        <f t="shared" si="1381"/>
        <v>0</v>
      </c>
      <c r="Y1401" s="11">
        <f t="shared" si="1382"/>
        <v>0</v>
      </c>
      <c r="AG1401" s="11">
        <f t="shared" si="1383"/>
        <v>0</v>
      </c>
      <c r="AI1401" s="11">
        <f t="shared" si="1384"/>
        <v>0</v>
      </c>
      <c r="AK1401" s="13">
        <f t="shared" si="1385"/>
        <v>0</v>
      </c>
      <c r="AM1401" s="13">
        <f t="shared" si="1386"/>
        <v>0</v>
      </c>
      <c r="AO1401" s="11">
        <f t="shared" si="1398"/>
        <v>0</v>
      </c>
      <c r="AQ1401" s="11">
        <f t="shared" si="1399"/>
        <v>0</v>
      </c>
      <c r="AR1401" s="12">
        <v>7000</v>
      </c>
      <c r="AS1401" s="11">
        <f t="shared" si="1400"/>
        <v>350000</v>
      </c>
      <c r="AU1401" s="11">
        <f t="shared" si="1401"/>
        <v>0</v>
      </c>
      <c r="AW1401" s="11">
        <f t="shared" si="1402"/>
        <v>0</v>
      </c>
      <c r="AY1401" s="11">
        <f t="shared" si="1403"/>
        <v>0</v>
      </c>
      <c r="BA1401" s="11">
        <f t="shared" si="1404"/>
        <v>0</v>
      </c>
      <c r="BC1401" s="11">
        <f t="shared" si="1405"/>
        <v>0</v>
      </c>
      <c r="BE1401" s="11">
        <f t="shared" si="1406"/>
        <v>0</v>
      </c>
      <c r="BG1401" s="11">
        <f t="shared" si="1407"/>
        <v>0</v>
      </c>
      <c r="BN1401" s="8">
        <f t="shared" si="1376"/>
        <v>7681</v>
      </c>
      <c r="BO1401" s="8">
        <f t="shared" si="1377"/>
        <v>384050</v>
      </c>
      <c r="BP1401" s="8">
        <f t="shared" si="1388"/>
        <v>0</v>
      </c>
      <c r="BQ1401" s="12">
        <f t="shared" si="1389"/>
        <v>0</v>
      </c>
    </row>
    <row r="1402" spans="1:69">
      <c r="A1402" s="28">
        <v>1963</v>
      </c>
      <c r="B1402" s="27" t="s">
        <v>71</v>
      </c>
      <c r="C1402" s="24">
        <f t="shared" si="1408"/>
        <v>1394</v>
      </c>
      <c r="D1402" s="7" t="e">
        <f t="shared" ca="1" si="1356"/>
        <v>#N/A</v>
      </c>
      <c r="E1402" s="26">
        <f t="array" aca="1" ref="E1402" ca="1">AVERAGE(IF(INDIRECT(DatCol&amp;"$"&amp;TEXT(C1402,"###")):INDIRECT(DatCol&amp;"$"&amp;TEXT(C1402+57,"###"))&gt;0,INDIRECT(DatCol&amp;"$"&amp;TEXT(C1402,"###")):INDIRECT(DatCol&amp;"$"&amp;TEXT(C1402+57,"###"))))</f>
        <v>561.98248000000001</v>
      </c>
      <c r="F1402" s="26" t="str">
        <f t="shared" si="1357"/>
        <v>S</v>
      </c>
      <c r="G1402" s="8"/>
      <c r="I1402" s="8">
        <v>19</v>
      </c>
      <c r="J1402" s="8">
        <v>800</v>
      </c>
      <c r="K1402" s="9">
        <f t="shared" si="1378"/>
        <v>800</v>
      </c>
      <c r="L1402" s="12">
        <v>666</v>
      </c>
      <c r="M1402" s="11">
        <f t="shared" si="1379"/>
        <v>33300</v>
      </c>
      <c r="N1402" s="12">
        <v>100</v>
      </c>
      <c r="O1402" s="11">
        <f t="shared" si="1380"/>
        <v>5000</v>
      </c>
      <c r="Q1402" s="11">
        <f t="shared" si="1381"/>
        <v>0</v>
      </c>
      <c r="Y1402" s="11">
        <f t="shared" si="1382"/>
        <v>0</v>
      </c>
      <c r="AG1402" s="11">
        <f t="shared" si="1383"/>
        <v>0</v>
      </c>
      <c r="AI1402" s="11">
        <f t="shared" si="1384"/>
        <v>0</v>
      </c>
      <c r="AK1402" s="13">
        <f t="shared" si="1385"/>
        <v>0</v>
      </c>
      <c r="AM1402" s="13">
        <f t="shared" si="1386"/>
        <v>0</v>
      </c>
      <c r="AO1402" s="11">
        <f t="shared" si="1398"/>
        <v>0</v>
      </c>
      <c r="AQ1402" s="11">
        <f t="shared" si="1399"/>
        <v>0</v>
      </c>
      <c r="AS1402" s="11">
        <f t="shared" si="1400"/>
        <v>0</v>
      </c>
      <c r="AU1402" s="11">
        <f t="shared" si="1401"/>
        <v>0</v>
      </c>
      <c r="AW1402" s="11">
        <f t="shared" si="1402"/>
        <v>0</v>
      </c>
      <c r="AY1402" s="11">
        <f t="shared" si="1403"/>
        <v>0</v>
      </c>
      <c r="BA1402" s="11">
        <f t="shared" si="1404"/>
        <v>0</v>
      </c>
      <c r="BC1402" s="11">
        <f t="shared" si="1405"/>
        <v>0</v>
      </c>
      <c r="BE1402" s="11">
        <f t="shared" si="1406"/>
        <v>0</v>
      </c>
      <c r="BG1402" s="11">
        <f t="shared" si="1407"/>
        <v>0</v>
      </c>
      <c r="BN1402" s="8">
        <f t="shared" si="1376"/>
        <v>666</v>
      </c>
      <c r="BO1402" s="8">
        <f t="shared" si="1377"/>
        <v>33300</v>
      </c>
      <c r="BP1402" s="8">
        <f t="shared" si="1388"/>
        <v>100</v>
      </c>
      <c r="BQ1402" s="12">
        <f t="shared" si="1389"/>
        <v>5000</v>
      </c>
    </row>
    <row r="1403" spans="1:69">
      <c r="A1403" s="28">
        <v>1964</v>
      </c>
      <c r="B1403" s="27" t="s">
        <v>71</v>
      </c>
      <c r="C1403" s="24">
        <f t="shared" si="1408"/>
        <v>1394</v>
      </c>
      <c r="D1403" s="7" t="e">
        <f t="shared" ca="1" si="1356"/>
        <v>#N/A</v>
      </c>
      <c r="E1403" s="26">
        <f t="array" aca="1" ref="E1403" ca="1">AVERAGE(IF(INDIRECT(DatCol&amp;"$"&amp;TEXT(C1403,"###")):INDIRECT(DatCol&amp;"$"&amp;TEXT(C1403+57,"###"))&gt;0,INDIRECT(DatCol&amp;"$"&amp;TEXT(C1403,"###")):INDIRECT(DatCol&amp;"$"&amp;TEXT(C1403+57,"###"))))</f>
        <v>561.98248000000001</v>
      </c>
      <c r="F1403" s="26" t="str">
        <f t="shared" si="1357"/>
        <v>S</v>
      </c>
      <c r="G1403" s="8"/>
      <c r="I1403" s="8">
        <v>29</v>
      </c>
      <c r="J1403" s="8">
        <v>700</v>
      </c>
      <c r="K1403" s="9">
        <f t="shared" si="1378"/>
        <v>700</v>
      </c>
      <c r="L1403" s="12">
        <v>1014</v>
      </c>
      <c r="M1403" s="11">
        <f t="shared" ref="M1403:M1418" si="1409">(L1403*50)</f>
        <v>50700</v>
      </c>
      <c r="N1403" s="12">
        <v>100</v>
      </c>
      <c r="O1403" s="11">
        <f t="shared" ref="O1403:O1418" si="1410">(N1403*50)</f>
        <v>5000</v>
      </c>
      <c r="Q1403" s="11">
        <f t="shared" ref="Q1403:Q1418" si="1411">((P1403*330)/5.5)</f>
        <v>0</v>
      </c>
      <c r="Y1403" s="11">
        <f t="shared" ref="Y1403:Y1418" si="1412">((X1403*330)/5.5)</f>
        <v>0</v>
      </c>
      <c r="AG1403" s="11">
        <f t="shared" ref="AG1403:AG1418" si="1413">(AF1403*65)</f>
        <v>0</v>
      </c>
      <c r="AI1403" s="11">
        <f t="shared" ref="AI1403:AI1418" si="1414">(AH1403*65)</f>
        <v>0</v>
      </c>
      <c r="AK1403" s="13">
        <f t="shared" ref="AK1403:AK1418" si="1415">(AJ1403*9)</f>
        <v>0</v>
      </c>
      <c r="AM1403" s="13">
        <f t="shared" ref="AM1403:AM1418" si="1416">(AL1403*9)</f>
        <v>0</v>
      </c>
      <c r="AO1403" s="11">
        <f t="shared" ref="AO1403:AO1418" si="1417">(AN1403*80)</f>
        <v>0</v>
      </c>
      <c r="AQ1403" s="11">
        <f t="shared" ref="AQ1403:AQ1418" si="1418">(AP1403*80)</f>
        <v>0</v>
      </c>
      <c r="AR1403" s="12">
        <v>2500</v>
      </c>
      <c r="AS1403" s="11">
        <f t="shared" ref="AS1403:AS1418" si="1419">(AR1403*50)</f>
        <v>125000</v>
      </c>
      <c r="AU1403" s="11">
        <f t="shared" ref="AU1403:AU1418" si="1420">(AT1403*50)</f>
        <v>0</v>
      </c>
      <c r="AW1403" s="11">
        <f t="shared" ref="AW1403:AW1418" si="1421">(AV1403*60)</f>
        <v>0</v>
      </c>
      <c r="AY1403" s="11">
        <f t="shared" ref="AY1403:AY1418" si="1422">(AX1403*60)</f>
        <v>0</v>
      </c>
      <c r="BA1403" s="11">
        <f t="shared" ref="BA1403:BA1418" si="1423">(AZ1403*40)</f>
        <v>0</v>
      </c>
      <c r="BC1403" s="11">
        <f t="shared" ref="BC1403:BC1418" si="1424">(BB1403*40)</f>
        <v>0</v>
      </c>
      <c r="BE1403" s="11">
        <f t="shared" ref="BE1403:BE1418" si="1425">(BD1403*95)</f>
        <v>0</v>
      </c>
      <c r="BG1403" s="11">
        <f t="shared" ref="BG1403:BG1418" si="1426">(BF1403*95)</f>
        <v>0</v>
      </c>
      <c r="BN1403" s="8">
        <f t="shared" si="1376"/>
        <v>3514</v>
      </c>
      <c r="BO1403" s="8">
        <f t="shared" si="1377"/>
        <v>175700</v>
      </c>
      <c r="BP1403" s="8">
        <f t="shared" si="1388"/>
        <v>100</v>
      </c>
      <c r="BQ1403" s="12">
        <f t="shared" si="1389"/>
        <v>5000</v>
      </c>
    </row>
    <row r="1404" spans="1:69">
      <c r="A1404" s="28">
        <v>1965</v>
      </c>
      <c r="B1404" s="27" t="s">
        <v>71</v>
      </c>
      <c r="C1404" s="24">
        <f t="shared" si="1408"/>
        <v>1394</v>
      </c>
      <c r="D1404" s="7" t="e">
        <f t="shared" ca="1" si="1356"/>
        <v>#N/A</v>
      </c>
      <c r="E1404" s="26">
        <f t="array" aca="1" ref="E1404" ca="1">AVERAGE(IF(INDIRECT(DatCol&amp;"$"&amp;TEXT(C1404,"###")):INDIRECT(DatCol&amp;"$"&amp;TEXT(C1404+57,"###"))&gt;0,INDIRECT(DatCol&amp;"$"&amp;TEXT(C1404,"###")):INDIRECT(DatCol&amp;"$"&amp;TEXT(C1404+57,"###"))))</f>
        <v>561.98248000000001</v>
      </c>
      <c r="F1404" s="26" t="str">
        <f t="shared" si="1357"/>
        <v>S</v>
      </c>
      <c r="G1404" s="8"/>
      <c r="I1404" s="8">
        <v>48</v>
      </c>
      <c r="J1404" s="8">
        <v>1000</v>
      </c>
      <c r="K1404" s="9">
        <f t="shared" si="1378"/>
        <v>1000</v>
      </c>
      <c r="L1404" s="12">
        <v>1672</v>
      </c>
      <c r="M1404" s="11">
        <f t="shared" si="1409"/>
        <v>83600</v>
      </c>
      <c r="N1404" s="12">
        <v>150</v>
      </c>
      <c r="O1404" s="11">
        <f t="shared" si="1410"/>
        <v>7500</v>
      </c>
      <c r="Q1404" s="11">
        <f t="shared" si="1411"/>
        <v>0</v>
      </c>
      <c r="X1404" s="12">
        <v>10</v>
      </c>
      <c r="Y1404" s="11">
        <f t="shared" si="1412"/>
        <v>600</v>
      </c>
      <c r="AG1404" s="11">
        <f t="shared" si="1413"/>
        <v>0</v>
      </c>
      <c r="AI1404" s="11">
        <f t="shared" si="1414"/>
        <v>0</v>
      </c>
      <c r="AK1404" s="13">
        <f t="shared" si="1415"/>
        <v>0</v>
      </c>
      <c r="AM1404" s="13">
        <f t="shared" si="1416"/>
        <v>0</v>
      </c>
      <c r="AO1404" s="11">
        <f t="shared" si="1417"/>
        <v>0</v>
      </c>
      <c r="AQ1404" s="11">
        <f t="shared" si="1418"/>
        <v>0</v>
      </c>
      <c r="AR1404" s="12">
        <v>11000</v>
      </c>
      <c r="AS1404" s="11">
        <f t="shared" si="1419"/>
        <v>550000</v>
      </c>
      <c r="AU1404" s="11">
        <f t="shared" si="1420"/>
        <v>0</v>
      </c>
      <c r="AW1404" s="11">
        <f t="shared" si="1421"/>
        <v>0</v>
      </c>
      <c r="AY1404" s="11">
        <f t="shared" si="1422"/>
        <v>0</v>
      </c>
      <c r="BA1404" s="11">
        <f t="shared" si="1423"/>
        <v>0</v>
      </c>
      <c r="BC1404" s="11">
        <f t="shared" si="1424"/>
        <v>0</v>
      </c>
      <c r="BE1404" s="11">
        <f t="shared" si="1425"/>
        <v>0</v>
      </c>
      <c r="BG1404" s="11">
        <f t="shared" si="1426"/>
        <v>0</v>
      </c>
      <c r="BN1404" s="8">
        <f t="shared" si="1376"/>
        <v>12682</v>
      </c>
      <c r="BO1404" s="8">
        <f t="shared" si="1377"/>
        <v>634200</v>
      </c>
      <c r="BP1404" s="8">
        <f t="shared" si="1388"/>
        <v>160</v>
      </c>
      <c r="BQ1404" s="12">
        <f t="shared" si="1389"/>
        <v>8100</v>
      </c>
    </row>
    <row r="1405" spans="1:69">
      <c r="A1405" s="28">
        <v>1966</v>
      </c>
      <c r="B1405" s="27" t="s">
        <v>71</v>
      </c>
      <c r="C1405" s="24">
        <f t="shared" si="1408"/>
        <v>1394</v>
      </c>
      <c r="D1405" s="7" t="e">
        <f t="shared" ca="1" si="1356"/>
        <v>#N/A</v>
      </c>
      <c r="E1405" s="26">
        <f t="array" aca="1" ref="E1405" ca="1">AVERAGE(IF(INDIRECT(DatCol&amp;"$"&amp;TEXT(C1405,"###")):INDIRECT(DatCol&amp;"$"&amp;TEXT(C1405+57,"###"))&gt;0,INDIRECT(DatCol&amp;"$"&amp;TEXT(C1405,"###")):INDIRECT(DatCol&amp;"$"&amp;TEXT(C1405+57,"###"))))</f>
        <v>561.98248000000001</v>
      </c>
      <c r="F1405" s="26" t="str">
        <f t="shared" si="1357"/>
        <v>S</v>
      </c>
      <c r="G1405" s="8"/>
      <c r="H1405" s="8">
        <v>383</v>
      </c>
      <c r="I1405" s="8">
        <v>38</v>
      </c>
      <c r="J1405" s="8">
        <v>449</v>
      </c>
      <c r="K1405" s="9">
        <f t="shared" si="1378"/>
        <v>832</v>
      </c>
      <c r="L1405" s="12">
        <v>1794</v>
      </c>
      <c r="M1405" s="11">
        <f t="shared" si="1409"/>
        <v>89700</v>
      </c>
      <c r="N1405" s="12">
        <v>150</v>
      </c>
      <c r="O1405" s="11">
        <f t="shared" si="1410"/>
        <v>7500</v>
      </c>
      <c r="Q1405" s="11">
        <f t="shared" si="1411"/>
        <v>0</v>
      </c>
      <c r="Y1405" s="11">
        <f t="shared" si="1412"/>
        <v>0</v>
      </c>
      <c r="AG1405" s="11">
        <f t="shared" si="1413"/>
        <v>0</v>
      </c>
      <c r="AI1405" s="11">
        <f t="shared" si="1414"/>
        <v>0</v>
      </c>
      <c r="AK1405" s="13">
        <f t="shared" si="1415"/>
        <v>0</v>
      </c>
      <c r="AM1405" s="13">
        <f t="shared" si="1416"/>
        <v>0</v>
      </c>
      <c r="AO1405" s="11">
        <f t="shared" si="1417"/>
        <v>0</v>
      </c>
      <c r="AQ1405" s="11">
        <f t="shared" si="1418"/>
        <v>0</v>
      </c>
      <c r="AR1405" s="12">
        <v>13000</v>
      </c>
      <c r="AS1405" s="11">
        <f t="shared" si="1419"/>
        <v>650000</v>
      </c>
      <c r="AU1405" s="11">
        <f t="shared" si="1420"/>
        <v>0</v>
      </c>
      <c r="AW1405" s="11">
        <f t="shared" si="1421"/>
        <v>0</v>
      </c>
      <c r="AY1405" s="11">
        <f t="shared" si="1422"/>
        <v>0</v>
      </c>
      <c r="BA1405" s="11">
        <f t="shared" si="1423"/>
        <v>0</v>
      </c>
      <c r="BC1405" s="11">
        <f t="shared" si="1424"/>
        <v>0</v>
      </c>
      <c r="BE1405" s="11">
        <f t="shared" si="1425"/>
        <v>0</v>
      </c>
      <c r="BG1405" s="11">
        <f t="shared" si="1426"/>
        <v>0</v>
      </c>
      <c r="BN1405" s="8">
        <f t="shared" si="1376"/>
        <v>14794</v>
      </c>
      <c r="BO1405" s="8">
        <f t="shared" si="1377"/>
        <v>739700</v>
      </c>
      <c r="BP1405" s="8">
        <f t="shared" si="1388"/>
        <v>150</v>
      </c>
      <c r="BQ1405" s="12">
        <f t="shared" si="1389"/>
        <v>7500</v>
      </c>
    </row>
    <row r="1406" spans="1:69">
      <c r="A1406" s="28">
        <v>1967</v>
      </c>
      <c r="B1406" s="27" t="s">
        <v>71</v>
      </c>
      <c r="C1406" s="24">
        <f t="shared" si="1408"/>
        <v>1394</v>
      </c>
      <c r="D1406" s="7" t="e">
        <f t="shared" ca="1" si="1356"/>
        <v>#N/A</v>
      </c>
      <c r="E1406" s="26">
        <f t="array" aca="1" ref="E1406" ca="1">AVERAGE(IF(INDIRECT(DatCol&amp;"$"&amp;TEXT(C1406,"###")):INDIRECT(DatCol&amp;"$"&amp;TEXT(C1406+57,"###"))&gt;0,INDIRECT(DatCol&amp;"$"&amp;TEXT(C1406,"###")):INDIRECT(DatCol&amp;"$"&amp;TEXT(C1406+57,"###"))))</f>
        <v>561.98248000000001</v>
      </c>
      <c r="F1406" s="26" t="str">
        <f t="shared" si="1357"/>
        <v>S</v>
      </c>
      <c r="G1406" s="8"/>
      <c r="H1406" s="8">
        <v>320</v>
      </c>
      <c r="I1406" s="8">
        <v>28</v>
      </c>
      <c r="J1406" s="8">
        <v>426</v>
      </c>
      <c r="K1406" s="9">
        <f t="shared" si="1378"/>
        <v>746</v>
      </c>
      <c r="L1406" s="12">
        <v>1587</v>
      </c>
      <c r="M1406" s="11">
        <f t="shared" si="1409"/>
        <v>79350</v>
      </c>
      <c r="N1406" s="12">
        <v>433</v>
      </c>
      <c r="O1406" s="11">
        <f t="shared" si="1410"/>
        <v>21650</v>
      </c>
      <c r="Q1406" s="11">
        <f t="shared" si="1411"/>
        <v>0</v>
      </c>
      <c r="Y1406" s="11">
        <f t="shared" si="1412"/>
        <v>0</v>
      </c>
      <c r="AG1406" s="11">
        <f t="shared" si="1413"/>
        <v>0</v>
      </c>
      <c r="AI1406" s="11">
        <f t="shared" si="1414"/>
        <v>0</v>
      </c>
      <c r="AK1406" s="13">
        <f t="shared" si="1415"/>
        <v>0</v>
      </c>
      <c r="AM1406" s="13">
        <f t="shared" si="1416"/>
        <v>0</v>
      </c>
      <c r="AO1406" s="11">
        <f t="shared" si="1417"/>
        <v>0</v>
      </c>
      <c r="AQ1406" s="11">
        <f t="shared" si="1418"/>
        <v>0</v>
      </c>
      <c r="AR1406" s="12">
        <v>2790</v>
      </c>
      <c r="AS1406" s="11">
        <f t="shared" si="1419"/>
        <v>139500</v>
      </c>
      <c r="AU1406" s="11">
        <f t="shared" si="1420"/>
        <v>0</v>
      </c>
      <c r="AW1406" s="11">
        <f t="shared" si="1421"/>
        <v>0</v>
      </c>
      <c r="AY1406" s="11">
        <f t="shared" si="1422"/>
        <v>0</v>
      </c>
      <c r="BA1406" s="11">
        <f t="shared" si="1423"/>
        <v>0</v>
      </c>
      <c r="BC1406" s="11">
        <f t="shared" si="1424"/>
        <v>0</v>
      </c>
      <c r="BE1406" s="11">
        <f t="shared" si="1425"/>
        <v>0</v>
      </c>
      <c r="BG1406" s="11">
        <f t="shared" si="1426"/>
        <v>0</v>
      </c>
      <c r="BN1406" s="8">
        <f t="shared" si="1376"/>
        <v>4377</v>
      </c>
      <c r="BO1406" s="8">
        <f t="shared" si="1377"/>
        <v>218850</v>
      </c>
      <c r="BP1406" s="8">
        <f t="shared" si="1388"/>
        <v>433</v>
      </c>
      <c r="BQ1406" s="12">
        <f t="shared" si="1389"/>
        <v>21650</v>
      </c>
    </row>
    <row r="1407" spans="1:69">
      <c r="A1407" s="28">
        <v>1968</v>
      </c>
      <c r="B1407" s="27" t="s">
        <v>71</v>
      </c>
      <c r="C1407" s="24">
        <f t="shared" si="1408"/>
        <v>1394</v>
      </c>
      <c r="D1407" s="7" t="e">
        <f t="shared" ca="1" si="1356"/>
        <v>#N/A</v>
      </c>
      <c r="E1407" s="26">
        <f t="array" aca="1" ref="E1407" ca="1">AVERAGE(IF(INDIRECT(DatCol&amp;"$"&amp;TEXT(C1407,"###")):INDIRECT(DatCol&amp;"$"&amp;TEXT(C1407+57,"###"))&gt;0,INDIRECT(DatCol&amp;"$"&amp;TEXT(C1407,"###")):INDIRECT(DatCol&amp;"$"&amp;TEXT(C1407+57,"###"))))</f>
        <v>561.98248000000001</v>
      </c>
      <c r="F1407" s="26" t="str">
        <f t="shared" si="1357"/>
        <v>S</v>
      </c>
      <c r="G1407" s="8"/>
      <c r="H1407" s="8">
        <v>298</v>
      </c>
      <c r="I1407" s="8">
        <v>16</v>
      </c>
      <c r="J1407" s="8">
        <v>545</v>
      </c>
      <c r="K1407" s="9">
        <f t="shared" si="1378"/>
        <v>843</v>
      </c>
      <c r="L1407" s="12">
        <v>806</v>
      </c>
      <c r="M1407" s="11">
        <f t="shared" si="1409"/>
        <v>40300</v>
      </c>
      <c r="O1407" s="11">
        <f t="shared" si="1410"/>
        <v>0</v>
      </c>
      <c r="Q1407" s="11">
        <f t="shared" si="1411"/>
        <v>0</v>
      </c>
      <c r="Y1407" s="11">
        <f t="shared" si="1412"/>
        <v>0</v>
      </c>
      <c r="AG1407" s="11">
        <f t="shared" si="1413"/>
        <v>0</v>
      </c>
      <c r="AI1407" s="11">
        <f t="shared" si="1414"/>
        <v>0</v>
      </c>
      <c r="AK1407" s="13">
        <f t="shared" si="1415"/>
        <v>0</v>
      </c>
      <c r="AM1407" s="13">
        <f t="shared" si="1416"/>
        <v>0</v>
      </c>
      <c r="AO1407" s="11">
        <f t="shared" si="1417"/>
        <v>0</v>
      </c>
      <c r="AQ1407" s="11">
        <f t="shared" si="1418"/>
        <v>0</v>
      </c>
      <c r="AR1407" s="12">
        <v>1300</v>
      </c>
      <c r="AS1407" s="11">
        <f t="shared" si="1419"/>
        <v>65000</v>
      </c>
      <c r="AU1407" s="11">
        <f t="shared" si="1420"/>
        <v>0</v>
      </c>
      <c r="AW1407" s="11">
        <f t="shared" si="1421"/>
        <v>0</v>
      </c>
      <c r="AY1407" s="11">
        <f t="shared" si="1422"/>
        <v>0</v>
      </c>
      <c r="BA1407" s="11">
        <f t="shared" si="1423"/>
        <v>0</v>
      </c>
      <c r="BC1407" s="11">
        <f t="shared" si="1424"/>
        <v>0</v>
      </c>
      <c r="BE1407" s="11">
        <f t="shared" si="1425"/>
        <v>0</v>
      </c>
      <c r="BG1407" s="11">
        <f t="shared" si="1426"/>
        <v>0</v>
      </c>
      <c r="BN1407" s="8">
        <f t="shared" si="1376"/>
        <v>2106</v>
      </c>
      <c r="BO1407" s="8">
        <f t="shared" si="1377"/>
        <v>105300</v>
      </c>
      <c r="BP1407" s="8">
        <f t="shared" si="1388"/>
        <v>0</v>
      </c>
      <c r="BQ1407" s="12">
        <f t="shared" si="1389"/>
        <v>0</v>
      </c>
    </row>
    <row r="1408" spans="1:69">
      <c r="A1408" s="28">
        <v>1969</v>
      </c>
      <c r="B1408" s="27" t="s">
        <v>71</v>
      </c>
      <c r="C1408" s="24">
        <f t="shared" si="1408"/>
        <v>1394</v>
      </c>
      <c r="D1408" s="7" t="e">
        <f t="shared" ca="1" si="1356"/>
        <v>#N/A</v>
      </c>
      <c r="E1408" s="26">
        <f t="array" aca="1" ref="E1408" ca="1">AVERAGE(IF(INDIRECT(DatCol&amp;"$"&amp;TEXT(C1408,"###")):INDIRECT(DatCol&amp;"$"&amp;TEXT(C1408+57,"###"))&gt;0,INDIRECT(DatCol&amp;"$"&amp;TEXT(C1408,"###")):INDIRECT(DatCol&amp;"$"&amp;TEXT(C1408+57,"###"))))</f>
        <v>561.98248000000001</v>
      </c>
      <c r="F1408" s="26" t="str">
        <f t="shared" si="1357"/>
        <v>S</v>
      </c>
      <c r="G1408" s="8"/>
      <c r="H1408" s="8">
        <v>335</v>
      </c>
      <c r="I1408" s="8">
        <v>20</v>
      </c>
      <c r="J1408" s="8">
        <v>537</v>
      </c>
      <c r="K1408" s="9">
        <f t="shared" si="1378"/>
        <v>872</v>
      </c>
      <c r="L1408" s="12">
        <v>897</v>
      </c>
      <c r="M1408" s="11">
        <f t="shared" si="1409"/>
        <v>44850</v>
      </c>
      <c r="N1408" s="12">
        <v>300</v>
      </c>
      <c r="O1408" s="11">
        <f t="shared" si="1410"/>
        <v>15000</v>
      </c>
      <c r="Q1408" s="11">
        <f t="shared" si="1411"/>
        <v>0</v>
      </c>
      <c r="Y1408" s="11">
        <f t="shared" si="1412"/>
        <v>0</v>
      </c>
      <c r="AG1408" s="11">
        <f t="shared" si="1413"/>
        <v>0</v>
      </c>
      <c r="AI1408" s="11">
        <f t="shared" si="1414"/>
        <v>0</v>
      </c>
      <c r="AK1408" s="13">
        <f t="shared" si="1415"/>
        <v>0</v>
      </c>
      <c r="AM1408" s="13">
        <f t="shared" si="1416"/>
        <v>0</v>
      </c>
      <c r="AO1408" s="11">
        <f t="shared" si="1417"/>
        <v>0</v>
      </c>
      <c r="AQ1408" s="11">
        <f t="shared" si="1418"/>
        <v>0</v>
      </c>
      <c r="AS1408" s="11">
        <f t="shared" si="1419"/>
        <v>0</v>
      </c>
      <c r="AU1408" s="11">
        <f t="shared" si="1420"/>
        <v>0</v>
      </c>
      <c r="AW1408" s="11">
        <f t="shared" si="1421"/>
        <v>0</v>
      </c>
      <c r="AY1408" s="11">
        <f t="shared" si="1422"/>
        <v>0</v>
      </c>
      <c r="BA1408" s="11">
        <f t="shared" si="1423"/>
        <v>0</v>
      </c>
      <c r="BC1408" s="11">
        <f t="shared" si="1424"/>
        <v>0</v>
      </c>
      <c r="BE1408" s="11">
        <f t="shared" si="1425"/>
        <v>0</v>
      </c>
      <c r="BG1408" s="11">
        <f t="shared" si="1426"/>
        <v>0</v>
      </c>
      <c r="BN1408" s="8">
        <f t="shared" si="1376"/>
        <v>897</v>
      </c>
      <c r="BO1408" s="8">
        <f t="shared" si="1377"/>
        <v>44850</v>
      </c>
      <c r="BP1408" s="8">
        <f t="shared" si="1388"/>
        <v>300</v>
      </c>
      <c r="BQ1408" s="12">
        <f t="shared" si="1389"/>
        <v>15000</v>
      </c>
    </row>
    <row r="1409" spans="1:69">
      <c r="A1409" s="28">
        <v>1970</v>
      </c>
      <c r="B1409" s="27" t="s">
        <v>71</v>
      </c>
      <c r="C1409" s="24">
        <f t="shared" si="1408"/>
        <v>1394</v>
      </c>
      <c r="D1409" s="7" t="e">
        <f t="shared" ca="1" si="1356"/>
        <v>#N/A</v>
      </c>
      <c r="E1409" s="26">
        <f t="array" aca="1" ref="E1409" ca="1">AVERAGE(IF(INDIRECT(DatCol&amp;"$"&amp;TEXT(C1409,"###")):INDIRECT(DatCol&amp;"$"&amp;TEXT(C1409+57,"###"))&gt;0,INDIRECT(DatCol&amp;"$"&amp;TEXT(C1409,"###")):INDIRECT(DatCol&amp;"$"&amp;TEXT(C1409+57,"###"))))</f>
        <v>561.98248000000001</v>
      </c>
      <c r="F1409" s="26" t="str">
        <f t="shared" si="1357"/>
        <v>S</v>
      </c>
      <c r="G1409" s="8"/>
      <c r="H1409" s="8">
        <v>434</v>
      </c>
      <c r="I1409" s="8">
        <v>30</v>
      </c>
      <c r="J1409" s="8">
        <v>608</v>
      </c>
      <c r="K1409" s="9">
        <f t="shared" si="1378"/>
        <v>1042</v>
      </c>
      <c r="L1409" s="12">
        <v>1697</v>
      </c>
      <c r="M1409" s="11">
        <f t="shared" si="1409"/>
        <v>84850</v>
      </c>
      <c r="N1409" s="12">
        <v>260</v>
      </c>
      <c r="O1409" s="11">
        <f t="shared" si="1410"/>
        <v>13000</v>
      </c>
      <c r="Q1409" s="11">
        <f t="shared" si="1411"/>
        <v>0</v>
      </c>
      <c r="Y1409" s="11">
        <f t="shared" si="1412"/>
        <v>0</v>
      </c>
      <c r="AG1409" s="11">
        <f t="shared" si="1413"/>
        <v>0</v>
      </c>
      <c r="AI1409" s="11">
        <f t="shared" si="1414"/>
        <v>0</v>
      </c>
      <c r="AK1409" s="13">
        <f t="shared" si="1415"/>
        <v>0</v>
      </c>
      <c r="AM1409" s="13">
        <f t="shared" si="1416"/>
        <v>0</v>
      </c>
      <c r="AO1409" s="11">
        <f t="shared" si="1417"/>
        <v>0</v>
      </c>
      <c r="AQ1409" s="11">
        <f t="shared" si="1418"/>
        <v>0</v>
      </c>
      <c r="AR1409" s="12">
        <v>1950</v>
      </c>
      <c r="AS1409" s="11">
        <f t="shared" si="1419"/>
        <v>97500</v>
      </c>
      <c r="AU1409" s="11">
        <f t="shared" si="1420"/>
        <v>0</v>
      </c>
      <c r="AW1409" s="11">
        <f t="shared" si="1421"/>
        <v>0</v>
      </c>
      <c r="AY1409" s="11">
        <f t="shared" si="1422"/>
        <v>0</v>
      </c>
      <c r="BA1409" s="11">
        <f t="shared" si="1423"/>
        <v>0</v>
      </c>
      <c r="BC1409" s="11">
        <f t="shared" si="1424"/>
        <v>0</v>
      </c>
      <c r="BE1409" s="11">
        <f t="shared" si="1425"/>
        <v>0</v>
      </c>
      <c r="BG1409" s="11">
        <f t="shared" si="1426"/>
        <v>0</v>
      </c>
      <c r="BN1409" s="8">
        <f t="shared" si="1376"/>
        <v>3647</v>
      </c>
      <c r="BO1409" s="8">
        <f t="shared" si="1377"/>
        <v>182350</v>
      </c>
      <c r="BP1409" s="8">
        <f t="shared" si="1388"/>
        <v>260</v>
      </c>
      <c r="BQ1409" s="12">
        <f t="shared" si="1389"/>
        <v>13000</v>
      </c>
    </row>
    <row r="1410" spans="1:69">
      <c r="A1410" s="28">
        <v>1971</v>
      </c>
      <c r="B1410" s="27" t="s">
        <v>71</v>
      </c>
      <c r="C1410" s="24">
        <f t="shared" si="1408"/>
        <v>1394</v>
      </c>
      <c r="D1410" s="7" t="e">
        <f t="shared" ref="D1410:D1473" ca="1" si="1427">IF(AND((INDIRECT(DatCol&amp;TEXT(ROW(),"###"))&gt;0),((F1410=RegionSelect)+(RegionSelect="A"))),INDIRECT(DatCol&amp;TEXT(ROW(),"###"))/E1410,NA())</f>
        <v>#N/A</v>
      </c>
      <c r="E1410" s="26">
        <f t="array" aca="1" ref="E1410" ca="1">AVERAGE(IF(INDIRECT(DatCol&amp;"$"&amp;TEXT(C1410,"###")):INDIRECT(DatCol&amp;"$"&amp;TEXT(C1410+57,"###"))&gt;0,INDIRECT(DatCol&amp;"$"&amp;TEXT(C1410,"###")):INDIRECT(DatCol&amp;"$"&amp;TEXT(C1410+57,"###"))))</f>
        <v>561.98248000000001</v>
      </c>
      <c r="F1410" s="26" t="str">
        <f t="shared" si="1357"/>
        <v>S</v>
      </c>
      <c r="G1410" s="8"/>
      <c r="H1410" s="8">
        <v>497</v>
      </c>
      <c r="I1410" s="8">
        <v>41</v>
      </c>
      <c r="J1410" s="8">
        <v>668</v>
      </c>
      <c r="K1410" s="9">
        <f t="shared" si="1378"/>
        <v>1165</v>
      </c>
      <c r="L1410" s="12">
        <v>2077</v>
      </c>
      <c r="M1410" s="11">
        <f t="shared" si="1409"/>
        <v>103850</v>
      </c>
      <c r="O1410" s="11">
        <f t="shared" si="1410"/>
        <v>0</v>
      </c>
      <c r="Q1410" s="11">
        <f t="shared" si="1411"/>
        <v>0</v>
      </c>
      <c r="Y1410" s="11">
        <f t="shared" si="1412"/>
        <v>0</v>
      </c>
      <c r="AG1410" s="11">
        <f t="shared" si="1413"/>
        <v>0</v>
      </c>
      <c r="AI1410" s="11">
        <f t="shared" si="1414"/>
        <v>0</v>
      </c>
      <c r="AK1410" s="13">
        <f t="shared" si="1415"/>
        <v>0</v>
      </c>
      <c r="AM1410" s="13">
        <f t="shared" si="1416"/>
        <v>0</v>
      </c>
      <c r="AO1410" s="11">
        <f t="shared" si="1417"/>
        <v>0</v>
      </c>
      <c r="AQ1410" s="11">
        <f t="shared" si="1418"/>
        <v>0</v>
      </c>
      <c r="AR1410" s="12">
        <v>1800</v>
      </c>
      <c r="AS1410" s="11">
        <f t="shared" si="1419"/>
        <v>90000</v>
      </c>
      <c r="AU1410" s="11">
        <f t="shared" si="1420"/>
        <v>0</v>
      </c>
      <c r="AW1410" s="11">
        <f t="shared" si="1421"/>
        <v>0</v>
      </c>
      <c r="AY1410" s="11">
        <f t="shared" si="1422"/>
        <v>0</v>
      </c>
      <c r="BA1410" s="11">
        <f t="shared" si="1423"/>
        <v>0</v>
      </c>
      <c r="BC1410" s="11">
        <f t="shared" si="1424"/>
        <v>0</v>
      </c>
      <c r="BE1410" s="11">
        <f t="shared" si="1425"/>
        <v>0</v>
      </c>
      <c r="BG1410" s="11">
        <f t="shared" si="1426"/>
        <v>0</v>
      </c>
      <c r="BN1410" s="8">
        <f t="shared" si="1376"/>
        <v>3877</v>
      </c>
      <c r="BO1410" s="8">
        <f t="shared" si="1377"/>
        <v>193850</v>
      </c>
      <c r="BP1410" s="8">
        <f t="shared" si="1388"/>
        <v>0</v>
      </c>
      <c r="BQ1410" s="12">
        <f t="shared" si="1389"/>
        <v>0</v>
      </c>
    </row>
    <row r="1411" spans="1:69">
      <c r="A1411" s="28">
        <v>1972</v>
      </c>
      <c r="B1411" s="27" t="s">
        <v>71</v>
      </c>
      <c r="C1411" s="24">
        <f t="shared" si="1408"/>
        <v>1394</v>
      </c>
      <c r="D1411" s="7" t="e">
        <f t="shared" ca="1" si="1427"/>
        <v>#N/A</v>
      </c>
      <c r="E1411" s="26">
        <f t="array" aca="1" ref="E1411" ca="1">AVERAGE(IF(INDIRECT(DatCol&amp;"$"&amp;TEXT(C1411,"###")):INDIRECT(DatCol&amp;"$"&amp;TEXT(C1411+57,"###"))&gt;0,INDIRECT(DatCol&amp;"$"&amp;TEXT(C1411,"###")):INDIRECT(DatCol&amp;"$"&amp;TEXT(C1411+57,"###"))))</f>
        <v>561.98248000000001</v>
      </c>
      <c r="F1411" s="26" t="str">
        <f t="shared" si="1357"/>
        <v>S</v>
      </c>
      <c r="G1411" s="8"/>
      <c r="H1411" s="8">
        <v>642</v>
      </c>
      <c r="I1411" s="8">
        <v>30</v>
      </c>
      <c r="J1411" s="8">
        <v>700</v>
      </c>
      <c r="K1411" s="9">
        <f t="shared" si="1378"/>
        <v>1342</v>
      </c>
      <c r="L1411" s="12">
        <v>1251</v>
      </c>
      <c r="M1411" s="11">
        <f t="shared" si="1409"/>
        <v>62550</v>
      </c>
      <c r="N1411" s="12">
        <v>300</v>
      </c>
      <c r="O1411" s="11">
        <f t="shared" si="1410"/>
        <v>15000</v>
      </c>
      <c r="Q1411" s="11">
        <f t="shared" si="1411"/>
        <v>0</v>
      </c>
      <c r="Y1411" s="11">
        <f t="shared" si="1412"/>
        <v>0</v>
      </c>
      <c r="AG1411" s="11">
        <f t="shared" si="1413"/>
        <v>0</v>
      </c>
      <c r="AI1411" s="11">
        <f t="shared" si="1414"/>
        <v>0</v>
      </c>
      <c r="AK1411" s="13">
        <f t="shared" si="1415"/>
        <v>0</v>
      </c>
      <c r="AM1411" s="13">
        <f t="shared" si="1416"/>
        <v>0</v>
      </c>
      <c r="AO1411" s="11">
        <f t="shared" si="1417"/>
        <v>0</v>
      </c>
      <c r="AQ1411" s="11">
        <f t="shared" si="1418"/>
        <v>0</v>
      </c>
      <c r="AS1411" s="11">
        <f t="shared" si="1419"/>
        <v>0</v>
      </c>
      <c r="AU1411" s="11">
        <f t="shared" si="1420"/>
        <v>0</v>
      </c>
      <c r="AW1411" s="11">
        <f t="shared" si="1421"/>
        <v>0</v>
      </c>
      <c r="AY1411" s="11">
        <f t="shared" si="1422"/>
        <v>0</v>
      </c>
      <c r="BA1411" s="11">
        <f t="shared" si="1423"/>
        <v>0</v>
      </c>
      <c r="BC1411" s="11">
        <f t="shared" si="1424"/>
        <v>0</v>
      </c>
      <c r="BE1411" s="11">
        <f t="shared" si="1425"/>
        <v>0</v>
      </c>
      <c r="BG1411" s="11">
        <f t="shared" si="1426"/>
        <v>0</v>
      </c>
      <c r="BN1411" s="8">
        <f t="shared" si="1376"/>
        <v>1251</v>
      </c>
      <c r="BO1411" s="8">
        <f t="shared" si="1377"/>
        <v>62550</v>
      </c>
      <c r="BP1411" s="8">
        <f t="shared" si="1388"/>
        <v>300</v>
      </c>
      <c r="BQ1411" s="12">
        <f t="shared" si="1389"/>
        <v>15000</v>
      </c>
    </row>
    <row r="1412" spans="1:69">
      <c r="A1412" s="28">
        <v>1973</v>
      </c>
      <c r="B1412" s="27" t="s">
        <v>71</v>
      </c>
      <c r="C1412" s="24">
        <f t="shared" si="1408"/>
        <v>1394</v>
      </c>
      <c r="D1412" s="7" t="e">
        <f t="shared" ca="1" si="1427"/>
        <v>#N/A</v>
      </c>
      <c r="E1412" s="26">
        <f t="array" aca="1" ref="E1412" ca="1">AVERAGE(IF(INDIRECT(DatCol&amp;"$"&amp;TEXT(C1412,"###")):INDIRECT(DatCol&amp;"$"&amp;TEXT(C1412+57,"###"))&gt;0,INDIRECT(DatCol&amp;"$"&amp;TEXT(C1412,"###")):INDIRECT(DatCol&amp;"$"&amp;TEXT(C1412+57,"###"))))</f>
        <v>561.98248000000001</v>
      </c>
      <c r="F1412" s="26" t="str">
        <f t="shared" si="1357"/>
        <v>S</v>
      </c>
      <c r="G1412" s="8"/>
      <c r="H1412" s="8">
        <v>882</v>
      </c>
      <c r="I1412" s="8">
        <v>30</v>
      </c>
      <c r="J1412" s="8">
        <v>916</v>
      </c>
      <c r="K1412" s="9">
        <f t="shared" si="1378"/>
        <v>1798</v>
      </c>
      <c r="L1412" s="12">
        <v>660</v>
      </c>
      <c r="M1412" s="11">
        <f t="shared" si="1409"/>
        <v>33000</v>
      </c>
      <c r="N1412" s="12">
        <v>1798</v>
      </c>
      <c r="O1412" s="11">
        <f t="shared" si="1410"/>
        <v>89900</v>
      </c>
      <c r="Q1412" s="11">
        <f t="shared" si="1411"/>
        <v>0</v>
      </c>
      <c r="Y1412" s="11">
        <f t="shared" si="1412"/>
        <v>0</v>
      </c>
      <c r="AG1412" s="11">
        <f t="shared" si="1413"/>
        <v>0</v>
      </c>
      <c r="AI1412" s="11">
        <f t="shared" si="1414"/>
        <v>0</v>
      </c>
      <c r="AK1412" s="13">
        <f t="shared" si="1415"/>
        <v>0</v>
      </c>
      <c r="AM1412" s="13">
        <f t="shared" si="1416"/>
        <v>0</v>
      </c>
      <c r="AO1412" s="11">
        <f t="shared" si="1417"/>
        <v>0</v>
      </c>
      <c r="AP1412" s="12">
        <v>10</v>
      </c>
      <c r="AQ1412" s="11">
        <f t="shared" si="1418"/>
        <v>800</v>
      </c>
      <c r="AS1412" s="11">
        <f t="shared" si="1419"/>
        <v>0</v>
      </c>
      <c r="AU1412" s="11">
        <f t="shared" si="1420"/>
        <v>0</v>
      </c>
      <c r="AW1412" s="11">
        <f t="shared" si="1421"/>
        <v>0</v>
      </c>
      <c r="AY1412" s="11">
        <f t="shared" si="1422"/>
        <v>0</v>
      </c>
      <c r="BA1412" s="11">
        <f t="shared" si="1423"/>
        <v>0</v>
      </c>
      <c r="BC1412" s="11">
        <f t="shared" si="1424"/>
        <v>0</v>
      </c>
      <c r="BE1412" s="11">
        <f t="shared" si="1425"/>
        <v>0</v>
      </c>
      <c r="BG1412" s="11">
        <f t="shared" si="1426"/>
        <v>0</v>
      </c>
      <c r="BN1412" s="8">
        <f t="shared" si="1376"/>
        <v>660</v>
      </c>
      <c r="BO1412" s="8">
        <f t="shared" si="1377"/>
        <v>33000</v>
      </c>
      <c r="BP1412" s="8">
        <f t="shared" si="1388"/>
        <v>1808</v>
      </c>
      <c r="BQ1412" s="12">
        <f t="shared" si="1389"/>
        <v>90700</v>
      </c>
    </row>
    <row r="1413" spans="1:69">
      <c r="A1413" s="28">
        <v>1974</v>
      </c>
      <c r="B1413" s="27" t="s">
        <v>71</v>
      </c>
      <c r="C1413" s="24">
        <f t="shared" si="1408"/>
        <v>1394</v>
      </c>
      <c r="D1413" s="7" t="e">
        <f t="shared" ca="1" si="1427"/>
        <v>#N/A</v>
      </c>
      <c r="E1413" s="26">
        <f t="array" aca="1" ref="E1413" ca="1">AVERAGE(IF(INDIRECT(DatCol&amp;"$"&amp;TEXT(C1413,"###")):INDIRECT(DatCol&amp;"$"&amp;TEXT(C1413+57,"###"))&gt;0,INDIRECT(DatCol&amp;"$"&amp;TEXT(C1413,"###")):INDIRECT(DatCol&amp;"$"&amp;TEXT(C1413+57,"###"))))</f>
        <v>561.98248000000001</v>
      </c>
      <c r="F1413" s="26" t="str">
        <f t="shared" si="1357"/>
        <v>S</v>
      </c>
      <c r="G1413" s="8"/>
      <c r="H1413" s="8">
        <v>407</v>
      </c>
      <c r="I1413" s="8">
        <v>31</v>
      </c>
      <c r="J1413" s="8">
        <v>927</v>
      </c>
      <c r="K1413" s="9">
        <f t="shared" si="1378"/>
        <v>1334</v>
      </c>
      <c r="L1413" s="12">
        <v>1334</v>
      </c>
      <c r="M1413" s="11">
        <f t="shared" si="1409"/>
        <v>66700</v>
      </c>
      <c r="N1413" s="12">
        <v>1178</v>
      </c>
      <c r="O1413" s="11">
        <f t="shared" si="1410"/>
        <v>58900</v>
      </c>
      <c r="Q1413" s="11">
        <f t="shared" si="1411"/>
        <v>0</v>
      </c>
      <c r="Y1413" s="11">
        <f t="shared" si="1412"/>
        <v>0</v>
      </c>
      <c r="AG1413" s="11">
        <f t="shared" si="1413"/>
        <v>0</v>
      </c>
      <c r="AI1413" s="11">
        <f t="shared" si="1414"/>
        <v>0</v>
      </c>
      <c r="AK1413" s="13">
        <f t="shared" si="1415"/>
        <v>0</v>
      </c>
      <c r="AM1413" s="13">
        <f t="shared" si="1416"/>
        <v>0</v>
      </c>
      <c r="AO1413" s="11">
        <f t="shared" si="1417"/>
        <v>0</v>
      </c>
      <c r="AQ1413" s="11">
        <f t="shared" si="1418"/>
        <v>0</v>
      </c>
      <c r="AS1413" s="11">
        <f t="shared" si="1419"/>
        <v>0</v>
      </c>
      <c r="AU1413" s="11">
        <f t="shared" si="1420"/>
        <v>0</v>
      </c>
      <c r="AW1413" s="11">
        <f t="shared" si="1421"/>
        <v>0</v>
      </c>
      <c r="AY1413" s="11">
        <f t="shared" si="1422"/>
        <v>0</v>
      </c>
      <c r="BA1413" s="11">
        <f t="shared" si="1423"/>
        <v>0</v>
      </c>
      <c r="BC1413" s="11">
        <f t="shared" si="1424"/>
        <v>0</v>
      </c>
      <c r="BE1413" s="11">
        <f t="shared" si="1425"/>
        <v>0</v>
      </c>
      <c r="BG1413" s="11">
        <f t="shared" si="1426"/>
        <v>0</v>
      </c>
      <c r="BN1413" s="8">
        <f t="shared" si="1376"/>
        <v>1334</v>
      </c>
      <c r="BO1413" s="8">
        <f t="shared" si="1377"/>
        <v>66700</v>
      </c>
      <c r="BP1413" s="8">
        <f t="shared" si="1388"/>
        <v>1178</v>
      </c>
      <c r="BQ1413" s="12">
        <f t="shared" si="1389"/>
        <v>58900</v>
      </c>
    </row>
    <row r="1414" spans="1:69">
      <c r="A1414" s="28">
        <v>1975</v>
      </c>
      <c r="B1414" s="27" t="s">
        <v>71</v>
      </c>
      <c r="C1414" s="24">
        <f t="shared" si="1408"/>
        <v>1394</v>
      </c>
      <c r="D1414" s="7" t="e">
        <f t="shared" ca="1" si="1427"/>
        <v>#N/A</v>
      </c>
      <c r="E1414" s="26">
        <f t="array" aca="1" ref="E1414" ca="1">AVERAGE(IF(INDIRECT(DatCol&amp;"$"&amp;TEXT(C1414,"###")):INDIRECT(DatCol&amp;"$"&amp;TEXT(C1414+57,"###"))&gt;0,INDIRECT(DatCol&amp;"$"&amp;TEXT(C1414,"###")):INDIRECT(DatCol&amp;"$"&amp;TEXT(C1414+57,"###"))))</f>
        <v>561.98248000000001</v>
      </c>
      <c r="F1414" s="26" t="str">
        <f t="shared" si="1357"/>
        <v>S</v>
      </c>
      <c r="G1414" s="8"/>
      <c r="H1414" s="8">
        <v>124</v>
      </c>
      <c r="I1414" s="8">
        <v>30</v>
      </c>
      <c r="J1414" s="8">
        <v>730</v>
      </c>
      <c r="K1414" s="9">
        <f t="shared" si="1378"/>
        <v>854</v>
      </c>
      <c r="L1414" s="12">
        <v>1060</v>
      </c>
      <c r="M1414" s="11">
        <f t="shared" si="1409"/>
        <v>53000</v>
      </c>
      <c r="N1414" s="12">
        <v>850</v>
      </c>
      <c r="O1414" s="11">
        <f t="shared" si="1410"/>
        <v>42500</v>
      </c>
      <c r="Q1414" s="11">
        <f t="shared" si="1411"/>
        <v>0</v>
      </c>
      <c r="Y1414" s="11">
        <f t="shared" si="1412"/>
        <v>0</v>
      </c>
      <c r="AG1414" s="11">
        <f t="shared" si="1413"/>
        <v>0</v>
      </c>
      <c r="AI1414" s="11">
        <f t="shared" si="1414"/>
        <v>0</v>
      </c>
      <c r="AK1414" s="13">
        <f t="shared" si="1415"/>
        <v>0</v>
      </c>
      <c r="AM1414" s="13">
        <f t="shared" si="1416"/>
        <v>0</v>
      </c>
      <c r="AO1414" s="11">
        <f t="shared" si="1417"/>
        <v>0</v>
      </c>
      <c r="AQ1414" s="11">
        <f t="shared" si="1418"/>
        <v>0</v>
      </c>
      <c r="AS1414" s="11">
        <f t="shared" si="1419"/>
        <v>0</v>
      </c>
      <c r="AU1414" s="11">
        <f t="shared" si="1420"/>
        <v>0</v>
      </c>
      <c r="AW1414" s="11">
        <f t="shared" si="1421"/>
        <v>0</v>
      </c>
      <c r="AY1414" s="11">
        <f t="shared" si="1422"/>
        <v>0</v>
      </c>
      <c r="BA1414" s="11">
        <f t="shared" si="1423"/>
        <v>0</v>
      </c>
      <c r="BC1414" s="11">
        <f t="shared" si="1424"/>
        <v>0</v>
      </c>
      <c r="BE1414" s="11">
        <f t="shared" si="1425"/>
        <v>0</v>
      </c>
      <c r="BG1414" s="11">
        <f t="shared" si="1426"/>
        <v>0</v>
      </c>
      <c r="BN1414" s="8">
        <f t="shared" si="1376"/>
        <v>1060</v>
      </c>
      <c r="BO1414" s="8">
        <f t="shared" si="1377"/>
        <v>53000</v>
      </c>
      <c r="BP1414" s="8">
        <f t="shared" si="1388"/>
        <v>850</v>
      </c>
      <c r="BQ1414" s="12">
        <f t="shared" si="1389"/>
        <v>42500</v>
      </c>
    </row>
    <row r="1415" spans="1:69">
      <c r="A1415" s="28">
        <v>1976</v>
      </c>
      <c r="B1415" s="27" t="s">
        <v>71</v>
      </c>
      <c r="C1415" s="24">
        <f t="shared" si="1408"/>
        <v>1394</v>
      </c>
      <c r="D1415" s="7" t="e">
        <f t="shared" ca="1" si="1427"/>
        <v>#N/A</v>
      </c>
      <c r="E1415" s="26">
        <f t="array" aca="1" ref="E1415" ca="1">AVERAGE(IF(INDIRECT(DatCol&amp;"$"&amp;TEXT(C1415,"###")):INDIRECT(DatCol&amp;"$"&amp;TEXT(C1415+57,"###"))&gt;0,INDIRECT(DatCol&amp;"$"&amp;TEXT(C1415,"###")):INDIRECT(DatCol&amp;"$"&amp;TEXT(C1415+57,"###"))))</f>
        <v>561.98248000000001</v>
      </c>
      <c r="F1415" s="26" t="str">
        <f t="shared" si="1357"/>
        <v>S</v>
      </c>
      <c r="G1415" s="8"/>
      <c r="H1415" s="8">
        <v>212</v>
      </c>
      <c r="I1415" s="8">
        <v>11</v>
      </c>
      <c r="J1415" s="8">
        <v>719</v>
      </c>
      <c r="K1415" s="9">
        <f t="shared" si="1378"/>
        <v>931</v>
      </c>
      <c r="L1415" s="12">
        <v>674</v>
      </c>
      <c r="M1415" s="11">
        <f t="shared" si="1409"/>
        <v>33700</v>
      </c>
      <c r="N1415" s="12">
        <v>931</v>
      </c>
      <c r="O1415" s="11">
        <f t="shared" si="1410"/>
        <v>46550</v>
      </c>
      <c r="Q1415" s="11">
        <f t="shared" si="1411"/>
        <v>0</v>
      </c>
      <c r="Y1415" s="11">
        <f t="shared" si="1412"/>
        <v>0</v>
      </c>
      <c r="AG1415" s="11">
        <f t="shared" si="1413"/>
        <v>0</v>
      </c>
      <c r="AI1415" s="11">
        <f t="shared" si="1414"/>
        <v>0</v>
      </c>
      <c r="AK1415" s="13">
        <f t="shared" si="1415"/>
        <v>0</v>
      </c>
      <c r="AM1415" s="13">
        <f t="shared" si="1416"/>
        <v>0</v>
      </c>
      <c r="AO1415" s="11">
        <f t="shared" si="1417"/>
        <v>0</v>
      </c>
      <c r="AQ1415" s="11">
        <f t="shared" si="1418"/>
        <v>0</v>
      </c>
      <c r="AS1415" s="11">
        <f t="shared" si="1419"/>
        <v>0</v>
      </c>
      <c r="AU1415" s="11">
        <f t="shared" si="1420"/>
        <v>0</v>
      </c>
      <c r="AW1415" s="11">
        <f t="shared" si="1421"/>
        <v>0</v>
      </c>
      <c r="AY1415" s="11">
        <f t="shared" si="1422"/>
        <v>0</v>
      </c>
      <c r="BA1415" s="11">
        <f t="shared" si="1423"/>
        <v>0</v>
      </c>
      <c r="BC1415" s="11">
        <f t="shared" si="1424"/>
        <v>0</v>
      </c>
      <c r="BE1415" s="11">
        <f t="shared" si="1425"/>
        <v>0</v>
      </c>
      <c r="BG1415" s="11">
        <f t="shared" si="1426"/>
        <v>0</v>
      </c>
      <c r="BN1415" s="8">
        <f t="shared" si="1376"/>
        <v>674</v>
      </c>
      <c r="BO1415" s="8">
        <f t="shared" si="1377"/>
        <v>33700</v>
      </c>
      <c r="BP1415" s="8">
        <f t="shared" si="1388"/>
        <v>931</v>
      </c>
      <c r="BQ1415" s="12">
        <f t="shared" si="1389"/>
        <v>46550</v>
      </c>
    </row>
    <row r="1416" spans="1:69">
      <c r="A1416" s="28">
        <v>1977</v>
      </c>
      <c r="B1416" s="27" t="s">
        <v>71</v>
      </c>
      <c r="C1416" s="24">
        <f t="shared" si="1408"/>
        <v>1394</v>
      </c>
      <c r="D1416" s="7" t="e">
        <f t="shared" ca="1" si="1427"/>
        <v>#N/A</v>
      </c>
      <c r="E1416" s="26">
        <f t="array" aca="1" ref="E1416" ca="1">AVERAGE(IF(INDIRECT(DatCol&amp;"$"&amp;TEXT(C1416,"###")):INDIRECT(DatCol&amp;"$"&amp;TEXT(C1416+57,"###"))&gt;0,INDIRECT(DatCol&amp;"$"&amp;TEXT(C1416,"###")):INDIRECT(DatCol&amp;"$"&amp;TEXT(C1416+57,"###"))))</f>
        <v>561.98248000000001</v>
      </c>
      <c r="F1416" s="26" t="str">
        <f t="shared" si="1357"/>
        <v>S</v>
      </c>
      <c r="G1416" s="8"/>
      <c r="H1416" s="8">
        <v>136</v>
      </c>
      <c r="I1416" s="8">
        <v>1</v>
      </c>
      <c r="J1416" s="8">
        <v>415</v>
      </c>
      <c r="K1416" s="9">
        <f t="shared" si="1378"/>
        <v>551</v>
      </c>
      <c r="M1416" s="11">
        <f t="shared" si="1409"/>
        <v>0</v>
      </c>
      <c r="N1416" s="12">
        <v>150</v>
      </c>
      <c r="O1416" s="11">
        <f t="shared" si="1410"/>
        <v>7500</v>
      </c>
      <c r="Q1416" s="11">
        <f t="shared" si="1411"/>
        <v>0</v>
      </c>
      <c r="Y1416" s="11">
        <f t="shared" si="1412"/>
        <v>0</v>
      </c>
      <c r="AG1416" s="11">
        <f t="shared" si="1413"/>
        <v>0</v>
      </c>
      <c r="AI1416" s="11">
        <f t="shared" si="1414"/>
        <v>0</v>
      </c>
      <c r="AK1416" s="13">
        <f t="shared" si="1415"/>
        <v>0</v>
      </c>
      <c r="AM1416" s="13">
        <f t="shared" si="1416"/>
        <v>0</v>
      </c>
      <c r="AO1416" s="11">
        <f t="shared" si="1417"/>
        <v>0</v>
      </c>
      <c r="AQ1416" s="11">
        <f t="shared" si="1418"/>
        <v>0</v>
      </c>
      <c r="AS1416" s="11">
        <f t="shared" si="1419"/>
        <v>0</v>
      </c>
      <c r="AU1416" s="11">
        <f t="shared" si="1420"/>
        <v>0</v>
      </c>
      <c r="AW1416" s="11">
        <f t="shared" si="1421"/>
        <v>0</v>
      </c>
      <c r="AY1416" s="11">
        <f t="shared" si="1422"/>
        <v>0</v>
      </c>
      <c r="BA1416" s="11">
        <f t="shared" si="1423"/>
        <v>0</v>
      </c>
      <c r="BC1416" s="11">
        <f t="shared" si="1424"/>
        <v>0</v>
      </c>
      <c r="BE1416" s="11">
        <f t="shared" si="1425"/>
        <v>0</v>
      </c>
      <c r="BG1416" s="11">
        <f t="shared" si="1426"/>
        <v>0</v>
      </c>
      <c r="BN1416" s="8">
        <f t="shared" si="1376"/>
        <v>0</v>
      </c>
      <c r="BO1416" s="8">
        <f t="shared" si="1377"/>
        <v>0</v>
      </c>
      <c r="BP1416" s="8">
        <f t="shared" si="1388"/>
        <v>150</v>
      </c>
      <c r="BQ1416" s="12">
        <f t="shared" si="1389"/>
        <v>7500</v>
      </c>
    </row>
    <row r="1417" spans="1:69">
      <c r="A1417" s="28">
        <v>1978</v>
      </c>
      <c r="B1417" s="27" t="s">
        <v>71</v>
      </c>
      <c r="C1417" s="24">
        <f t="shared" si="1408"/>
        <v>1394</v>
      </c>
      <c r="D1417" s="7" t="e">
        <f t="shared" ca="1" si="1427"/>
        <v>#N/A</v>
      </c>
      <c r="E1417" s="26">
        <f t="array" aca="1" ref="E1417" ca="1">AVERAGE(IF(INDIRECT(DatCol&amp;"$"&amp;TEXT(C1417,"###")):INDIRECT(DatCol&amp;"$"&amp;TEXT(C1417+57,"###"))&gt;0,INDIRECT(DatCol&amp;"$"&amp;TEXT(C1417,"###")):INDIRECT(DatCol&amp;"$"&amp;TEXT(C1417+57,"###"))))</f>
        <v>561.98248000000001</v>
      </c>
      <c r="F1417" s="26" t="str">
        <f t="shared" si="1357"/>
        <v>S</v>
      </c>
      <c r="G1417" s="8"/>
      <c r="K1417" s="9">
        <f t="shared" si="1378"/>
        <v>0</v>
      </c>
      <c r="M1417" s="11">
        <f t="shared" si="1409"/>
        <v>0</v>
      </c>
      <c r="O1417" s="11">
        <f t="shared" si="1410"/>
        <v>0</v>
      </c>
      <c r="Q1417" s="11">
        <f t="shared" si="1411"/>
        <v>0</v>
      </c>
      <c r="Y1417" s="11">
        <f t="shared" si="1412"/>
        <v>0</v>
      </c>
      <c r="AG1417" s="11">
        <f t="shared" si="1413"/>
        <v>0</v>
      </c>
      <c r="AI1417" s="11">
        <f t="shared" si="1414"/>
        <v>0</v>
      </c>
      <c r="AK1417" s="13">
        <f t="shared" si="1415"/>
        <v>0</v>
      </c>
      <c r="AM1417" s="13">
        <f t="shared" si="1416"/>
        <v>0</v>
      </c>
      <c r="AO1417" s="11">
        <f t="shared" si="1417"/>
        <v>0</v>
      </c>
      <c r="AQ1417" s="11">
        <f t="shared" si="1418"/>
        <v>0</v>
      </c>
      <c r="AS1417" s="11">
        <f t="shared" si="1419"/>
        <v>0</v>
      </c>
      <c r="AU1417" s="11">
        <f t="shared" si="1420"/>
        <v>0</v>
      </c>
      <c r="AW1417" s="11">
        <f t="shared" si="1421"/>
        <v>0</v>
      </c>
      <c r="AY1417" s="11">
        <f t="shared" si="1422"/>
        <v>0</v>
      </c>
      <c r="BA1417" s="11">
        <f t="shared" si="1423"/>
        <v>0</v>
      </c>
      <c r="BC1417" s="11">
        <f t="shared" si="1424"/>
        <v>0</v>
      </c>
      <c r="BE1417" s="11">
        <f t="shared" si="1425"/>
        <v>0</v>
      </c>
      <c r="BG1417" s="11">
        <f t="shared" si="1426"/>
        <v>0</v>
      </c>
      <c r="BN1417" s="8">
        <f t="shared" si="1376"/>
        <v>0</v>
      </c>
      <c r="BO1417" s="8">
        <f t="shared" si="1377"/>
        <v>0</v>
      </c>
      <c r="BP1417" s="8">
        <f t="shared" si="1388"/>
        <v>0</v>
      </c>
      <c r="BQ1417" s="12">
        <f t="shared" si="1389"/>
        <v>0</v>
      </c>
    </row>
    <row r="1418" spans="1:69">
      <c r="A1418" s="28">
        <v>1979</v>
      </c>
      <c r="B1418" s="27" t="s">
        <v>71</v>
      </c>
      <c r="C1418" s="24">
        <f t="shared" si="1408"/>
        <v>1394</v>
      </c>
      <c r="D1418" s="7" t="e">
        <f t="shared" ca="1" si="1427"/>
        <v>#N/A</v>
      </c>
      <c r="E1418" s="26">
        <f t="array" aca="1" ref="E1418" ca="1">AVERAGE(IF(INDIRECT(DatCol&amp;"$"&amp;TEXT(C1418,"###")):INDIRECT(DatCol&amp;"$"&amp;TEXT(C1418+57,"###"))&gt;0,INDIRECT(DatCol&amp;"$"&amp;TEXT(C1418,"###")):INDIRECT(DatCol&amp;"$"&amp;TEXT(C1418+57,"###"))))</f>
        <v>561.98248000000001</v>
      </c>
      <c r="F1418" s="26" t="str">
        <f t="shared" ref="F1418:F1484" si="1428">VLOOKUP(B1418,town_region,2,FALSE)</f>
        <v>S</v>
      </c>
      <c r="G1418" s="8"/>
      <c r="H1418" s="8">
        <v>42</v>
      </c>
      <c r="I1418" s="8">
        <v>0</v>
      </c>
      <c r="J1418" s="8">
        <v>627</v>
      </c>
      <c r="K1418" s="9">
        <f t="shared" si="1378"/>
        <v>669</v>
      </c>
      <c r="M1418" s="11">
        <f t="shared" si="1409"/>
        <v>0</v>
      </c>
      <c r="N1418" s="12">
        <v>700</v>
      </c>
      <c r="O1418" s="11">
        <f t="shared" si="1410"/>
        <v>35000</v>
      </c>
      <c r="Q1418" s="11">
        <f t="shared" si="1411"/>
        <v>0</v>
      </c>
      <c r="Y1418" s="11">
        <f t="shared" si="1412"/>
        <v>0</v>
      </c>
      <c r="AG1418" s="11">
        <f t="shared" si="1413"/>
        <v>0</v>
      </c>
      <c r="AI1418" s="11">
        <f t="shared" si="1414"/>
        <v>0</v>
      </c>
      <c r="AK1418" s="13">
        <f t="shared" si="1415"/>
        <v>0</v>
      </c>
      <c r="AM1418" s="13">
        <f t="shared" si="1416"/>
        <v>0</v>
      </c>
      <c r="AO1418" s="11">
        <f t="shared" si="1417"/>
        <v>0</v>
      </c>
      <c r="AQ1418" s="11">
        <f t="shared" si="1418"/>
        <v>0</v>
      </c>
      <c r="AS1418" s="11">
        <f t="shared" si="1419"/>
        <v>0</v>
      </c>
      <c r="AU1418" s="11">
        <f t="shared" si="1420"/>
        <v>0</v>
      </c>
      <c r="AW1418" s="11">
        <f t="shared" si="1421"/>
        <v>0</v>
      </c>
      <c r="AY1418" s="11">
        <f t="shared" si="1422"/>
        <v>0</v>
      </c>
      <c r="BA1418" s="11">
        <f t="shared" si="1423"/>
        <v>0</v>
      </c>
      <c r="BC1418" s="11">
        <f t="shared" si="1424"/>
        <v>0</v>
      </c>
      <c r="BE1418" s="11">
        <f t="shared" si="1425"/>
        <v>0</v>
      </c>
      <c r="BG1418" s="11">
        <f t="shared" si="1426"/>
        <v>0</v>
      </c>
      <c r="BN1418" s="8">
        <f t="shared" si="1376"/>
        <v>0</v>
      </c>
      <c r="BO1418" s="8">
        <f t="shared" si="1377"/>
        <v>0</v>
      </c>
      <c r="BP1418" s="8">
        <f t="shared" si="1388"/>
        <v>700</v>
      </c>
      <c r="BQ1418" s="12">
        <f t="shared" si="1389"/>
        <v>35000</v>
      </c>
    </row>
    <row r="1419" spans="1:69">
      <c r="A1419" s="28">
        <v>1980</v>
      </c>
      <c r="B1419" s="27" t="s">
        <v>71</v>
      </c>
      <c r="C1419" s="24">
        <f t="shared" si="1408"/>
        <v>1394</v>
      </c>
      <c r="D1419" s="7" t="e">
        <f t="shared" ca="1" si="1427"/>
        <v>#N/A</v>
      </c>
      <c r="E1419" s="26">
        <f t="array" aca="1" ref="E1419" ca="1">AVERAGE(IF(INDIRECT(DatCol&amp;"$"&amp;TEXT(C1419,"###")):INDIRECT(DatCol&amp;"$"&amp;TEXT(C1419+57,"###"))&gt;0,INDIRECT(DatCol&amp;"$"&amp;TEXT(C1419,"###")):INDIRECT(DatCol&amp;"$"&amp;TEXT(C1419+57,"###"))))</f>
        <v>561.98248000000001</v>
      </c>
      <c r="F1419" s="26" t="str">
        <f t="shared" si="1428"/>
        <v>S</v>
      </c>
      <c r="G1419" s="8"/>
      <c r="H1419" s="8">
        <v>221</v>
      </c>
      <c r="I1419" s="8">
        <v>1</v>
      </c>
      <c r="J1419" s="8">
        <v>962</v>
      </c>
      <c r="K1419" s="9">
        <f t="shared" si="1378"/>
        <v>1183</v>
      </c>
      <c r="M1419" s="11">
        <f t="shared" ref="M1419:M1433" si="1429">(L1419*50)</f>
        <v>0</v>
      </c>
      <c r="N1419" s="12">
        <v>1200</v>
      </c>
      <c r="O1419" s="11">
        <f t="shared" ref="O1419:O1433" si="1430">(N1419*50)</f>
        <v>60000</v>
      </c>
      <c r="Q1419" s="11">
        <f t="shared" ref="Q1419:Q1433" si="1431">((P1419*330)/5.5)</f>
        <v>0</v>
      </c>
      <c r="Y1419" s="11">
        <f t="shared" ref="Y1419:Y1433" si="1432">((X1419*330)/5.5)</f>
        <v>0</v>
      </c>
      <c r="AG1419" s="11">
        <f t="shared" ref="AG1419:AG1433" si="1433">(AF1419*65)</f>
        <v>0</v>
      </c>
      <c r="AI1419" s="11">
        <f t="shared" ref="AI1419:AI1433" si="1434">(AH1419*65)</f>
        <v>0</v>
      </c>
      <c r="AK1419" s="13">
        <f t="shared" ref="AK1419:AK1433" si="1435">(AJ1419*9)</f>
        <v>0</v>
      </c>
      <c r="AM1419" s="13">
        <f t="shared" ref="AM1419:AM1433" si="1436">(AL1419*9)</f>
        <v>0</v>
      </c>
      <c r="AN1419" s="12">
        <v>50</v>
      </c>
      <c r="AO1419" s="11">
        <f t="shared" ref="AO1419:AO1433" si="1437">(AN1419*80)</f>
        <v>4000</v>
      </c>
      <c r="AQ1419" s="11">
        <f t="shared" ref="AQ1419:AQ1433" si="1438">(AP1419*80)</f>
        <v>0</v>
      </c>
      <c r="AS1419" s="11">
        <f t="shared" ref="AS1419:AS1433" si="1439">(AR1419*50)</f>
        <v>0</v>
      </c>
      <c r="AU1419" s="11">
        <f t="shared" ref="AU1419:AU1433" si="1440">(AT1419*50)</f>
        <v>0</v>
      </c>
      <c r="AW1419" s="11">
        <f t="shared" ref="AW1419:AW1433" si="1441">(AV1419*60)</f>
        <v>0</v>
      </c>
      <c r="AY1419" s="11">
        <f t="shared" ref="AY1419:AY1433" si="1442">(AX1419*60)</f>
        <v>0</v>
      </c>
      <c r="AZ1419" s="12">
        <v>15</v>
      </c>
      <c r="BA1419" s="11">
        <f t="shared" ref="BA1419:BA1433" si="1443">(AZ1419*40)</f>
        <v>600</v>
      </c>
      <c r="BC1419" s="11">
        <f t="shared" ref="BC1419:BC1433" si="1444">(BB1419*40)</f>
        <v>0</v>
      </c>
      <c r="BE1419" s="11">
        <f t="shared" ref="BE1419:BE1435" si="1445">(BD1419*95)</f>
        <v>0</v>
      </c>
      <c r="BG1419" s="11">
        <f t="shared" ref="BG1419:BG1435" si="1446">(BF1419*95)</f>
        <v>0</v>
      </c>
      <c r="BN1419" s="8">
        <f t="shared" si="1376"/>
        <v>65</v>
      </c>
      <c r="BO1419" s="8">
        <f t="shared" si="1377"/>
        <v>4600</v>
      </c>
      <c r="BP1419" s="8">
        <f t="shared" si="1388"/>
        <v>1200</v>
      </c>
      <c r="BQ1419" s="12">
        <f t="shared" si="1389"/>
        <v>60000</v>
      </c>
    </row>
    <row r="1420" spans="1:69">
      <c r="A1420" s="28">
        <v>1981</v>
      </c>
      <c r="B1420" s="27" t="s">
        <v>71</v>
      </c>
      <c r="C1420" s="24">
        <f t="shared" si="1408"/>
        <v>1394</v>
      </c>
      <c r="D1420" s="7" t="e">
        <f t="shared" ca="1" si="1427"/>
        <v>#N/A</v>
      </c>
      <c r="E1420" s="26">
        <f t="array" aca="1" ref="E1420" ca="1">AVERAGE(IF(INDIRECT(DatCol&amp;"$"&amp;TEXT(C1420,"###")):INDIRECT(DatCol&amp;"$"&amp;TEXT(C1420+57,"###"))&gt;0,INDIRECT(DatCol&amp;"$"&amp;TEXT(C1420,"###")):INDIRECT(DatCol&amp;"$"&amp;TEXT(C1420+57,"###"))))</f>
        <v>561.98248000000001</v>
      </c>
      <c r="F1420" s="26" t="str">
        <f t="shared" si="1428"/>
        <v>S</v>
      </c>
      <c r="G1420" s="8"/>
      <c r="H1420" s="8">
        <v>422</v>
      </c>
      <c r="I1420" s="8">
        <v>8</v>
      </c>
      <c r="J1420" s="8">
        <v>1166</v>
      </c>
      <c r="K1420" s="9">
        <f t="shared" si="1378"/>
        <v>1588</v>
      </c>
      <c r="M1420" s="11">
        <f t="shared" si="1429"/>
        <v>0</v>
      </c>
      <c r="N1420" s="12">
        <v>2000</v>
      </c>
      <c r="O1420" s="11">
        <f t="shared" si="1430"/>
        <v>100000</v>
      </c>
      <c r="Q1420" s="11">
        <f t="shared" si="1431"/>
        <v>0</v>
      </c>
      <c r="Y1420" s="11">
        <f t="shared" si="1432"/>
        <v>0</v>
      </c>
      <c r="AG1420" s="11">
        <f t="shared" si="1433"/>
        <v>0</v>
      </c>
      <c r="AI1420" s="11">
        <f t="shared" si="1434"/>
        <v>0</v>
      </c>
      <c r="AK1420" s="13">
        <f t="shared" si="1435"/>
        <v>0</v>
      </c>
      <c r="AM1420" s="13">
        <f t="shared" si="1436"/>
        <v>0</v>
      </c>
      <c r="AN1420" s="12">
        <v>4850</v>
      </c>
      <c r="AO1420" s="11">
        <f t="shared" si="1437"/>
        <v>388000</v>
      </c>
      <c r="AQ1420" s="11">
        <f t="shared" si="1438"/>
        <v>0</v>
      </c>
      <c r="AR1420" s="12">
        <v>10080</v>
      </c>
      <c r="AS1420" s="11">
        <f t="shared" si="1439"/>
        <v>504000</v>
      </c>
      <c r="AU1420" s="11">
        <f t="shared" si="1440"/>
        <v>0</v>
      </c>
      <c r="AW1420" s="11">
        <f t="shared" si="1441"/>
        <v>0</v>
      </c>
      <c r="AY1420" s="11">
        <f t="shared" si="1442"/>
        <v>0</v>
      </c>
      <c r="BA1420" s="11">
        <f t="shared" si="1443"/>
        <v>0</v>
      </c>
      <c r="BC1420" s="11">
        <f t="shared" si="1444"/>
        <v>0</v>
      </c>
      <c r="BE1420" s="11">
        <f t="shared" si="1445"/>
        <v>0</v>
      </c>
      <c r="BG1420" s="11">
        <f t="shared" si="1446"/>
        <v>0</v>
      </c>
      <c r="BN1420" s="8">
        <f t="shared" si="1376"/>
        <v>14930</v>
      </c>
      <c r="BO1420" s="8">
        <f t="shared" si="1377"/>
        <v>892000</v>
      </c>
      <c r="BP1420" s="8">
        <f t="shared" si="1388"/>
        <v>2000</v>
      </c>
      <c r="BQ1420" s="12">
        <f t="shared" si="1389"/>
        <v>100000</v>
      </c>
    </row>
    <row r="1421" spans="1:69">
      <c r="A1421" s="28">
        <v>1982</v>
      </c>
      <c r="B1421" s="27" t="s">
        <v>71</v>
      </c>
      <c r="C1421" s="24">
        <f t="shared" si="1408"/>
        <v>1394</v>
      </c>
      <c r="D1421" s="7" t="e">
        <f t="shared" ca="1" si="1427"/>
        <v>#N/A</v>
      </c>
      <c r="E1421" s="26">
        <f t="array" aca="1" ref="E1421" ca="1">AVERAGE(IF(INDIRECT(DatCol&amp;"$"&amp;TEXT(C1421,"###")):INDIRECT(DatCol&amp;"$"&amp;TEXT(C1421+57,"###"))&gt;0,INDIRECT(DatCol&amp;"$"&amp;TEXT(C1421,"###")):INDIRECT(DatCol&amp;"$"&amp;TEXT(C1421+57,"###"))))</f>
        <v>561.98248000000001</v>
      </c>
      <c r="F1421" s="26" t="str">
        <f t="shared" si="1428"/>
        <v>S</v>
      </c>
      <c r="G1421" s="8"/>
      <c r="H1421" s="8">
        <v>492</v>
      </c>
      <c r="I1421" s="8">
        <v>21</v>
      </c>
      <c r="J1421" s="8">
        <v>1036</v>
      </c>
      <c r="K1421" s="9">
        <f t="shared" si="1378"/>
        <v>1528</v>
      </c>
      <c r="M1421" s="11">
        <f t="shared" si="1429"/>
        <v>0</v>
      </c>
      <c r="N1421" s="12">
        <v>1500</v>
      </c>
      <c r="O1421" s="11">
        <f t="shared" si="1430"/>
        <v>75000</v>
      </c>
      <c r="Q1421" s="11">
        <f t="shared" si="1431"/>
        <v>0</v>
      </c>
      <c r="Y1421" s="11">
        <f t="shared" si="1432"/>
        <v>0</v>
      </c>
      <c r="AG1421" s="11">
        <f t="shared" si="1433"/>
        <v>0</v>
      </c>
      <c r="AI1421" s="11">
        <f t="shared" si="1434"/>
        <v>0</v>
      </c>
      <c r="AK1421" s="13">
        <f t="shared" si="1435"/>
        <v>0</v>
      </c>
      <c r="AM1421" s="13">
        <f t="shared" si="1436"/>
        <v>0</v>
      </c>
      <c r="AO1421" s="11">
        <f t="shared" si="1437"/>
        <v>0</v>
      </c>
      <c r="AQ1421" s="11">
        <f t="shared" si="1438"/>
        <v>0</v>
      </c>
      <c r="AR1421" s="12">
        <v>26290</v>
      </c>
      <c r="AS1421" s="11">
        <f t="shared" si="1439"/>
        <v>1314500</v>
      </c>
      <c r="AU1421" s="11">
        <f t="shared" si="1440"/>
        <v>0</v>
      </c>
      <c r="AW1421" s="11">
        <f t="shared" si="1441"/>
        <v>0</v>
      </c>
      <c r="AY1421" s="11">
        <f t="shared" si="1442"/>
        <v>0</v>
      </c>
      <c r="BA1421" s="11">
        <f t="shared" si="1443"/>
        <v>0</v>
      </c>
      <c r="BC1421" s="11">
        <f t="shared" si="1444"/>
        <v>0</v>
      </c>
      <c r="BE1421" s="11">
        <f t="shared" si="1445"/>
        <v>0</v>
      </c>
      <c r="BG1421" s="11">
        <f t="shared" si="1446"/>
        <v>0</v>
      </c>
      <c r="BN1421" s="8">
        <f t="shared" si="1376"/>
        <v>26290</v>
      </c>
      <c r="BO1421" s="8">
        <f t="shared" si="1377"/>
        <v>1314500</v>
      </c>
      <c r="BP1421" s="8">
        <f t="shared" si="1388"/>
        <v>1500</v>
      </c>
      <c r="BQ1421" s="12">
        <f t="shared" si="1389"/>
        <v>75000</v>
      </c>
    </row>
    <row r="1422" spans="1:69">
      <c r="A1422" s="28">
        <v>1983</v>
      </c>
      <c r="B1422" s="27" t="s">
        <v>71</v>
      </c>
      <c r="C1422" s="24">
        <f t="shared" si="1408"/>
        <v>1394</v>
      </c>
      <c r="D1422" s="7" t="e">
        <f t="shared" ca="1" si="1427"/>
        <v>#N/A</v>
      </c>
      <c r="E1422" s="26">
        <f t="array" aca="1" ref="E1422" ca="1">AVERAGE(IF(INDIRECT(DatCol&amp;"$"&amp;TEXT(C1422,"###")):INDIRECT(DatCol&amp;"$"&amp;TEXT(C1422+57,"###"))&gt;0,INDIRECT(DatCol&amp;"$"&amp;TEXT(C1422,"###")):INDIRECT(DatCol&amp;"$"&amp;TEXT(C1422+57,"###"))))</f>
        <v>561.98248000000001</v>
      </c>
      <c r="F1422" s="26" t="str">
        <f t="shared" si="1428"/>
        <v>S</v>
      </c>
      <c r="G1422" s="8"/>
      <c r="H1422" s="8">
        <v>195</v>
      </c>
      <c r="I1422" s="8">
        <v>14</v>
      </c>
      <c r="J1422" s="8">
        <v>642</v>
      </c>
      <c r="K1422" s="9">
        <f t="shared" si="1378"/>
        <v>837</v>
      </c>
      <c r="M1422" s="11">
        <f t="shared" si="1429"/>
        <v>0</v>
      </c>
      <c r="N1422" s="12">
        <v>1000</v>
      </c>
      <c r="O1422" s="11">
        <f t="shared" si="1430"/>
        <v>50000</v>
      </c>
      <c r="Q1422" s="11">
        <f t="shared" si="1431"/>
        <v>0</v>
      </c>
      <c r="Y1422" s="11">
        <f t="shared" si="1432"/>
        <v>0</v>
      </c>
      <c r="AG1422" s="11">
        <f t="shared" si="1433"/>
        <v>0</v>
      </c>
      <c r="AI1422" s="11">
        <f t="shared" si="1434"/>
        <v>0</v>
      </c>
      <c r="AK1422" s="13">
        <f t="shared" si="1435"/>
        <v>0</v>
      </c>
      <c r="AM1422" s="13">
        <f t="shared" si="1436"/>
        <v>0</v>
      </c>
      <c r="AO1422" s="11">
        <f t="shared" si="1437"/>
        <v>0</v>
      </c>
      <c r="AQ1422" s="11">
        <f t="shared" si="1438"/>
        <v>0</v>
      </c>
      <c r="AR1422" s="12">
        <v>6000</v>
      </c>
      <c r="AS1422" s="11">
        <f t="shared" si="1439"/>
        <v>300000</v>
      </c>
      <c r="AU1422" s="11">
        <f t="shared" si="1440"/>
        <v>0</v>
      </c>
      <c r="AW1422" s="11">
        <f t="shared" si="1441"/>
        <v>0</v>
      </c>
      <c r="AY1422" s="11">
        <f t="shared" si="1442"/>
        <v>0</v>
      </c>
      <c r="BA1422" s="11">
        <f t="shared" si="1443"/>
        <v>0</v>
      </c>
      <c r="BC1422" s="11">
        <f t="shared" si="1444"/>
        <v>0</v>
      </c>
      <c r="BE1422" s="11">
        <f t="shared" si="1445"/>
        <v>0</v>
      </c>
      <c r="BG1422" s="11">
        <f t="shared" si="1446"/>
        <v>0</v>
      </c>
      <c r="BN1422" s="8">
        <f t="shared" si="1376"/>
        <v>6000</v>
      </c>
      <c r="BO1422" s="8">
        <f t="shared" si="1377"/>
        <v>300000</v>
      </c>
      <c r="BP1422" s="8">
        <f t="shared" si="1388"/>
        <v>1000</v>
      </c>
      <c r="BQ1422" s="12">
        <f t="shared" si="1389"/>
        <v>50000</v>
      </c>
    </row>
    <row r="1423" spans="1:69">
      <c r="A1423" s="28">
        <v>1984</v>
      </c>
      <c r="B1423" s="27" t="s">
        <v>71</v>
      </c>
      <c r="C1423" s="24">
        <f t="shared" si="1408"/>
        <v>1394</v>
      </c>
      <c r="D1423" s="7" t="e">
        <f t="shared" ca="1" si="1427"/>
        <v>#N/A</v>
      </c>
      <c r="E1423" s="26">
        <f t="array" aca="1" ref="E1423" ca="1">AVERAGE(IF(INDIRECT(DatCol&amp;"$"&amp;TEXT(C1423,"###")):INDIRECT(DatCol&amp;"$"&amp;TEXT(C1423+57,"###"))&gt;0,INDIRECT(DatCol&amp;"$"&amp;TEXT(C1423,"###")):INDIRECT(DatCol&amp;"$"&amp;TEXT(C1423+57,"###"))))</f>
        <v>561.98248000000001</v>
      </c>
      <c r="F1423" s="26" t="str">
        <f t="shared" si="1428"/>
        <v>S</v>
      </c>
      <c r="G1423" s="8"/>
      <c r="H1423" s="8">
        <v>133</v>
      </c>
      <c r="I1423" s="8">
        <v>3</v>
      </c>
      <c r="J1423" s="8">
        <v>378</v>
      </c>
      <c r="K1423" s="9">
        <f t="shared" si="1378"/>
        <v>511</v>
      </c>
      <c r="M1423" s="11">
        <f t="shared" si="1429"/>
        <v>0</v>
      </c>
      <c r="N1423" s="12">
        <v>120</v>
      </c>
      <c r="O1423" s="11">
        <f t="shared" si="1430"/>
        <v>6000</v>
      </c>
      <c r="Q1423" s="11">
        <f t="shared" si="1431"/>
        <v>0</v>
      </c>
      <c r="Y1423" s="11">
        <f t="shared" si="1432"/>
        <v>0</v>
      </c>
      <c r="AG1423" s="11">
        <f t="shared" si="1433"/>
        <v>0</v>
      </c>
      <c r="AI1423" s="11">
        <f t="shared" si="1434"/>
        <v>0</v>
      </c>
      <c r="AK1423" s="13">
        <f t="shared" si="1435"/>
        <v>0</v>
      </c>
      <c r="AM1423" s="13">
        <f t="shared" si="1436"/>
        <v>0</v>
      </c>
      <c r="AO1423" s="11">
        <f t="shared" si="1437"/>
        <v>0</v>
      </c>
      <c r="AQ1423" s="11">
        <f t="shared" si="1438"/>
        <v>0</v>
      </c>
      <c r="AR1423" s="12">
        <v>2500</v>
      </c>
      <c r="AS1423" s="11">
        <f t="shared" si="1439"/>
        <v>125000</v>
      </c>
      <c r="AU1423" s="11">
        <f t="shared" si="1440"/>
        <v>0</v>
      </c>
      <c r="AW1423" s="11">
        <f t="shared" si="1441"/>
        <v>0</v>
      </c>
      <c r="AY1423" s="11">
        <f t="shared" si="1442"/>
        <v>0</v>
      </c>
      <c r="BA1423" s="11">
        <f t="shared" si="1443"/>
        <v>0</v>
      </c>
      <c r="BC1423" s="11">
        <f t="shared" si="1444"/>
        <v>0</v>
      </c>
      <c r="BE1423" s="11">
        <f t="shared" si="1445"/>
        <v>0</v>
      </c>
      <c r="BG1423" s="11">
        <f t="shared" si="1446"/>
        <v>0</v>
      </c>
      <c r="BN1423" s="8">
        <f t="shared" si="1376"/>
        <v>2500</v>
      </c>
      <c r="BO1423" s="8">
        <f t="shared" si="1377"/>
        <v>125000</v>
      </c>
      <c r="BP1423" s="8">
        <f t="shared" si="1388"/>
        <v>120</v>
      </c>
      <c r="BQ1423" s="12">
        <f t="shared" si="1389"/>
        <v>6000</v>
      </c>
    </row>
    <row r="1424" spans="1:69">
      <c r="A1424" s="28">
        <v>1985</v>
      </c>
      <c r="B1424" s="27" t="s">
        <v>71</v>
      </c>
      <c r="C1424" s="24">
        <f t="shared" si="1408"/>
        <v>1394</v>
      </c>
      <c r="D1424" s="7" t="e">
        <f t="shared" ca="1" si="1427"/>
        <v>#N/A</v>
      </c>
      <c r="E1424" s="26">
        <f t="array" aca="1" ref="E1424" ca="1">AVERAGE(IF(INDIRECT(DatCol&amp;"$"&amp;TEXT(C1424,"###")):INDIRECT(DatCol&amp;"$"&amp;TEXT(C1424+57,"###"))&gt;0,INDIRECT(DatCol&amp;"$"&amp;TEXT(C1424,"###")):INDIRECT(DatCol&amp;"$"&amp;TEXT(C1424+57,"###"))))</f>
        <v>561.98248000000001</v>
      </c>
      <c r="F1424" s="26" t="str">
        <f t="shared" si="1428"/>
        <v>S</v>
      </c>
      <c r="G1424" s="8"/>
      <c r="H1424" s="8">
        <v>79</v>
      </c>
      <c r="I1424" s="8">
        <v>9</v>
      </c>
      <c r="J1424" s="8">
        <v>406</v>
      </c>
      <c r="K1424" s="9">
        <f t="shared" si="1378"/>
        <v>485</v>
      </c>
      <c r="M1424" s="11">
        <f t="shared" si="1429"/>
        <v>0</v>
      </c>
      <c r="N1424" s="12">
        <v>400</v>
      </c>
      <c r="O1424" s="11">
        <f t="shared" si="1430"/>
        <v>20000</v>
      </c>
      <c r="Q1424" s="11">
        <f t="shared" si="1431"/>
        <v>0</v>
      </c>
      <c r="Y1424" s="11">
        <f t="shared" si="1432"/>
        <v>0</v>
      </c>
      <c r="AG1424" s="11">
        <f t="shared" si="1433"/>
        <v>0</v>
      </c>
      <c r="AI1424" s="11">
        <f t="shared" si="1434"/>
        <v>0</v>
      </c>
      <c r="AK1424" s="13">
        <f t="shared" si="1435"/>
        <v>0</v>
      </c>
      <c r="AM1424" s="13">
        <f t="shared" si="1436"/>
        <v>0</v>
      </c>
      <c r="AO1424" s="11">
        <f t="shared" si="1437"/>
        <v>0</v>
      </c>
      <c r="AQ1424" s="11">
        <f t="shared" si="1438"/>
        <v>0</v>
      </c>
      <c r="AR1424" s="12">
        <v>5000</v>
      </c>
      <c r="AS1424" s="11">
        <f t="shared" si="1439"/>
        <v>250000</v>
      </c>
      <c r="AT1424" s="12">
        <v>20</v>
      </c>
      <c r="AU1424" s="11">
        <f t="shared" si="1440"/>
        <v>1000</v>
      </c>
      <c r="AW1424" s="11">
        <f t="shared" si="1441"/>
        <v>0</v>
      </c>
      <c r="AY1424" s="11">
        <f t="shared" si="1442"/>
        <v>0</v>
      </c>
      <c r="BA1424" s="11">
        <f t="shared" si="1443"/>
        <v>0</v>
      </c>
      <c r="BC1424" s="11">
        <f t="shared" si="1444"/>
        <v>0</v>
      </c>
      <c r="BE1424" s="11">
        <f t="shared" si="1445"/>
        <v>0</v>
      </c>
      <c r="BG1424" s="11">
        <f t="shared" si="1446"/>
        <v>0</v>
      </c>
      <c r="BN1424" s="8">
        <f t="shared" si="1376"/>
        <v>5000</v>
      </c>
      <c r="BO1424" s="8">
        <f t="shared" si="1377"/>
        <v>250000</v>
      </c>
      <c r="BP1424" s="8">
        <f t="shared" si="1388"/>
        <v>420</v>
      </c>
      <c r="BQ1424" s="12">
        <f t="shared" si="1389"/>
        <v>21000</v>
      </c>
    </row>
    <row r="1425" spans="1:69">
      <c r="A1425" s="28">
        <v>1986</v>
      </c>
      <c r="B1425" s="27" t="s">
        <v>71</v>
      </c>
      <c r="C1425" s="24">
        <f t="shared" si="1408"/>
        <v>1394</v>
      </c>
      <c r="D1425" s="7" t="e">
        <f t="shared" ca="1" si="1427"/>
        <v>#N/A</v>
      </c>
      <c r="E1425" s="26">
        <f t="array" aca="1" ref="E1425" ca="1">AVERAGE(IF(INDIRECT(DatCol&amp;"$"&amp;TEXT(C1425,"###")):INDIRECT(DatCol&amp;"$"&amp;TEXT(C1425+57,"###"))&gt;0,INDIRECT(DatCol&amp;"$"&amp;TEXT(C1425,"###")):INDIRECT(DatCol&amp;"$"&amp;TEXT(C1425+57,"###"))))</f>
        <v>561.98248000000001</v>
      </c>
      <c r="F1425" s="26" t="str">
        <f t="shared" si="1428"/>
        <v>S</v>
      </c>
      <c r="G1425" s="8">
        <v>30</v>
      </c>
      <c r="H1425" s="8">
        <v>68</v>
      </c>
      <c r="I1425" s="8">
        <v>16</v>
      </c>
      <c r="J1425" s="8">
        <v>376</v>
      </c>
      <c r="K1425" s="9">
        <f t="shared" si="1378"/>
        <v>474</v>
      </c>
      <c r="M1425" s="11">
        <f t="shared" si="1429"/>
        <v>0</v>
      </c>
      <c r="N1425" s="12">
        <v>150</v>
      </c>
      <c r="O1425" s="11">
        <f t="shared" si="1430"/>
        <v>7500</v>
      </c>
      <c r="Q1425" s="11">
        <f t="shared" si="1431"/>
        <v>0</v>
      </c>
      <c r="Y1425" s="11">
        <f t="shared" si="1432"/>
        <v>0</v>
      </c>
      <c r="AG1425" s="11">
        <f t="shared" si="1433"/>
        <v>0</v>
      </c>
      <c r="AI1425" s="11">
        <f t="shared" si="1434"/>
        <v>0</v>
      </c>
      <c r="AK1425" s="13">
        <f t="shared" si="1435"/>
        <v>0</v>
      </c>
      <c r="AM1425" s="13">
        <f t="shared" si="1436"/>
        <v>0</v>
      </c>
      <c r="AO1425" s="11">
        <f t="shared" si="1437"/>
        <v>0</v>
      </c>
      <c r="AQ1425" s="11">
        <f t="shared" si="1438"/>
        <v>0</v>
      </c>
      <c r="AR1425" s="12">
        <v>14000</v>
      </c>
      <c r="AS1425" s="11">
        <f t="shared" si="1439"/>
        <v>700000</v>
      </c>
      <c r="AT1425" s="12">
        <v>25</v>
      </c>
      <c r="AU1425" s="11">
        <f t="shared" si="1440"/>
        <v>1250</v>
      </c>
      <c r="AW1425" s="11">
        <f t="shared" si="1441"/>
        <v>0</v>
      </c>
      <c r="AY1425" s="11">
        <f t="shared" si="1442"/>
        <v>0</v>
      </c>
      <c r="BA1425" s="11">
        <f t="shared" si="1443"/>
        <v>0</v>
      </c>
      <c r="BC1425" s="11">
        <f t="shared" si="1444"/>
        <v>0</v>
      </c>
      <c r="BE1425" s="11">
        <f t="shared" si="1445"/>
        <v>0</v>
      </c>
      <c r="BG1425" s="11">
        <f t="shared" si="1446"/>
        <v>0</v>
      </c>
      <c r="BN1425" s="8">
        <f t="shared" si="1376"/>
        <v>14000</v>
      </c>
      <c r="BO1425" s="8">
        <f t="shared" si="1377"/>
        <v>700000</v>
      </c>
      <c r="BP1425" s="8">
        <f t="shared" si="1388"/>
        <v>175</v>
      </c>
      <c r="BQ1425" s="12">
        <f t="shared" si="1389"/>
        <v>8750</v>
      </c>
    </row>
    <row r="1426" spans="1:69">
      <c r="A1426" s="28">
        <v>1987</v>
      </c>
      <c r="B1426" s="27" t="s">
        <v>71</v>
      </c>
      <c r="C1426" s="24">
        <f t="shared" si="1408"/>
        <v>1394</v>
      </c>
      <c r="D1426" s="7" t="e">
        <f t="shared" ca="1" si="1427"/>
        <v>#N/A</v>
      </c>
      <c r="E1426" s="26">
        <f t="array" aca="1" ref="E1426" ca="1">AVERAGE(IF(INDIRECT(DatCol&amp;"$"&amp;TEXT(C1426,"###")):INDIRECT(DatCol&amp;"$"&amp;TEXT(C1426+57,"###"))&gt;0,INDIRECT(DatCol&amp;"$"&amp;TEXT(C1426,"###")):INDIRECT(DatCol&amp;"$"&amp;TEXT(C1426+57,"###"))))</f>
        <v>561.98248000000001</v>
      </c>
      <c r="F1426" s="26" t="str">
        <f t="shared" si="1428"/>
        <v>S</v>
      </c>
      <c r="G1426" s="8">
        <v>50</v>
      </c>
      <c r="H1426" s="8">
        <v>20</v>
      </c>
      <c r="I1426" s="8">
        <v>6</v>
      </c>
      <c r="J1426" s="8">
        <v>107</v>
      </c>
      <c r="K1426" s="9">
        <f t="shared" si="1378"/>
        <v>177</v>
      </c>
      <c r="L1426" s="12">
        <v>0</v>
      </c>
      <c r="M1426" s="11">
        <f t="shared" si="1429"/>
        <v>0</v>
      </c>
      <c r="N1426" s="12">
        <v>100</v>
      </c>
      <c r="O1426" s="11">
        <f t="shared" si="1430"/>
        <v>5000</v>
      </c>
      <c r="Q1426" s="11">
        <f t="shared" si="1431"/>
        <v>0</v>
      </c>
      <c r="Y1426" s="11">
        <f t="shared" si="1432"/>
        <v>0</v>
      </c>
      <c r="AG1426" s="11">
        <f t="shared" si="1433"/>
        <v>0</v>
      </c>
      <c r="AI1426" s="11">
        <f t="shared" si="1434"/>
        <v>0</v>
      </c>
      <c r="AK1426" s="13">
        <f t="shared" si="1435"/>
        <v>0</v>
      </c>
      <c r="AM1426" s="13">
        <f t="shared" si="1436"/>
        <v>0</v>
      </c>
      <c r="AO1426" s="11">
        <f t="shared" si="1437"/>
        <v>0</v>
      </c>
      <c r="AQ1426" s="11">
        <f t="shared" si="1438"/>
        <v>0</v>
      </c>
      <c r="AR1426" s="12">
        <v>9500</v>
      </c>
      <c r="AS1426" s="11">
        <f t="shared" si="1439"/>
        <v>475000</v>
      </c>
      <c r="AU1426" s="11">
        <f t="shared" si="1440"/>
        <v>0</v>
      </c>
      <c r="AW1426" s="11">
        <f t="shared" si="1441"/>
        <v>0</v>
      </c>
      <c r="AY1426" s="11">
        <f t="shared" si="1442"/>
        <v>0</v>
      </c>
      <c r="BA1426" s="11">
        <f t="shared" si="1443"/>
        <v>0</v>
      </c>
      <c r="BC1426" s="11">
        <f t="shared" si="1444"/>
        <v>0</v>
      </c>
      <c r="BE1426" s="11">
        <f t="shared" si="1445"/>
        <v>0</v>
      </c>
      <c r="BG1426" s="11">
        <f t="shared" si="1446"/>
        <v>0</v>
      </c>
      <c r="BN1426" s="8">
        <f t="shared" si="1376"/>
        <v>9500</v>
      </c>
      <c r="BO1426" s="8">
        <f t="shared" si="1377"/>
        <v>475000</v>
      </c>
      <c r="BP1426" s="8">
        <f t="shared" si="1388"/>
        <v>100</v>
      </c>
      <c r="BQ1426" s="12">
        <f t="shared" si="1389"/>
        <v>5000</v>
      </c>
    </row>
    <row r="1427" spans="1:69">
      <c r="A1427" s="28">
        <v>1988</v>
      </c>
      <c r="B1427" s="27" t="s">
        <v>71</v>
      </c>
      <c r="C1427" s="24">
        <f t="shared" si="1408"/>
        <v>1394</v>
      </c>
      <c r="D1427" s="7" t="e">
        <f t="shared" ca="1" si="1427"/>
        <v>#N/A</v>
      </c>
      <c r="E1427" s="26">
        <f t="array" aca="1" ref="E1427" ca="1">AVERAGE(IF(INDIRECT(DatCol&amp;"$"&amp;TEXT(C1427,"###")):INDIRECT(DatCol&amp;"$"&amp;TEXT(C1427+57,"###"))&gt;0,INDIRECT(DatCol&amp;"$"&amp;TEXT(C1427,"###")):INDIRECT(DatCol&amp;"$"&amp;TEXT(C1427+57,"###"))))</f>
        <v>561.98248000000001</v>
      </c>
      <c r="F1427" s="26" t="str">
        <f t="shared" si="1428"/>
        <v>S</v>
      </c>
      <c r="G1427" s="8">
        <v>6</v>
      </c>
      <c r="H1427" s="8">
        <v>11</v>
      </c>
      <c r="I1427" s="8">
        <v>0</v>
      </c>
      <c r="J1427" s="8">
        <v>51</v>
      </c>
      <c r="K1427" s="9">
        <f t="shared" si="1378"/>
        <v>68</v>
      </c>
      <c r="L1427" s="12">
        <v>0</v>
      </c>
      <c r="M1427" s="11">
        <f t="shared" si="1429"/>
        <v>0</v>
      </c>
      <c r="N1427" s="12">
        <v>0</v>
      </c>
      <c r="O1427" s="11">
        <f t="shared" si="1430"/>
        <v>0</v>
      </c>
      <c r="Q1427" s="11">
        <f t="shared" si="1431"/>
        <v>0</v>
      </c>
      <c r="Y1427" s="11">
        <f t="shared" si="1432"/>
        <v>0</v>
      </c>
      <c r="AG1427" s="11">
        <f t="shared" si="1433"/>
        <v>0</v>
      </c>
      <c r="AI1427" s="11">
        <f t="shared" si="1434"/>
        <v>0</v>
      </c>
      <c r="AK1427" s="13">
        <f t="shared" si="1435"/>
        <v>0</v>
      </c>
      <c r="AM1427" s="13">
        <f t="shared" si="1436"/>
        <v>0</v>
      </c>
      <c r="AO1427" s="11">
        <f t="shared" si="1437"/>
        <v>0</v>
      </c>
      <c r="AQ1427" s="11">
        <f t="shared" si="1438"/>
        <v>0</v>
      </c>
      <c r="AS1427" s="11">
        <f t="shared" si="1439"/>
        <v>0</v>
      </c>
      <c r="AU1427" s="11">
        <f t="shared" si="1440"/>
        <v>0</v>
      </c>
      <c r="AW1427" s="11">
        <f t="shared" si="1441"/>
        <v>0</v>
      </c>
      <c r="AY1427" s="11">
        <f t="shared" si="1442"/>
        <v>0</v>
      </c>
      <c r="BA1427" s="11">
        <f t="shared" si="1443"/>
        <v>0</v>
      </c>
      <c r="BC1427" s="11">
        <f t="shared" si="1444"/>
        <v>0</v>
      </c>
      <c r="BE1427" s="11">
        <f t="shared" si="1445"/>
        <v>0</v>
      </c>
      <c r="BG1427" s="11">
        <f t="shared" si="1446"/>
        <v>0</v>
      </c>
      <c r="BN1427" s="8">
        <f t="shared" si="1376"/>
        <v>0</v>
      </c>
      <c r="BO1427" s="8">
        <f t="shared" si="1377"/>
        <v>0</v>
      </c>
      <c r="BP1427" s="8">
        <f t="shared" si="1388"/>
        <v>0</v>
      </c>
      <c r="BQ1427" s="12">
        <f t="shared" si="1389"/>
        <v>0</v>
      </c>
    </row>
    <row r="1428" spans="1:69">
      <c r="A1428" s="28">
        <v>1989</v>
      </c>
      <c r="B1428" s="27" t="s">
        <v>71</v>
      </c>
      <c r="C1428" s="24">
        <f t="shared" si="1408"/>
        <v>1394</v>
      </c>
      <c r="D1428" s="7" t="e">
        <f t="shared" ca="1" si="1427"/>
        <v>#N/A</v>
      </c>
      <c r="E1428" s="26">
        <f t="array" aca="1" ref="E1428" ca="1">AVERAGE(IF(INDIRECT(DatCol&amp;"$"&amp;TEXT(C1428,"###")):INDIRECT(DatCol&amp;"$"&amp;TEXT(C1428+57,"###"))&gt;0,INDIRECT(DatCol&amp;"$"&amp;TEXT(C1428,"###")):INDIRECT(DatCol&amp;"$"&amp;TEXT(C1428+57,"###"))))</f>
        <v>561.98248000000001</v>
      </c>
      <c r="F1428" s="26" t="str">
        <f t="shared" si="1428"/>
        <v>S</v>
      </c>
      <c r="G1428" s="8"/>
      <c r="H1428" s="8">
        <v>0</v>
      </c>
      <c r="I1428" s="8">
        <v>0</v>
      </c>
      <c r="J1428" s="8">
        <v>0</v>
      </c>
      <c r="K1428" s="9">
        <f t="shared" si="1378"/>
        <v>0</v>
      </c>
      <c r="M1428" s="11">
        <f t="shared" si="1429"/>
        <v>0</v>
      </c>
      <c r="O1428" s="11">
        <f t="shared" si="1430"/>
        <v>0</v>
      </c>
      <c r="Q1428" s="11">
        <f t="shared" si="1431"/>
        <v>0</v>
      </c>
      <c r="Y1428" s="11">
        <f t="shared" si="1432"/>
        <v>0</v>
      </c>
      <c r="AG1428" s="11">
        <f t="shared" si="1433"/>
        <v>0</v>
      </c>
      <c r="AI1428" s="11">
        <f t="shared" si="1434"/>
        <v>0</v>
      </c>
      <c r="AK1428" s="13">
        <f t="shared" si="1435"/>
        <v>0</v>
      </c>
      <c r="AM1428" s="13">
        <f t="shared" si="1436"/>
        <v>0</v>
      </c>
      <c r="AO1428" s="11">
        <f t="shared" si="1437"/>
        <v>0</v>
      </c>
      <c r="AQ1428" s="11">
        <f t="shared" si="1438"/>
        <v>0</v>
      </c>
      <c r="AS1428" s="11">
        <f t="shared" si="1439"/>
        <v>0</v>
      </c>
      <c r="AU1428" s="11">
        <f t="shared" si="1440"/>
        <v>0</v>
      </c>
      <c r="AW1428" s="11">
        <f t="shared" si="1441"/>
        <v>0</v>
      </c>
      <c r="AY1428" s="11">
        <f t="shared" si="1442"/>
        <v>0</v>
      </c>
      <c r="BA1428" s="11">
        <f t="shared" si="1443"/>
        <v>0</v>
      </c>
      <c r="BC1428" s="11">
        <f t="shared" si="1444"/>
        <v>0</v>
      </c>
      <c r="BE1428" s="11">
        <f t="shared" si="1445"/>
        <v>0</v>
      </c>
      <c r="BG1428" s="11">
        <f t="shared" si="1446"/>
        <v>0</v>
      </c>
      <c r="BN1428" s="8">
        <f t="shared" si="1376"/>
        <v>0</v>
      </c>
      <c r="BO1428" s="8">
        <f t="shared" si="1377"/>
        <v>0</v>
      </c>
      <c r="BP1428" s="8">
        <f t="shared" si="1388"/>
        <v>0</v>
      </c>
      <c r="BQ1428" s="12">
        <f t="shared" si="1389"/>
        <v>0</v>
      </c>
    </row>
    <row r="1429" spans="1:69">
      <c r="A1429" s="28">
        <v>1990</v>
      </c>
      <c r="B1429" s="27" t="s">
        <v>71</v>
      </c>
      <c r="C1429" s="24">
        <f t="shared" si="1408"/>
        <v>1394</v>
      </c>
      <c r="D1429" s="7" t="e">
        <f t="shared" ca="1" si="1427"/>
        <v>#N/A</v>
      </c>
      <c r="E1429" s="26">
        <f t="array" aca="1" ref="E1429" ca="1">AVERAGE(IF(INDIRECT(DatCol&amp;"$"&amp;TEXT(C1429,"###")):INDIRECT(DatCol&amp;"$"&amp;TEXT(C1429+57,"###"))&gt;0,INDIRECT(DatCol&amp;"$"&amp;TEXT(C1429,"###")):INDIRECT(DatCol&amp;"$"&amp;TEXT(C1429+57,"###"))))</f>
        <v>561.98248000000001</v>
      </c>
      <c r="F1429" s="26" t="str">
        <f t="shared" si="1428"/>
        <v>S</v>
      </c>
      <c r="G1429" s="8"/>
      <c r="H1429" s="8">
        <v>0</v>
      </c>
      <c r="I1429" s="8">
        <v>0</v>
      </c>
      <c r="J1429" s="8">
        <v>0</v>
      </c>
      <c r="K1429" s="9">
        <f t="shared" si="1378"/>
        <v>0</v>
      </c>
      <c r="M1429" s="11">
        <f t="shared" si="1429"/>
        <v>0</v>
      </c>
      <c r="O1429" s="11">
        <f t="shared" si="1430"/>
        <v>0</v>
      </c>
      <c r="Q1429" s="11">
        <f t="shared" si="1431"/>
        <v>0</v>
      </c>
      <c r="Y1429" s="11">
        <f t="shared" si="1432"/>
        <v>0</v>
      </c>
      <c r="AG1429" s="11">
        <f t="shared" si="1433"/>
        <v>0</v>
      </c>
      <c r="AI1429" s="11">
        <f t="shared" si="1434"/>
        <v>0</v>
      </c>
      <c r="AK1429" s="13">
        <f t="shared" si="1435"/>
        <v>0</v>
      </c>
      <c r="AM1429" s="13">
        <f t="shared" si="1436"/>
        <v>0</v>
      </c>
      <c r="AO1429" s="11">
        <f t="shared" si="1437"/>
        <v>0</v>
      </c>
      <c r="AQ1429" s="11">
        <f t="shared" si="1438"/>
        <v>0</v>
      </c>
      <c r="AS1429" s="11">
        <f t="shared" si="1439"/>
        <v>0</v>
      </c>
      <c r="AU1429" s="11">
        <f t="shared" si="1440"/>
        <v>0</v>
      </c>
      <c r="AW1429" s="11">
        <f t="shared" si="1441"/>
        <v>0</v>
      </c>
      <c r="AY1429" s="11">
        <f t="shared" si="1442"/>
        <v>0</v>
      </c>
      <c r="BA1429" s="11">
        <f t="shared" si="1443"/>
        <v>0</v>
      </c>
      <c r="BC1429" s="11">
        <f t="shared" si="1444"/>
        <v>0</v>
      </c>
      <c r="BE1429" s="11">
        <f t="shared" si="1445"/>
        <v>0</v>
      </c>
      <c r="BG1429" s="11">
        <f t="shared" si="1446"/>
        <v>0</v>
      </c>
      <c r="BN1429" s="8">
        <f t="shared" si="1376"/>
        <v>0</v>
      </c>
      <c r="BO1429" s="8">
        <f t="shared" si="1377"/>
        <v>0</v>
      </c>
      <c r="BP1429" s="8">
        <f t="shared" si="1388"/>
        <v>0</v>
      </c>
      <c r="BQ1429" s="12">
        <f t="shared" si="1389"/>
        <v>0</v>
      </c>
    </row>
    <row r="1430" spans="1:69">
      <c r="A1430" s="28">
        <v>1991</v>
      </c>
      <c r="B1430" s="27" t="s">
        <v>71</v>
      </c>
      <c r="C1430" s="24">
        <f t="shared" si="1408"/>
        <v>1394</v>
      </c>
      <c r="D1430" s="7" t="e">
        <f t="shared" ca="1" si="1427"/>
        <v>#N/A</v>
      </c>
      <c r="E1430" s="26">
        <f t="array" aca="1" ref="E1430" ca="1">AVERAGE(IF(INDIRECT(DatCol&amp;"$"&amp;TEXT(C1430,"###")):INDIRECT(DatCol&amp;"$"&amp;TEXT(C1430+57,"###"))&gt;0,INDIRECT(DatCol&amp;"$"&amp;TEXT(C1430,"###")):INDIRECT(DatCol&amp;"$"&amp;TEXT(C1430+57,"###"))))</f>
        <v>561.98248000000001</v>
      </c>
      <c r="F1430" s="26" t="str">
        <f t="shared" si="1428"/>
        <v>S</v>
      </c>
      <c r="G1430" s="8"/>
      <c r="H1430" s="8">
        <v>0</v>
      </c>
      <c r="I1430" s="8">
        <v>0</v>
      </c>
      <c r="J1430" s="8">
        <v>0</v>
      </c>
      <c r="K1430" s="9">
        <f t="shared" si="1378"/>
        <v>0</v>
      </c>
      <c r="M1430" s="11">
        <f t="shared" si="1429"/>
        <v>0</v>
      </c>
      <c r="O1430" s="11">
        <f t="shared" si="1430"/>
        <v>0</v>
      </c>
      <c r="Q1430" s="11">
        <f t="shared" si="1431"/>
        <v>0</v>
      </c>
      <c r="Y1430" s="11">
        <f t="shared" si="1432"/>
        <v>0</v>
      </c>
      <c r="AG1430" s="11">
        <f t="shared" si="1433"/>
        <v>0</v>
      </c>
      <c r="AI1430" s="11">
        <f t="shared" si="1434"/>
        <v>0</v>
      </c>
      <c r="AK1430" s="13">
        <f t="shared" si="1435"/>
        <v>0</v>
      </c>
      <c r="AM1430" s="13">
        <f t="shared" si="1436"/>
        <v>0</v>
      </c>
      <c r="AO1430" s="11">
        <f t="shared" si="1437"/>
        <v>0</v>
      </c>
      <c r="AQ1430" s="11">
        <f t="shared" si="1438"/>
        <v>0</v>
      </c>
      <c r="AS1430" s="11">
        <f t="shared" si="1439"/>
        <v>0</v>
      </c>
      <c r="AU1430" s="11">
        <f t="shared" si="1440"/>
        <v>0</v>
      </c>
      <c r="AW1430" s="11">
        <f t="shared" si="1441"/>
        <v>0</v>
      </c>
      <c r="AY1430" s="11">
        <f t="shared" si="1442"/>
        <v>0</v>
      </c>
      <c r="BA1430" s="11">
        <f t="shared" si="1443"/>
        <v>0</v>
      </c>
      <c r="BC1430" s="11">
        <f t="shared" si="1444"/>
        <v>0</v>
      </c>
      <c r="BE1430" s="11">
        <f t="shared" si="1445"/>
        <v>0</v>
      </c>
      <c r="BG1430" s="11">
        <f t="shared" si="1446"/>
        <v>0</v>
      </c>
      <c r="BN1430" s="8">
        <f t="shared" si="1376"/>
        <v>0</v>
      </c>
      <c r="BO1430" s="8">
        <f t="shared" si="1377"/>
        <v>0</v>
      </c>
      <c r="BP1430" s="8">
        <f t="shared" si="1388"/>
        <v>0</v>
      </c>
      <c r="BQ1430" s="12">
        <f t="shared" si="1389"/>
        <v>0</v>
      </c>
    </row>
    <row r="1431" spans="1:69">
      <c r="A1431" s="28">
        <v>1992</v>
      </c>
      <c r="B1431" s="27" t="s">
        <v>71</v>
      </c>
      <c r="C1431" s="24">
        <f t="shared" si="1408"/>
        <v>1394</v>
      </c>
      <c r="D1431" s="7" t="e">
        <f t="shared" ca="1" si="1427"/>
        <v>#N/A</v>
      </c>
      <c r="E1431" s="26">
        <f t="array" aca="1" ref="E1431" ca="1">AVERAGE(IF(INDIRECT(DatCol&amp;"$"&amp;TEXT(C1431,"###")):INDIRECT(DatCol&amp;"$"&amp;TEXT(C1431+57,"###"))&gt;0,INDIRECT(DatCol&amp;"$"&amp;TEXT(C1431,"###")):INDIRECT(DatCol&amp;"$"&amp;TEXT(C1431+57,"###"))))</f>
        <v>561.98248000000001</v>
      </c>
      <c r="F1431" s="26" t="str">
        <f t="shared" si="1428"/>
        <v>S</v>
      </c>
      <c r="G1431" s="8"/>
      <c r="H1431" s="8">
        <v>0</v>
      </c>
      <c r="I1431" s="8">
        <v>0</v>
      </c>
      <c r="J1431" s="8">
        <v>0</v>
      </c>
      <c r="K1431" s="9">
        <f t="shared" si="1378"/>
        <v>0</v>
      </c>
      <c r="M1431" s="11">
        <f t="shared" si="1429"/>
        <v>0</v>
      </c>
      <c r="O1431" s="11">
        <f t="shared" si="1430"/>
        <v>0</v>
      </c>
      <c r="Q1431" s="11">
        <f t="shared" si="1431"/>
        <v>0</v>
      </c>
      <c r="Y1431" s="11">
        <f t="shared" si="1432"/>
        <v>0</v>
      </c>
      <c r="AG1431" s="11">
        <f t="shared" si="1433"/>
        <v>0</v>
      </c>
      <c r="AI1431" s="11">
        <f t="shared" si="1434"/>
        <v>0</v>
      </c>
      <c r="AK1431" s="13">
        <f t="shared" si="1435"/>
        <v>0</v>
      </c>
      <c r="AM1431" s="13">
        <f t="shared" si="1436"/>
        <v>0</v>
      </c>
      <c r="AO1431" s="11">
        <f t="shared" si="1437"/>
        <v>0</v>
      </c>
      <c r="AQ1431" s="11">
        <f t="shared" si="1438"/>
        <v>0</v>
      </c>
      <c r="AS1431" s="11">
        <f t="shared" si="1439"/>
        <v>0</v>
      </c>
      <c r="AU1431" s="11">
        <f t="shared" si="1440"/>
        <v>0</v>
      </c>
      <c r="AW1431" s="11">
        <f t="shared" si="1441"/>
        <v>0</v>
      </c>
      <c r="AY1431" s="11">
        <f t="shared" si="1442"/>
        <v>0</v>
      </c>
      <c r="BA1431" s="11">
        <f t="shared" si="1443"/>
        <v>0</v>
      </c>
      <c r="BC1431" s="11">
        <f t="shared" si="1444"/>
        <v>0</v>
      </c>
      <c r="BE1431" s="11">
        <f t="shared" si="1445"/>
        <v>0</v>
      </c>
      <c r="BG1431" s="11">
        <f t="shared" si="1446"/>
        <v>0</v>
      </c>
      <c r="BN1431" s="8">
        <f t="shared" si="1376"/>
        <v>0</v>
      </c>
      <c r="BO1431" s="8">
        <f t="shared" si="1377"/>
        <v>0</v>
      </c>
      <c r="BP1431" s="8">
        <f t="shared" si="1388"/>
        <v>0</v>
      </c>
      <c r="BQ1431" s="12">
        <f t="shared" si="1389"/>
        <v>0</v>
      </c>
    </row>
    <row r="1432" spans="1:69">
      <c r="A1432" s="28">
        <v>1993</v>
      </c>
      <c r="B1432" s="27" t="s">
        <v>71</v>
      </c>
      <c r="C1432" s="24">
        <f t="shared" si="1408"/>
        <v>1394</v>
      </c>
      <c r="D1432" s="7" t="e">
        <f t="shared" ca="1" si="1427"/>
        <v>#N/A</v>
      </c>
      <c r="E1432" s="26">
        <f t="array" aca="1" ref="E1432" ca="1">AVERAGE(IF(INDIRECT(DatCol&amp;"$"&amp;TEXT(C1432,"###")):INDIRECT(DatCol&amp;"$"&amp;TEXT(C1432+57,"###"))&gt;0,INDIRECT(DatCol&amp;"$"&amp;TEXT(C1432,"###")):INDIRECT(DatCol&amp;"$"&amp;TEXT(C1432+57,"###"))))</f>
        <v>561.98248000000001</v>
      </c>
      <c r="F1432" s="26" t="str">
        <f t="shared" si="1428"/>
        <v>S</v>
      </c>
      <c r="G1432" s="8"/>
      <c r="H1432" s="8">
        <v>0</v>
      </c>
      <c r="I1432" s="8">
        <v>0</v>
      </c>
      <c r="J1432" s="8">
        <v>0</v>
      </c>
      <c r="K1432" s="9">
        <f t="shared" si="1378"/>
        <v>0</v>
      </c>
      <c r="M1432" s="11">
        <f t="shared" si="1429"/>
        <v>0</v>
      </c>
      <c r="O1432" s="11">
        <f t="shared" si="1430"/>
        <v>0</v>
      </c>
      <c r="Q1432" s="11">
        <f t="shared" si="1431"/>
        <v>0</v>
      </c>
      <c r="Y1432" s="11">
        <f t="shared" si="1432"/>
        <v>0</v>
      </c>
      <c r="AG1432" s="11">
        <f t="shared" si="1433"/>
        <v>0</v>
      </c>
      <c r="AI1432" s="11">
        <f t="shared" si="1434"/>
        <v>0</v>
      </c>
      <c r="AK1432" s="13">
        <f t="shared" si="1435"/>
        <v>0</v>
      </c>
      <c r="AM1432" s="13">
        <f t="shared" si="1436"/>
        <v>0</v>
      </c>
      <c r="AO1432" s="11">
        <f t="shared" si="1437"/>
        <v>0</v>
      </c>
      <c r="AQ1432" s="11">
        <f t="shared" si="1438"/>
        <v>0</v>
      </c>
      <c r="AS1432" s="11">
        <f t="shared" si="1439"/>
        <v>0</v>
      </c>
      <c r="AU1432" s="11">
        <f t="shared" si="1440"/>
        <v>0</v>
      </c>
      <c r="AW1432" s="11">
        <f t="shared" si="1441"/>
        <v>0</v>
      </c>
      <c r="AY1432" s="11">
        <f t="shared" si="1442"/>
        <v>0</v>
      </c>
      <c r="BA1432" s="11">
        <f t="shared" si="1443"/>
        <v>0</v>
      </c>
      <c r="BC1432" s="11">
        <f t="shared" si="1444"/>
        <v>0</v>
      </c>
      <c r="BE1432" s="11">
        <f t="shared" si="1445"/>
        <v>0</v>
      </c>
      <c r="BG1432" s="11">
        <f t="shared" si="1446"/>
        <v>0</v>
      </c>
      <c r="BN1432" s="8">
        <f t="shared" si="1376"/>
        <v>0</v>
      </c>
      <c r="BO1432" s="8">
        <f t="shared" si="1377"/>
        <v>0</v>
      </c>
      <c r="BP1432" s="8">
        <f t="shared" si="1388"/>
        <v>0</v>
      </c>
      <c r="BQ1432" s="12">
        <f t="shared" si="1389"/>
        <v>0</v>
      </c>
    </row>
    <row r="1433" spans="1:69">
      <c r="A1433" s="28">
        <v>1994</v>
      </c>
      <c r="B1433" s="27" t="s">
        <v>71</v>
      </c>
      <c r="C1433" s="24">
        <f t="shared" si="1408"/>
        <v>1394</v>
      </c>
      <c r="D1433" s="7" t="e">
        <f t="shared" ca="1" si="1427"/>
        <v>#N/A</v>
      </c>
      <c r="E1433" s="26">
        <f t="array" aca="1" ref="E1433" ca="1">AVERAGE(IF(INDIRECT(DatCol&amp;"$"&amp;TEXT(C1433,"###")):INDIRECT(DatCol&amp;"$"&amp;TEXT(C1433+57,"###"))&gt;0,INDIRECT(DatCol&amp;"$"&amp;TEXT(C1433,"###")):INDIRECT(DatCol&amp;"$"&amp;TEXT(C1433+57,"###"))))</f>
        <v>561.98248000000001</v>
      </c>
      <c r="F1433" s="26" t="str">
        <f t="shared" si="1428"/>
        <v>S</v>
      </c>
      <c r="G1433" s="8"/>
      <c r="H1433" s="8">
        <v>0</v>
      </c>
      <c r="I1433" s="8">
        <v>0</v>
      </c>
      <c r="J1433" s="8">
        <v>0</v>
      </c>
      <c r="K1433" s="9">
        <f t="shared" si="1378"/>
        <v>0</v>
      </c>
      <c r="M1433" s="11">
        <f t="shared" si="1429"/>
        <v>0</v>
      </c>
      <c r="O1433" s="11">
        <f t="shared" si="1430"/>
        <v>0</v>
      </c>
      <c r="Q1433" s="11">
        <f t="shared" si="1431"/>
        <v>0</v>
      </c>
      <c r="Y1433" s="11">
        <f t="shared" si="1432"/>
        <v>0</v>
      </c>
      <c r="AG1433" s="11">
        <f t="shared" si="1433"/>
        <v>0</v>
      </c>
      <c r="AI1433" s="11">
        <f t="shared" si="1434"/>
        <v>0</v>
      </c>
      <c r="AK1433" s="13">
        <f t="shared" si="1435"/>
        <v>0</v>
      </c>
      <c r="AM1433" s="13">
        <f t="shared" si="1436"/>
        <v>0</v>
      </c>
      <c r="AO1433" s="11">
        <f t="shared" si="1437"/>
        <v>0</v>
      </c>
      <c r="AQ1433" s="11">
        <f t="shared" si="1438"/>
        <v>0</v>
      </c>
      <c r="AS1433" s="11">
        <f t="shared" si="1439"/>
        <v>0</v>
      </c>
      <c r="AU1433" s="11">
        <f t="shared" si="1440"/>
        <v>0</v>
      </c>
      <c r="AW1433" s="11">
        <f t="shared" si="1441"/>
        <v>0</v>
      </c>
      <c r="AY1433" s="11">
        <f t="shared" si="1442"/>
        <v>0</v>
      </c>
      <c r="BA1433" s="11">
        <f t="shared" si="1443"/>
        <v>0</v>
      </c>
      <c r="BC1433" s="11">
        <f t="shared" si="1444"/>
        <v>0</v>
      </c>
      <c r="BE1433" s="11">
        <f t="shared" si="1445"/>
        <v>0</v>
      </c>
      <c r="BG1433" s="11">
        <f t="shared" si="1446"/>
        <v>0</v>
      </c>
      <c r="BN1433" s="8">
        <f t="shared" ref="BN1433:BN1497" si="1447">(L1433+P1433+R1433+T1433+V1433+X1433+Z1433+AB1433+AD1433+AF1433+AJ1433+AN1433+AR1433+AV1433+AZ1433+BD1433)</f>
        <v>0</v>
      </c>
      <c r="BO1433" s="8">
        <f t="shared" si="1377"/>
        <v>0</v>
      </c>
      <c r="BP1433" s="8">
        <f t="shared" si="1388"/>
        <v>0</v>
      </c>
      <c r="BQ1433" s="12">
        <f t="shared" si="1389"/>
        <v>0</v>
      </c>
    </row>
    <row r="1434" spans="1:69">
      <c r="A1434" s="28">
        <v>1995</v>
      </c>
      <c r="B1434" s="27" t="s">
        <v>71</v>
      </c>
      <c r="C1434" s="24">
        <f t="shared" si="1408"/>
        <v>1394</v>
      </c>
      <c r="D1434" s="7" t="e">
        <f t="shared" ca="1" si="1427"/>
        <v>#N/A</v>
      </c>
      <c r="E1434" s="26">
        <f t="array" aca="1" ref="E1434" ca="1">AVERAGE(IF(INDIRECT(DatCol&amp;"$"&amp;TEXT(C1434,"###")):INDIRECT(DatCol&amp;"$"&amp;TEXT(C1434+57,"###"))&gt;0,INDIRECT(DatCol&amp;"$"&amp;TEXT(C1434,"###")):INDIRECT(DatCol&amp;"$"&amp;TEXT(C1434+57,"###"))))</f>
        <v>561.98248000000001</v>
      </c>
      <c r="F1434" s="26" t="str">
        <f t="shared" si="1428"/>
        <v>S</v>
      </c>
      <c r="H1434" s="8">
        <v>0</v>
      </c>
      <c r="I1434" s="8">
        <v>0</v>
      </c>
      <c r="J1434" s="8">
        <v>0</v>
      </c>
      <c r="K1434" s="9">
        <f t="shared" si="1378"/>
        <v>0</v>
      </c>
      <c r="L1434" s="12">
        <v>0</v>
      </c>
      <c r="M1434" s="13">
        <v>0</v>
      </c>
      <c r="N1434" s="12">
        <v>0</v>
      </c>
      <c r="O1434" s="13">
        <v>0</v>
      </c>
      <c r="P1434" s="12">
        <v>0</v>
      </c>
      <c r="Q1434" s="13">
        <v>0</v>
      </c>
      <c r="R1434" s="12"/>
      <c r="S1434" s="13"/>
      <c r="T1434" s="12"/>
      <c r="U1434" s="13"/>
      <c r="V1434" s="12"/>
      <c r="W1434" s="13"/>
      <c r="X1434" s="12">
        <v>0</v>
      </c>
      <c r="Y1434" s="13">
        <v>0</v>
      </c>
      <c r="Z1434" s="12"/>
      <c r="AA1434" s="13"/>
      <c r="AB1434" s="12"/>
      <c r="AC1434" s="13"/>
      <c r="AD1434" s="12"/>
      <c r="AE1434" s="13"/>
      <c r="AF1434" s="12">
        <v>0</v>
      </c>
      <c r="AG1434" s="13">
        <v>0</v>
      </c>
      <c r="AH1434" s="12">
        <v>0</v>
      </c>
      <c r="AI1434" s="13">
        <v>0</v>
      </c>
      <c r="AJ1434" s="12">
        <v>0</v>
      </c>
      <c r="AK1434" s="13">
        <v>0</v>
      </c>
      <c r="AL1434" s="12">
        <v>0</v>
      </c>
      <c r="AM1434" s="13">
        <v>0</v>
      </c>
      <c r="AN1434" s="12">
        <v>0</v>
      </c>
      <c r="AO1434" s="13">
        <v>0</v>
      </c>
      <c r="AP1434" s="12">
        <v>0</v>
      </c>
      <c r="AQ1434" s="13">
        <v>0</v>
      </c>
      <c r="AR1434" s="12">
        <v>0</v>
      </c>
      <c r="AS1434" s="13">
        <v>0</v>
      </c>
      <c r="AT1434" s="12">
        <v>0</v>
      </c>
      <c r="AU1434" s="13">
        <v>0</v>
      </c>
      <c r="AV1434" s="12">
        <v>0</v>
      </c>
      <c r="AW1434" s="13">
        <v>0</v>
      </c>
      <c r="AX1434" s="12">
        <v>0</v>
      </c>
      <c r="AY1434" s="13">
        <v>0</v>
      </c>
      <c r="AZ1434" s="12">
        <v>0</v>
      </c>
      <c r="BA1434" s="13">
        <v>0</v>
      </c>
      <c r="BB1434" s="12">
        <v>0</v>
      </c>
      <c r="BC1434" s="13">
        <v>0</v>
      </c>
      <c r="BE1434" s="11">
        <f t="shared" si="1445"/>
        <v>0</v>
      </c>
      <c r="BG1434" s="11">
        <f t="shared" si="1446"/>
        <v>0</v>
      </c>
      <c r="BN1434" s="8">
        <f t="shared" si="1447"/>
        <v>0</v>
      </c>
      <c r="BO1434" s="8">
        <f t="shared" ref="BO1434:BO1498" si="1448">(M1434+Q1434+S1434+U1434+W1434+Y1434+AA1434+AC1434+AG1434+AK1434+AO1434+AS1434+AW1434+BA1434+BE1434)</f>
        <v>0</v>
      </c>
      <c r="BP1434" s="8">
        <f t="shared" si="1388"/>
        <v>0</v>
      </c>
      <c r="BQ1434" s="12">
        <f t="shared" si="1389"/>
        <v>0</v>
      </c>
    </row>
    <row r="1435" spans="1:69">
      <c r="A1435" s="28">
        <v>1996</v>
      </c>
      <c r="B1435" s="27" t="s">
        <v>71</v>
      </c>
      <c r="C1435" s="24">
        <f t="shared" si="1408"/>
        <v>1394</v>
      </c>
      <c r="D1435" s="7" t="e">
        <f t="shared" ca="1" si="1427"/>
        <v>#N/A</v>
      </c>
      <c r="E1435" s="26">
        <f t="array" aca="1" ref="E1435" ca="1">AVERAGE(IF(INDIRECT(DatCol&amp;"$"&amp;TEXT(C1435,"###")):INDIRECT(DatCol&amp;"$"&amp;TEXT(C1435+57,"###"))&gt;0,INDIRECT(DatCol&amp;"$"&amp;TEXT(C1435,"###")):INDIRECT(DatCol&amp;"$"&amp;TEXT(C1435+57,"###"))))</f>
        <v>561.98248000000001</v>
      </c>
      <c r="F1435" s="26" t="str">
        <f t="shared" si="1428"/>
        <v>S</v>
      </c>
      <c r="H1435" s="8">
        <v>0</v>
      </c>
      <c r="I1435" s="8">
        <v>0</v>
      </c>
      <c r="J1435" s="8">
        <v>0</v>
      </c>
      <c r="K1435" s="9">
        <f t="shared" ref="K1435:K1499" si="1449">G1435+H1435+J1435</f>
        <v>0</v>
      </c>
      <c r="L1435" s="12">
        <v>0</v>
      </c>
      <c r="M1435" s="13">
        <v>0</v>
      </c>
      <c r="N1435" s="12">
        <v>0</v>
      </c>
      <c r="O1435" s="13">
        <v>0</v>
      </c>
      <c r="P1435" s="12">
        <v>0</v>
      </c>
      <c r="Q1435" s="13">
        <v>0</v>
      </c>
      <c r="R1435" s="12"/>
      <c r="S1435" s="13"/>
      <c r="T1435" s="12"/>
      <c r="U1435" s="13"/>
      <c r="V1435" s="12"/>
      <c r="W1435" s="13"/>
      <c r="X1435" s="12">
        <v>0</v>
      </c>
      <c r="Y1435" s="13">
        <v>0</v>
      </c>
      <c r="Z1435" s="12"/>
      <c r="AA1435" s="13"/>
      <c r="AB1435" s="12"/>
      <c r="AC1435" s="13"/>
      <c r="AD1435" s="12"/>
      <c r="AE1435" s="13"/>
      <c r="AF1435" s="12">
        <v>0</v>
      </c>
      <c r="AG1435" s="13">
        <v>0</v>
      </c>
      <c r="AH1435" s="12">
        <v>0</v>
      </c>
      <c r="AI1435" s="13">
        <v>0</v>
      </c>
      <c r="AJ1435" s="12">
        <v>0</v>
      </c>
      <c r="AK1435" s="13">
        <v>0</v>
      </c>
      <c r="AL1435" s="12">
        <v>0</v>
      </c>
      <c r="AM1435" s="13">
        <v>0</v>
      </c>
      <c r="AN1435" s="12">
        <v>0</v>
      </c>
      <c r="AO1435" s="13">
        <v>0</v>
      </c>
      <c r="AP1435" s="12">
        <v>0</v>
      </c>
      <c r="AQ1435" s="13">
        <v>0</v>
      </c>
      <c r="AR1435" s="12">
        <v>0</v>
      </c>
      <c r="AS1435" s="13">
        <v>0</v>
      </c>
      <c r="AT1435" s="12">
        <v>0</v>
      </c>
      <c r="AU1435" s="13">
        <v>0</v>
      </c>
      <c r="AV1435" s="12">
        <v>0</v>
      </c>
      <c r="AW1435" s="13">
        <v>0</v>
      </c>
      <c r="AX1435" s="12">
        <v>0</v>
      </c>
      <c r="AY1435" s="13">
        <v>0</v>
      </c>
      <c r="AZ1435" s="12">
        <v>0</v>
      </c>
      <c r="BA1435" s="13">
        <v>0</v>
      </c>
      <c r="BB1435" s="12">
        <v>0</v>
      </c>
      <c r="BC1435" s="13">
        <v>0</v>
      </c>
      <c r="BE1435" s="11">
        <f t="shared" si="1445"/>
        <v>0</v>
      </c>
      <c r="BG1435" s="11">
        <f t="shared" si="1446"/>
        <v>0</v>
      </c>
      <c r="BN1435" s="8">
        <f t="shared" si="1447"/>
        <v>0</v>
      </c>
      <c r="BO1435" s="8">
        <f t="shared" si="1448"/>
        <v>0</v>
      </c>
      <c r="BP1435" s="8">
        <f t="shared" si="1388"/>
        <v>0</v>
      </c>
      <c r="BQ1435" s="12">
        <f t="shared" si="1389"/>
        <v>0</v>
      </c>
    </row>
    <row r="1436" spans="1:69">
      <c r="A1436" s="28">
        <v>1997</v>
      </c>
      <c r="B1436" s="27" t="s">
        <v>71</v>
      </c>
      <c r="C1436" s="24">
        <f t="shared" si="1408"/>
        <v>1394</v>
      </c>
      <c r="D1436" s="7" t="e">
        <f t="shared" ca="1" si="1427"/>
        <v>#N/A</v>
      </c>
      <c r="E1436" s="26">
        <f t="array" aca="1" ref="E1436" ca="1">AVERAGE(IF(INDIRECT(DatCol&amp;"$"&amp;TEXT(C1436,"###")):INDIRECT(DatCol&amp;"$"&amp;TEXT(C1436+57,"###"))&gt;0,INDIRECT(DatCol&amp;"$"&amp;TEXT(C1436,"###")):INDIRECT(DatCol&amp;"$"&amp;TEXT(C1436+57,"###"))))</f>
        <v>561.98248000000001</v>
      </c>
      <c r="F1436" s="26" t="str">
        <f t="shared" si="1428"/>
        <v>S</v>
      </c>
      <c r="G1436" s="9">
        <v>7</v>
      </c>
      <c r="H1436" s="8">
        <v>0</v>
      </c>
      <c r="I1436" s="8">
        <v>0</v>
      </c>
      <c r="J1436" s="8">
        <v>19</v>
      </c>
      <c r="K1436" s="9">
        <f t="shared" si="1449"/>
        <v>26</v>
      </c>
      <c r="L1436" s="12">
        <v>0</v>
      </c>
      <c r="M1436" s="13">
        <v>0</v>
      </c>
      <c r="N1436" s="12">
        <v>171</v>
      </c>
      <c r="O1436" s="11">
        <f>(N1436*50)</f>
        <v>8550</v>
      </c>
      <c r="P1436" s="12">
        <v>0</v>
      </c>
      <c r="Q1436" s="13">
        <v>0</v>
      </c>
      <c r="R1436" s="12"/>
      <c r="S1436" s="13"/>
      <c r="T1436" s="12"/>
      <c r="U1436" s="13"/>
      <c r="V1436" s="12"/>
      <c r="W1436" s="13"/>
      <c r="X1436" s="12">
        <v>0</v>
      </c>
      <c r="Y1436" s="13">
        <v>0</v>
      </c>
      <c r="Z1436" s="12"/>
      <c r="AA1436" s="13"/>
      <c r="AB1436" s="12"/>
      <c r="AC1436" s="13"/>
      <c r="AD1436" s="12"/>
      <c r="AE1436" s="13"/>
      <c r="AF1436" s="12">
        <v>0</v>
      </c>
      <c r="AG1436" s="13">
        <v>0</v>
      </c>
      <c r="AH1436" s="12">
        <v>0</v>
      </c>
      <c r="AI1436" s="13">
        <v>0</v>
      </c>
      <c r="AJ1436" s="12">
        <v>0</v>
      </c>
      <c r="AK1436" s="13">
        <v>0</v>
      </c>
      <c r="AL1436" s="12">
        <v>0</v>
      </c>
      <c r="AM1436" s="13">
        <v>0</v>
      </c>
      <c r="AN1436" s="12">
        <v>0</v>
      </c>
      <c r="AO1436" s="13">
        <v>0</v>
      </c>
      <c r="AP1436" s="12">
        <v>0</v>
      </c>
      <c r="AQ1436" s="13">
        <v>0</v>
      </c>
      <c r="AR1436" s="12">
        <v>0</v>
      </c>
      <c r="AS1436" s="13">
        <v>0</v>
      </c>
      <c r="AT1436" s="12">
        <v>0</v>
      </c>
      <c r="AU1436" s="13">
        <v>0</v>
      </c>
      <c r="AV1436" s="12">
        <v>0</v>
      </c>
      <c r="AW1436" s="13">
        <v>0</v>
      </c>
      <c r="AX1436" s="12">
        <v>0</v>
      </c>
      <c r="AY1436" s="13">
        <v>0</v>
      </c>
      <c r="AZ1436" s="12">
        <v>0</v>
      </c>
      <c r="BA1436" s="13">
        <v>0</v>
      </c>
      <c r="BB1436" s="12">
        <v>0</v>
      </c>
      <c r="BC1436" s="13">
        <v>0</v>
      </c>
      <c r="BE1436" s="11">
        <f>(BD1436*95)</f>
        <v>0</v>
      </c>
      <c r="BG1436" s="11">
        <f>(BF1436*95)</f>
        <v>0</v>
      </c>
      <c r="BN1436" s="8">
        <f t="shared" si="1447"/>
        <v>0</v>
      </c>
      <c r="BO1436" s="8">
        <f t="shared" si="1448"/>
        <v>0</v>
      </c>
      <c r="BP1436" s="8">
        <f t="shared" si="1388"/>
        <v>171</v>
      </c>
      <c r="BQ1436" s="12">
        <f t="shared" si="1389"/>
        <v>8550</v>
      </c>
    </row>
    <row r="1437" spans="1:69">
      <c r="A1437" s="28">
        <v>1998</v>
      </c>
      <c r="B1437" s="27" t="s">
        <v>71</v>
      </c>
      <c r="C1437" s="24">
        <f t="shared" si="1408"/>
        <v>1394</v>
      </c>
      <c r="D1437" s="7" t="e">
        <f t="shared" ca="1" si="1427"/>
        <v>#N/A</v>
      </c>
      <c r="E1437" s="26">
        <f t="array" aca="1" ref="E1437" ca="1">AVERAGE(IF(INDIRECT(DatCol&amp;"$"&amp;TEXT(C1437,"###")):INDIRECT(DatCol&amp;"$"&amp;TEXT(C1437+57,"###"))&gt;0,INDIRECT(DatCol&amp;"$"&amp;TEXT(C1437,"###")):INDIRECT(DatCol&amp;"$"&amp;TEXT(C1437+57,"###"))))</f>
        <v>561.98248000000001</v>
      </c>
      <c r="F1437" s="26" t="str">
        <f t="shared" si="1428"/>
        <v>S</v>
      </c>
      <c r="H1437" s="8">
        <v>0</v>
      </c>
      <c r="I1437" s="8">
        <v>0</v>
      </c>
      <c r="J1437" s="8">
        <v>0</v>
      </c>
      <c r="K1437" s="9">
        <f t="shared" si="1449"/>
        <v>0</v>
      </c>
      <c r="L1437" s="12">
        <v>0</v>
      </c>
      <c r="M1437" s="13">
        <v>0</v>
      </c>
      <c r="N1437" s="12">
        <v>0</v>
      </c>
      <c r="O1437" s="11">
        <v>0</v>
      </c>
      <c r="P1437" s="12">
        <v>0</v>
      </c>
      <c r="Q1437" s="13">
        <v>0</v>
      </c>
      <c r="R1437" s="12"/>
      <c r="S1437" s="13"/>
      <c r="T1437" s="12"/>
      <c r="U1437" s="13"/>
      <c r="V1437" s="12"/>
      <c r="W1437" s="13"/>
      <c r="X1437" s="12">
        <v>0</v>
      </c>
      <c r="Y1437" s="13">
        <v>0</v>
      </c>
      <c r="Z1437" s="12"/>
      <c r="AA1437" s="13"/>
      <c r="AB1437" s="12"/>
      <c r="AC1437" s="13"/>
      <c r="AD1437" s="12"/>
      <c r="AE1437" s="13"/>
      <c r="AF1437" s="12">
        <v>0</v>
      </c>
      <c r="AG1437" s="13">
        <v>0</v>
      </c>
      <c r="AH1437" s="12">
        <v>0</v>
      </c>
      <c r="AI1437" s="13">
        <v>0</v>
      </c>
      <c r="AJ1437" s="12">
        <v>0</v>
      </c>
      <c r="AK1437" s="13">
        <v>0</v>
      </c>
      <c r="AL1437" s="12">
        <v>0</v>
      </c>
      <c r="AM1437" s="13">
        <v>0</v>
      </c>
      <c r="AN1437" s="12">
        <v>0</v>
      </c>
      <c r="AO1437" s="13">
        <v>0</v>
      </c>
      <c r="AP1437" s="12">
        <v>0</v>
      </c>
      <c r="AQ1437" s="13">
        <v>0</v>
      </c>
      <c r="AR1437" s="12">
        <v>0</v>
      </c>
      <c r="AS1437" s="13">
        <v>0</v>
      </c>
      <c r="AT1437" s="12">
        <v>0</v>
      </c>
      <c r="AU1437" s="13">
        <v>0</v>
      </c>
      <c r="AV1437" s="12">
        <v>0</v>
      </c>
      <c r="AW1437" s="13">
        <v>0</v>
      </c>
      <c r="AX1437" s="12">
        <v>0</v>
      </c>
      <c r="AY1437" s="13">
        <v>0</v>
      </c>
      <c r="AZ1437" s="12">
        <v>0</v>
      </c>
      <c r="BA1437" s="13">
        <v>0</v>
      </c>
      <c r="BB1437" s="12">
        <v>0</v>
      </c>
      <c r="BC1437" s="13">
        <v>0</v>
      </c>
      <c r="BD1437" s="10">
        <v>0</v>
      </c>
      <c r="BE1437" s="11">
        <v>0</v>
      </c>
      <c r="BF1437" s="10">
        <v>0</v>
      </c>
      <c r="BG1437" s="11">
        <v>0</v>
      </c>
      <c r="BH1437" s="11">
        <v>0</v>
      </c>
      <c r="BI1437" s="11">
        <v>0</v>
      </c>
      <c r="BN1437" s="8">
        <f t="shared" si="1447"/>
        <v>0</v>
      </c>
      <c r="BO1437" s="8">
        <f t="shared" si="1448"/>
        <v>0</v>
      </c>
      <c r="BP1437" s="8">
        <f t="shared" si="1388"/>
        <v>0</v>
      </c>
      <c r="BQ1437" s="12">
        <f t="shared" si="1389"/>
        <v>0</v>
      </c>
    </row>
    <row r="1438" spans="1:69">
      <c r="A1438" s="28">
        <v>1999</v>
      </c>
      <c r="B1438" s="27" t="s">
        <v>71</v>
      </c>
      <c r="C1438" s="24">
        <f t="shared" si="1408"/>
        <v>1394</v>
      </c>
      <c r="D1438" s="7" t="e">
        <f t="shared" ca="1" si="1427"/>
        <v>#N/A</v>
      </c>
      <c r="E1438" s="26">
        <f t="array" aca="1" ref="E1438" ca="1">AVERAGE(IF(INDIRECT(DatCol&amp;"$"&amp;TEXT(C1438,"###")):INDIRECT(DatCol&amp;"$"&amp;TEXT(C1438+57,"###"))&gt;0,INDIRECT(DatCol&amp;"$"&amp;TEXT(C1438,"###")):INDIRECT(DatCol&amp;"$"&amp;TEXT(C1438+57,"###"))))</f>
        <v>561.98248000000001</v>
      </c>
      <c r="F1438" s="26" t="str">
        <f t="shared" si="1428"/>
        <v>S</v>
      </c>
      <c r="G1438" s="9">
        <v>0</v>
      </c>
      <c r="H1438" s="8">
        <v>0</v>
      </c>
      <c r="I1438" s="8">
        <v>0</v>
      </c>
      <c r="J1438" s="8">
        <v>0</v>
      </c>
      <c r="K1438" s="9">
        <f t="shared" si="1449"/>
        <v>0</v>
      </c>
      <c r="L1438" s="12">
        <v>0</v>
      </c>
      <c r="M1438" s="13">
        <v>0</v>
      </c>
      <c r="N1438" s="12">
        <v>0</v>
      </c>
      <c r="O1438" s="11">
        <v>0</v>
      </c>
      <c r="P1438" s="12">
        <v>0</v>
      </c>
      <c r="Q1438" s="13">
        <v>0</v>
      </c>
      <c r="R1438" s="12">
        <v>0</v>
      </c>
      <c r="S1438" s="13">
        <v>0</v>
      </c>
      <c r="T1438" s="12">
        <v>0</v>
      </c>
      <c r="U1438" s="13">
        <v>0</v>
      </c>
      <c r="V1438" s="12">
        <v>0</v>
      </c>
      <c r="W1438" s="13">
        <v>0</v>
      </c>
      <c r="X1438" s="12">
        <v>0</v>
      </c>
      <c r="Y1438" s="13">
        <v>0</v>
      </c>
      <c r="Z1438" s="12">
        <v>0</v>
      </c>
      <c r="AA1438" s="13">
        <v>0</v>
      </c>
      <c r="AB1438" s="12">
        <v>0</v>
      </c>
      <c r="AC1438" s="13">
        <v>0</v>
      </c>
      <c r="AD1438" s="12">
        <v>0</v>
      </c>
      <c r="AE1438" s="13">
        <v>0</v>
      </c>
      <c r="AF1438" s="12">
        <v>0</v>
      </c>
      <c r="AG1438" s="13">
        <v>0</v>
      </c>
      <c r="AH1438" s="12">
        <v>0</v>
      </c>
      <c r="AI1438" s="13">
        <v>0</v>
      </c>
      <c r="AJ1438" s="12">
        <v>0</v>
      </c>
      <c r="AK1438" s="13">
        <v>0</v>
      </c>
      <c r="AL1438" s="12">
        <v>0</v>
      </c>
      <c r="AM1438" s="13">
        <v>0</v>
      </c>
      <c r="AN1438" s="12">
        <v>0</v>
      </c>
      <c r="AO1438" s="13">
        <v>0</v>
      </c>
      <c r="AP1438" s="12">
        <v>0</v>
      </c>
      <c r="AQ1438" s="13">
        <v>0</v>
      </c>
      <c r="AR1438" s="12">
        <v>0</v>
      </c>
      <c r="AS1438" s="13">
        <v>0</v>
      </c>
      <c r="AT1438" s="12">
        <v>0</v>
      </c>
      <c r="AU1438" s="13">
        <v>0</v>
      </c>
      <c r="AV1438" s="12">
        <v>0</v>
      </c>
      <c r="AW1438" s="13">
        <v>0</v>
      </c>
      <c r="AX1438" s="12">
        <v>0</v>
      </c>
      <c r="AY1438" s="13">
        <v>0</v>
      </c>
      <c r="AZ1438" s="12">
        <v>0</v>
      </c>
      <c r="BA1438" s="13">
        <v>0</v>
      </c>
      <c r="BB1438" s="12">
        <v>0</v>
      </c>
      <c r="BC1438" s="13">
        <v>0</v>
      </c>
      <c r="BD1438" s="10">
        <v>0</v>
      </c>
      <c r="BE1438" s="11">
        <v>0</v>
      </c>
      <c r="BF1438" s="10">
        <v>0</v>
      </c>
      <c r="BG1438" s="11">
        <v>0</v>
      </c>
      <c r="BH1438" s="11">
        <v>0</v>
      </c>
      <c r="BI1438" s="11">
        <v>0</v>
      </c>
      <c r="BN1438" s="8">
        <f t="shared" si="1447"/>
        <v>0</v>
      </c>
      <c r="BO1438" s="8">
        <f t="shared" si="1448"/>
        <v>0</v>
      </c>
      <c r="BP1438" s="8">
        <f t="shared" si="1388"/>
        <v>0</v>
      </c>
      <c r="BQ1438" s="12">
        <f t="shared" si="1389"/>
        <v>0</v>
      </c>
    </row>
    <row r="1439" spans="1:69">
      <c r="A1439" s="28">
        <v>2000</v>
      </c>
      <c r="B1439" s="27" t="s">
        <v>71</v>
      </c>
      <c r="C1439" s="24">
        <f t="shared" si="1408"/>
        <v>1394</v>
      </c>
      <c r="D1439" s="7" t="e">
        <f t="shared" ca="1" si="1427"/>
        <v>#N/A</v>
      </c>
      <c r="E1439" s="26">
        <f t="array" aca="1" ref="E1439" ca="1">AVERAGE(IF(INDIRECT(DatCol&amp;"$"&amp;TEXT(C1439,"###")):INDIRECT(DatCol&amp;"$"&amp;TEXT(C1439+57,"###"))&gt;0,INDIRECT(DatCol&amp;"$"&amp;TEXT(C1439,"###")):INDIRECT(DatCol&amp;"$"&amp;TEXT(C1439+57,"###"))))</f>
        <v>561.98248000000001</v>
      </c>
      <c r="F1439" s="26" t="str">
        <f t="shared" si="1428"/>
        <v>S</v>
      </c>
      <c r="G1439" s="9">
        <v>0</v>
      </c>
      <c r="H1439" s="8">
        <v>0</v>
      </c>
      <c r="I1439" s="8">
        <v>0</v>
      </c>
      <c r="J1439" s="8">
        <v>0</v>
      </c>
      <c r="K1439" s="9">
        <f t="shared" si="1449"/>
        <v>0</v>
      </c>
      <c r="L1439" s="12"/>
      <c r="M1439" s="13"/>
      <c r="N1439" s="12"/>
      <c r="P1439" s="12"/>
      <c r="Q1439" s="13"/>
      <c r="R1439" s="12"/>
      <c r="S1439" s="13"/>
      <c r="T1439" s="12"/>
      <c r="U1439" s="13"/>
      <c r="V1439" s="12"/>
      <c r="W1439" s="13"/>
      <c r="X1439" s="12"/>
      <c r="Y1439" s="13"/>
      <c r="Z1439" s="12"/>
      <c r="AA1439" s="13"/>
      <c r="AB1439" s="12"/>
      <c r="AC1439" s="13"/>
      <c r="AD1439" s="12"/>
      <c r="AE1439" s="13"/>
      <c r="AF1439" s="12"/>
      <c r="AG1439" s="13"/>
      <c r="AH1439" s="12"/>
      <c r="AI1439" s="13"/>
      <c r="AJ1439" s="12"/>
      <c r="AK1439" s="13"/>
      <c r="AL1439" s="12"/>
      <c r="AM1439" s="13"/>
      <c r="AN1439" s="12"/>
      <c r="AO1439" s="13"/>
      <c r="AP1439" s="12"/>
      <c r="AQ1439" s="13"/>
      <c r="AR1439" s="12"/>
      <c r="AS1439" s="13"/>
      <c r="AT1439" s="12"/>
      <c r="AU1439" s="13"/>
      <c r="AV1439" s="12"/>
      <c r="AW1439" s="13"/>
      <c r="AX1439" s="12"/>
      <c r="AY1439" s="13"/>
      <c r="AZ1439" s="12"/>
      <c r="BA1439" s="13"/>
      <c r="BB1439" s="12"/>
      <c r="BC1439" s="13"/>
      <c r="BN1439" s="8">
        <f t="shared" si="1447"/>
        <v>0</v>
      </c>
      <c r="BO1439" s="8">
        <f t="shared" si="1448"/>
        <v>0</v>
      </c>
      <c r="BP1439" s="8">
        <f t="shared" si="1388"/>
        <v>0</v>
      </c>
      <c r="BQ1439" s="12">
        <f t="shared" si="1389"/>
        <v>0</v>
      </c>
    </row>
    <row r="1440" spans="1:69">
      <c r="A1440" s="28">
        <v>2001</v>
      </c>
      <c r="B1440" s="27" t="s">
        <v>71</v>
      </c>
      <c r="C1440" s="24">
        <f t="shared" si="1408"/>
        <v>1394</v>
      </c>
      <c r="D1440" s="7" t="e">
        <f t="shared" ca="1" si="1427"/>
        <v>#N/A</v>
      </c>
      <c r="E1440" s="26">
        <f t="array" aca="1" ref="E1440" ca="1">AVERAGE(IF(INDIRECT(DatCol&amp;"$"&amp;TEXT(C1440,"###")):INDIRECT(DatCol&amp;"$"&amp;TEXT(C1440+57,"###"))&gt;0,INDIRECT(DatCol&amp;"$"&amp;TEXT(C1440,"###")):INDIRECT(DatCol&amp;"$"&amp;TEXT(C1440+57,"###"))))</f>
        <v>561.98248000000001</v>
      </c>
      <c r="F1440" s="26" t="str">
        <f t="shared" si="1428"/>
        <v>S</v>
      </c>
      <c r="H1440" s="8"/>
      <c r="I1440" s="8"/>
      <c r="J1440" s="8"/>
      <c r="K1440" s="9">
        <f t="shared" si="1449"/>
        <v>0</v>
      </c>
      <c r="L1440" s="12"/>
      <c r="M1440" s="13"/>
      <c r="N1440" s="12"/>
      <c r="P1440" s="12"/>
      <c r="Q1440" s="13"/>
      <c r="R1440" s="12"/>
      <c r="S1440" s="13"/>
      <c r="T1440" s="12"/>
      <c r="U1440" s="13"/>
      <c r="V1440" s="12"/>
      <c r="W1440" s="13"/>
      <c r="X1440" s="12"/>
      <c r="Y1440" s="13"/>
      <c r="Z1440" s="12"/>
      <c r="AA1440" s="13"/>
      <c r="AB1440" s="12"/>
      <c r="AC1440" s="13"/>
      <c r="AD1440" s="12"/>
      <c r="AE1440" s="13"/>
      <c r="AF1440" s="12"/>
      <c r="AG1440" s="13"/>
      <c r="AH1440" s="12"/>
      <c r="AI1440" s="13"/>
      <c r="AJ1440" s="12"/>
      <c r="AK1440" s="13"/>
      <c r="AL1440" s="12"/>
      <c r="AM1440" s="13"/>
      <c r="AN1440" s="12"/>
      <c r="AO1440" s="13"/>
      <c r="AP1440" s="12"/>
      <c r="AQ1440" s="13"/>
      <c r="AR1440" s="12"/>
      <c r="AS1440" s="13"/>
      <c r="AT1440" s="12"/>
      <c r="AU1440" s="13"/>
      <c r="AV1440" s="12"/>
      <c r="AW1440" s="13"/>
      <c r="AX1440" s="12"/>
      <c r="AY1440" s="13"/>
      <c r="AZ1440" s="12"/>
      <c r="BA1440" s="13"/>
      <c r="BB1440" s="12"/>
      <c r="BC1440" s="13"/>
      <c r="BN1440" s="8">
        <f t="shared" si="1447"/>
        <v>0</v>
      </c>
      <c r="BO1440" s="8">
        <f t="shared" si="1448"/>
        <v>0</v>
      </c>
      <c r="BP1440" s="8">
        <f t="shared" si="1388"/>
        <v>0</v>
      </c>
      <c r="BQ1440" s="12">
        <f t="shared" si="1389"/>
        <v>0</v>
      </c>
    </row>
    <row r="1441" spans="1:69">
      <c r="A1441" s="28">
        <v>2002</v>
      </c>
      <c r="B1441" s="27" t="s">
        <v>71</v>
      </c>
      <c r="C1441" s="24">
        <f t="shared" si="1408"/>
        <v>1394</v>
      </c>
      <c r="D1441" s="7" t="e">
        <f t="shared" ca="1" si="1427"/>
        <v>#N/A</v>
      </c>
      <c r="E1441" s="26">
        <f t="array" aca="1" ref="E1441" ca="1">AVERAGE(IF(INDIRECT(DatCol&amp;"$"&amp;TEXT(C1441,"###")):INDIRECT(DatCol&amp;"$"&amp;TEXT(C1441+57,"###"))&gt;0,INDIRECT(DatCol&amp;"$"&amp;TEXT(C1441,"###")):INDIRECT(DatCol&amp;"$"&amp;TEXT(C1441+57,"###"))))</f>
        <v>561.98248000000001</v>
      </c>
      <c r="F1441" s="26" t="str">
        <f t="shared" si="1428"/>
        <v>S</v>
      </c>
      <c r="G1441" s="9">
        <v>0</v>
      </c>
      <c r="H1441" s="8">
        <v>0</v>
      </c>
      <c r="I1441" s="8">
        <v>0</v>
      </c>
      <c r="J1441" s="8">
        <v>10</v>
      </c>
      <c r="K1441" s="9">
        <f t="shared" si="1449"/>
        <v>10</v>
      </c>
      <c r="L1441" s="12">
        <v>0</v>
      </c>
      <c r="M1441" s="13">
        <v>0</v>
      </c>
      <c r="N1441" s="12">
        <f>O1441/50</f>
        <v>5</v>
      </c>
      <c r="O1441" s="11">
        <v>250</v>
      </c>
      <c r="P1441" s="12">
        <v>0</v>
      </c>
      <c r="Q1441" s="13">
        <v>0</v>
      </c>
      <c r="R1441" s="12">
        <v>0</v>
      </c>
      <c r="S1441" s="13">
        <v>0</v>
      </c>
      <c r="T1441" s="12">
        <v>0</v>
      </c>
      <c r="U1441" s="13">
        <v>0</v>
      </c>
      <c r="V1441" s="12">
        <v>0</v>
      </c>
      <c r="W1441" s="13">
        <v>0</v>
      </c>
      <c r="X1441" s="12">
        <v>0</v>
      </c>
      <c r="Y1441" s="13">
        <v>0</v>
      </c>
      <c r="Z1441" s="12">
        <v>0</v>
      </c>
      <c r="AA1441" s="13">
        <v>0</v>
      </c>
      <c r="AB1441" s="12">
        <v>0</v>
      </c>
      <c r="AC1441" s="13">
        <v>0</v>
      </c>
      <c r="AD1441" s="12">
        <v>0</v>
      </c>
      <c r="AE1441" s="13">
        <v>0</v>
      </c>
      <c r="AF1441" s="12">
        <v>0</v>
      </c>
      <c r="AG1441" s="13">
        <v>0</v>
      </c>
      <c r="AH1441" s="12">
        <v>0</v>
      </c>
      <c r="AI1441" s="13">
        <v>0</v>
      </c>
      <c r="AJ1441" s="12">
        <v>0</v>
      </c>
      <c r="AK1441" s="13">
        <v>0</v>
      </c>
      <c r="AL1441" s="12">
        <v>0</v>
      </c>
      <c r="AM1441" s="13">
        <v>0</v>
      </c>
      <c r="AN1441" s="12">
        <v>0</v>
      </c>
      <c r="AO1441" s="13">
        <v>0</v>
      </c>
      <c r="AP1441" s="12">
        <v>0</v>
      </c>
      <c r="AQ1441" s="13">
        <v>0</v>
      </c>
      <c r="AR1441" s="12">
        <v>0</v>
      </c>
      <c r="AS1441" s="13">
        <v>0</v>
      </c>
      <c r="AT1441" s="12">
        <f>AU1441/55</f>
        <v>3.6363636363636362</v>
      </c>
      <c r="AU1441" s="13">
        <v>200</v>
      </c>
      <c r="AV1441" s="12"/>
      <c r="AW1441" s="13"/>
      <c r="AX1441" s="12"/>
      <c r="AY1441" s="13"/>
      <c r="AZ1441" s="12"/>
      <c r="BA1441" s="13"/>
      <c r="BB1441" s="12"/>
      <c r="BC1441" s="13"/>
      <c r="BN1441" s="8">
        <f t="shared" si="1447"/>
        <v>0</v>
      </c>
      <c r="BO1441" s="8">
        <f t="shared" si="1448"/>
        <v>0</v>
      </c>
      <c r="BP1441" s="8">
        <f t="shared" si="1388"/>
        <v>8.6363636363636367</v>
      </c>
      <c r="BQ1441" s="12">
        <f t="shared" si="1389"/>
        <v>450</v>
      </c>
    </row>
    <row r="1442" spans="1:69">
      <c r="A1442" s="28">
        <v>2003</v>
      </c>
      <c r="B1442" s="27" t="s">
        <v>71</v>
      </c>
      <c r="C1442" s="24">
        <f t="shared" si="1408"/>
        <v>1394</v>
      </c>
      <c r="D1442" s="7" t="e">
        <f t="shared" ca="1" si="1427"/>
        <v>#N/A</v>
      </c>
      <c r="E1442" s="26">
        <f t="array" aca="1" ref="E1442" ca="1">AVERAGE(IF(INDIRECT(DatCol&amp;"$"&amp;TEXT(C1442,"###")):INDIRECT(DatCol&amp;"$"&amp;TEXT(C1442+57,"###"))&gt;0,INDIRECT(DatCol&amp;"$"&amp;TEXT(C1442,"###")):INDIRECT(DatCol&amp;"$"&amp;TEXT(C1442+57,"###"))))</f>
        <v>561.98248000000001</v>
      </c>
      <c r="F1442" s="26" t="str">
        <f t="shared" si="1428"/>
        <v>S</v>
      </c>
      <c r="H1442" s="8">
        <v>0</v>
      </c>
      <c r="I1442" s="8">
        <v>0</v>
      </c>
      <c r="J1442" s="8">
        <v>3</v>
      </c>
      <c r="K1442" s="9">
        <f t="shared" si="1449"/>
        <v>3</v>
      </c>
      <c r="L1442" s="12"/>
      <c r="M1442" s="13"/>
      <c r="N1442" s="12"/>
      <c r="P1442" s="12"/>
      <c r="Q1442" s="13"/>
      <c r="R1442" s="12"/>
      <c r="S1442" s="13"/>
      <c r="T1442" s="12"/>
      <c r="U1442" s="13"/>
      <c r="V1442" s="12"/>
      <c r="W1442" s="13"/>
      <c r="X1442" s="12"/>
      <c r="Y1442" s="13"/>
      <c r="Z1442" s="12"/>
      <c r="AA1442" s="13"/>
      <c r="AB1442" s="12"/>
      <c r="AC1442" s="13"/>
      <c r="AD1442" s="12"/>
      <c r="AE1442" s="13"/>
      <c r="AF1442" s="12"/>
      <c r="AG1442" s="13"/>
      <c r="AH1442" s="12"/>
      <c r="AI1442" s="13"/>
      <c r="AJ1442" s="12"/>
      <c r="AK1442" s="13"/>
      <c r="AL1442" s="12"/>
      <c r="AM1442" s="13"/>
      <c r="AN1442" s="12"/>
      <c r="AO1442" s="13"/>
      <c r="AP1442" s="12"/>
      <c r="AQ1442" s="13"/>
      <c r="AR1442" s="12"/>
      <c r="AS1442" s="13"/>
      <c r="AT1442" s="12"/>
      <c r="AU1442" s="13"/>
      <c r="AV1442" s="12"/>
      <c r="AW1442" s="13"/>
      <c r="AX1442" s="12"/>
      <c r="AY1442" s="13"/>
      <c r="AZ1442" s="12"/>
      <c r="BA1442" s="13"/>
      <c r="BB1442" s="12"/>
      <c r="BC1442" s="13"/>
      <c r="BN1442" s="8">
        <f t="shared" si="1447"/>
        <v>0</v>
      </c>
      <c r="BO1442" s="8">
        <f t="shared" si="1448"/>
        <v>0</v>
      </c>
      <c r="BP1442" s="8">
        <f t="shared" si="1388"/>
        <v>0</v>
      </c>
      <c r="BQ1442" s="12">
        <f t="shared" si="1389"/>
        <v>0</v>
      </c>
    </row>
    <row r="1443" spans="1:69">
      <c r="A1443" s="28">
        <v>2004</v>
      </c>
      <c r="B1443" s="27" t="s">
        <v>71</v>
      </c>
      <c r="C1443" s="24">
        <f t="shared" si="1408"/>
        <v>1394</v>
      </c>
      <c r="D1443" s="7" t="e">
        <f t="shared" ca="1" si="1427"/>
        <v>#N/A</v>
      </c>
      <c r="E1443" s="26">
        <f t="array" aca="1" ref="E1443" ca="1">AVERAGE(IF(INDIRECT(DatCol&amp;"$"&amp;TEXT(C1443,"###")):INDIRECT(DatCol&amp;"$"&amp;TEXT(C1443+57,"###"))&gt;0,INDIRECT(DatCol&amp;"$"&amp;TEXT(C1443,"###")):INDIRECT(DatCol&amp;"$"&amp;TEXT(C1443+57,"###"))))</f>
        <v>561.98248000000001</v>
      </c>
      <c r="F1443" s="26" t="str">
        <f t="shared" si="1428"/>
        <v>S</v>
      </c>
      <c r="H1443" s="8">
        <v>0</v>
      </c>
      <c r="I1443" s="8">
        <v>0</v>
      </c>
      <c r="J1443" s="8">
        <v>4</v>
      </c>
      <c r="K1443" s="9">
        <f t="shared" si="1449"/>
        <v>4</v>
      </c>
      <c r="L1443" s="12"/>
      <c r="M1443" s="13"/>
      <c r="N1443" s="12"/>
      <c r="P1443" s="12"/>
      <c r="Q1443" s="13"/>
      <c r="R1443" s="12"/>
      <c r="S1443" s="13"/>
      <c r="T1443" s="12"/>
      <c r="U1443" s="13"/>
      <c r="V1443" s="12"/>
      <c r="W1443" s="13"/>
      <c r="X1443" s="12"/>
      <c r="Y1443" s="13"/>
      <c r="Z1443" s="12"/>
      <c r="AA1443" s="13"/>
      <c r="AB1443" s="12"/>
      <c r="AC1443" s="13"/>
      <c r="AD1443" s="12"/>
      <c r="AE1443" s="13"/>
      <c r="AF1443" s="12"/>
      <c r="AG1443" s="13"/>
      <c r="AH1443" s="12"/>
      <c r="AI1443" s="13"/>
      <c r="AJ1443" s="12"/>
      <c r="AK1443" s="13"/>
      <c r="AL1443" s="12"/>
      <c r="AM1443" s="13"/>
      <c r="AN1443" s="12"/>
      <c r="AO1443" s="13"/>
      <c r="AP1443" s="12"/>
      <c r="AQ1443" s="13"/>
      <c r="AR1443" s="12"/>
      <c r="AS1443" s="13"/>
      <c r="AT1443" s="12"/>
      <c r="AU1443" s="13"/>
      <c r="AV1443" s="12"/>
      <c r="AW1443" s="13"/>
      <c r="AX1443" s="12"/>
      <c r="AY1443" s="13"/>
      <c r="AZ1443" s="12"/>
      <c r="BA1443" s="13"/>
      <c r="BB1443" s="12"/>
      <c r="BC1443" s="13"/>
      <c r="BN1443" s="8">
        <f t="shared" si="1447"/>
        <v>0</v>
      </c>
      <c r="BO1443" s="8">
        <f t="shared" si="1448"/>
        <v>0</v>
      </c>
      <c r="BP1443" s="8">
        <f t="shared" si="1388"/>
        <v>0</v>
      </c>
      <c r="BQ1443" s="12">
        <f t="shared" si="1389"/>
        <v>0</v>
      </c>
    </row>
    <row r="1444" spans="1:69">
      <c r="A1444" s="28">
        <v>2005</v>
      </c>
      <c r="B1444" s="27" t="s">
        <v>71</v>
      </c>
      <c r="C1444" s="24">
        <f t="shared" si="1408"/>
        <v>1394</v>
      </c>
      <c r="D1444" s="7" t="e">
        <f t="shared" ca="1" si="1427"/>
        <v>#N/A</v>
      </c>
      <c r="E1444" s="26">
        <f t="array" aca="1" ref="E1444" ca="1">AVERAGE(IF(INDIRECT(DatCol&amp;"$"&amp;TEXT(C1444,"###")):INDIRECT(DatCol&amp;"$"&amp;TEXT(C1444+57,"###"))&gt;0,INDIRECT(DatCol&amp;"$"&amp;TEXT(C1444,"###")):INDIRECT(DatCol&amp;"$"&amp;TEXT(C1444+57,"###"))))</f>
        <v>561.98248000000001</v>
      </c>
      <c r="F1444" s="26" t="str">
        <f t="shared" si="1428"/>
        <v>S</v>
      </c>
      <c r="H1444" s="8"/>
      <c r="I1444" s="8"/>
      <c r="J1444" s="8"/>
      <c r="K1444" s="9">
        <f t="shared" si="1449"/>
        <v>0</v>
      </c>
      <c r="L1444" s="12"/>
      <c r="M1444" s="13"/>
      <c r="N1444" s="12"/>
      <c r="P1444" s="12"/>
      <c r="Q1444" s="13"/>
      <c r="R1444" s="12"/>
      <c r="S1444" s="13"/>
      <c r="T1444" s="12"/>
      <c r="U1444" s="13"/>
      <c r="V1444" s="12"/>
      <c r="W1444" s="13"/>
      <c r="X1444" s="12"/>
      <c r="Y1444" s="13"/>
      <c r="Z1444" s="12"/>
      <c r="AA1444" s="13"/>
      <c r="AB1444" s="12"/>
      <c r="AC1444" s="13"/>
      <c r="AD1444" s="12"/>
      <c r="AE1444" s="13"/>
      <c r="AF1444" s="12"/>
      <c r="AG1444" s="13"/>
      <c r="AH1444" s="12"/>
      <c r="AI1444" s="13"/>
      <c r="AJ1444" s="12"/>
      <c r="AK1444" s="13"/>
      <c r="AL1444" s="12"/>
      <c r="AM1444" s="13"/>
      <c r="AN1444" s="12"/>
      <c r="AO1444" s="13"/>
      <c r="AP1444" s="12"/>
      <c r="AQ1444" s="13"/>
      <c r="AR1444" s="12"/>
      <c r="AS1444" s="13"/>
      <c r="AT1444" s="12"/>
      <c r="AU1444" s="13"/>
      <c r="AV1444" s="12"/>
      <c r="AW1444" s="13"/>
      <c r="AX1444" s="12"/>
      <c r="AY1444" s="13"/>
      <c r="AZ1444" s="12"/>
      <c r="BA1444" s="13"/>
      <c r="BB1444" s="12"/>
      <c r="BC1444" s="13"/>
      <c r="BN1444" s="8">
        <f t="shared" si="1447"/>
        <v>0</v>
      </c>
      <c r="BO1444" s="8">
        <f t="shared" si="1448"/>
        <v>0</v>
      </c>
      <c r="BP1444" s="8">
        <f t="shared" ref="BP1444:BP1506" si="1450">(N1444+X1444+Z1444+AB1444+AD1444+AH1444+AL1444+AP1444+AT1444+AX1444+BB1444+BF1444)</f>
        <v>0</v>
      </c>
      <c r="BQ1444" s="12">
        <f t="shared" ref="BQ1444:BQ1506" si="1451">(O1444+Y1444+AA1444+AC1444+AE1444+AI1444+AM1444+AQ1444+AU1444+AY1444+BC1444+BG1444)</f>
        <v>0</v>
      </c>
    </row>
    <row r="1445" spans="1:69">
      <c r="A1445" s="28">
        <v>2006</v>
      </c>
      <c r="B1445" s="27" t="s">
        <v>71</v>
      </c>
      <c r="C1445" s="24">
        <f t="shared" si="1408"/>
        <v>1394</v>
      </c>
      <c r="D1445" s="7" t="e">
        <f t="shared" ca="1" si="1427"/>
        <v>#N/A</v>
      </c>
      <c r="E1445" s="26">
        <f t="array" aca="1" ref="E1445" ca="1">AVERAGE(IF(INDIRECT(DatCol&amp;"$"&amp;TEXT(C1445,"###")):INDIRECT(DatCol&amp;"$"&amp;TEXT(C1445+57,"###"))&gt;0,INDIRECT(DatCol&amp;"$"&amp;TEXT(C1445,"###")):INDIRECT(DatCol&amp;"$"&amp;TEXT(C1445+57,"###"))))</f>
        <v>561.98248000000001</v>
      </c>
      <c r="F1445" s="26" t="str">
        <f t="shared" si="1428"/>
        <v>S</v>
      </c>
      <c r="H1445" s="8"/>
      <c r="I1445" s="8"/>
      <c r="J1445" s="8"/>
      <c r="K1445" s="9">
        <f t="shared" si="1449"/>
        <v>0</v>
      </c>
      <c r="L1445" s="12"/>
      <c r="M1445" s="13"/>
      <c r="N1445" s="12"/>
      <c r="P1445" s="12"/>
      <c r="Q1445" s="13"/>
      <c r="R1445" s="12"/>
      <c r="S1445" s="13"/>
      <c r="T1445" s="12"/>
      <c r="U1445" s="13"/>
      <c r="V1445" s="12"/>
      <c r="W1445" s="13"/>
      <c r="X1445" s="12"/>
      <c r="Y1445" s="13"/>
      <c r="Z1445" s="12"/>
      <c r="AA1445" s="13"/>
      <c r="AB1445" s="12"/>
      <c r="AC1445" s="13"/>
      <c r="AD1445" s="12"/>
      <c r="AE1445" s="13"/>
      <c r="AF1445" s="12"/>
      <c r="AG1445" s="13"/>
      <c r="AH1445" s="12"/>
      <c r="AI1445" s="13"/>
      <c r="AJ1445" s="12"/>
      <c r="AK1445" s="13"/>
      <c r="AL1445" s="12"/>
      <c r="AM1445" s="13"/>
      <c r="AN1445" s="12"/>
      <c r="AO1445" s="13"/>
      <c r="AP1445" s="12"/>
      <c r="AQ1445" s="13"/>
      <c r="AR1445" s="12"/>
      <c r="AS1445" s="13"/>
      <c r="AT1445" s="12"/>
      <c r="AU1445" s="13"/>
      <c r="AV1445" s="12"/>
      <c r="AW1445" s="13"/>
      <c r="AX1445" s="12"/>
      <c r="AY1445" s="13"/>
      <c r="AZ1445" s="12"/>
      <c r="BA1445" s="13"/>
      <c r="BB1445" s="12"/>
      <c r="BC1445" s="13"/>
      <c r="BN1445" s="8">
        <f t="shared" si="1447"/>
        <v>0</v>
      </c>
      <c r="BO1445" s="8">
        <f t="shared" si="1448"/>
        <v>0</v>
      </c>
      <c r="BP1445" s="8">
        <f t="shared" si="1450"/>
        <v>0</v>
      </c>
      <c r="BQ1445" s="12">
        <f t="shared" si="1451"/>
        <v>0</v>
      </c>
    </row>
    <row r="1446" spans="1:69">
      <c r="A1446" s="28">
        <v>2007</v>
      </c>
      <c r="B1446" s="27" t="s">
        <v>71</v>
      </c>
      <c r="C1446" s="24">
        <f t="shared" si="1408"/>
        <v>1394</v>
      </c>
      <c r="D1446" s="7" t="e">
        <f t="shared" ca="1" si="1427"/>
        <v>#N/A</v>
      </c>
      <c r="E1446" s="26">
        <f t="array" aca="1" ref="E1446" ca="1">AVERAGE(IF(INDIRECT(DatCol&amp;"$"&amp;TEXT(C1446,"###")):INDIRECT(DatCol&amp;"$"&amp;TEXT(C1446+57,"###"))&gt;0,INDIRECT(DatCol&amp;"$"&amp;TEXT(C1446,"###")):INDIRECT(DatCol&amp;"$"&amp;TEXT(C1446+57,"###"))))</f>
        <v>561.98248000000001</v>
      </c>
      <c r="F1446" s="26" t="str">
        <f t="shared" si="1428"/>
        <v>S</v>
      </c>
      <c r="H1446" s="8">
        <v>18</v>
      </c>
      <c r="I1446" s="8">
        <v>5</v>
      </c>
      <c r="J1446" s="8">
        <v>81</v>
      </c>
      <c r="K1446" s="9">
        <f t="shared" si="1449"/>
        <v>99</v>
      </c>
      <c r="L1446" s="12">
        <v>0</v>
      </c>
      <c r="M1446" s="13">
        <v>0</v>
      </c>
      <c r="N1446" s="12">
        <f>O1446/50</f>
        <v>3.5619999999999998</v>
      </c>
      <c r="O1446" s="11">
        <v>178.1</v>
      </c>
      <c r="P1446" s="12">
        <v>0</v>
      </c>
      <c r="Q1446" s="13">
        <v>0</v>
      </c>
      <c r="R1446" s="12">
        <v>0</v>
      </c>
      <c r="S1446" s="13">
        <v>0</v>
      </c>
      <c r="T1446" s="12">
        <v>0</v>
      </c>
      <c r="U1446" s="13">
        <v>0</v>
      </c>
      <c r="V1446" s="12">
        <v>0</v>
      </c>
      <c r="W1446" s="13">
        <v>0</v>
      </c>
      <c r="X1446" s="12">
        <f>Y1446/75</f>
        <v>17.250666666666667</v>
      </c>
      <c r="Y1446" s="13">
        <v>1293.8</v>
      </c>
      <c r="Z1446" s="12">
        <v>0</v>
      </c>
      <c r="AA1446" s="13">
        <v>0</v>
      </c>
      <c r="AB1446" s="12">
        <v>0</v>
      </c>
      <c r="AC1446" s="13">
        <v>0</v>
      </c>
      <c r="AD1446" s="12">
        <v>0</v>
      </c>
      <c r="AE1446" s="13">
        <v>0</v>
      </c>
      <c r="AF1446" s="12">
        <v>0</v>
      </c>
      <c r="AG1446" s="13">
        <v>0</v>
      </c>
      <c r="AH1446" s="12">
        <v>0</v>
      </c>
      <c r="AI1446" s="13">
        <v>0</v>
      </c>
      <c r="AJ1446" s="12">
        <v>0</v>
      </c>
      <c r="AK1446" s="13">
        <v>0</v>
      </c>
      <c r="AL1446" s="12">
        <v>0</v>
      </c>
      <c r="AM1446" s="13">
        <v>0</v>
      </c>
      <c r="AN1446" s="12">
        <v>0</v>
      </c>
      <c r="AO1446" s="13">
        <v>0</v>
      </c>
      <c r="AP1446" s="12">
        <v>0</v>
      </c>
      <c r="AQ1446" s="13">
        <v>0</v>
      </c>
      <c r="AR1446" s="12">
        <v>0</v>
      </c>
      <c r="AS1446" s="13">
        <v>0</v>
      </c>
      <c r="AT1446" s="12">
        <f>AU1446/55</f>
        <v>0.12545454545454546</v>
      </c>
      <c r="AU1446" s="13">
        <v>6.9</v>
      </c>
      <c r="AV1446" s="12"/>
      <c r="AW1446" s="13"/>
      <c r="AX1446" s="12"/>
      <c r="AY1446" s="13"/>
      <c r="AZ1446" s="12"/>
      <c r="BA1446" s="13"/>
      <c r="BB1446" s="12"/>
      <c r="BC1446" s="13"/>
      <c r="BN1446" s="8">
        <f t="shared" si="1447"/>
        <v>17.250666666666667</v>
      </c>
      <c r="BO1446" s="8">
        <f t="shared" si="1448"/>
        <v>1293.8</v>
      </c>
      <c r="BP1446" s="8">
        <f t="shared" si="1450"/>
        <v>20.938121212121214</v>
      </c>
      <c r="BQ1446" s="12">
        <f t="shared" si="1451"/>
        <v>1478.8</v>
      </c>
    </row>
    <row r="1447" spans="1:69">
      <c r="A1447" s="28">
        <v>2008</v>
      </c>
      <c r="B1447" s="27" t="s">
        <v>71</v>
      </c>
      <c r="C1447" s="24">
        <f t="shared" si="1408"/>
        <v>1394</v>
      </c>
      <c r="D1447" s="7" t="e">
        <f t="shared" ca="1" si="1427"/>
        <v>#N/A</v>
      </c>
      <c r="E1447" s="26">
        <f t="array" aca="1" ref="E1447" ca="1">AVERAGE(IF(INDIRECT(DatCol&amp;"$"&amp;TEXT(C1447,"###")):INDIRECT(DatCol&amp;"$"&amp;TEXT(C1447+57,"###"))&gt;0,INDIRECT(DatCol&amp;"$"&amp;TEXT(C1447,"###")):INDIRECT(DatCol&amp;"$"&amp;TEXT(C1447+57,"###"))))</f>
        <v>561.98248000000001</v>
      </c>
      <c r="F1447" s="26" t="str">
        <f t="shared" si="1428"/>
        <v>S</v>
      </c>
      <c r="H1447" s="8"/>
      <c r="I1447" s="8"/>
      <c r="J1447" s="8"/>
      <c r="K1447" s="9">
        <f t="shared" si="1449"/>
        <v>0</v>
      </c>
      <c r="L1447" s="12"/>
      <c r="M1447" s="13"/>
      <c r="N1447" s="12"/>
      <c r="P1447" s="12"/>
      <c r="Q1447" s="13"/>
      <c r="R1447" s="12"/>
      <c r="S1447" s="13"/>
      <c r="T1447" s="12"/>
      <c r="U1447" s="13"/>
      <c r="V1447" s="12"/>
      <c r="W1447" s="13"/>
      <c r="X1447" s="12"/>
      <c r="Y1447" s="13"/>
      <c r="Z1447" s="12"/>
      <c r="AA1447" s="13"/>
      <c r="AB1447" s="12"/>
      <c r="AC1447" s="13"/>
      <c r="AD1447" s="12"/>
      <c r="AE1447" s="13"/>
      <c r="AF1447" s="12"/>
      <c r="AG1447" s="13"/>
      <c r="AH1447" s="12"/>
      <c r="AI1447" s="13"/>
      <c r="AJ1447" s="12"/>
      <c r="AK1447" s="13"/>
      <c r="AL1447" s="12"/>
      <c r="AM1447" s="13"/>
      <c r="AN1447" s="12"/>
      <c r="AO1447" s="13"/>
      <c r="AP1447" s="12"/>
      <c r="AQ1447" s="13"/>
      <c r="AR1447" s="12"/>
      <c r="AS1447" s="13"/>
      <c r="AT1447" s="12"/>
      <c r="AU1447" s="13"/>
      <c r="AV1447" s="12"/>
      <c r="AW1447" s="13"/>
      <c r="AX1447" s="12"/>
      <c r="AY1447" s="13"/>
      <c r="AZ1447" s="12"/>
      <c r="BA1447" s="13"/>
      <c r="BB1447" s="12"/>
      <c r="BC1447" s="13"/>
      <c r="BN1447" s="8">
        <f t="shared" si="1447"/>
        <v>0</v>
      </c>
      <c r="BO1447" s="8">
        <f t="shared" si="1448"/>
        <v>0</v>
      </c>
      <c r="BP1447" s="8">
        <f t="shared" si="1450"/>
        <v>0</v>
      </c>
      <c r="BQ1447" s="12">
        <f t="shared" si="1451"/>
        <v>0</v>
      </c>
    </row>
    <row r="1448" spans="1:69">
      <c r="A1448" s="28">
        <v>2009</v>
      </c>
      <c r="B1448" s="27" t="s">
        <v>71</v>
      </c>
      <c r="C1448" s="24">
        <f t="shared" si="1408"/>
        <v>1394</v>
      </c>
      <c r="D1448" s="7" t="e">
        <f t="shared" ca="1" si="1427"/>
        <v>#N/A</v>
      </c>
      <c r="E1448" s="26">
        <f t="array" aca="1" ref="E1448" ca="1">AVERAGE(IF(INDIRECT(DatCol&amp;"$"&amp;TEXT(C1448,"###")):INDIRECT(DatCol&amp;"$"&amp;TEXT(C1448+57,"###"))&gt;0,INDIRECT(DatCol&amp;"$"&amp;TEXT(C1448,"###")):INDIRECT(DatCol&amp;"$"&amp;TEXT(C1448+57,"###"))))</f>
        <v>561.98248000000001</v>
      </c>
      <c r="F1448" s="26" t="str">
        <f t="shared" si="1428"/>
        <v>S</v>
      </c>
      <c r="K1448" s="9">
        <f t="shared" si="1449"/>
        <v>0</v>
      </c>
      <c r="AK1448" s="13"/>
      <c r="AM1448" s="13"/>
      <c r="BN1448" s="8">
        <f t="shared" si="1447"/>
        <v>0</v>
      </c>
      <c r="BO1448" s="8">
        <f t="shared" si="1448"/>
        <v>0</v>
      </c>
      <c r="BP1448" s="8">
        <f t="shared" si="1450"/>
        <v>0</v>
      </c>
      <c r="BQ1448" s="12">
        <f t="shared" si="1451"/>
        <v>0</v>
      </c>
    </row>
    <row r="1449" spans="1:69">
      <c r="A1449" s="28">
        <v>2010</v>
      </c>
      <c r="B1449" s="27" t="s">
        <v>71</v>
      </c>
      <c r="C1449" s="24">
        <f t="shared" si="1408"/>
        <v>1394</v>
      </c>
      <c r="D1449" s="7" t="e">
        <f t="shared" ca="1" si="1427"/>
        <v>#N/A</v>
      </c>
      <c r="E1449" s="26">
        <f t="array" aca="1" ref="E1449" ca="1">AVERAGE(IF(INDIRECT(DatCol&amp;"$"&amp;TEXT(C1449,"###")):INDIRECT(DatCol&amp;"$"&amp;TEXT(C1449+57,"###"))&gt;0,INDIRECT(DatCol&amp;"$"&amp;TEXT(C1449,"###")):INDIRECT(DatCol&amp;"$"&amp;TEXT(C1449+57,"###"))))</f>
        <v>561.98248000000001</v>
      </c>
      <c r="F1449" s="26" t="str">
        <f t="shared" ref="F1449:F1451" si="1452">VLOOKUP(B1449,town_region,2,FALSE)</f>
        <v>S</v>
      </c>
      <c r="AK1449" s="13"/>
      <c r="AM1449" s="13"/>
      <c r="BN1449" s="8"/>
      <c r="BO1449" s="8"/>
      <c r="BP1449" s="8"/>
      <c r="BQ1449" s="12"/>
    </row>
    <row r="1450" spans="1:69">
      <c r="A1450" s="28">
        <v>2011</v>
      </c>
      <c r="B1450" s="27" t="s">
        <v>71</v>
      </c>
      <c r="C1450" s="24">
        <f t="shared" si="1408"/>
        <v>1394</v>
      </c>
      <c r="D1450" s="7" t="e">
        <f t="shared" ca="1" si="1427"/>
        <v>#N/A</v>
      </c>
      <c r="E1450" s="26">
        <f t="array" aca="1" ref="E1450" ca="1">AVERAGE(IF(INDIRECT(DatCol&amp;"$"&amp;TEXT(C1450,"###")):INDIRECT(DatCol&amp;"$"&amp;TEXT(C1450+57,"###"))&gt;0,INDIRECT(DatCol&amp;"$"&amp;TEXT(C1450,"###")):INDIRECT(DatCol&amp;"$"&amp;TEXT(C1450+57,"###"))))</f>
        <v>561.98248000000001</v>
      </c>
      <c r="F1450" s="26" t="str">
        <f t="shared" si="1452"/>
        <v>S</v>
      </c>
      <c r="AK1450" s="13"/>
      <c r="AM1450" s="13"/>
      <c r="BN1450" s="8"/>
      <c r="BO1450" s="8"/>
      <c r="BP1450" s="8"/>
      <c r="BQ1450" s="12"/>
    </row>
    <row r="1451" spans="1:69">
      <c r="A1451" s="28">
        <v>2012</v>
      </c>
      <c r="B1451" s="27" t="s">
        <v>71</v>
      </c>
      <c r="C1451" s="24">
        <f t="shared" si="1408"/>
        <v>1394</v>
      </c>
      <c r="D1451" s="7" t="e">
        <f t="shared" ca="1" si="1427"/>
        <v>#N/A</v>
      </c>
      <c r="E1451" s="26">
        <f t="array" aca="1" ref="E1451" ca="1">AVERAGE(IF(INDIRECT(DatCol&amp;"$"&amp;TEXT(C1451,"###")):INDIRECT(DatCol&amp;"$"&amp;TEXT(C1451+57,"###"))&gt;0,INDIRECT(DatCol&amp;"$"&amp;TEXT(C1451,"###")):INDIRECT(DatCol&amp;"$"&amp;TEXT(C1451+57,"###"))))</f>
        <v>561.98248000000001</v>
      </c>
      <c r="F1451" s="26" t="str">
        <f t="shared" si="1452"/>
        <v>S</v>
      </c>
      <c r="AK1451" s="13"/>
      <c r="AM1451" s="13"/>
      <c r="BN1451" s="8"/>
      <c r="BO1451" s="8"/>
      <c r="BP1451" s="8"/>
      <c r="BQ1451" s="12"/>
    </row>
    <row r="1452" spans="1:69">
      <c r="A1452" s="28">
        <v>1955</v>
      </c>
      <c r="B1452" s="27" t="s">
        <v>72</v>
      </c>
      <c r="C1452" s="24">
        <f>ROW()</f>
        <v>1452</v>
      </c>
      <c r="D1452" s="7" t="e">
        <f t="shared" ca="1" si="1427"/>
        <v>#N/A</v>
      </c>
      <c r="E1452" s="26">
        <f t="array" aca="1" ref="E1452" ca="1">AVERAGE(IF(INDIRECT(DatCol&amp;"$"&amp;TEXT(C1452,"###")):INDIRECT(DatCol&amp;"$"&amp;TEXT(C1452+57,"###"))&gt;0,INDIRECT(DatCol&amp;"$"&amp;TEXT(C1452,"###")):INDIRECT(DatCol&amp;"$"&amp;TEXT(C1452+57,"###"))))</f>
        <v>372.53333333333336</v>
      </c>
      <c r="F1452" s="26" t="str">
        <f t="shared" si="1428"/>
        <v>C</v>
      </c>
      <c r="G1452" s="8"/>
      <c r="K1452" s="9">
        <f t="shared" si="1449"/>
        <v>0</v>
      </c>
      <c r="M1452" s="11">
        <f t="shared" ref="M1452:M1465" si="1453">(L1452*50)</f>
        <v>0</v>
      </c>
      <c r="O1452" s="11">
        <f t="shared" ref="O1452:O1465" si="1454">(N1452*50)</f>
        <v>0</v>
      </c>
      <c r="Q1452" s="11">
        <f t="shared" ref="Q1452:Q1465" si="1455">((P1452*330)/5.5)</f>
        <v>0</v>
      </c>
      <c r="Y1452" s="11">
        <f t="shared" ref="Y1452:Y1465" si="1456">((X1452*330)/5.5)</f>
        <v>0</v>
      </c>
      <c r="AG1452" s="11">
        <f t="shared" ref="AG1452:AG1465" si="1457">(AF1452*65)</f>
        <v>0</v>
      </c>
      <c r="AI1452" s="11">
        <f t="shared" ref="AI1452:AI1465" si="1458">(AH1452*65)</f>
        <v>0</v>
      </c>
      <c r="AK1452" s="13">
        <f t="shared" ref="AK1452:AK1465" si="1459">(AJ1452*9)</f>
        <v>0</v>
      </c>
      <c r="AM1452" s="13">
        <f t="shared" ref="AM1452:AM1465" si="1460">(AL1452*9)</f>
        <v>0</v>
      </c>
      <c r="AO1452" s="11">
        <f t="shared" ref="AO1452:AO1465" si="1461">(AN1452*80)</f>
        <v>0</v>
      </c>
      <c r="AQ1452" s="11">
        <f t="shared" ref="AQ1452:AQ1465" si="1462">(AP1452*80)</f>
        <v>0</v>
      </c>
      <c r="AS1452" s="11">
        <f t="shared" ref="AS1452:AS1465" si="1463">(AR1452*50)</f>
        <v>0</v>
      </c>
      <c r="AU1452" s="11">
        <f t="shared" ref="AU1452:AU1465" si="1464">(AT1452*50)</f>
        <v>0</v>
      </c>
      <c r="AW1452" s="11">
        <f t="shared" ref="AW1452:AW1465" si="1465">(AV1452*60)</f>
        <v>0</v>
      </c>
      <c r="AY1452" s="11">
        <f t="shared" ref="AY1452:AY1465" si="1466">(AX1452*60)</f>
        <v>0</v>
      </c>
      <c r="BA1452" s="11">
        <f t="shared" ref="BA1452:BA1465" si="1467">(AZ1452*40)</f>
        <v>0</v>
      </c>
      <c r="BC1452" s="11">
        <f t="shared" ref="BC1452:BC1465" si="1468">(BB1452*40)</f>
        <v>0</v>
      </c>
      <c r="BE1452" s="11">
        <f t="shared" ref="BE1452:BE1465" si="1469">(BD1452*95)</f>
        <v>0</v>
      </c>
      <c r="BG1452" s="11">
        <f t="shared" ref="BG1452:BG1465" si="1470">(BF1452*95)</f>
        <v>0</v>
      </c>
      <c r="BN1452" s="8">
        <f t="shared" si="1447"/>
        <v>0</v>
      </c>
      <c r="BO1452" s="8">
        <f t="shared" si="1448"/>
        <v>0</v>
      </c>
      <c r="BP1452" s="8">
        <f t="shared" si="1450"/>
        <v>0</v>
      </c>
      <c r="BQ1452" s="12">
        <f t="shared" si="1451"/>
        <v>0</v>
      </c>
    </row>
    <row r="1453" spans="1:69">
      <c r="A1453" s="28">
        <v>1956</v>
      </c>
      <c r="B1453" s="27" t="s">
        <v>72</v>
      </c>
      <c r="C1453" s="24">
        <f t="shared" ref="C1453:C1509" si="1471">C1452</f>
        <v>1452</v>
      </c>
      <c r="D1453" s="7" t="e">
        <f t="shared" ca="1" si="1427"/>
        <v>#N/A</v>
      </c>
      <c r="E1453" s="26">
        <f t="array" aca="1" ref="E1453" ca="1">AVERAGE(IF(INDIRECT(DatCol&amp;"$"&amp;TEXT(C1453,"###")):INDIRECT(DatCol&amp;"$"&amp;TEXT(C1453+57,"###"))&gt;0,INDIRECT(DatCol&amp;"$"&amp;TEXT(C1453,"###")):INDIRECT(DatCol&amp;"$"&amp;TEXT(C1453+57,"###"))))</f>
        <v>372.53333333333336</v>
      </c>
      <c r="F1453" s="26" t="str">
        <f t="shared" si="1428"/>
        <v>C</v>
      </c>
      <c r="G1453" s="8"/>
      <c r="K1453" s="9">
        <f t="shared" si="1449"/>
        <v>0</v>
      </c>
      <c r="M1453" s="11">
        <f t="shared" si="1453"/>
        <v>0</v>
      </c>
      <c r="O1453" s="11">
        <f t="shared" si="1454"/>
        <v>0</v>
      </c>
      <c r="Q1453" s="11">
        <f t="shared" si="1455"/>
        <v>0</v>
      </c>
      <c r="Y1453" s="11">
        <f t="shared" si="1456"/>
        <v>0</v>
      </c>
      <c r="AG1453" s="11">
        <f t="shared" si="1457"/>
        <v>0</v>
      </c>
      <c r="AI1453" s="11">
        <f t="shared" si="1458"/>
        <v>0</v>
      </c>
      <c r="AK1453" s="13">
        <f t="shared" si="1459"/>
        <v>0</v>
      </c>
      <c r="AM1453" s="13">
        <f t="shared" si="1460"/>
        <v>0</v>
      </c>
      <c r="AO1453" s="11">
        <f t="shared" si="1461"/>
        <v>0</v>
      </c>
      <c r="AQ1453" s="11">
        <f t="shared" si="1462"/>
        <v>0</v>
      </c>
      <c r="AS1453" s="11">
        <f t="shared" si="1463"/>
        <v>0</v>
      </c>
      <c r="AU1453" s="11">
        <f t="shared" si="1464"/>
        <v>0</v>
      </c>
      <c r="AW1453" s="11">
        <f t="shared" si="1465"/>
        <v>0</v>
      </c>
      <c r="AY1453" s="11">
        <f t="shared" si="1466"/>
        <v>0</v>
      </c>
      <c r="BA1453" s="11">
        <f t="shared" si="1467"/>
        <v>0</v>
      </c>
      <c r="BC1453" s="11">
        <f t="shared" si="1468"/>
        <v>0</v>
      </c>
      <c r="BE1453" s="11">
        <f t="shared" si="1469"/>
        <v>0</v>
      </c>
      <c r="BG1453" s="11">
        <f t="shared" si="1470"/>
        <v>0</v>
      </c>
      <c r="BN1453" s="8">
        <f t="shared" si="1447"/>
        <v>0</v>
      </c>
      <c r="BO1453" s="8">
        <f t="shared" si="1448"/>
        <v>0</v>
      </c>
      <c r="BP1453" s="8">
        <f t="shared" si="1450"/>
        <v>0</v>
      </c>
      <c r="BQ1453" s="12">
        <f t="shared" si="1451"/>
        <v>0</v>
      </c>
    </row>
    <row r="1454" spans="1:69">
      <c r="A1454" s="28">
        <v>1957</v>
      </c>
      <c r="B1454" s="27" t="s">
        <v>72</v>
      </c>
      <c r="C1454" s="24">
        <f t="shared" si="1471"/>
        <v>1452</v>
      </c>
      <c r="D1454" s="7" t="e">
        <f t="shared" ca="1" si="1427"/>
        <v>#N/A</v>
      </c>
      <c r="E1454" s="26">
        <f t="array" aca="1" ref="E1454" ca="1">AVERAGE(IF(INDIRECT(DatCol&amp;"$"&amp;TEXT(C1454,"###")):INDIRECT(DatCol&amp;"$"&amp;TEXT(C1454+57,"###"))&gt;0,INDIRECT(DatCol&amp;"$"&amp;TEXT(C1454,"###")):INDIRECT(DatCol&amp;"$"&amp;TEXT(C1454+57,"###"))))</f>
        <v>372.53333333333336</v>
      </c>
      <c r="F1454" s="26" t="str">
        <f t="shared" si="1428"/>
        <v>C</v>
      </c>
      <c r="G1454" s="8"/>
      <c r="K1454" s="9">
        <f t="shared" si="1449"/>
        <v>0</v>
      </c>
      <c r="M1454" s="11">
        <f t="shared" si="1453"/>
        <v>0</v>
      </c>
      <c r="O1454" s="11">
        <f t="shared" si="1454"/>
        <v>0</v>
      </c>
      <c r="Q1454" s="11">
        <f t="shared" si="1455"/>
        <v>0</v>
      </c>
      <c r="Y1454" s="11">
        <f t="shared" si="1456"/>
        <v>0</v>
      </c>
      <c r="AG1454" s="11">
        <f t="shared" si="1457"/>
        <v>0</v>
      </c>
      <c r="AI1454" s="11">
        <f t="shared" si="1458"/>
        <v>0</v>
      </c>
      <c r="AK1454" s="13">
        <f t="shared" si="1459"/>
        <v>0</v>
      </c>
      <c r="AM1454" s="13">
        <f t="shared" si="1460"/>
        <v>0</v>
      </c>
      <c r="AO1454" s="11">
        <f t="shared" si="1461"/>
        <v>0</v>
      </c>
      <c r="AQ1454" s="11">
        <f t="shared" si="1462"/>
        <v>0</v>
      </c>
      <c r="AS1454" s="11">
        <f t="shared" si="1463"/>
        <v>0</v>
      </c>
      <c r="AU1454" s="11">
        <f t="shared" si="1464"/>
        <v>0</v>
      </c>
      <c r="AW1454" s="11">
        <f t="shared" si="1465"/>
        <v>0</v>
      </c>
      <c r="AY1454" s="11">
        <f t="shared" si="1466"/>
        <v>0</v>
      </c>
      <c r="BA1454" s="11">
        <f t="shared" si="1467"/>
        <v>0</v>
      </c>
      <c r="BC1454" s="11">
        <f t="shared" si="1468"/>
        <v>0</v>
      </c>
      <c r="BE1454" s="11">
        <f t="shared" si="1469"/>
        <v>0</v>
      </c>
      <c r="BG1454" s="11">
        <f t="shared" si="1470"/>
        <v>0</v>
      </c>
      <c r="BN1454" s="8">
        <f t="shared" si="1447"/>
        <v>0</v>
      </c>
      <c r="BO1454" s="8">
        <f t="shared" si="1448"/>
        <v>0</v>
      </c>
      <c r="BP1454" s="8">
        <f t="shared" si="1450"/>
        <v>0</v>
      </c>
      <c r="BQ1454" s="12">
        <f t="shared" si="1451"/>
        <v>0</v>
      </c>
    </row>
    <row r="1455" spans="1:69">
      <c r="A1455" s="28">
        <v>1958</v>
      </c>
      <c r="B1455" s="27" t="s">
        <v>72</v>
      </c>
      <c r="C1455" s="24">
        <f t="shared" si="1471"/>
        <v>1452</v>
      </c>
      <c r="D1455" s="7" t="e">
        <f t="shared" ca="1" si="1427"/>
        <v>#N/A</v>
      </c>
      <c r="E1455" s="26">
        <f t="array" aca="1" ref="E1455" ca="1">AVERAGE(IF(INDIRECT(DatCol&amp;"$"&amp;TEXT(C1455,"###")):INDIRECT(DatCol&amp;"$"&amp;TEXT(C1455+57,"###"))&gt;0,INDIRECT(DatCol&amp;"$"&amp;TEXT(C1455,"###")):INDIRECT(DatCol&amp;"$"&amp;TEXT(C1455+57,"###"))))</f>
        <v>372.53333333333336</v>
      </c>
      <c r="F1455" s="26" t="str">
        <f t="shared" si="1428"/>
        <v>C</v>
      </c>
      <c r="G1455" s="8"/>
      <c r="K1455" s="9">
        <f t="shared" si="1449"/>
        <v>0</v>
      </c>
      <c r="M1455" s="11">
        <f t="shared" si="1453"/>
        <v>0</v>
      </c>
      <c r="O1455" s="11">
        <f t="shared" si="1454"/>
        <v>0</v>
      </c>
      <c r="Q1455" s="11">
        <f t="shared" si="1455"/>
        <v>0</v>
      </c>
      <c r="Y1455" s="11">
        <f t="shared" si="1456"/>
        <v>0</v>
      </c>
      <c r="AG1455" s="11">
        <f t="shared" si="1457"/>
        <v>0</v>
      </c>
      <c r="AI1455" s="11">
        <f t="shared" si="1458"/>
        <v>0</v>
      </c>
      <c r="AK1455" s="13">
        <f t="shared" si="1459"/>
        <v>0</v>
      </c>
      <c r="AM1455" s="13">
        <f t="shared" si="1460"/>
        <v>0</v>
      </c>
      <c r="AO1455" s="11">
        <f t="shared" si="1461"/>
        <v>0</v>
      </c>
      <c r="AQ1455" s="11">
        <f t="shared" si="1462"/>
        <v>0</v>
      </c>
      <c r="AS1455" s="11">
        <f t="shared" si="1463"/>
        <v>0</v>
      </c>
      <c r="AU1455" s="11">
        <f t="shared" si="1464"/>
        <v>0</v>
      </c>
      <c r="AW1455" s="11">
        <f t="shared" si="1465"/>
        <v>0</v>
      </c>
      <c r="AY1455" s="11">
        <f t="shared" si="1466"/>
        <v>0</v>
      </c>
      <c r="BA1455" s="11">
        <f t="shared" si="1467"/>
        <v>0</v>
      </c>
      <c r="BC1455" s="11">
        <f t="shared" si="1468"/>
        <v>0</v>
      </c>
      <c r="BE1455" s="11">
        <f t="shared" si="1469"/>
        <v>0</v>
      </c>
      <c r="BG1455" s="11">
        <f t="shared" si="1470"/>
        <v>0</v>
      </c>
      <c r="BN1455" s="8">
        <f t="shared" si="1447"/>
        <v>0</v>
      </c>
      <c r="BO1455" s="8">
        <f t="shared" si="1448"/>
        <v>0</v>
      </c>
      <c r="BP1455" s="8">
        <f t="shared" si="1450"/>
        <v>0</v>
      </c>
      <c r="BQ1455" s="12">
        <f t="shared" si="1451"/>
        <v>0</v>
      </c>
    </row>
    <row r="1456" spans="1:69">
      <c r="A1456" s="28">
        <v>1959</v>
      </c>
      <c r="B1456" s="27" t="s">
        <v>72</v>
      </c>
      <c r="C1456" s="24">
        <f t="shared" si="1471"/>
        <v>1452</v>
      </c>
      <c r="D1456" s="7" t="e">
        <f t="shared" ca="1" si="1427"/>
        <v>#N/A</v>
      </c>
      <c r="E1456" s="26">
        <f t="array" aca="1" ref="E1456" ca="1">AVERAGE(IF(INDIRECT(DatCol&amp;"$"&amp;TEXT(C1456,"###")):INDIRECT(DatCol&amp;"$"&amp;TEXT(C1456+57,"###"))&gt;0,INDIRECT(DatCol&amp;"$"&amp;TEXT(C1456,"###")):INDIRECT(DatCol&amp;"$"&amp;TEXT(C1456+57,"###"))))</f>
        <v>372.53333333333336</v>
      </c>
      <c r="F1456" s="26" t="str">
        <f t="shared" si="1428"/>
        <v>C</v>
      </c>
      <c r="G1456" s="8"/>
      <c r="K1456" s="9">
        <f t="shared" si="1449"/>
        <v>0</v>
      </c>
      <c r="M1456" s="11">
        <f t="shared" si="1453"/>
        <v>0</v>
      </c>
      <c r="O1456" s="11">
        <f t="shared" si="1454"/>
        <v>0</v>
      </c>
      <c r="Q1456" s="11">
        <f t="shared" si="1455"/>
        <v>0</v>
      </c>
      <c r="Y1456" s="11">
        <f t="shared" si="1456"/>
        <v>0</v>
      </c>
      <c r="AG1456" s="11">
        <f t="shared" si="1457"/>
        <v>0</v>
      </c>
      <c r="AI1456" s="11">
        <f t="shared" si="1458"/>
        <v>0</v>
      </c>
      <c r="AK1456" s="13">
        <f t="shared" si="1459"/>
        <v>0</v>
      </c>
      <c r="AM1456" s="13">
        <f t="shared" si="1460"/>
        <v>0</v>
      </c>
      <c r="AO1456" s="11">
        <f t="shared" si="1461"/>
        <v>0</v>
      </c>
      <c r="AQ1456" s="11">
        <f t="shared" si="1462"/>
        <v>0</v>
      </c>
      <c r="AS1456" s="11">
        <f t="shared" si="1463"/>
        <v>0</v>
      </c>
      <c r="AU1456" s="11">
        <f t="shared" si="1464"/>
        <v>0</v>
      </c>
      <c r="AW1456" s="11">
        <f t="shared" si="1465"/>
        <v>0</v>
      </c>
      <c r="AY1456" s="11">
        <f t="shared" si="1466"/>
        <v>0</v>
      </c>
      <c r="BA1456" s="11">
        <f t="shared" si="1467"/>
        <v>0</v>
      </c>
      <c r="BC1456" s="11">
        <f t="shared" si="1468"/>
        <v>0</v>
      </c>
      <c r="BE1456" s="11">
        <f t="shared" si="1469"/>
        <v>0</v>
      </c>
      <c r="BG1456" s="11">
        <f t="shared" si="1470"/>
        <v>0</v>
      </c>
      <c r="BN1456" s="8">
        <f t="shared" si="1447"/>
        <v>0</v>
      </c>
      <c r="BO1456" s="8">
        <f t="shared" si="1448"/>
        <v>0</v>
      </c>
      <c r="BP1456" s="8">
        <f t="shared" si="1450"/>
        <v>0</v>
      </c>
      <c r="BQ1456" s="12">
        <f t="shared" si="1451"/>
        <v>0</v>
      </c>
    </row>
    <row r="1457" spans="1:69">
      <c r="A1457" s="28">
        <v>1960</v>
      </c>
      <c r="B1457" s="27" t="s">
        <v>72</v>
      </c>
      <c r="C1457" s="24">
        <f t="shared" si="1471"/>
        <v>1452</v>
      </c>
      <c r="D1457" s="7" t="e">
        <f t="shared" ca="1" si="1427"/>
        <v>#N/A</v>
      </c>
      <c r="E1457" s="26">
        <f t="array" aca="1" ref="E1457" ca="1">AVERAGE(IF(INDIRECT(DatCol&amp;"$"&amp;TEXT(C1457,"###")):INDIRECT(DatCol&amp;"$"&amp;TEXT(C1457+57,"###"))&gt;0,INDIRECT(DatCol&amp;"$"&amp;TEXT(C1457,"###")):INDIRECT(DatCol&amp;"$"&amp;TEXT(C1457+57,"###"))))</f>
        <v>372.53333333333336</v>
      </c>
      <c r="F1457" s="26" t="str">
        <f t="shared" si="1428"/>
        <v>C</v>
      </c>
      <c r="G1457" s="8"/>
      <c r="K1457" s="9">
        <f t="shared" si="1449"/>
        <v>0</v>
      </c>
      <c r="M1457" s="11">
        <f t="shared" si="1453"/>
        <v>0</v>
      </c>
      <c r="O1457" s="11">
        <f t="shared" si="1454"/>
        <v>0</v>
      </c>
      <c r="Q1457" s="11">
        <f t="shared" si="1455"/>
        <v>0</v>
      </c>
      <c r="Y1457" s="11">
        <f t="shared" si="1456"/>
        <v>0</v>
      </c>
      <c r="AG1457" s="11">
        <f t="shared" si="1457"/>
        <v>0</v>
      </c>
      <c r="AI1457" s="11">
        <f t="shared" si="1458"/>
        <v>0</v>
      </c>
      <c r="AK1457" s="13">
        <f t="shared" si="1459"/>
        <v>0</v>
      </c>
      <c r="AM1457" s="13">
        <f t="shared" si="1460"/>
        <v>0</v>
      </c>
      <c r="AO1457" s="11">
        <f t="shared" si="1461"/>
        <v>0</v>
      </c>
      <c r="AQ1457" s="11">
        <f t="shared" si="1462"/>
        <v>0</v>
      </c>
      <c r="AS1457" s="11">
        <f t="shared" si="1463"/>
        <v>0</v>
      </c>
      <c r="AU1457" s="11">
        <f t="shared" si="1464"/>
        <v>0</v>
      </c>
      <c r="AW1457" s="11">
        <f t="shared" si="1465"/>
        <v>0</v>
      </c>
      <c r="AY1457" s="11">
        <f t="shared" si="1466"/>
        <v>0</v>
      </c>
      <c r="BA1457" s="11">
        <f t="shared" si="1467"/>
        <v>0</v>
      </c>
      <c r="BC1457" s="11">
        <f t="shared" si="1468"/>
        <v>0</v>
      </c>
      <c r="BE1457" s="11">
        <f t="shared" si="1469"/>
        <v>0</v>
      </c>
      <c r="BG1457" s="11">
        <f t="shared" si="1470"/>
        <v>0</v>
      </c>
      <c r="BN1457" s="8">
        <f t="shared" si="1447"/>
        <v>0</v>
      </c>
      <c r="BO1457" s="8">
        <f t="shared" si="1448"/>
        <v>0</v>
      </c>
      <c r="BP1457" s="8">
        <f t="shared" si="1450"/>
        <v>0</v>
      </c>
      <c r="BQ1457" s="12">
        <f t="shared" si="1451"/>
        <v>0</v>
      </c>
    </row>
    <row r="1458" spans="1:69">
      <c r="A1458" s="28">
        <v>1961</v>
      </c>
      <c r="B1458" s="27" t="s">
        <v>72</v>
      </c>
      <c r="C1458" s="24">
        <f t="shared" si="1471"/>
        <v>1452</v>
      </c>
      <c r="D1458" s="7" t="e">
        <f t="shared" ca="1" si="1427"/>
        <v>#N/A</v>
      </c>
      <c r="E1458" s="26">
        <f t="array" aca="1" ref="E1458" ca="1">AVERAGE(IF(INDIRECT(DatCol&amp;"$"&amp;TEXT(C1458,"###")):INDIRECT(DatCol&amp;"$"&amp;TEXT(C1458+57,"###"))&gt;0,INDIRECT(DatCol&amp;"$"&amp;TEXT(C1458,"###")):INDIRECT(DatCol&amp;"$"&amp;TEXT(C1458+57,"###"))))</f>
        <v>372.53333333333336</v>
      </c>
      <c r="F1458" s="26" t="str">
        <f t="shared" si="1428"/>
        <v>C</v>
      </c>
      <c r="G1458" s="8"/>
      <c r="K1458" s="9">
        <f t="shared" si="1449"/>
        <v>0</v>
      </c>
      <c r="M1458" s="11">
        <f t="shared" si="1453"/>
        <v>0</v>
      </c>
      <c r="O1458" s="11">
        <f t="shared" si="1454"/>
        <v>0</v>
      </c>
      <c r="Q1458" s="11">
        <f t="shared" si="1455"/>
        <v>0</v>
      </c>
      <c r="Y1458" s="11">
        <f t="shared" si="1456"/>
        <v>0</v>
      </c>
      <c r="AG1458" s="11">
        <f t="shared" si="1457"/>
        <v>0</v>
      </c>
      <c r="AI1458" s="11">
        <f t="shared" si="1458"/>
        <v>0</v>
      </c>
      <c r="AK1458" s="13">
        <f t="shared" si="1459"/>
        <v>0</v>
      </c>
      <c r="AM1458" s="13">
        <f t="shared" si="1460"/>
        <v>0</v>
      </c>
      <c r="AO1458" s="11">
        <f t="shared" si="1461"/>
        <v>0</v>
      </c>
      <c r="AQ1458" s="11">
        <f t="shared" si="1462"/>
        <v>0</v>
      </c>
      <c r="AS1458" s="11">
        <f t="shared" si="1463"/>
        <v>0</v>
      </c>
      <c r="AU1458" s="11">
        <f t="shared" si="1464"/>
        <v>0</v>
      </c>
      <c r="AW1458" s="11">
        <f t="shared" si="1465"/>
        <v>0</v>
      </c>
      <c r="AY1458" s="11">
        <f t="shared" si="1466"/>
        <v>0</v>
      </c>
      <c r="BA1458" s="11">
        <f t="shared" si="1467"/>
        <v>0</v>
      </c>
      <c r="BC1458" s="11">
        <f t="shared" si="1468"/>
        <v>0</v>
      </c>
      <c r="BE1458" s="11">
        <f t="shared" si="1469"/>
        <v>0</v>
      </c>
      <c r="BG1458" s="11">
        <f t="shared" si="1470"/>
        <v>0</v>
      </c>
      <c r="BN1458" s="8">
        <f t="shared" si="1447"/>
        <v>0</v>
      </c>
      <c r="BO1458" s="8">
        <f t="shared" si="1448"/>
        <v>0</v>
      </c>
      <c r="BP1458" s="8">
        <f t="shared" si="1450"/>
        <v>0</v>
      </c>
      <c r="BQ1458" s="12">
        <f t="shared" si="1451"/>
        <v>0</v>
      </c>
    </row>
    <row r="1459" spans="1:69">
      <c r="A1459" s="28">
        <v>1962</v>
      </c>
      <c r="B1459" s="27" t="s">
        <v>72</v>
      </c>
      <c r="C1459" s="24">
        <f t="shared" si="1471"/>
        <v>1452</v>
      </c>
      <c r="D1459" s="7" t="e">
        <f t="shared" ca="1" si="1427"/>
        <v>#N/A</v>
      </c>
      <c r="E1459" s="26">
        <f t="array" aca="1" ref="E1459" ca="1">AVERAGE(IF(INDIRECT(DatCol&amp;"$"&amp;TEXT(C1459,"###")):INDIRECT(DatCol&amp;"$"&amp;TEXT(C1459+57,"###"))&gt;0,INDIRECT(DatCol&amp;"$"&amp;TEXT(C1459,"###")):INDIRECT(DatCol&amp;"$"&amp;TEXT(C1459+57,"###"))))</f>
        <v>372.53333333333336</v>
      </c>
      <c r="F1459" s="26" t="str">
        <f t="shared" si="1428"/>
        <v>C</v>
      </c>
      <c r="G1459" s="8"/>
      <c r="K1459" s="9">
        <f t="shared" si="1449"/>
        <v>0</v>
      </c>
      <c r="M1459" s="11">
        <f t="shared" si="1453"/>
        <v>0</v>
      </c>
      <c r="O1459" s="11">
        <f t="shared" si="1454"/>
        <v>0</v>
      </c>
      <c r="Q1459" s="11">
        <f t="shared" si="1455"/>
        <v>0</v>
      </c>
      <c r="Y1459" s="11">
        <f t="shared" si="1456"/>
        <v>0</v>
      </c>
      <c r="AG1459" s="11">
        <f t="shared" si="1457"/>
        <v>0</v>
      </c>
      <c r="AI1459" s="11">
        <f t="shared" si="1458"/>
        <v>0</v>
      </c>
      <c r="AK1459" s="13">
        <f t="shared" si="1459"/>
        <v>0</v>
      </c>
      <c r="AM1459" s="13">
        <f t="shared" si="1460"/>
        <v>0</v>
      </c>
      <c r="AO1459" s="11">
        <f t="shared" si="1461"/>
        <v>0</v>
      </c>
      <c r="AQ1459" s="11">
        <f t="shared" si="1462"/>
        <v>0</v>
      </c>
      <c r="AS1459" s="11">
        <f t="shared" si="1463"/>
        <v>0</v>
      </c>
      <c r="AU1459" s="11">
        <f t="shared" si="1464"/>
        <v>0</v>
      </c>
      <c r="AW1459" s="11">
        <f t="shared" si="1465"/>
        <v>0</v>
      </c>
      <c r="AY1459" s="11">
        <f t="shared" si="1466"/>
        <v>0</v>
      </c>
      <c r="BA1459" s="11">
        <f t="shared" si="1467"/>
        <v>0</v>
      </c>
      <c r="BC1459" s="11">
        <f t="shared" si="1468"/>
        <v>0</v>
      </c>
      <c r="BE1459" s="11">
        <f t="shared" si="1469"/>
        <v>0</v>
      </c>
      <c r="BG1459" s="11">
        <f t="shared" si="1470"/>
        <v>0</v>
      </c>
      <c r="BN1459" s="8">
        <f t="shared" si="1447"/>
        <v>0</v>
      </c>
      <c r="BO1459" s="8">
        <f t="shared" si="1448"/>
        <v>0</v>
      </c>
      <c r="BP1459" s="8">
        <f t="shared" si="1450"/>
        <v>0</v>
      </c>
      <c r="BQ1459" s="12">
        <f t="shared" si="1451"/>
        <v>0</v>
      </c>
    </row>
    <row r="1460" spans="1:69">
      <c r="A1460" s="28">
        <v>1963</v>
      </c>
      <c r="B1460" s="27" t="s">
        <v>72</v>
      </c>
      <c r="C1460" s="24">
        <f t="shared" si="1471"/>
        <v>1452</v>
      </c>
      <c r="D1460" s="7" t="e">
        <f t="shared" ca="1" si="1427"/>
        <v>#N/A</v>
      </c>
      <c r="E1460" s="26">
        <f t="array" aca="1" ref="E1460" ca="1">AVERAGE(IF(INDIRECT(DatCol&amp;"$"&amp;TEXT(C1460,"###")):INDIRECT(DatCol&amp;"$"&amp;TEXT(C1460+57,"###"))&gt;0,INDIRECT(DatCol&amp;"$"&amp;TEXT(C1460,"###")):INDIRECT(DatCol&amp;"$"&amp;TEXT(C1460+57,"###"))))</f>
        <v>372.53333333333336</v>
      </c>
      <c r="F1460" s="26" t="str">
        <f t="shared" si="1428"/>
        <v>C</v>
      </c>
      <c r="G1460" s="8"/>
      <c r="K1460" s="9">
        <f t="shared" si="1449"/>
        <v>0</v>
      </c>
      <c r="M1460" s="11">
        <f t="shared" si="1453"/>
        <v>0</v>
      </c>
      <c r="O1460" s="11">
        <f t="shared" si="1454"/>
        <v>0</v>
      </c>
      <c r="Q1460" s="11">
        <f t="shared" si="1455"/>
        <v>0</v>
      </c>
      <c r="Y1460" s="11">
        <f t="shared" si="1456"/>
        <v>0</v>
      </c>
      <c r="AG1460" s="11">
        <f t="shared" si="1457"/>
        <v>0</v>
      </c>
      <c r="AI1460" s="11">
        <f t="shared" si="1458"/>
        <v>0</v>
      </c>
      <c r="AK1460" s="13">
        <f t="shared" si="1459"/>
        <v>0</v>
      </c>
      <c r="AM1460" s="13">
        <f t="shared" si="1460"/>
        <v>0</v>
      </c>
      <c r="AO1460" s="11">
        <f t="shared" si="1461"/>
        <v>0</v>
      </c>
      <c r="AQ1460" s="11">
        <f t="shared" si="1462"/>
        <v>0</v>
      </c>
      <c r="AS1460" s="11">
        <f t="shared" si="1463"/>
        <v>0</v>
      </c>
      <c r="AU1460" s="11">
        <f t="shared" si="1464"/>
        <v>0</v>
      </c>
      <c r="AW1460" s="11">
        <f t="shared" si="1465"/>
        <v>0</v>
      </c>
      <c r="AY1460" s="11">
        <f t="shared" si="1466"/>
        <v>0</v>
      </c>
      <c r="BA1460" s="11">
        <f t="shared" si="1467"/>
        <v>0</v>
      </c>
      <c r="BC1460" s="11">
        <f t="shared" si="1468"/>
        <v>0</v>
      </c>
      <c r="BE1460" s="11">
        <f t="shared" si="1469"/>
        <v>0</v>
      </c>
      <c r="BG1460" s="11">
        <f t="shared" si="1470"/>
        <v>0</v>
      </c>
      <c r="BN1460" s="8">
        <f t="shared" si="1447"/>
        <v>0</v>
      </c>
      <c r="BO1460" s="8">
        <f t="shared" si="1448"/>
        <v>0</v>
      </c>
      <c r="BP1460" s="8">
        <f t="shared" si="1450"/>
        <v>0</v>
      </c>
      <c r="BQ1460" s="12">
        <f t="shared" si="1451"/>
        <v>0</v>
      </c>
    </row>
    <row r="1461" spans="1:69">
      <c r="A1461" s="28">
        <v>1964</v>
      </c>
      <c r="B1461" s="27" t="s">
        <v>72</v>
      </c>
      <c r="C1461" s="24">
        <f t="shared" si="1471"/>
        <v>1452</v>
      </c>
      <c r="D1461" s="7" t="e">
        <f t="shared" ca="1" si="1427"/>
        <v>#N/A</v>
      </c>
      <c r="E1461" s="26">
        <f t="array" aca="1" ref="E1461" ca="1">AVERAGE(IF(INDIRECT(DatCol&amp;"$"&amp;TEXT(C1461,"###")):INDIRECT(DatCol&amp;"$"&amp;TEXT(C1461+57,"###"))&gt;0,INDIRECT(DatCol&amp;"$"&amp;TEXT(C1461,"###")):INDIRECT(DatCol&amp;"$"&amp;TEXT(C1461+57,"###"))))</f>
        <v>372.53333333333336</v>
      </c>
      <c r="F1461" s="26" t="str">
        <f t="shared" si="1428"/>
        <v>C</v>
      </c>
      <c r="G1461" s="8"/>
      <c r="K1461" s="9">
        <f t="shared" si="1449"/>
        <v>0</v>
      </c>
      <c r="M1461" s="11">
        <f t="shared" si="1453"/>
        <v>0</v>
      </c>
      <c r="O1461" s="11">
        <f t="shared" si="1454"/>
        <v>0</v>
      </c>
      <c r="Q1461" s="11">
        <f t="shared" si="1455"/>
        <v>0</v>
      </c>
      <c r="Y1461" s="11">
        <f t="shared" si="1456"/>
        <v>0</v>
      </c>
      <c r="AG1461" s="11">
        <f t="shared" si="1457"/>
        <v>0</v>
      </c>
      <c r="AI1461" s="11">
        <f t="shared" si="1458"/>
        <v>0</v>
      </c>
      <c r="AK1461" s="13">
        <f t="shared" si="1459"/>
        <v>0</v>
      </c>
      <c r="AM1461" s="13">
        <f t="shared" si="1460"/>
        <v>0</v>
      </c>
      <c r="AO1461" s="11">
        <f t="shared" si="1461"/>
        <v>0</v>
      </c>
      <c r="AQ1461" s="11">
        <f t="shared" si="1462"/>
        <v>0</v>
      </c>
      <c r="AS1461" s="11">
        <f t="shared" si="1463"/>
        <v>0</v>
      </c>
      <c r="AU1461" s="11">
        <f t="shared" si="1464"/>
        <v>0</v>
      </c>
      <c r="AW1461" s="11">
        <f t="shared" si="1465"/>
        <v>0</v>
      </c>
      <c r="AY1461" s="11">
        <f t="shared" si="1466"/>
        <v>0</v>
      </c>
      <c r="BA1461" s="11">
        <f t="shared" si="1467"/>
        <v>0</v>
      </c>
      <c r="BC1461" s="11">
        <f t="shared" si="1468"/>
        <v>0</v>
      </c>
      <c r="BE1461" s="11">
        <f t="shared" si="1469"/>
        <v>0</v>
      </c>
      <c r="BG1461" s="11">
        <f t="shared" si="1470"/>
        <v>0</v>
      </c>
      <c r="BN1461" s="8">
        <f t="shared" si="1447"/>
        <v>0</v>
      </c>
      <c r="BO1461" s="8">
        <f t="shared" si="1448"/>
        <v>0</v>
      </c>
      <c r="BP1461" s="8">
        <f t="shared" si="1450"/>
        <v>0</v>
      </c>
      <c r="BQ1461" s="12">
        <f t="shared" si="1451"/>
        <v>0</v>
      </c>
    </row>
    <row r="1462" spans="1:69">
      <c r="A1462" s="28">
        <v>1965</v>
      </c>
      <c r="B1462" s="27" t="s">
        <v>72</v>
      </c>
      <c r="C1462" s="24">
        <f t="shared" si="1471"/>
        <v>1452</v>
      </c>
      <c r="D1462" s="7" t="e">
        <f t="shared" ca="1" si="1427"/>
        <v>#N/A</v>
      </c>
      <c r="E1462" s="26">
        <f t="array" aca="1" ref="E1462" ca="1">AVERAGE(IF(INDIRECT(DatCol&amp;"$"&amp;TEXT(C1462,"###")):INDIRECT(DatCol&amp;"$"&amp;TEXT(C1462+57,"###"))&gt;0,INDIRECT(DatCol&amp;"$"&amp;TEXT(C1462,"###")):INDIRECT(DatCol&amp;"$"&amp;TEXT(C1462+57,"###"))))</f>
        <v>372.53333333333336</v>
      </c>
      <c r="F1462" s="26" t="str">
        <f t="shared" si="1428"/>
        <v>C</v>
      </c>
      <c r="G1462" s="8"/>
      <c r="K1462" s="9">
        <f t="shared" si="1449"/>
        <v>0</v>
      </c>
      <c r="M1462" s="11">
        <f t="shared" si="1453"/>
        <v>0</v>
      </c>
      <c r="O1462" s="11">
        <f t="shared" si="1454"/>
        <v>0</v>
      </c>
      <c r="Q1462" s="11">
        <f t="shared" si="1455"/>
        <v>0</v>
      </c>
      <c r="Y1462" s="11">
        <f t="shared" si="1456"/>
        <v>0</v>
      </c>
      <c r="AG1462" s="11">
        <f t="shared" si="1457"/>
        <v>0</v>
      </c>
      <c r="AI1462" s="11">
        <f t="shared" si="1458"/>
        <v>0</v>
      </c>
      <c r="AK1462" s="13">
        <f t="shared" si="1459"/>
        <v>0</v>
      </c>
      <c r="AM1462" s="13">
        <f t="shared" si="1460"/>
        <v>0</v>
      </c>
      <c r="AO1462" s="11">
        <f t="shared" si="1461"/>
        <v>0</v>
      </c>
      <c r="AQ1462" s="11">
        <f t="shared" si="1462"/>
        <v>0</v>
      </c>
      <c r="AS1462" s="11">
        <f t="shared" si="1463"/>
        <v>0</v>
      </c>
      <c r="AU1462" s="11">
        <f t="shared" si="1464"/>
        <v>0</v>
      </c>
      <c r="AW1462" s="11">
        <f t="shared" si="1465"/>
        <v>0</v>
      </c>
      <c r="AY1462" s="11">
        <f t="shared" si="1466"/>
        <v>0</v>
      </c>
      <c r="BA1462" s="11">
        <f t="shared" si="1467"/>
        <v>0</v>
      </c>
      <c r="BC1462" s="11">
        <f t="shared" si="1468"/>
        <v>0</v>
      </c>
      <c r="BE1462" s="11">
        <f t="shared" si="1469"/>
        <v>0</v>
      </c>
      <c r="BG1462" s="11">
        <f t="shared" si="1470"/>
        <v>0</v>
      </c>
      <c r="BN1462" s="8">
        <f t="shared" si="1447"/>
        <v>0</v>
      </c>
      <c r="BO1462" s="8">
        <f t="shared" si="1448"/>
        <v>0</v>
      </c>
      <c r="BP1462" s="8">
        <f t="shared" si="1450"/>
        <v>0</v>
      </c>
      <c r="BQ1462" s="12">
        <f t="shared" si="1451"/>
        <v>0</v>
      </c>
    </row>
    <row r="1463" spans="1:69">
      <c r="A1463" s="28">
        <v>1966</v>
      </c>
      <c r="B1463" s="27" t="s">
        <v>72</v>
      </c>
      <c r="C1463" s="24">
        <f t="shared" si="1471"/>
        <v>1452</v>
      </c>
      <c r="D1463" s="7" t="e">
        <f t="shared" ca="1" si="1427"/>
        <v>#N/A</v>
      </c>
      <c r="E1463" s="26">
        <f t="array" aca="1" ref="E1463" ca="1">AVERAGE(IF(INDIRECT(DatCol&amp;"$"&amp;TEXT(C1463,"###")):INDIRECT(DatCol&amp;"$"&amp;TEXT(C1463+57,"###"))&gt;0,INDIRECT(DatCol&amp;"$"&amp;TEXT(C1463,"###")):INDIRECT(DatCol&amp;"$"&amp;TEXT(C1463+57,"###"))))</f>
        <v>372.53333333333336</v>
      </c>
      <c r="F1463" s="26" t="str">
        <f t="shared" si="1428"/>
        <v>C</v>
      </c>
      <c r="G1463" s="8"/>
      <c r="K1463" s="9">
        <f t="shared" si="1449"/>
        <v>0</v>
      </c>
      <c r="M1463" s="11">
        <f t="shared" si="1453"/>
        <v>0</v>
      </c>
      <c r="O1463" s="11">
        <f t="shared" si="1454"/>
        <v>0</v>
      </c>
      <c r="Q1463" s="11">
        <f t="shared" si="1455"/>
        <v>0</v>
      </c>
      <c r="Y1463" s="11">
        <f t="shared" si="1456"/>
        <v>0</v>
      </c>
      <c r="AG1463" s="11">
        <f t="shared" si="1457"/>
        <v>0</v>
      </c>
      <c r="AI1463" s="11">
        <f t="shared" si="1458"/>
        <v>0</v>
      </c>
      <c r="AK1463" s="13">
        <f t="shared" si="1459"/>
        <v>0</v>
      </c>
      <c r="AM1463" s="13">
        <f t="shared" si="1460"/>
        <v>0</v>
      </c>
      <c r="AO1463" s="11">
        <f t="shared" si="1461"/>
        <v>0</v>
      </c>
      <c r="AQ1463" s="11">
        <f t="shared" si="1462"/>
        <v>0</v>
      </c>
      <c r="AS1463" s="11">
        <f t="shared" si="1463"/>
        <v>0</v>
      </c>
      <c r="AU1463" s="11">
        <f t="shared" si="1464"/>
        <v>0</v>
      </c>
      <c r="AW1463" s="11">
        <f t="shared" si="1465"/>
        <v>0</v>
      </c>
      <c r="AY1463" s="11">
        <f t="shared" si="1466"/>
        <v>0</v>
      </c>
      <c r="BA1463" s="11">
        <f t="shared" si="1467"/>
        <v>0</v>
      </c>
      <c r="BC1463" s="11">
        <f t="shared" si="1468"/>
        <v>0</v>
      </c>
      <c r="BE1463" s="11">
        <f t="shared" si="1469"/>
        <v>0</v>
      </c>
      <c r="BG1463" s="11">
        <f t="shared" si="1470"/>
        <v>0</v>
      </c>
      <c r="BN1463" s="8">
        <f t="shared" si="1447"/>
        <v>0</v>
      </c>
      <c r="BO1463" s="8">
        <f t="shared" si="1448"/>
        <v>0</v>
      </c>
      <c r="BP1463" s="8">
        <f t="shared" si="1450"/>
        <v>0</v>
      </c>
      <c r="BQ1463" s="12">
        <f t="shared" si="1451"/>
        <v>0</v>
      </c>
    </row>
    <row r="1464" spans="1:69">
      <c r="A1464" s="28">
        <v>1967</v>
      </c>
      <c r="B1464" s="27" t="s">
        <v>72</v>
      </c>
      <c r="C1464" s="24">
        <f t="shared" si="1471"/>
        <v>1452</v>
      </c>
      <c r="D1464" s="7" t="e">
        <f t="shared" ca="1" si="1427"/>
        <v>#N/A</v>
      </c>
      <c r="E1464" s="26">
        <f t="array" aca="1" ref="E1464" ca="1">AVERAGE(IF(INDIRECT(DatCol&amp;"$"&amp;TEXT(C1464,"###")):INDIRECT(DatCol&amp;"$"&amp;TEXT(C1464+57,"###"))&gt;0,INDIRECT(DatCol&amp;"$"&amp;TEXT(C1464,"###")):INDIRECT(DatCol&amp;"$"&amp;TEXT(C1464+57,"###"))))</f>
        <v>372.53333333333336</v>
      </c>
      <c r="F1464" s="26" t="str">
        <f t="shared" si="1428"/>
        <v>C</v>
      </c>
      <c r="G1464" s="8"/>
      <c r="H1464" s="8">
        <v>108</v>
      </c>
      <c r="I1464" s="8">
        <v>7</v>
      </c>
      <c r="J1464" s="8">
        <v>320</v>
      </c>
      <c r="K1464" s="9">
        <f t="shared" si="1449"/>
        <v>428</v>
      </c>
      <c r="M1464" s="11">
        <f t="shared" si="1453"/>
        <v>0</v>
      </c>
      <c r="O1464" s="11">
        <f t="shared" si="1454"/>
        <v>0</v>
      </c>
      <c r="P1464" s="12">
        <v>520</v>
      </c>
      <c r="Q1464" s="11">
        <f t="shared" si="1455"/>
        <v>31200</v>
      </c>
      <c r="X1464" s="12">
        <v>375</v>
      </c>
      <c r="Y1464" s="11">
        <f t="shared" si="1456"/>
        <v>22500</v>
      </c>
      <c r="AG1464" s="11">
        <f t="shared" si="1457"/>
        <v>0</v>
      </c>
      <c r="AI1464" s="11">
        <f t="shared" si="1458"/>
        <v>0</v>
      </c>
      <c r="AJ1464" s="12">
        <v>410</v>
      </c>
      <c r="AK1464" s="13">
        <f t="shared" si="1459"/>
        <v>3690</v>
      </c>
      <c r="AL1464" s="12">
        <v>220</v>
      </c>
      <c r="AM1464" s="13">
        <f t="shared" si="1460"/>
        <v>1980</v>
      </c>
      <c r="AO1464" s="11">
        <f t="shared" si="1461"/>
        <v>0</v>
      </c>
      <c r="AQ1464" s="11">
        <f t="shared" si="1462"/>
        <v>0</v>
      </c>
      <c r="AS1464" s="11">
        <f t="shared" si="1463"/>
        <v>0</v>
      </c>
      <c r="AU1464" s="11">
        <f t="shared" si="1464"/>
        <v>0</v>
      </c>
      <c r="AW1464" s="11">
        <f t="shared" si="1465"/>
        <v>0</v>
      </c>
      <c r="AY1464" s="11">
        <f t="shared" si="1466"/>
        <v>0</v>
      </c>
      <c r="BA1464" s="11">
        <f t="shared" si="1467"/>
        <v>0</v>
      </c>
      <c r="BC1464" s="11">
        <f t="shared" si="1468"/>
        <v>0</v>
      </c>
      <c r="BE1464" s="11">
        <f t="shared" si="1469"/>
        <v>0</v>
      </c>
      <c r="BG1464" s="11">
        <f t="shared" si="1470"/>
        <v>0</v>
      </c>
      <c r="BN1464" s="8">
        <f t="shared" si="1447"/>
        <v>1305</v>
      </c>
      <c r="BO1464" s="8">
        <f t="shared" si="1448"/>
        <v>57390</v>
      </c>
      <c r="BP1464" s="8">
        <f t="shared" si="1450"/>
        <v>595</v>
      </c>
      <c r="BQ1464" s="12">
        <f t="shared" si="1451"/>
        <v>24480</v>
      </c>
    </row>
    <row r="1465" spans="1:69">
      <c r="A1465" s="28">
        <v>1968</v>
      </c>
      <c r="B1465" s="27" t="s">
        <v>72</v>
      </c>
      <c r="C1465" s="24">
        <f t="shared" si="1471"/>
        <v>1452</v>
      </c>
      <c r="D1465" s="7" t="e">
        <f t="shared" ca="1" si="1427"/>
        <v>#N/A</v>
      </c>
      <c r="E1465" s="26">
        <f t="array" aca="1" ref="E1465" ca="1">AVERAGE(IF(INDIRECT(DatCol&amp;"$"&amp;TEXT(C1465,"###")):INDIRECT(DatCol&amp;"$"&amp;TEXT(C1465+57,"###"))&gt;0,INDIRECT(DatCol&amp;"$"&amp;TEXT(C1465,"###")):INDIRECT(DatCol&amp;"$"&amp;TEXT(C1465+57,"###"))))</f>
        <v>372.53333333333336</v>
      </c>
      <c r="F1465" s="26" t="str">
        <f t="shared" si="1428"/>
        <v>C</v>
      </c>
      <c r="G1465" s="8"/>
      <c r="H1465" s="8">
        <v>170</v>
      </c>
      <c r="I1465" s="8">
        <v>6</v>
      </c>
      <c r="J1465" s="8">
        <v>439</v>
      </c>
      <c r="K1465" s="9">
        <f t="shared" si="1449"/>
        <v>609</v>
      </c>
      <c r="L1465" s="12">
        <v>440</v>
      </c>
      <c r="M1465" s="11">
        <f t="shared" si="1453"/>
        <v>22000</v>
      </c>
      <c r="N1465" s="12">
        <v>368</v>
      </c>
      <c r="O1465" s="11">
        <f t="shared" si="1454"/>
        <v>18400</v>
      </c>
      <c r="P1465" s="12">
        <v>525</v>
      </c>
      <c r="Q1465" s="11">
        <f t="shared" si="1455"/>
        <v>31500</v>
      </c>
      <c r="X1465" s="12">
        <v>420</v>
      </c>
      <c r="Y1465" s="11">
        <f t="shared" si="1456"/>
        <v>25200</v>
      </c>
      <c r="AG1465" s="11">
        <f t="shared" si="1457"/>
        <v>0</v>
      </c>
      <c r="AI1465" s="11">
        <f t="shared" si="1458"/>
        <v>0</v>
      </c>
      <c r="AJ1465" s="12">
        <v>420</v>
      </c>
      <c r="AK1465" s="13">
        <f t="shared" si="1459"/>
        <v>3780</v>
      </c>
      <c r="AL1465" s="12">
        <v>265</v>
      </c>
      <c r="AM1465" s="13">
        <f t="shared" si="1460"/>
        <v>2385</v>
      </c>
      <c r="AO1465" s="11">
        <f t="shared" si="1461"/>
        <v>0</v>
      </c>
      <c r="AQ1465" s="11">
        <f t="shared" si="1462"/>
        <v>0</v>
      </c>
      <c r="AS1465" s="11">
        <f t="shared" si="1463"/>
        <v>0</v>
      </c>
      <c r="AU1465" s="11">
        <f t="shared" si="1464"/>
        <v>0</v>
      </c>
      <c r="AW1465" s="11">
        <f t="shared" si="1465"/>
        <v>0</v>
      </c>
      <c r="AY1465" s="11">
        <f t="shared" si="1466"/>
        <v>0</v>
      </c>
      <c r="BA1465" s="11">
        <f t="shared" si="1467"/>
        <v>0</v>
      </c>
      <c r="BC1465" s="11">
        <f t="shared" si="1468"/>
        <v>0</v>
      </c>
      <c r="BE1465" s="11">
        <f t="shared" si="1469"/>
        <v>0</v>
      </c>
      <c r="BG1465" s="11">
        <f t="shared" si="1470"/>
        <v>0</v>
      </c>
      <c r="BN1465" s="8">
        <f t="shared" si="1447"/>
        <v>1805</v>
      </c>
      <c r="BO1465" s="8">
        <f t="shared" si="1448"/>
        <v>82480</v>
      </c>
      <c r="BP1465" s="8">
        <f t="shared" si="1450"/>
        <v>1053</v>
      </c>
      <c r="BQ1465" s="12">
        <f t="shared" si="1451"/>
        <v>45985</v>
      </c>
    </row>
    <row r="1466" spans="1:69">
      <c r="A1466" s="28">
        <v>1969</v>
      </c>
      <c r="B1466" s="27" t="s">
        <v>72</v>
      </c>
      <c r="C1466" s="24">
        <f t="shared" si="1471"/>
        <v>1452</v>
      </c>
      <c r="D1466" s="7" t="e">
        <f t="shared" ca="1" si="1427"/>
        <v>#N/A</v>
      </c>
      <c r="E1466" s="26">
        <f t="array" aca="1" ref="E1466" ca="1">AVERAGE(IF(INDIRECT(DatCol&amp;"$"&amp;TEXT(C1466,"###")):INDIRECT(DatCol&amp;"$"&amp;TEXT(C1466+57,"###"))&gt;0,INDIRECT(DatCol&amp;"$"&amp;TEXT(C1466,"###")):INDIRECT(DatCol&amp;"$"&amp;TEXT(C1466+57,"###"))))</f>
        <v>372.53333333333336</v>
      </c>
      <c r="F1466" s="26" t="str">
        <f t="shared" si="1428"/>
        <v>C</v>
      </c>
      <c r="G1466" s="8"/>
      <c r="H1466" s="8">
        <v>103</v>
      </c>
      <c r="I1466" s="8">
        <v>24</v>
      </c>
      <c r="J1466" s="8">
        <v>466</v>
      </c>
      <c r="K1466" s="9">
        <f t="shared" si="1449"/>
        <v>569</v>
      </c>
      <c r="L1466" s="12">
        <v>640</v>
      </c>
      <c r="M1466" s="11">
        <f t="shared" ref="M1466:M1481" si="1472">(L1466*50)</f>
        <v>32000</v>
      </c>
      <c r="N1466" s="12">
        <v>403</v>
      </c>
      <c r="O1466" s="11">
        <f t="shared" ref="O1466:O1481" si="1473">(N1466*50)</f>
        <v>20150</v>
      </c>
      <c r="P1466" s="12">
        <v>854</v>
      </c>
      <c r="Q1466" s="11">
        <f t="shared" ref="Q1466:Q1481" si="1474">((P1466*330)/5.5)</f>
        <v>51240</v>
      </c>
      <c r="X1466" s="12">
        <v>644</v>
      </c>
      <c r="Y1466" s="11">
        <f t="shared" ref="Y1466:Y1481" si="1475">((X1466*330)/5.5)</f>
        <v>38640</v>
      </c>
      <c r="AG1466" s="11">
        <f t="shared" ref="AG1466:AG1481" si="1476">(AF1466*65)</f>
        <v>0</v>
      </c>
      <c r="AI1466" s="11">
        <f t="shared" ref="AI1466:AI1481" si="1477">(AH1466*65)</f>
        <v>0</v>
      </c>
      <c r="AJ1466" s="12">
        <v>3240</v>
      </c>
      <c r="AK1466" s="13">
        <f t="shared" ref="AK1466:AK1481" si="1478">(AJ1466*9)</f>
        <v>29160</v>
      </c>
      <c r="AL1466" s="12">
        <v>1158</v>
      </c>
      <c r="AM1466" s="13">
        <f t="shared" ref="AM1466:AM1481" si="1479">(AL1466*9)</f>
        <v>10422</v>
      </c>
      <c r="AO1466" s="11">
        <f t="shared" ref="AO1466:AO1481" si="1480">(AN1466*80)</f>
        <v>0</v>
      </c>
      <c r="AQ1466" s="11">
        <f t="shared" ref="AQ1466:AQ1481" si="1481">(AP1466*80)</f>
        <v>0</v>
      </c>
      <c r="AS1466" s="11">
        <f t="shared" ref="AS1466:AS1481" si="1482">(AR1466*50)</f>
        <v>0</v>
      </c>
      <c r="AU1466" s="11">
        <f t="shared" ref="AU1466:AU1481" si="1483">(AT1466*50)</f>
        <v>0</v>
      </c>
      <c r="AW1466" s="11">
        <f t="shared" ref="AW1466:AW1481" si="1484">(AV1466*60)</f>
        <v>0</v>
      </c>
      <c r="AY1466" s="11">
        <f t="shared" ref="AY1466:AY1481" si="1485">(AX1466*60)</f>
        <v>0</v>
      </c>
      <c r="BA1466" s="11">
        <f t="shared" ref="BA1466:BA1481" si="1486">(AZ1466*40)</f>
        <v>0</v>
      </c>
      <c r="BC1466" s="11">
        <f t="shared" ref="BC1466:BC1481" si="1487">(BB1466*40)</f>
        <v>0</v>
      </c>
      <c r="BE1466" s="11">
        <f t="shared" ref="BE1466:BE1481" si="1488">(BD1466*95)</f>
        <v>0</v>
      </c>
      <c r="BG1466" s="11">
        <f t="shared" ref="BG1466:BG1481" si="1489">(BF1466*95)</f>
        <v>0</v>
      </c>
      <c r="BN1466" s="8">
        <f t="shared" si="1447"/>
        <v>5378</v>
      </c>
      <c r="BO1466" s="8">
        <f t="shared" si="1448"/>
        <v>151040</v>
      </c>
      <c r="BP1466" s="8">
        <f t="shared" si="1450"/>
        <v>2205</v>
      </c>
      <c r="BQ1466" s="12">
        <f t="shared" si="1451"/>
        <v>69212</v>
      </c>
    </row>
    <row r="1467" spans="1:69">
      <c r="A1467" s="28">
        <v>1970</v>
      </c>
      <c r="B1467" s="27" t="s">
        <v>72</v>
      </c>
      <c r="C1467" s="24">
        <f t="shared" si="1471"/>
        <v>1452</v>
      </c>
      <c r="D1467" s="7" t="e">
        <f t="shared" ca="1" si="1427"/>
        <v>#N/A</v>
      </c>
      <c r="E1467" s="26">
        <f t="array" aca="1" ref="E1467" ca="1">AVERAGE(IF(INDIRECT(DatCol&amp;"$"&amp;TEXT(C1467,"###")):INDIRECT(DatCol&amp;"$"&amp;TEXT(C1467+57,"###"))&gt;0,INDIRECT(DatCol&amp;"$"&amp;TEXT(C1467,"###")):INDIRECT(DatCol&amp;"$"&amp;TEXT(C1467+57,"###"))))</f>
        <v>372.53333333333336</v>
      </c>
      <c r="F1467" s="26" t="str">
        <f t="shared" si="1428"/>
        <v>C</v>
      </c>
      <c r="G1467" s="8"/>
      <c r="H1467" s="8">
        <v>115</v>
      </c>
      <c r="I1467" s="8">
        <v>28</v>
      </c>
      <c r="J1467" s="8">
        <v>472</v>
      </c>
      <c r="K1467" s="9">
        <f t="shared" si="1449"/>
        <v>587</v>
      </c>
      <c r="L1467" s="12">
        <v>710</v>
      </c>
      <c r="M1467" s="11">
        <f t="shared" si="1472"/>
        <v>35500</v>
      </c>
      <c r="N1467" s="12">
        <v>527</v>
      </c>
      <c r="O1467" s="11">
        <f t="shared" si="1473"/>
        <v>26350</v>
      </c>
      <c r="P1467" s="12">
        <v>940</v>
      </c>
      <c r="Q1467" s="11">
        <f t="shared" si="1474"/>
        <v>56400</v>
      </c>
      <c r="X1467" s="12">
        <v>695</v>
      </c>
      <c r="Y1467" s="11">
        <f t="shared" si="1475"/>
        <v>41700</v>
      </c>
      <c r="AF1467" s="12">
        <v>0</v>
      </c>
      <c r="AG1467" s="11">
        <f t="shared" si="1476"/>
        <v>0</v>
      </c>
      <c r="AH1467" s="12">
        <v>230</v>
      </c>
      <c r="AI1467" s="11">
        <f t="shared" si="1477"/>
        <v>14950</v>
      </c>
      <c r="AJ1467" s="12">
        <v>5140</v>
      </c>
      <c r="AK1467" s="13">
        <f t="shared" si="1478"/>
        <v>46260</v>
      </c>
      <c r="AL1467" s="12">
        <v>1292</v>
      </c>
      <c r="AM1467" s="13">
        <f t="shared" si="1479"/>
        <v>11628</v>
      </c>
      <c r="AO1467" s="11">
        <f t="shared" si="1480"/>
        <v>0</v>
      </c>
      <c r="AQ1467" s="11">
        <f t="shared" si="1481"/>
        <v>0</v>
      </c>
      <c r="AS1467" s="11">
        <f t="shared" si="1482"/>
        <v>0</v>
      </c>
      <c r="AU1467" s="11">
        <f t="shared" si="1483"/>
        <v>0</v>
      </c>
      <c r="AW1467" s="11">
        <f t="shared" si="1484"/>
        <v>0</v>
      </c>
      <c r="AY1467" s="11">
        <f t="shared" si="1485"/>
        <v>0</v>
      </c>
      <c r="BA1467" s="11">
        <f t="shared" si="1486"/>
        <v>0</v>
      </c>
      <c r="BC1467" s="11">
        <f t="shared" si="1487"/>
        <v>0</v>
      </c>
      <c r="BE1467" s="11">
        <f t="shared" si="1488"/>
        <v>0</v>
      </c>
      <c r="BG1467" s="11">
        <f t="shared" si="1489"/>
        <v>0</v>
      </c>
      <c r="BN1467" s="8">
        <f t="shared" si="1447"/>
        <v>7485</v>
      </c>
      <c r="BO1467" s="8">
        <f t="shared" si="1448"/>
        <v>179860</v>
      </c>
      <c r="BP1467" s="8">
        <f t="shared" si="1450"/>
        <v>2744</v>
      </c>
      <c r="BQ1467" s="12">
        <f t="shared" si="1451"/>
        <v>94628</v>
      </c>
    </row>
    <row r="1468" spans="1:69">
      <c r="A1468" s="28">
        <v>1971</v>
      </c>
      <c r="B1468" s="27" t="s">
        <v>72</v>
      </c>
      <c r="C1468" s="24">
        <f t="shared" si="1471"/>
        <v>1452</v>
      </c>
      <c r="D1468" s="7" t="e">
        <f t="shared" ca="1" si="1427"/>
        <v>#N/A</v>
      </c>
      <c r="E1468" s="26">
        <f t="array" aca="1" ref="E1468" ca="1">AVERAGE(IF(INDIRECT(DatCol&amp;"$"&amp;TEXT(C1468,"###")):INDIRECT(DatCol&amp;"$"&amp;TEXT(C1468+57,"###"))&gt;0,INDIRECT(DatCol&amp;"$"&amp;TEXT(C1468,"###")):INDIRECT(DatCol&amp;"$"&amp;TEXT(C1468+57,"###"))))</f>
        <v>372.53333333333336</v>
      </c>
      <c r="F1468" s="26" t="str">
        <f t="shared" si="1428"/>
        <v>C</v>
      </c>
      <c r="G1468" s="8"/>
      <c r="H1468" s="8">
        <v>127</v>
      </c>
      <c r="I1468" s="8">
        <v>14</v>
      </c>
      <c r="J1468" s="8">
        <v>503</v>
      </c>
      <c r="K1468" s="9">
        <f t="shared" si="1449"/>
        <v>630</v>
      </c>
      <c r="M1468" s="11">
        <f t="shared" si="1472"/>
        <v>0</v>
      </c>
      <c r="N1468" s="12">
        <v>1200</v>
      </c>
      <c r="O1468" s="11">
        <f t="shared" si="1473"/>
        <v>60000</v>
      </c>
      <c r="P1468" s="12">
        <v>1500</v>
      </c>
      <c r="Q1468" s="11">
        <f t="shared" si="1474"/>
        <v>90000</v>
      </c>
      <c r="X1468" s="12">
        <v>747</v>
      </c>
      <c r="Y1468" s="11">
        <f t="shared" si="1475"/>
        <v>44820</v>
      </c>
      <c r="AF1468" s="12">
        <v>0</v>
      </c>
      <c r="AG1468" s="11">
        <f t="shared" si="1476"/>
        <v>0</v>
      </c>
      <c r="AH1468" s="12">
        <v>300</v>
      </c>
      <c r="AI1468" s="11">
        <f t="shared" si="1477"/>
        <v>19500</v>
      </c>
      <c r="AK1468" s="13">
        <f t="shared" si="1478"/>
        <v>0</v>
      </c>
      <c r="AM1468" s="13">
        <f t="shared" si="1479"/>
        <v>0</v>
      </c>
      <c r="AO1468" s="11">
        <f t="shared" si="1480"/>
        <v>0</v>
      </c>
      <c r="AQ1468" s="11">
        <f t="shared" si="1481"/>
        <v>0</v>
      </c>
      <c r="AS1468" s="11">
        <f t="shared" si="1482"/>
        <v>0</v>
      </c>
      <c r="AU1468" s="11">
        <f t="shared" si="1483"/>
        <v>0</v>
      </c>
      <c r="AW1468" s="11">
        <f t="shared" si="1484"/>
        <v>0</v>
      </c>
      <c r="AY1468" s="11">
        <f t="shared" si="1485"/>
        <v>0</v>
      </c>
      <c r="BA1468" s="11">
        <f t="shared" si="1486"/>
        <v>0</v>
      </c>
      <c r="BC1468" s="11">
        <f t="shared" si="1487"/>
        <v>0</v>
      </c>
      <c r="BE1468" s="11">
        <f t="shared" si="1488"/>
        <v>0</v>
      </c>
      <c r="BG1468" s="11">
        <f t="shared" si="1489"/>
        <v>0</v>
      </c>
      <c r="BN1468" s="8">
        <f t="shared" si="1447"/>
        <v>2247</v>
      </c>
      <c r="BO1468" s="8">
        <f t="shared" si="1448"/>
        <v>134820</v>
      </c>
      <c r="BP1468" s="8">
        <f t="shared" si="1450"/>
        <v>2247</v>
      </c>
      <c r="BQ1468" s="12">
        <f t="shared" si="1451"/>
        <v>124320</v>
      </c>
    </row>
    <row r="1469" spans="1:69">
      <c r="A1469" s="28">
        <v>1972</v>
      </c>
      <c r="B1469" s="27" t="s">
        <v>72</v>
      </c>
      <c r="C1469" s="24">
        <f t="shared" si="1471"/>
        <v>1452</v>
      </c>
      <c r="D1469" s="7" t="e">
        <f t="shared" ca="1" si="1427"/>
        <v>#N/A</v>
      </c>
      <c r="E1469" s="26">
        <f t="array" aca="1" ref="E1469" ca="1">AVERAGE(IF(INDIRECT(DatCol&amp;"$"&amp;TEXT(C1469,"###")):INDIRECT(DatCol&amp;"$"&amp;TEXT(C1469+57,"###"))&gt;0,INDIRECT(DatCol&amp;"$"&amp;TEXT(C1469,"###")):INDIRECT(DatCol&amp;"$"&amp;TEXT(C1469+57,"###"))))</f>
        <v>372.53333333333336</v>
      </c>
      <c r="F1469" s="26" t="str">
        <f t="shared" si="1428"/>
        <v>C</v>
      </c>
      <c r="G1469" s="8"/>
      <c r="H1469" s="8">
        <v>59</v>
      </c>
      <c r="I1469" s="8">
        <v>3</v>
      </c>
      <c r="J1469" s="8">
        <v>470</v>
      </c>
      <c r="K1469" s="9">
        <f t="shared" si="1449"/>
        <v>529</v>
      </c>
      <c r="L1469" s="12">
        <v>220</v>
      </c>
      <c r="M1469" s="11">
        <f t="shared" si="1472"/>
        <v>11000</v>
      </c>
      <c r="N1469" s="12">
        <v>410</v>
      </c>
      <c r="O1469" s="11">
        <f t="shared" si="1473"/>
        <v>20500</v>
      </c>
      <c r="P1469" s="12">
        <v>460</v>
      </c>
      <c r="Q1469" s="11">
        <f t="shared" si="1474"/>
        <v>27600</v>
      </c>
      <c r="X1469" s="12">
        <v>752</v>
      </c>
      <c r="Y1469" s="11">
        <f t="shared" si="1475"/>
        <v>45120</v>
      </c>
      <c r="AG1469" s="11">
        <f t="shared" si="1476"/>
        <v>0</v>
      </c>
      <c r="AH1469" s="12">
        <v>325</v>
      </c>
      <c r="AI1469" s="11">
        <f t="shared" si="1477"/>
        <v>21125</v>
      </c>
      <c r="AK1469" s="13">
        <f t="shared" si="1478"/>
        <v>0</v>
      </c>
      <c r="AL1469" s="12">
        <v>25</v>
      </c>
      <c r="AM1469" s="13">
        <f t="shared" si="1479"/>
        <v>225</v>
      </c>
      <c r="AO1469" s="11">
        <f t="shared" si="1480"/>
        <v>0</v>
      </c>
      <c r="AQ1469" s="11">
        <f t="shared" si="1481"/>
        <v>0</v>
      </c>
      <c r="AS1469" s="11">
        <f t="shared" si="1482"/>
        <v>0</v>
      </c>
      <c r="AU1469" s="11">
        <f t="shared" si="1483"/>
        <v>0</v>
      </c>
      <c r="AW1469" s="11">
        <f t="shared" si="1484"/>
        <v>0</v>
      </c>
      <c r="AY1469" s="11">
        <f t="shared" si="1485"/>
        <v>0</v>
      </c>
      <c r="BA1469" s="11">
        <f t="shared" si="1486"/>
        <v>0</v>
      </c>
      <c r="BC1469" s="11">
        <f t="shared" si="1487"/>
        <v>0</v>
      </c>
      <c r="BE1469" s="11">
        <f t="shared" si="1488"/>
        <v>0</v>
      </c>
      <c r="BG1469" s="11">
        <f t="shared" si="1489"/>
        <v>0</v>
      </c>
      <c r="BN1469" s="8">
        <f t="shared" si="1447"/>
        <v>1432</v>
      </c>
      <c r="BO1469" s="8">
        <f t="shared" si="1448"/>
        <v>83720</v>
      </c>
      <c r="BP1469" s="8">
        <f t="shared" si="1450"/>
        <v>1512</v>
      </c>
      <c r="BQ1469" s="12">
        <f t="shared" si="1451"/>
        <v>86970</v>
      </c>
    </row>
    <row r="1470" spans="1:69">
      <c r="A1470" s="28">
        <v>1973</v>
      </c>
      <c r="B1470" s="27" t="s">
        <v>72</v>
      </c>
      <c r="C1470" s="24">
        <f t="shared" si="1471"/>
        <v>1452</v>
      </c>
      <c r="D1470" s="7" t="e">
        <f t="shared" ca="1" si="1427"/>
        <v>#N/A</v>
      </c>
      <c r="E1470" s="26">
        <f t="array" aca="1" ref="E1470" ca="1">AVERAGE(IF(INDIRECT(DatCol&amp;"$"&amp;TEXT(C1470,"###")):INDIRECT(DatCol&amp;"$"&amp;TEXT(C1470+57,"###"))&gt;0,INDIRECT(DatCol&amp;"$"&amp;TEXT(C1470,"###")):INDIRECT(DatCol&amp;"$"&amp;TEXT(C1470+57,"###"))))</f>
        <v>372.53333333333336</v>
      </c>
      <c r="F1470" s="26" t="str">
        <f t="shared" si="1428"/>
        <v>C</v>
      </c>
      <c r="G1470" s="8"/>
      <c r="H1470" s="8">
        <v>51</v>
      </c>
      <c r="I1470" s="8">
        <v>8</v>
      </c>
      <c r="J1470" s="8">
        <v>478</v>
      </c>
      <c r="K1470" s="9">
        <f t="shared" si="1449"/>
        <v>529</v>
      </c>
      <c r="L1470" s="12">
        <v>610</v>
      </c>
      <c r="M1470" s="11">
        <f t="shared" si="1472"/>
        <v>30500</v>
      </c>
      <c r="N1470" s="12">
        <v>515</v>
      </c>
      <c r="O1470" s="11">
        <f t="shared" si="1473"/>
        <v>25750</v>
      </c>
      <c r="P1470" s="12">
        <v>954</v>
      </c>
      <c r="Q1470" s="11">
        <f t="shared" si="1474"/>
        <v>57240</v>
      </c>
      <c r="X1470" s="12">
        <v>705</v>
      </c>
      <c r="Y1470" s="11">
        <f t="shared" si="1475"/>
        <v>42300</v>
      </c>
      <c r="AG1470" s="11">
        <f t="shared" si="1476"/>
        <v>0</v>
      </c>
      <c r="AH1470" s="12">
        <v>310</v>
      </c>
      <c r="AI1470" s="11">
        <f t="shared" si="1477"/>
        <v>20150</v>
      </c>
      <c r="AK1470" s="13">
        <f t="shared" si="1478"/>
        <v>0</v>
      </c>
      <c r="AL1470" s="12">
        <v>80</v>
      </c>
      <c r="AM1470" s="13">
        <f t="shared" si="1479"/>
        <v>720</v>
      </c>
      <c r="AO1470" s="11">
        <f t="shared" si="1480"/>
        <v>0</v>
      </c>
      <c r="AQ1470" s="11">
        <f t="shared" si="1481"/>
        <v>0</v>
      </c>
      <c r="AS1470" s="11">
        <f t="shared" si="1482"/>
        <v>0</v>
      </c>
      <c r="AU1470" s="11">
        <f t="shared" si="1483"/>
        <v>0</v>
      </c>
      <c r="AW1470" s="11">
        <f t="shared" si="1484"/>
        <v>0</v>
      </c>
      <c r="AY1470" s="11">
        <f t="shared" si="1485"/>
        <v>0</v>
      </c>
      <c r="BA1470" s="11">
        <f t="shared" si="1486"/>
        <v>0</v>
      </c>
      <c r="BC1470" s="11">
        <f t="shared" si="1487"/>
        <v>0</v>
      </c>
      <c r="BE1470" s="11">
        <f t="shared" si="1488"/>
        <v>0</v>
      </c>
      <c r="BG1470" s="11">
        <f t="shared" si="1489"/>
        <v>0</v>
      </c>
      <c r="BN1470" s="8">
        <f t="shared" si="1447"/>
        <v>2269</v>
      </c>
      <c r="BO1470" s="8">
        <f t="shared" si="1448"/>
        <v>130040</v>
      </c>
      <c r="BP1470" s="8">
        <f t="shared" si="1450"/>
        <v>1610</v>
      </c>
      <c r="BQ1470" s="12">
        <f t="shared" si="1451"/>
        <v>88920</v>
      </c>
    </row>
    <row r="1471" spans="1:69">
      <c r="A1471" s="28">
        <v>1974</v>
      </c>
      <c r="B1471" s="27" t="s">
        <v>72</v>
      </c>
      <c r="C1471" s="24">
        <f t="shared" si="1471"/>
        <v>1452</v>
      </c>
      <c r="D1471" s="7" t="e">
        <f t="shared" ca="1" si="1427"/>
        <v>#N/A</v>
      </c>
      <c r="E1471" s="26">
        <f t="array" aca="1" ref="E1471" ca="1">AVERAGE(IF(INDIRECT(DatCol&amp;"$"&amp;TEXT(C1471,"###")):INDIRECT(DatCol&amp;"$"&amp;TEXT(C1471+57,"###"))&gt;0,INDIRECT(DatCol&amp;"$"&amp;TEXT(C1471,"###")):INDIRECT(DatCol&amp;"$"&amp;TEXT(C1471+57,"###"))))</f>
        <v>372.53333333333336</v>
      </c>
      <c r="F1471" s="26" t="str">
        <f t="shared" si="1428"/>
        <v>C</v>
      </c>
      <c r="G1471" s="8"/>
      <c r="K1471" s="9">
        <f t="shared" si="1449"/>
        <v>0</v>
      </c>
      <c r="M1471" s="11">
        <f t="shared" si="1472"/>
        <v>0</v>
      </c>
      <c r="O1471" s="11">
        <f t="shared" si="1473"/>
        <v>0</v>
      </c>
      <c r="Q1471" s="11">
        <f t="shared" si="1474"/>
        <v>0</v>
      </c>
      <c r="Y1471" s="11">
        <f t="shared" si="1475"/>
        <v>0</v>
      </c>
      <c r="AG1471" s="11">
        <f t="shared" si="1476"/>
        <v>0</v>
      </c>
      <c r="AI1471" s="11">
        <f t="shared" si="1477"/>
        <v>0</v>
      </c>
      <c r="AK1471" s="13">
        <f t="shared" si="1478"/>
        <v>0</v>
      </c>
      <c r="AM1471" s="13">
        <f t="shared" si="1479"/>
        <v>0</v>
      </c>
      <c r="AO1471" s="11">
        <f t="shared" si="1480"/>
        <v>0</v>
      </c>
      <c r="AQ1471" s="11">
        <f t="shared" si="1481"/>
        <v>0</v>
      </c>
      <c r="AS1471" s="11">
        <f t="shared" si="1482"/>
        <v>0</v>
      </c>
      <c r="AU1471" s="11">
        <f t="shared" si="1483"/>
        <v>0</v>
      </c>
      <c r="AW1471" s="11">
        <f t="shared" si="1484"/>
        <v>0</v>
      </c>
      <c r="AY1471" s="11">
        <f t="shared" si="1485"/>
        <v>0</v>
      </c>
      <c r="BA1471" s="11">
        <f t="shared" si="1486"/>
        <v>0</v>
      </c>
      <c r="BC1471" s="11">
        <f t="shared" si="1487"/>
        <v>0</v>
      </c>
      <c r="BE1471" s="11">
        <f t="shared" si="1488"/>
        <v>0</v>
      </c>
      <c r="BG1471" s="11">
        <f t="shared" si="1489"/>
        <v>0</v>
      </c>
      <c r="BN1471" s="8">
        <f t="shared" si="1447"/>
        <v>0</v>
      </c>
      <c r="BO1471" s="8">
        <f t="shared" si="1448"/>
        <v>0</v>
      </c>
      <c r="BP1471" s="8">
        <f t="shared" si="1450"/>
        <v>0</v>
      </c>
      <c r="BQ1471" s="12">
        <f t="shared" si="1451"/>
        <v>0</v>
      </c>
    </row>
    <row r="1472" spans="1:69">
      <c r="A1472" s="28">
        <v>1975</v>
      </c>
      <c r="B1472" s="27" t="s">
        <v>72</v>
      </c>
      <c r="C1472" s="24">
        <f t="shared" si="1471"/>
        <v>1452</v>
      </c>
      <c r="D1472" s="7" t="e">
        <f t="shared" ca="1" si="1427"/>
        <v>#N/A</v>
      </c>
      <c r="E1472" s="26">
        <f t="array" aca="1" ref="E1472" ca="1">AVERAGE(IF(INDIRECT(DatCol&amp;"$"&amp;TEXT(C1472,"###")):INDIRECT(DatCol&amp;"$"&amp;TEXT(C1472+57,"###"))&gt;0,INDIRECT(DatCol&amp;"$"&amp;TEXT(C1472,"###")):INDIRECT(DatCol&amp;"$"&amp;TEXT(C1472+57,"###"))))</f>
        <v>372.53333333333336</v>
      </c>
      <c r="F1472" s="26" t="str">
        <f t="shared" si="1428"/>
        <v>C</v>
      </c>
      <c r="G1472" s="8"/>
      <c r="H1472" s="8">
        <v>92</v>
      </c>
      <c r="I1472" s="8">
        <v>16</v>
      </c>
      <c r="J1472" s="8">
        <v>434</v>
      </c>
      <c r="K1472" s="9">
        <f t="shared" si="1449"/>
        <v>526</v>
      </c>
      <c r="M1472" s="11">
        <f t="shared" si="1472"/>
        <v>0</v>
      </c>
      <c r="N1472" s="12">
        <v>125</v>
      </c>
      <c r="O1472" s="11">
        <f t="shared" si="1473"/>
        <v>6250</v>
      </c>
      <c r="P1472" s="12">
        <v>502</v>
      </c>
      <c r="Q1472" s="11">
        <f t="shared" si="1474"/>
        <v>30120</v>
      </c>
      <c r="X1472" s="12">
        <v>789</v>
      </c>
      <c r="Y1472" s="11">
        <f t="shared" si="1475"/>
        <v>47340</v>
      </c>
      <c r="AG1472" s="11">
        <f t="shared" si="1476"/>
        <v>0</v>
      </c>
      <c r="AH1472" s="12">
        <v>95</v>
      </c>
      <c r="AI1472" s="11">
        <f t="shared" si="1477"/>
        <v>6175</v>
      </c>
      <c r="AJ1472" s="12">
        <v>435</v>
      </c>
      <c r="AK1472" s="13">
        <f t="shared" si="1478"/>
        <v>3915</v>
      </c>
      <c r="AL1472" s="12">
        <v>110</v>
      </c>
      <c r="AM1472" s="13">
        <f t="shared" si="1479"/>
        <v>990</v>
      </c>
      <c r="AO1472" s="11">
        <f t="shared" si="1480"/>
        <v>0</v>
      </c>
      <c r="AQ1472" s="11">
        <f t="shared" si="1481"/>
        <v>0</v>
      </c>
      <c r="AS1472" s="11">
        <f t="shared" si="1482"/>
        <v>0</v>
      </c>
      <c r="AU1472" s="11">
        <f t="shared" si="1483"/>
        <v>0</v>
      </c>
      <c r="AW1472" s="11">
        <f t="shared" si="1484"/>
        <v>0</v>
      </c>
      <c r="AY1472" s="11">
        <f t="shared" si="1485"/>
        <v>0</v>
      </c>
      <c r="BA1472" s="11">
        <f t="shared" si="1486"/>
        <v>0</v>
      </c>
      <c r="BC1472" s="11">
        <f t="shared" si="1487"/>
        <v>0</v>
      </c>
      <c r="BE1472" s="11">
        <f t="shared" si="1488"/>
        <v>0</v>
      </c>
      <c r="BG1472" s="11">
        <f t="shared" si="1489"/>
        <v>0</v>
      </c>
      <c r="BN1472" s="8">
        <f t="shared" si="1447"/>
        <v>1726</v>
      </c>
      <c r="BO1472" s="8">
        <f t="shared" si="1448"/>
        <v>81375</v>
      </c>
      <c r="BP1472" s="8">
        <f t="shared" si="1450"/>
        <v>1119</v>
      </c>
      <c r="BQ1472" s="12">
        <f t="shared" si="1451"/>
        <v>60755</v>
      </c>
    </row>
    <row r="1473" spans="1:69">
      <c r="A1473" s="28">
        <v>1976</v>
      </c>
      <c r="B1473" s="27" t="s">
        <v>72</v>
      </c>
      <c r="C1473" s="24">
        <f t="shared" si="1471"/>
        <v>1452</v>
      </c>
      <c r="D1473" s="7" t="e">
        <f t="shared" ca="1" si="1427"/>
        <v>#N/A</v>
      </c>
      <c r="E1473" s="26">
        <f t="array" aca="1" ref="E1473" ca="1">AVERAGE(IF(INDIRECT(DatCol&amp;"$"&amp;TEXT(C1473,"###")):INDIRECT(DatCol&amp;"$"&amp;TEXT(C1473+57,"###"))&gt;0,INDIRECT(DatCol&amp;"$"&amp;TEXT(C1473,"###")):INDIRECT(DatCol&amp;"$"&amp;TEXT(C1473+57,"###"))))</f>
        <v>372.53333333333336</v>
      </c>
      <c r="F1473" s="26" t="str">
        <f t="shared" si="1428"/>
        <v>C</v>
      </c>
      <c r="G1473" s="8"/>
      <c r="H1473" s="8">
        <v>93</v>
      </c>
      <c r="I1473" s="8">
        <v>14</v>
      </c>
      <c r="J1473" s="8">
        <v>527</v>
      </c>
      <c r="K1473" s="9">
        <f t="shared" si="1449"/>
        <v>620</v>
      </c>
      <c r="M1473" s="11">
        <f t="shared" si="1472"/>
        <v>0</v>
      </c>
      <c r="N1473" s="12">
        <v>116</v>
      </c>
      <c r="O1473" s="11">
        <f t="shared" si="1473"/>
        <v>5800</v>
      </c>
      <c r="P1473" s="12">
        <v>170</v>
      </c>
      <c r="Q1473" s="11">
        <f t="shared" si="1474"/>
        <v>10200</v>
      </c>
      <c r="X1473" s="12">
        <v>474</v>
      </c>
      <c r="Y1473" s="11">
        <f t="shared" si="1475"/>
        <v>28440</v>
      </c>
      <c r="AG1473" s="11">
        <f t="shared" si="1476"/>
        <v>0</v>
      </c>
      <c r="AH1473" s="12">
        <v>110</v>
      </c>
      <c r="AI1473" s="11">
        <f t="shared" si="1477"/>
        <v>7150</v>
      </c>
      <c r="AJ1473" s="12">
        <v>255</v>
      </c>
      <c r="AK1473" s="13">
        <f t="shared" si="1478"/>
        <v>2295</v>
      </c>
      <c r="AL1473" s="12">
        <v>184</v>
      </c>
      <c r="AM1473" s="13">
        <f t="shared" si="1479"/>
        <v>1656</v>
      </c>
      <c r="AO1473" s="11">
        <f t="shared" si="1480"/>
        <v>0</v>
      </c>
      <c r="AQ1473" s="11">
        <f t="shared" si="1481"/>
        <v>0</v>
      </c>
      <c r="AS1473" s="11">
        <f t="shared" si="1482"/>
        <v>0</v>
      </c>
      <c r="AT1473" s="12">
        <v>35</v>
      </c>
      <c r="AU1473" s="11">
        <f t="shared" si="1483"/>
        <v>1750</v>
      </c>
      <c r="AW1473" s="11">
        <f t="shared" si="1484"/>
        <v>0</v>
      </c>
      <c r="AY1473" s="11">
        <f t="shared" si="1485"/>
        <v>0</v>
      </c>
      <c r="BA1473" s="11">
        <f t="shared" si="1486"/>
        <v>0</v>
      </c>
      <c r="BC1473" s="11">
        <f t="shared" si="1487"/>
        <v>0</v>
      </c>
      <c r="BE1473" s="11">
        <f t="shared" si="1488"/>
        <v>0</v>
      </c>
      <c r="BG1473" s="11">
        <f t="shared" si="1489"/>
        <v>0</v>
      </c>
      <c r="BN1473" s="8">
        <f t="shared" si="1447"/>
        <v>899</v>
      </c>
      <c r="BO1473" s="8">
        <f t="shared" si="1448"/>
        <v>40935</v>
      </c>
      <c r="BP1473" s="8">
        <f t="shared" si="1450"/>
        <v>919</v>
      </c>
      <c r="BQ1473" s="12">
        <f t="shared" si="1451"/>
        <v>44796</v>
      </c>
    </row>
    <row r="1474" spans="1:69">
      <c r="A1474" s="28">
        <v>1977</v>
      </c>
      <c r="B1474" s="27" t="s">
        <v>72</v>
      </c>
      <c r="C1474" s="24">
        <f t="shared" si="1471"/>
        <v>1452</v>
      </c>
      <c r="D1474" s="7" t="e">
        <f t="shared" ref="D1474:D1537" ca="1" si="1490">IF(AND((INDIRECT(DatCol&amp;TEXT(ROW(),"###"))&gt;0),((F1474=RegionSelect)+(RegionSelect="A"))),INDIRECT(DatCol&amp;TEXT(ROW(),"###"))/E1474,NA())</f>
        <v>#N/A</v>
      </c>
      <c r="E1474" s="26">
        <f t="array" aca="1" ref="E1474" ca="1">AVERAGE(IF(INDIRECT(DatCol&amp;"$"&amp;TEXT(C1474,"###")):INDIRECT(DatCol&amp;"$"&amp;TEXT(C1474+57,"###"))&gt;0,INDIRECT(DatCol&amp;"$"&amp;TEXT(C1474,"###")):INDIRECT(DatCol&amp;"$"&amp;TEXT(C1474+57,"###"))))</f>
        <v>372.53333333333336</v>
      </c>
      <c r="F1474" s="26" t="str">
        <f t="shared" si="1428"/>
        <v>C</v>
      </c>
      <c r="G1474" s="8"/>
      <c r="H1474" s="8">
        <v>80</v>
      </c>
      <c r="I1474" s="8">
        <v>15</v>
      </c>
      <c r="J1474" s="8">
        <v>577</v>
      </c>
      <c r="K1474" s="9">
        <f t="shared" si="1449"/>
        <v>657</v>
      </c>
      <c r="M1474" s="11">
        <f t="shared" si="1472"/>
        <v>0</v>
      </c>
      <c r="N1474" s="12">
        <v>157</v>
      </c>
      <c r="O1474" s="11">
        <f t="shared" si="1473"/>
        <v>7850</v>
      </c>
      <c r="P1474" s="12">
        <v>75</v>
      </c>
      <c r="Q1474" s="11">
        <f t="shared" si="1474"/>
        <v>4500</v>
      </c>
      <c r="X1474" s="12">
        <v>430</v>
      </c>
      <c r="Y1474" s="11">
        <f t="shared" si="1475"/>
        <v>25800</v>
      </c>
      <c r="AG1474" s="11">
        <f t="shared" si="1476"/>
        <v>0</v>
      </c>
      <c r="AH1474" s="12">
        <v>105</v>
      </c>
      <c r="AI1474" s="11">
        <f t="shared" si="1477"/>
        <v>6825</v>
      </c>
      <c r="AK1474" s="13">
        <f t="shared" si="1478"/>
        <v>0</v>
      </c>
      <c r="AL1474" s="12">
        <v>120</v>
      </c>
      <c r="AM1474" s="13">
        <f t="shared" si="1479"/>
        <v>1080</v>
      </c>
      <c r="AO1474" s="11">
        <f t="shared" si="1480"/>
        <v>0</v>
      </c>
      <c r="AQ1474" s="11">
        <f t="shared" si="1481"/>
        <v>0</v>
      </c>
      <c r="AS1474" s="11">
        <f t="shared" si="1482"/>
        <v>0</v>
      </c>
      <c r="AT1474" s="12">
        <v>30</v>
      </c>
      <c r="AU1474" s="11">
        <f t="shared" si="1483"/>
        <v>1500</v>
      </c>
      <c r="AW1474" s="11">
        <f t="shared" si="1484"/>
        <v>0</v>
      </c>
      <c r="AY1474" s="11">
        <f t="shared" si="1485"/>
        <v>0</v>
      </c>
      <c r="BA1474" s="11">
        <f t="shared" si="1486"/>
        <v>0</v>
      </c>
      <c r="BC1474" s="11">
        <f t="shared" si="1487"/>
        <v>0</v>
      </c>
      <c r="BE1474" s="11">
        <f t="shared" si="1488"/>
        <v>0</v>
      </c>
      <c r="BG1474" s="11">
        <f t="shared" si="1489"/>
        <v>0</v>
      </c>
      <c r="BN1474" s="8">
        <f t="shared" si="1447"/>
        <v>505</v>
      </c>
      <c r="BO1474" s="8">
        <f t="shared" si="1448"/>
        <v>30300</v>
      </c>
      <c r="BP1474" s="8">
        <f t="shared" si="1450"/>
        <v>842</v>
      </c>
      <c r="BQ1474" s="12">
        <f t="shared" si="1451"/>
        <v>43055</v>
      </c>
    </row>
    <row r="1475" spans="1:69">
      <c r="A1475" s="28">
        <v>1978</v>
      </c>
      <c r="B1475" s="27" t="s">
        <v>72</v>
      </c>
      <c r="C1475" s="24">
        <f t="shared" si="1471"/>
        <v>1452</v>
      </c>
      <c r="D1475" s="7" t="e">
        <f t="shared" ca="1" si="1490"/>
        <v>#N/A</v>
      </c>
      <c r="E1475" s="26">
        <f t="array" aca="1" ref="E1475" ca="1">AVERAGE(IF(INDIRECT(DatCol&amp;"$"&amp;TEXT(C1475,"###")):INDIRECT(DatCol&amp;"$"&amp;TEXT(C1475+57,"###"))&gt;0,INDIRECT(DatCol&amp;"$"&amp;TEXT(C1475,"###")):INDIRECT(DatCol&amp;"$"&amp;TEXT(C1475+57,"###"))))</f>
        <v>372.53333333333336</v>
      </c>
      <c r="F1475" s="26" t="str">
        <f t="shared" si="1428"/>
        <v>C</v>
      </c>
      <c r="G1475" s="8"/>
      <c r="H1475" s="8">
        <v>72</v>
      </c>
      <c r="I1475" s="8">
        <v>40</v>
      </c>
      <c r="J1475" s="8">
        <v>628</v>
      </c>
      <c r="K1475" s="9">
        <f t="shared" si="1449"/>
        <v>700</v>
      </c>
      <c r="M1475" s="11">
        <f t="shared" si="1472"/>
        <v>0</v>
      </c>
      <c r="N1475" s="12">
        <v>275</v>
      </c>
      <c r="O1475" s="11">
        <f t="shared" si="1473"/>
        <v>13750</v>
      </c>
      <c r="P1475" s="12">
        <v>500</v>
      </c>
      <c r="Q1475" s="11">
        <f t="shared" si="1474"/>
        <v>30000</v>
      </c>
      <c r="X1475" s="12">
        <v>485</v>
      </c>
      <c r="Y1475" s="11">
        <f t="shared" si="1475"/>
        <v>29100</v>
      </c>
      <c r="AG1475" s="11">
        <f t="shared" si="1476"/>
        <v>0</v>
      </c>
      <c r="AI1475" s="11">
        <f t="shared" si="1477"/>
        <v>0</v>
      </c>
      <c r="AJ1475" s="12">
        <v>40000</v>
      </c>
      <c r="AK1475" s="13">
        <f t="shared" si="1478"/>
        <v>360000</v>
      </c>
      <c r="AL1475" s="12">
        <v>1000</v>
      </c>
      <c r="AM1475" s="13">
        <f t="shared" si="1479"/>
        <v>9000</v>
      </c>
      <c r="AO1475" s="11">
        <f t="shared" si="1480"/>
        <v>0</v>
      </c>
      <c r="AQ1475" s="11">
        <f t="shared" si="1481"/>
        <v>0</v>
      </c>
      <c r="AS1475" s="11">
        <f t="shared" si="1482"/>
        <v>0</v>
      </c>
      <c r="AU1475" s="11">
        <f t="shared" si="1483"/>
        <v>0</v>
      </c>
      <c r="AW1475" s="11">
        <f t="shared" si="1484"/>
        <v>0</v>
      </c>
      <c r="AY1475" s="11">
        <f t="shared" si="1485"/>
        <v>0</v>
      </c>
      <c r="BA1475" s="11">
        <f t="shared" si="1486"/>
        <v>0</v>
      </c>
      <c r="BC1475" s="11">
        <f t="shared" si="1487"/>
        <v>0</v>
      </c>
      <c r="BE1475" s="11">
        <f t="shared" si="1488"/>
        <v>0</v>
      </c>
      <c r="BG1475" s="11">
        <f t="shared" si="1489"/>
        <v>0</v>
      </c>
      <c r="BN1475" s="8">
        <f t="shared" si="1447"/>
        <v>40985</v>
      </c>
      <c r="BO1475" s="8">
        <f t="shared" si="1448"/>
        <v>419100</v>
      </c>
      <c r="BP1475" s="8">
        <f t="shared" si="1450"/>
        <v>1760</v>
      </c>
      <c r="BQ1475" s="12">
        <f t="shared" si="1451"/>
        <v>51850</v>
      </c>
    </row>
    <row r="1476" spans="1:69">
      <c r="A1476" s="28">
        <v>1979</v>
      </c>
      <c r="B1476" s="27" t="s">
        <v>72</v>
      </c>
      <c r="C1476" s="24">
        <f t="shared" si="1471"/>
        <v>1452</v>
      </c>
      <c r="D1476" s="7" t="e">
        <f t="shared" ca="1" si="1490"/>
        <v>#N/A</v>
      </c>
      <c r="E1476" s="26">
        <f t="array" aca="1" ref="E1476" ca="1">AVERAGE(IF(INDIRECT(DatCol&amp;"$"&amp;TEXT(C1476,"###")):INDIRECT(DatCol&amp;"$"&amp;TEXT(C1476+57,"###"))&gt;0,INDIRECT(DatCol&amp;"$"&amp;TEXT(C1476,"###")):INDIRECT(DatCol&amp;"$"&amp;TEXT(C1476+57,"###"))))</f>
        <v>372.53333333333336</v>
      </c>
      <c r="F1476" s="26" t="str">
        <f t="shared" si="1428"/>
        <v>C</v>
      </c>
      <c r="G1476" s="8"/>
      <c r="H1476" s="8">
        <v>103</v>
      </c>
      <c r="I1476" s="8">
        <v>51</v>
      </c>
      <c r="J1476" s="8">
        <v>556</v>
      </c>
      <c r="K1476" s="9">
        <f t="shared" si="1449"/>
        <v>659</v>
      </c>
      <c r="M1476" s="11">
        <f t="shared" si="1472"/>
        <v>0</v>
      </c>
      <c r="N1476" s="12">
        <v>650</v>
      </c>
      <c r="O1476" s="11">
        <f t="shared" si="1473"/>
        <v>32500</v>
      </c>
      <c r="P1476" s="12">
        <v>575</v>
      </c>
      <c r="Q1476" s="11">
        <f t="shared" si="1474"/>
        <v>34500</v>
      </c>
      <c r="X1476" s="12">
        <v>590</v>
      </c>
      <c r="Y1476" s="11">
        <f t="shared" si="1475"/>
        <v>35400</v>
      </c>
      <c r="AG1476" s="11">
        <f t="shared" si="1476"/>
        <v>0</v>
      </c>
      <c r="AH1476" s="12">
        <v>54</v>
      </c>
      <c r="AI1476" s="11">
        <f t="shared" si="1477"/>
        <v>3510</v>
      </c>
      <c r="AJ1476" s="12">
        <v>2000</v>
      </c>
      <c r="AK1476" s="13">
        <f t="shared" si="1478"/>
        <v>18000</v>
      </c>
      <c r="AL1476" s="12">
        <v>4400</v>
      </c>
      <c r="AM1476" s="13">
        <f t="shared" si="1479"/>
        <v>39600</v>
      </c>
      <c r="AO1476" s="11">
        <f t="shared" si="1480"/>
        <v>0</v>
      </c>
      <c r="AQ1476" s="11">
        <f t="shared" si="1481"/>
        <v>0</v>
      </c>
      <c r="AS1476" s="11">
        <f t="shared" si="1482"/>
        <v>0</v>
      </c>
      <c r="AU1476" s="11">
        <f t="shared" si="1483"/>
        <v>0</v>
      </c>
      <c r="AW1476" s="11">
        <f t="shared" si="1484"/>
        <v>0</v>
      </c>
      <c r="AY1476" s="11">
        <f t="shared" si="1485"/>
        <v>0</v>
      </c>
      <c r="BA1476" s="11">
        <f t="shared" si="1486"/>
        <v>0</v>
      </c>
      <c r="BC1476" s="11">
        <f t="shared" si="1487"/>
        <v>0</v>
      </c>
      <c r="BE1476" s="11">
        <f t="shared" si="1488"/>
        <v>0</v>
      </c>
      <c r="BG1476" s="11">
        <f t="shared" si="1489"/>
        <v>0</v>
      </c>
      <c r="BN1476" s="8">
        <f t="shared" si="1447"/>
        <v>3165</v>
      </c>
      <c r="BO1476" s="8">
        <f t="shared" si="1448"/>
        <v>87900</v>
      </c>
      <c r="BP1476" s="8">
        <f t="shared" si="1450"/>
        <v>5694</v>
      </c>
      <c r="BQ1476" s="12">
        <f t="shared" si="1451"/>
        <v>111010</v>
      </c>
    </row>
    <row r="1477" spans="1:69">
      <c r="A1477" s="28">
        <v>1980</v>
      </c>
      <c r="B1477" s="27" t="s">
        <v>72</v>
      </c>
      <c r="C1477" s="24">
        <f t="shared" si="1471"/>
        <v>1452</v>
      </c>
      <c r="D1477" s="7" t="e">
        <f t="shared" ca="1" si="1490"/>
        <v>#N/A</v>
      </c>
      <c r="E1477" s="26">
        <f t="array" aca="1" ref="E1477" ca="1">AVERAGE(IF(INDIRECT(DatCol&amp;"$"&amp;TEXT(C1477,"###")):INDIRECT(DatCol&amp;"$"&amp;TEXT(C1477+57,"###"))&gt;0,INDIRECT(DatCol&amp;"$"&amp;TEXT(C1477,"###")):INDIRECT(DatCol&amp;"$"&amp;TEXT(C1477+57,"###"))))</f>
        <v>372.53333333333336</v>
      </c>
      <c r="F1477" s="26" t="str">
        <f t="shared" si="1428"/>
        <v>C</v>
      </c>
      <c r="G1477" s="8"/>
      <c r="K1477" s="9">
        <f t="shared" si="1449"/>
        <v>0</v>
      </c>
      <c r="M1477" s="11">
        <f t="shared" si="1472"/>
        <v>0</v>
      </c>
      <c r="O1477" s="11">
        <f t="shared" si="1473"/>
        <v>0</v>
      </c>
      <c r="Q1477" s="11">
        <f t="shared" si="1474"/>
        <v>0</v>
      </c>
      <c r="Y1477" s="11">
        <f t="shared" si="1475"/>
        <v>0</v>
      </c>
      <c r="AG1477" s="11">
        <f t="shared" si="1476"/>
        <v>0</v>
      </c>
      <c r="AI1477" s="11">
        <f t="shared" si="1477"/>
        <v>0</v>
      </c>
      <c r="AK1477" s="13">
        <f t="shared" si="1478"/>
        <v>0</v>
      </c>
      <c r="AM1477" s="13">
        <f t="shared" si="1479"/>
        <v>0</v>
      </c>
      <c r="AO1477" s="11">
        <f t="shared" si="1480"/>
        <v>0</v>
      </c>
      <c r="AQ1477" s="11">
        <f t="shared" si="1481"/>
        <v>0</v>
      </c>
      <c r="AS1477" s="11">
        <f t="shared" si="1482"/>
        <v>0</v>
      </c>
      <c r="AU1477" s="11">
        <f t="shared" si="1483"/>
        <v>0</v>
      </c>
      <c r="AW1477" s="11">
        <f t="shared" si="1484"/>
        <v>0</v>
      </c>
      <c r="AY1477" s="11">
        <f t="shared" si="1485"/>
        <v>0</v>
      </c>
      <c r="BA1477" s="11">
        <f t="shared" si="1486"/>
        <v>0</v>
      </c>
      <c r="BC1477" s="11">
        <f t="shared" si="1487"/>
        <v>0</v>
      </c>
      <c r="BE1477" s="11">
        <f t="shared" si="1488"/>
        <v>0</v>
      </c>
      <c r="BG1477" s="11">
        <f t="shared" si="1489"/>
        <v>0</v>
      </c>
      <c r="BN1477" s="8">
        <f t="shared" si="1447"/>
        <v>0</v>
      </c>
      <c r="BO1477" s="8">
        <f t="shared" si="1448"/>
        <v>0</v>
      </c>
      <c r="BP1477" s="8">
        <f t="shared" si="1450"/>
        <v>0</v>
      </c>
      <c r="BQ1477" s="12">
        <f t="shared" si="1451"/>
        <v>0</v>
      </c>
    </row>
    <row r="1478" spans="1:69">
      <c r="A1478" s="28">
        <v>1981</v>
      </c>
      <c r="B1478" s="27" t="s">
        <v>72</v>
      </c>
      <c r="C1478" s="24">
        <f t="shared" si="1471"/>
        <v>1452</v>
      </c>
      <c r="D1478" s="7" t="e">
        <f t="shared" ca="1" si="1490"/>
        <v>#N/A</v>
      </c>
      <c r="E1478" s="26">
        <f t="array" aca="1" ref="E1478" ca="1">AVERAGE(IF(INDIRECT(DatCol&amp;"$"&amp;TEXT(C1478,"###")):INDIRECT(DatCol&amp;"$"&amp;TEXT(C1478+57,"###"))&gt;0,INDIRECT(DatCol&amp;"$"&amp;TEXT(C1478,"###")):INDIRECT(DatCol&amp;"$"&amp;TEXT(C1478+57,"###"))))</f>
        <v>372.53333333333336</v>
      </c>
      <c r="F1478" s="26" t="str">
        <f t="shared" si="1428"/>
        <v>C</v>
      </c>
      <c r="G1478" s="8"/>
      <c r="H1478" s="8">
        <v>74</v>
      </c>
      <c r="I1478" s="8">
        <v>21</v>
      </c>
      <c r="J1478" s="8">
        <v>1037</v>
      </c>
      <c r="K1478" s="9">
        <f t="shared" si="1449"/>
        <v>1111</v>
      </c>
      <c r="M1478" s="11">
        <f t="shared" si="1472"/>
        <v>0</v>
      </c>
      <c r="N1478" s="12">
        <v>1000</v>
      </c>
      <c r="O1478" s="11">
        <f t="shared" si="1473"/>
        <v>50000</v>
      </c>
      <c r="P1478" s="12">
        <v>570</v>
      </c>
      <c r="Q1478" s="11">
        <f t="shared" si="1474"/>
        <v>34200</v>
      </c>
      <c r="X1478" s="12">
        <v>1575</v>
      </c>
      <c r="Y1478" s="11">
        <f t="shared" si="1475"/>
        <v>94500</v>
      </c>
      <c r="AG1478" s="11">
        <f t="shared" si="1476"/>
        <v>0</v>
      </c>
      <c r="AI1478" s="11">
        <f t="shared" si="1477"/>
        <v>0</v>
      </c>
      <c r="AJ1478" s="12">
        <v>300</v>
      </c>
      <c r="AK1478" s="13">
        <f t="shared" si="1478"/>
        <v>2700</v>
      </c>
      <c r="AL1478" s="12">
        <v>450</v>
      </c>
      <c r="AM1478" s="13">
        <f t="shared" si="1479"/>
        <v>4050</v>
      </c>
      <c r="AO1478" s="11">
        <f t="shared" si="1480"/>
        <v>0</v>
      </c>
      <c r="AQ1478" s="11">
        <f t="shared" si="1481"/>
        <v>0</v>
      </c>
      <c r="AS1478" s="11">
        <f t="shared" si="1482"/>
        <v>0</v>
      </c>
      <c r="AU1478" s="11">
        <f t="shared" si="1483"/>
        <v>0</v>
      </c>
      <c r="AW1478" s="11">
        <f t="shared" si="1484"/>
        <v>0</v>
      </c>
      <c r="AY1478" s="11">
        <f t="shared" si="1485"/>
        <v>0</v>
      </c>
      <c r="BA1478" s="11">
        <f t="shared" si="1486"/>
        <v>0</v>
      </c>
      <c r="BC1478" s="11">
        <f t="shared" si="1487"/>
        <v>0</v>
      </c>
      <c r="BE1478" s="11">
        <f t="shared" si="1488"/>
        <v>0</v>
      </c>
      <c r="BG1478" s="11">
        <f t="shared" si="1489"/>
        <v>0</v>
      </c>
      <c r="BN1478" s="8">
        <f t="shared" si="1447"/>
        <v>2445</v>
      </c>
      <c r="BO1478" s="8">
        <f t="shared" si="1448"/>
        <v>131400</v>
      </c>
      <c r="BP1478" s="8">
        <f t="shared" si="1450"/>
        <v>3025</v>
      </c>
      <c r="BQ1478" s="12">
        <f t="shared" si="1451"/>
        <v>148550</v>
      </c>
    </row>
    <row r="1479" spans="1:69">
      <c r="A1479" s="28">
        <v>1982</v>
      </c>
      <c r="B1479" s="27" t="s">
        <v>72</v>
      </c>
      <c r="C1479" s="24">
        <f t="shared" si="1471"/>
        <v>1452</v>
      </c>
      <c r="D1479" s="7" t="e">
        <f t="shared" ca="1" si="1490"/>
        <v>#N/A</v>
      </c>
      <c r="E1479" s="26">
        <f t="array" aca="1" ref="E1479" ca="1">AVERAGE(IF(INDIRECT(DatCol&amp;"$"&amp;TEXT(C1479,"###")):INDIRECT(DatCol&amp;"$"&amp;TEXT(C1479+57,"###"))&gt;0,INDIRECT(DatCol&amp;"$"&amp;TEXT(C1479,"###")):INDIRECT(DatCol&amp;"$"&amp;TEXT(C1479+57,"###"))))</f>
        <v>372.53333333333336</v>
      </c>
      <c r="F1479" s="26" t="str">
        <f t="shared" si="1428"/>
        <v>C</v>
      </c>
      <c r="G1479" s="8"/>
      <c r="H1479" s="8">
        <v>54</v>
      </c>
      <c r="I1479" s="8">
        <v>19</v>
      </c>
      <c r="J1479" s="8">
        <v>603</v>
      </c>
      <c r="K1479" s="9">
        <f t="shared" si="1449"/>
        <v>657</v>
      </c>
      <c r="M1479" s="11">
        <f t="shared" si="1472"/>
        <v>0</v>
      </c>
      <c r="N1479" s="12">
        <v>400</v>
      </c>
      <c r="O1479" s="11">
        <f t="shared" si="1473"/>
        <v>20000</v>
      </c>
      <c r="P1479" s="12">
        <v>925</v>
      </c>
      <c r="Q1479" s="11">
        <f t="shared" si="1474"/>
        <v>55500</v>
      </c>
      <c r="X1479" s="12">
        <v>1305</v>
      </c>
      <c r="Y1479" s="11">
        <f t="shared" si="1475"/>
        <v>78300</v>
      </c>
      <c r="AG1479" s="11">
        <f t="shared" si="1476"/>
        <v>0</v>
      </c>
      <c r="AH1479" s="12">
        <v>75</v>
      </c>
      <c r="AI1479" s="11">
        <f t="shared" si="1477"/>
        <v>4875</v>
      </c>
      <c r="AJ1479" s="12">
        <v>100</v>
      </c>
      <c r="AK1479" s="13">
        <f t="shared" si="1478"/>
        <v>900</v>
      </c>
      <c r="AL1479" s="12">
        <v>520</v>
      </c>
      <c r="AM1479" s="13">
        <f t="shared" si="1479"/>
        <v>4680</v>
      </c>
      <c r="AO1479" s="11">
        <f t="shared" si="1480"/>
        <v>0</v>
      </c>
      <c r="AQ1479" s="11">
        <f t="shared" si="1481"/>
        <v>0</v>
      </c>
      <c r="AS1479" s="11">
        <f t="shared" si="1482"/>
        <v>0</v>
      </c>
      <c r="AU1479" s="11">
        <f t="shared" si="1483"/>
        <v>0</v>
      </c>
      <c r="AW1479" s="11">
        <f t="shared" si="1484"/>
        <v>0</v>
      </c>
      <c r="AY1479" s="11">
        <f t="shared" si="1485"/>
        <v>0</v>
      </c>
      <c r="BA1479" s="11">
        <f t="shared" si="1486"/>
        <v>0</v>
      </c>
      <c r="BC1479" s="11">
        <f t="shared" si="1487"/>
        <v>0</v>
      </c>
      <c r="BE1479" s="11">
        <f t="shared" si="1488"/>
        <v>0</v>
      </c>
      <c r="BG1479" s="11">
        <f t="shared" si="1489"/>
        <v>0</v>
      </c>
      <c r="BH1479" s="13" t="s">
        <v>73</v>
      </c>
      <c r="BN1479" s="8">
        <f t="shared" si="1447"/>
        <v>2330</v>
      </c>
      <c r="BO1479" s="8">
        <f t="shared" si="1448"/>
        <v>134700</v>
      </c>
      <c r="BP1479" s="8">
        <f t="shared" si="1450"/>
        <v>2300</v>
      </c>
      <c r="BQ1479" s="12">
        <f t="shared" si="1451"/>
        <v>107855</v>
      </c>
    </row>
    <row r="1480" spans="1:69">
      <c r="A1480" s="28">
        <v>1983</v>
      </c>
      <c r="B1480" s="27" t="s">
        <v>72</v>
      </c>
      <c r="C1480" s="24">
        <f t="shared" si="1471"/>
        <v>1452</v>
      </c>
      <c r="D1480" s="7" t="e">
        <f t="shared" ca="1" si="1490"/>
        <v>#N/A</v>
      </c>
      <c r="E1480" s="26">
        <f t="array" aca="1" ref="E1480" ca="1">AVERAGE(IF(INDIRECT(DatCol&amp;"$"&amp;TEXT(C1480,"###")):INDIRECT(DatCol&amp;"$"&amp;TEXT(C1480+57,"###"))&gt;0,INDIRECT(DatCol&amp;"$"&amp;TEXT(C1480,"###")):INDIRECT(DatCol&amp;"$"&amp;TEXT(C1480+57,"###"))))</f>
        <v>372.53333333333336</v>
      </c>
      <c r="F1480" s="26" t="str">
        <f t="shared" si="1428"/>
        <v>C</v>
      </c>
      <c r="G1480" s="8"/>
      <c r="K1480" s="9">
        <f t="shared" si="1449"/>
        <v>0</v>
      </c>
      <c r="M1480" s="11">
        <f t="shared" si="1472"/>
        <v>0</v>
      </c>
      <c r="O1480" s="11">
        <f t="shared" si="1473"/>
        <v>0</v>
      </c>
      <c r="Q1480" s="11">
        <f t="shared" si="1474"/>
        <v>0</v>
      </c>
      <c r="Y1480" s="11">
        <f t="shared" si="1475"/>
        <v>0</v>
      </c>
      <c r="AG1480" s="11">
        <f t="shared" si="1476"/>
        <v>0</v>
      </c>
      <c r="AI1480" s="11">
        <f t="shared" si="1477"/>
        <v>0</v>
      </c>
      <c r="AK1480" s="13">
        <f t="shared" si="1478"/>
        <v>0</v>
      </c>
      <c r="AM1480" s="13">
        <f t="shared" si="1479"/>
        <v>0</v>
      </c>
      <c r="AO1480" s="11">
        <f t="shared" si="1480"/>
        <v>0</v>
      </c>
      <c r="AQ1480" s="11">
        <f t="shared" si="1481"/>
        <v>0</v>
      </c>
      <c r="AS1480" s="11">
        <f t="shared" si="1482"/>
        <v>0</v>
      </c>
      <c r="AU1480" s="11">
        <f t="shared" si="1483"/>
        <v>0</v>
      </c>
      <c r="AW1480" s="11">
        <f t="shared" si="1484"/>
        <v>0</v>
      </c>
      <c r="AY1480" s="11">
        <f t="shared" si="1485"/>
        <v>0</v>
      </c>
      <c r="BA1480" s="11">
        <f t="shared" si="1486"/>
        <v>0</v>
      </c>
      <c r="BC1480" s="11">
        <f t="shared" si="1487"/>
        <v>0</v>
      </c>
      <c r="BE1480" s="11">
        <f t="shared" si="1488"/>
        <v>0</v>
      </c>
      <c r="BG1480" s="11">
        <f t="shared" si="1489"/>
        <v>0</v>
      </c>
      <c r="BN1480" s="8">
        <f t="shared" si="1447"/>
        <v>0</v>
      </c>
      <c r="BO1480" s="8">
        <f t="shared" si="1448"/>
        <v>0</v>
      </c>
      <c r="BP1480" s="8">
        <f t="shared" si="1450"/>
        <v>0</v>
      </c>
      <c r="BQ1480" s="12">
        <f t="shared" si="1451"/>
        <v>0</v>
      </c>
    </row>
    <row r="1481" spans="1:69">
      <c r="A1481" s="28">
        <v>1984</v>
      </c>
      <c r="B1481" s="27" t="s">
        <v>72</v>
      </c>
      <c r="C1481" s="24">
        <f t="shared" si="1471"/>
        <v>1452</v>
      </c>
      <c r="D1481" s="7" t="e">
        <f t="shared" ca="1" si="1490"/>
        <v>#N/A</v>
      </c>
      <c r="E1481" s="26">
        <f t="array" aca="1" ref="E1481" ca="1">AVERAGE(IF(INDIRECT(DatCol&amp;"$"&amp;TEXT(C1481,"###")):INDIRECT(DatCol&amp;"$"&amp;TEXT(C1481+57,"###"))&gt;0,INDIRECT(DatCol&amp;"$"&amp;TEXT(C1481,"###")):INDIRECT(DatCol&amp;"$"&amp;TEXT(C1481+57,"###"))))</f>
        <v>372.53333333333336</v>
      </c>
      <c r="F1481" s="26" t="str">
        <f t="shared" si="1428"/>
        <v>C</v>
      </c>
      <c r="G1481" s="8"/>
      <c r="H1481" s="8">
        <v>45</v>
      </c>
      <c r="I1481" s="8">
        <v>10</v>
      </c>
      <c r="J1481" s="8">
        <v>400</v>
      </c>
      <c r="K1481" s="9">
        <f t="shared" si="1449"/>
        <v>445</v>
      </c>
      <c r="M1481" s="11">
        <f t="shared" si="1472"/>
        <v>0</v>
      </c>
      <c r="O1481" s="11">
        <f t="shared" si="1473"/>
        <v>0</v>
      </c>
      <c r="Q1481" s="11">
        <f t="shared" si="1474"/>
        <v>0</v>
      </c>
      <c r="Y1481" s="11">
        <f t="shared" si="1475"/>
        <v>0</v>
      </c>
      <c r="AG1481" s="11">
        <f t="shared" si="1476"/>
        <v>0</v>
      </c>
      <c r="AI1481" s="11">
        <f t="shared" si="1477"/>
        <v>0</v>
      </c>
      <c r="AK1481" s="13">
        <f t="shared" si="1478"/>
        <v>0</v>
      </c>
      <c r="AM1481" s="13">
        <f t="shared" si="1479"/>
        <v>0</v>
      </c>
      <c r="AO1481" s="11">
        <f t="shared" si="1480"/>
        <v>0</v>
      </c>
      <c r="AQ1481" s="11">
        <f t="shared" si="1481"/>
        <v>0</v>
      </c>
      <c r="AS1481" s="11">
        <f t="shared" si="1482"/>
        <v>0</v>
      </c>
      <c r="AU1481" s="11">
        <f t="shared" si="1483"/>
        <v>0</v>
      </c>
      <c r="AW1481" s="11">
        <f t="shared" si="1484"/>
        <v>0</v>
      </c>
      <c r="AY1481" s="11">
        <f t="shared" si="1485"/>
        <v>0</v>
      </c>
      <c r="BA1481" s="11">
        <f t="shared" si="1486"/>
        <v>0</v>
      </c>
      <c r="BC1481" s="11">
        <f t="shared" si="1487"/>
        <v>0</v>
      </c>
      <c r="BE1481" s="11">
        <f t="shared" si="1488"/>
        <v>0</v>
      </c>
      <c r="BG1481" s="11">
        <f t="shared" si="1489"/>
        <v>0</v>
      </c>
      <c r="BN1481" s="8">
        <f t="shared" si="1447"/>
        <v>0</v>
      </c>
      <c r="BO1481" s="8">
        <f t="shared" si="1448"/>
        <v>0</v>
      </c>
      <c r="BP1481" s="8">
        <f t="shared" si="1450"/>
        <v>0</v>
      </c>
      <c r="BQ1481" s="12">
        <f t="shared" si="1451"/>
        <v>0</v>
      </c>
    </row>
    <row r="1482" spans="1:69">
      <c r="A1482" s="28">
        <v>1985</v>
      </c>
      <c r="B1482" s="27" t="s">
        <v>72</v>
      </c>
      <c r="C1482" s="24">
        <f t="shared" si="1471"/>
        <v>1452</v>
      </c>
      <c r="D1482" s="7" t="e">
        <f t="shared" ca="1" si="1490"/>
        <v>#N/A</v>
      </c>
      <c r="E1482" s="26">
        <f t="array" aca="1" ref="E1482" ca="1">AVERAGE(IF(INDIRECT(DatCol&amp;"$"&amp;TEXT(C1482,"###")):INDIRECT(DatCol&amp;"$"&amp;TEXT(C1482+57,"###"))&gt;0,INDIRECT(DatCol&amp;"$"&amp;TEXT(C1482,"###")):INDIRECT(DatCol&amp;"$"&amp;TEXT(C1482+57,"###"))))</f>
        <v>372.53333333333336</v>
      </c>
      <c r="F1482" s="26" t="str">
        <f t="shared" si="1428"/>
        <v>C</v>
      </c>
      <c r="G1482" s="8"/>
      <c r="K1482" s="9">
        <f t="shared" si="1449"/>
        <v>0</v>
      </c>
      <c r="M1482" s="11">
        <f t="shared" ref="M1482:M1512" si="1491">(L1482*50)</f>
        <v>0</v>
      </c>
      <c r="O1482" s="11">
        <f t="shared" ref="O1482:O1512" si="1492">(N1482*50)</f>
        <v>0</v>
      </c>
      <c r="Q1482" s="11">
        <f t="shared" ref="Q1482:Q1512" si="1493">((P1482*330)/5.5)</f>
        <v>0</v>
      </c>
      <c r="Y1482" s="11">
        <f t="shared" ref="Y1482:Y1512" si="1494">((X1482*330)/5.5)</f>
        <v>0</v>
      </c>
      <c r="AG1482" s="11">
        <f t="shared" ref="AG1482:AG1512" si="1495">(AF1482*65)</f>
        <v>0</v>
      </c>
      <c r="AI1482" s="11">
        <f t="shared" ref="AI1482:AI1512" si="1496">(AH1482*65)</f>
        <v>0</v>
      </c>
      <c r="AK1482" s="13">
        <f t="shared" ref="AK1482:AK1512" si="1497">(AJ1482*9)</f>
        <v>0</v>
      </c>
      <c r="AM1482" s="13">
        <f t="shared" ref="AM1482:AM1512" si="1498">(AL1482*9)</f>
        <v>0</v>
      </c>
      <c r="AO1482" s="11">
        <f t="shared" ref="AO1482:AO1512" si="1499">(AN1482*80)</f>
        <v>0</v>
      </c>
      <c r="AQ1482" s="11">
        <f t="shared" ref="AQ1482:AQ1512" si="1500">(AP1482*80)</f>
        <v>0</v>
      </c>
      <c r="AS1482" s="11">
        <f t="shared" ref="AS1482:AS1512" si="1501">(AR1482*50)</f>
        <v>0</v>
      </c>
      <c r="AU1482" s="11">
        <f t="shared" ref="AU1482:AU1512" si="1502">(AT1482*50)</f>
        <v>0</v>
      </c>
      <c r="AW1482" s="11">
        <f t="shared" ref="AW1482:AW1512" si="1503">(AV1482*60)</f>
        <v>0</v>
      </c>
      <c r="AY1482" s="11">
        <f t="shared" ref="AY1482:AY1512" si="1504">(AX1482*60)</f>
        <v>0</v>
      </c>
      <c r="BA1482" s="11">
        <f t="shared" ref="BA1482:BA1512" si="1505">(AZ1482*40)</f>
        <v>0</v>
      </c>
      <c r="BC1482" s="11">
        <f t="shared" ref="BC1482:BC1512" si="1506">(BB1482*40)</f>
        <v>0</v>
      </c>
      <c r="BE1482" s="11">
        <f t="shared" ref="BE1482:BE1512" si="1507">(BD1482*95)</f>
        <v>0</v>
      </c>
      <c r="BG1482" s="11">
        <f t="shared" ref="BG1482:BG1512" si="1508">(BF1482*95)</f>
        <v>0</v>
      </c>
      <c r="BN1482" s="8">
        <f t="shared" si="1447"/>
        <v>0</v>
      </c>
      <c r="BO1482" s="8">
        <f t="shared" si="1448"/>
        <v>0</v>
      </c>
      <c r="BP1482" s="8">
        <f t="shared" si="1450"/>
        <v>0</v>
      </c>
      <c r="BQ1482" s="12">
        <f t="shared" si="1451"/>
        <v>0</v>
      </c>
    </row>
    <row r="1483" spans="1:69">
      <c r="A1483" s="28">
        <v>1986</v>
      </c>
      <c r="B1483" s="27" t="s">
        <v>72</v>
      </c>
      <c r="C1483" s="24">
        <f t="shared" si="1471"/>
        <v>1452</v>
      </c>
      <c r="D1483" s="7" t="e">
        <f t="shared" ca="1" si="1490"/>
        <v>#N/A</v>
      </c>
      <c r="E1483" s="26">
        <f t="array" aca="1" ref="E1483" ca="1">AVERAGE(IF(INDIRECT(DatCol&amp;"$"&amp;TEXT(C1483,"###")):INDIRECT(DatCol&amp;"$"&amp;TEXT(C1483+57,"###"))&gt;0,INDIRECT(DatCol&amp;"$"&amp;TEXT(C1483,"###")):INDIRECT(DatCol&amp;"$"&amp;TEXT(C1483+57,"###"))))</f>
        <v>372.53333333333336</v>
      </c>
      <c r="F1483" s="26" t="str">
        <f t="shared" si="1428"/>
        <v>C</v>
      </c>
      <c r="G1483" s="8">
        <v>207</v>
      </c>
      <c r="H1483" s="8">
        <v>8</v>
      </c>
      <c r="I1483" s="8">
        <v>8</v>
      </c>
      <c r="J1483" s="8">
        <v>188</v>
      </c>
      <c r="K1483" s="9">
        <f t="shared" si="1449"/>
        <v>403</v>
      </c>
      <c r="L1483" s="12">
        <v>250</v>
      </c>
      <c r="M1483" s="11">
        <f t="shared" si="1491"/>
        <v>12500</v>
      </c>
      <c r="N1483" s="12">
        <v>105</v>
      </c>
      <c r="O1483" s="11">
        <f t="shared" si="1492"/>
        <v>5250</v>
      </c>
      <c r="P1483" s="12">
        <v>65</v>
      </c>
      <c r="Q1483" s="11">
        <f t="shared" si="1493"/>
        <v>3900</v>
      </c>
      <c r="X1483" s="12">
        <v>60</v>
      </c>
      <c r="Y1483" s="11">
        <f t="shared" si="1494"/>
        <v>3600</v>
      </c>
      <c r="AG1483" s="11">
        <f t="shared" si="1495"/>
        <v>0</v>
      </c>
      <c r="AH1483" s="12">
        <v>15</v>
      </c>
      <c r="AI1483" s="11">
        <f t="shared" si="1496"/>
        <v>975</v>
      </c>
      <c r="AJ1483" s="12">
        <v>50</v>
      </c>
      <c r="AK1483" s="13">
        <f t="shared" si="1497"/>
        <v>450</v>
      </c>
      <c r="AL1483" s="12">
        <v>100</v>
      </c>
      <c r="AM1483" s="13">
        <f t="shared" si="1498"/>
        <v>900</v>
      </c>
      <c r="AO1483" s="11">
        <f t="shared" si="1499"/>
        <v>0</v>
      </c>
      <c r="AQ1483" s="11">
        <f t="shared" si="1500"/>
        <v>0</v>
      </c>
      <c r="AS1483" s="11">
        <f t="shared" si="1501"/>
        <v>0</v>
      </c>
      <c r="AU1483" s="11">
        <f t="shared" si="1502"/>
        <v>0</v>
      </c>
      <c r="AW1483" s="11">
        <f t="shared" si="1503"/>
        <v>0</v>
      </c>
      <c r="AY1483" s="11">
        <f t="shared" si="1504"/>
        <v>0</v>
      </c>
      <c r="BA1483" s="11">
        <f t="shared" si="1505"/>
        <v>0</v>
      </c>
      <c r="BC1483" s="11">
        <f t="shared" si="1506"/>
        <v>0</v>
      </c>
      <c r="BE1483" s="11">
        <f t="shared" si="1507"/>
        <v>0</v>
      </c>
      <c r="BG1483" s="11">
        <f t="shared" si="1508"/>
        <v>0</v>
      </c>
      <c r="BN1483" s="8">
        <f t="shared" si="1447"/>
        <v>425</v>
      </c>
      <c r="BO1483" s="8">
        <f t="shared" si="1448"/>
        <v>20450</v>
      </c>
      <c r="BP1483" s="8">
        <f t="shared" si="1450"/>
        <v>280</v>
      </c>
      <c r="BQ1483" s="12">
        <f t="shared" si="1451"/>
        <v>10725</v>
      </c>
    </row>
    <row r="1484" spans="1:69">
      <c r="A1484" s="28">
        <v>1987</v>
      </c>
      <c r="B1484" s="27" t="s">
        <v>72</v>
      </c>
      <c r="C1484" s="24">
        <f t="shared" si="1471"/>
        <v>1452</v>
      </c>
      <c r="D1484" s="7" t="e">
        <f t="shared" ca="1" si="1490"/>
        <v>#N/A</v>
      </c>
      <c r="E1484" s="26">
        <f t="array" aca="1" ref="E1484" ca="1">AVERAGE(IF(INDIRECT(DatCol&amp;"$"&amp;TEXT(C1484,"###")):INDIRECT(DatCol&amp;"$"&amp;TEXT(C1484+57,"###"))&gt;0,INDIRECT(DatCol&amp;"$"&amp;TEXT(C1484,"###")):INDIRECT(DatCol&amp;"$"&amp;TEXT(C1484+57,"###"))))</f>
        <v>372.53333333333336</v>
      </c>
      <c r="F1484" s="26" t="str">
        <f t="shared" si="1428"/>
        <v>C</v>
      </c>
      <c r="G1484" s="8">
        <v>260</v>
      </c>
      <c r="H1484" s="8">
        <v>6</v>
      </c>
      <c r="I1484" s="8">
        <v>11</v>
      </c>
      <c r="J1484" s="8">
        <v>329</v>
      </c>
      <c r="K1484" s="9">
        <f t="shared" si="1449"/>
        <v>595</v>
      </c>
      <c r="L1484" s="12">
        <v>205</v>
      </c>
      <c r="M1484" s="11">
        <f t="shared" si="1491"/>
        <v>10250</v>
      </c>
      <c r="N1484" s="12">
        <v>156</v>
      </c>
      <c r="O1484" s="11">
        <f t="shared" si="1492"/>
        <v>7800</v>
      </c>
      <c r="P1484" s="12">
        <v>315</v>
      </c>
      <c r="Q1484" s="11">
        <f t="shared" si="1493"/>
        <v>18900</v>
      </c>
      <c r="X1484" s="12">
        <v>204</v>
      </c>
      <c r="Y1484" s="11">
        <f t="shared" si="1494"/>
        <v>12240</v>
      </c>
      <c r="AG1484" s="11">
        <f t="shared" si="1495"/>
        <v>0</v>
      </c>
      <c r="AI1484" s="11">
        <f t="shared" si="1496"/>
        <v>0</v>
      </c>
      <c r="AK1484" s="13">
        <f t="shared" si="1497"/>
        <v>0</v>
      </c>
      <c r="AM1484" s="13">
        <f t="shared" si="1498"/>
        <v>0</v>
      </c>
      <c r="AO1484" s="11">
        <f t="shared" si="1499"/>
        <v>0</v>
      </c>
      <c r="AQ1484" s="11">
        <f t="shared" si="1500"/>
        <v>0</v>
      </c>
      <c r="AS1484" s="11">
        <f t="shared" si="1501"/>
        <v>0</v>
      </c>
      <c r="AU1484" s="11">
        <f t="shared" si="1502"/>
        <v>0</v>
      </c>
      <c r="AW1484" s="11">
        <f t="shared" si="1503"/>
        <v>0</v>
      </c>
      <c r="AY1484" s="11">
        <f t="shared" si="1504"/>
        <v>0</v>
      </c>
      <c r="BA1484" s="11">
        <f t="shared" si="1505"/>
        <v>0</v>
      </c>
      <c r="BC1484" s="11">
        <f t="shared" si="1506"/>
        <v>0</v>
      </c>
      <c r="BE1484" s="11">
        <f t="shared" si="1507"/>
        <v>0</v>
      </c>
      <c r="BG1484" s="11">
        <f t="shared" si="1508"/>
        <v>0</v>
      </c>
      <c r="BN1484" s="8">
        <f t="shared" si="1447"/>
        <v>724</v>
      </c>
      <c r="BO1484" s="8">
        <f t="shared" si="1448"/>
        <v>41390</v>
      </c>
      <c r="BP1484" s="8">
        <f t="shared" si="1450"/>
        <v>360</v>
      </c>
      <c r="BQ1484" s="12">
        <f t="shared" si="1451"/>
        <v>20040</v>
      </c>
    </row>
    <row r="1485" spans="1:69">
      <c r="A1485" s="28">
        <v>1988</v>
      </c>
      <c r="B1485" s="27" t="s">
        <v>72</v>
      </c>
      <c r="C1485" s="24">
        <f t="shared" si="1471"/>
        <v>1452</v>
      </c>
      <c r="D1485" s="7" t="e">
        <f t="shared" ca="1" si="1490"/>
        <v>#N/A</v>
      </c>
      <c r="E1485" s="26">
        <f t="array" aca="1" ref="E1485" ca="1">AVERAGE(IF(INDIRECT(DatCol&amp;"$"&amp;TEXT(C1485,"###")):INDIRECT(DatCol&amp;"$"&amp;TEXT(C1485+57,"###"))&gt;0,INDIRECT(DatCol&amp;"$"&amp;TEXT(C1485,"###")):INDIRECT(DatCol&amp;"$"&amp;TEXT(C1485+57,"###"))))</f>
        <v>372.53333333333336</v>
      </c>
      <c r="F1485" s="26" t="str">
        <f t="shared" ref="F1485:F1551" si="1509">VLOOKUP(B1485,town_region,2,FALSE)</f>
        <v>C</v>
      </c>
      <c r="G1485" s="8">
        <v>259</v>
      </c>
      <c r="H1485" s="8">
        <v>12</v>
      </c>
      <c r="I1485" s="8">
        <v>14</v>
      </c>
      <c r="J1485" s="8">
        <v>394</v>
      </c>
      <c r="K1485" s="9">
        <f t="shared" si="1449"/>
        <v>665</v>
      </c>
      <c r="L1485" s="12">
        <v>480</v>
      </c>
      <c r="M1485" s="11">
        <f t="shared" si="1491"/>
        <v>24000</v>
      </c>
      <c r="N1485" s="12">
        <v>202</v>
      </c>
      <c r="O1485" s="11">
        <f t="shared" si="1492"/>
        <v>10100</v>
      </c>
      <c r="P1485" s="12">
        <v>272</v>
      </c>
      <c r="Q1485" s="11">
        <f t="shared" si="1493"/>
        <v>16320</v>
      </c>
      <c r="X1485" s="12">
        <v>234</v>
      </c>
      <c r="Y1485" s="11">
        <f t="shared" si="1494"/>
        <v>14040</v>
      </c>
      <c r="AF1485" s="12">
        <v>0</v>
      </c>
      <c r="AG1485" s="11">
        <f t="shared" si="1495"/>
        <v>0</v>
      </c>
      <c r="AH1485" s="12">
        <v>18</v>
      </c>
      <c r="AI1485" s="11">
        <f t="shared" si="1496"/>
        <v>1170</v>
      </c>
      <c r="AJ1485" s="12">
        <v>30</v>
      </c>
      <c r="AK1485" s="13">
        <f t="shared" si="1497"/>
        <v>270</v>
      </c>
      <c r="AL1485" s="12">
        <v>155</v>
      </c>
      <c r="AM1485" s="13">
        <f t="shared" si="1498"/>
        <v>1395</v>
      </c>
      <c r="AN1485" s="12">
        <v>0</v>
      </c>
      <c r="AO1485" s="11">
        <f t="shared" si="1499"/>
        <v>0</v>
      </c>
      <c r="AP1485" s="12">
        <v>0</v>
      </c>
      <c r="AQ1485" s="11">
        <f t="shared" si="1500"/>
        <v>0</v>
      </c>
      <c r="AR1485" s="12">
        <v>0</v>
      </c>
      <c r="AS1485" s="11">
        <f t="shared" si="1501"/>
        <v>0</v>
      </c>
      <c r="AT1485" s="12">
        <v>30</v>
      </c>
      <c r="AU1485" s="11">
        <f t="shared" si="1502"/>
        <v>1500</v>
      </c>
      <c r="AV1485" s="12">
        <v>0</v>
      </c>
      <c r="AW1485" s="11">
        <f t="shared" si="1503"/>
        <v>0</v>
      </c>
      <c r="AX1485" s="12">
        <v>8</v>
      </c>
      <c r="AY1485" s="11">
        <f t="shared" si="1504"/>
        <v>480</v>
      </c>
      <c r="AZ1485" s="12">
        <v>0</v>
      </c>
      <c r="BA1485" s="11">
        <f t="shared" si="1505"/>
        <v>0</v>
      </c>
      <c r="BB1485" s="12">
        <v>2</v>
      </c>
      <c r="BC1485" s="11">
        <f t="shared" si="1506"/>
        <v>80</v>
      </c>
      <c r="BE1485" s="11">
        <f t="shared" si="1507"/>
        <v>0</v>
      </c>
      <c r="BG1485" s="11">
        <f t="shared" si="1508"/>
        <v>0</v>
      </c>
      <c r="BN1485" s="8">
        <f t="shared" si="1447"/>
        <v>1016</v>
      </c>
      <c r="BO1485" s="8">
        <f t="shared" si="1448"/>
        <v>54630</v>
      </c>
      <c r="BP1485" s="8">
        <f t="shared" si="1450"/>
        <v>649</v>
      </c>
      <c r="BQ1485" s="12">
        <f t="shared" si="1451"/>
        <v>28765</v>
      </c>
    </row>
    <row r="1486" spans="1:69">
      <c r="A1486" s="28">
        <v>1989</v>
      </c>
      <c r="B1486" s="27" t="s">
        <v>72</v>
      </c>
      <c r="C1486" s="24">
        <f t="shared" si="1471"/>
        <v>1452</v>
      </c>
      <c r="D1486" s="7" t="e">
        <f t="shared" ca="1" si="1490"/>
        <v>#N/A</v>
      </c>
      <c r="E1486" s="26">
        <f t="array" aca="1" ref="E1486" ca="1">AVERAGE(IF(INDIRECT(DatCol&amp;"$"&amp;TEXT(C1486,"###")):INDIRECT(DatCol&amp;"$"&amp;TEXT(C1486+57,"###"))&gt;0,INDIRECT(DatCol&amp;"$"&amp;TEXT(C1486,"###")):INDIRECT(DatCol&amp;"$"&amp;TEXT(C1486+57,"###"))))</f>
        <v>372.53333333333336</v>
      </c>
      <c r="F1486" s="26" t="str">
        <f t="shared" si="1509"/>
        <v>C</v>
      </c>
      <c r="G1486" s="8">
        <v>259</v>
      </c>
      <c r="H1486" s="8">
        <v>12</v>
      </c>
      <c r="I1486" s="8">
        <v>15</v>
      </c>
      <c r="J1486" s="8">
        <v>447</v>
      </c>
      <c r="K1486" s="9">
        <f t="shared" si="1449"/>
        <v>718</v>
      </c>
      <c r="L1486" s="12">
        <v>510</v>
      </c>
      <c r="M1486" s="11">
        <f t="shared" si="1491"/>
        <v>25500</v>
      </c>
      <c r="N1486" s="12">
        <v>220</v>
      </c>
      <c r="O1486" s="11">
        <f t="shared" si="1492"/>
        <v>11000</v>
      </c>
      <c r="P1486" s="12">
        <v>350</v>
      </c>
      <c r="Q1486" s="11">
        <f t="shared" si="1493"/>
        <v>21000</v>
      </c>
      <c r="X1486" s="12">
        <v>234</v>
      </c>
      <c r="Y1486" s="11">
        <f t="shared" si="1494"/>
        <v>14040</v>
      </c>
      <c r="AG1486" s="11">
        <f t="shared" si="1495"/>
        <v>0</v>
      </c>
      <c r="AH1486" s="12">
        <v>0</v>
      </c>
      <c r="AI1486" s="11">
        <f t="shared" si="1496"/>
        <v>0</v>
      </c>
      <c r="AJ1486" s="12">
        <v>60</v>
      </c>
      <c r="AK1486" s="13">
        <f t="shared" si="1497"/>
        <v>540</v>
      </c>
      <c r="AL1486" s="12">
        <v>120</v>
      </c>
      <c r="AM1486" s="13">
        <f t="shared" si="1498"/>
        <v>1080</v>
      </c>
      <c r="AO1486" s="11">
        <f t="shared" si="1499"/>
        <v>0</v>
      </c>
      <c r="AQ1486" s="11">
        <f t="shared" si="1500"/>
        <v>0</v>
      </c>
      <c r="AS1486" s="11">
        <f t="shared" si="1501"/>
        <v>0</v>
      </c>
      <c r="AT1486" s="12">
        <v>5</v>
      </c>
      <c r="AU1486" s="11">
        <f t="shared" si="1502"/>
        <v>250</v>
      </c>
      <c r="AV1486" s="12">
        <v>0</v>
      </c>
      <c r="AW1486" s="11">
        <f t="shared" si="1503"/>
        <v>0</v>
      </c>
      <c r="AX1486" s="12">
        <v>15</v>
      </c>
      <c r="AY1486" s="11">
        <f t="shared" si="1504"/>
        <v>900</v>
      </c>
      <c r="BA1486" s="11">
        <f t="shared" si="1505"/>
        <v>0</v>
      </c>
      <c r="BB1486" s="12">
        <v>2</v>
      </c>
      <c r="BC1486" s="11">
        <f t="shared" si="1506"/>
        <v>80</v>
      </c>
      <c r="BE1486" s="11">
        <f t="shared" si="1507"/>
        <v>0</v>
      </c>
      <c r="BG1486" s="11">
        <f t="shared" si="1508"/>
        <v>0</v>
      </c>
      <c r="BN1486" s="8">
        <f t="shared" si="1447"/>
        <v>1154</v>
      </c>
      <c r="BO1486" s="8">
        <f t="shared" si="1448"/>
        <v>61080</v>
      </c>
      <c r="BP1486" s="8">
        <f t="shared" si="1450"/>
        <v>596</v>
      </c>
      <c r="BQ1486" s="12">
        <f t="shared" si="1451"/>
        <v>27350</v>
      </c>
    </row>
    <row r="1487" spans="1:69">
      <c r="A1487" s="28">
        <v>1990</v>
      </c>
      <c r="B1487" s="27" t="s">
        <v>72</v>
      </c>
      <c r="C1487" s="24">
        <f t="shared" si="1471"/>
        <v>1452</v>
      </c>
      <c r="D1487" s="7" t="e">
        <f t="shared" ca="1" si="1490"/>
        <v>#N/A</v>
      </c>
      <c r="E1487" s="26">
        <f t="array" aca="1" ref="E1487" ca="1">AVERAGE(IF(INDIRECT(DatCol&amp;"$"&amp;TEXT(C1487,"###")):INDIRECT(DatCol&amp;"$"&amp;TEXT(C1487+57,"###"))&gt;0,INDIRECT(DatCol&amp;"$"&amp;TEXT(C1487,"###")):INDIRECT(DatCol&amp;"$"&amp;TEXT(C1487+57,"###"))))</f>
        <v>372.53333333333336</v>
      </c>
      <c r="F1487" s="26" t="str">
        <f t="shared" si="1509"/>
        <v>C</v>
      </c>
      <c r="G1487" s="8">
        <v>240</v>
      </c>
      <c r="H1487" s="8">
        <v>21</v>
      </c>
      <c r="I1487" s="8">
        <v>13</v>
      </c>
      <c r="J1487" s="8">
        <v>363</v>
      </c>
      <c r="K1487" s="9">
        <f t="shared" si="1449"/>
        <v>624</v>
      </c>
      <c r="L1487" s="12">
        <v>480</v>
      </c>
      <c r="M1487" s="11">
        <f t="shared" si="1491"/>
        <v>24000</v>
      </c>
      <c r="N1487" s="12">
        <v>197</v>
      </c>
      <c r="O1487" s="11">
        <f t="shared" si="1492"/>
        <v>9850</v>
      </c>
      <c r="P1487" s="12">
        <v>327</v>
      </c>
      <c r="Q1487" s="11">
        <f t="shared" si="1493"/>
        <v>19620</v>
      </c>
      <c r="X1487" s="12">
        <v>227</v>
      </c>
      <c r="Y1487" s="11">
        <f t="shared" si="1494"/>
        <v>13620</v>
      </c>
      <c r="AG1487" s="11">
        <f t="shared" si="1495"/>
        <v>0</v>
      </c>
      <c r="AH1487" s="12">
        <v>40</v>
      </c>
      <c r="AI1487" s="11">
        <f t="shared" si="1496"/>
        <v>2600</v>
      </c>
      <c r="AJ1487" s="12">
        <v>280</v>
      </c>
      <c r="AK1487" s="13">
        <f t="shared" si="1497"/>
        <v>2520</v>
      </c>
      <c r="AL1487" s="12">
        <v>280</v>
      </c>
      <c r="AM1487" s="13">
        <f t="shared" si="1498"/>
        <v>2520</v>
      </c>
      <c r="AO1487" s="11">
        <f t="shared" si="1499"/>
        <v>0</v>
      </c>
      <c r="AQ1487" s="11">
        <f t="shared" si="1500"/>
        <v>0</v>
      </c>
      <c r="AS1487" s="11">
        <f t="shared" si="1501"/>
        <v>0</v>
      </c>
      <c r="AT1487" s="12">
        <v>3</v>
      </c>
      <c r="AU1487" s="11">
        <f t="shared" si="1502"/>
        <v>150</v>
      </c>
      <c r="AV1487" s="12">
        <v>25</v>
      </c>
      <c r="AW1487" s="11">
        <f t="shared" si="1503"/>
        <v>1500</v>
      </c>
      <c r="AX1487" s="12">
        <v>35</v>
      </c>
      <c r="AY1487" s="11">
        <f t="shared" si="1504"/>
        <v>2100</v>
      </c>
      <c r="BA1487" s="11">
        <f t="shared" si="1505"/>
        <v>0</v>
      </c>
      <c r="BB1487" s="12">
        <v>1</v>
      </c>
      <c r="BC1487" s="11">
        <f t="shared" si="1506"/>
        <v>40</v>
      </c>
      <c r="BE1487" s="11">
        <f t="shared" si="1507"/>
        <v>0</v>
      </c>
      <c r="BG1487" s="11">
        <f t="shared" si="1508"/>
        <v>0</v>
      </c>
      <c r="BN1487" s="8">
        <f t="shared" si="1447"/>
        <v>1339</v>
      </c>
      <c r="BO1487" s="8">
        <f t="shared" si="1448"/>
        <v>61260</v>
      </c>
      <c r="BP1487" s="8">
        <f t="shared" si="1450"/>
        <v>783</v>
      </c>
      <c r="BQ1487" s="12">
        <f t="shared" si="1451"/>
        <v>30880</v>
      </c>
    </row>
    <row r="1488" spans="1:69">
      <c r="A1488" s="28">
        <v>1991</v>
      </c>
      <c r="B1488" s="27" t="s">
        <v>72</v>
      </c>
      <c r="C1488" s="24">
        <f t="shared" si="1471"/>
        <v>1452</v>
      </c>
      <c r="D1488" s="7" t="e">
        <f t="shared" ca="1" si="1490"/>
        <v>#N/A</v>
      </c>
      <c r="E1488" s="26">
        <f t="array" aca="1" ref="E1488" ca="1">AVERAGE(IF(INDIRECT(DatCol&amp;"$"&amp;TEXT(C1488,"###")):INDIRECT(DatCol&amp;"$"&amp;TEXT(C1488+57,"###"))&gt;0,INDIRECT(DatCol&amp;"$"&amp;TEXT(C1488,"###")):INDIRECT(DatCol&amp;"$"&amp;TEXT(C1488+57,"###"))))</f>
        <v>372.53333333333336</v>
      </c>
      <c r="F1488" s="26" t="str">
        <f t="shared" si="1509"/>
        <v>C</v>
      </c>
      <c r="G1488" s="8"/>
      <c r="K1488" s="9">
        <f t="shared" si="1449"/>
        <v>0</v>
      </c>
      <c r="M1488" s="11">
        <f t="shared" si="1491"/>
        <v>0</v>
      </c>
      <c r="O1488" s="11">
        <f t="shared" si="1492"/>
        <v>0</v>
      </c>
      <c r="Q1488" s="11">
        <f t="shared" si="1493"/>
        <v>0</v>
      </c>
      <c r="Y1488" s="11">
        <f t="shared" si="1494"/>
        <v>0</v>
      </c>
      <c r="AF1488" s="12">
        <v>0</v>
      </c>
      <c r="AG1488" s="11">
        <f t="shared" si="1495"/>
        <v>0</v>
      </c>
      <c r="AH1488" s="12">
        <v>0</v>
      </c>
      <c r="AI1488" s="11">
        <f t="shared" si="1496"/>
        <v>0</v>
      </c>
      <c r="AK1488" s="13">
        <f t="shared" si="1497"/>
        <v>0</v>
      </c>
      <c r="AM1488" s="13">
        <f t="shared" si="1498"/>
        <v>0</v>
      </c>
      <c r="AO1488" s="11">
        <f t="shared" si="1499"/>
        <v>0</v>
      </c>
      <c r="AQ1488" s="11">
        <f t="shared" si="1500"/>
        <v>0</v>
      </c>
      <c r="AS1488" s="11">
        <f t="shared" si="1501"/>
        <v>0</v>
      </c>
      <c r="AU1488" s="11">
        <f t="shared" si="1502"/>
        <v>0</v>
      </c>
      <c r="AW1488" s="11">
        <f t="shared" si="1503"/>
        <v>0</v>
      </c>
      <c r="AY1488" s="11">
        <f t="shared" si="1504"/>
        <v>0</v>
      </c>
      <c r="BA1488" s="11">
        <f t="shared" si="1505"/>
        <v>0</v>
      </c>
      <c r="BC1488" s="11">
        <f t="shared" si="1506"/>
        <v>0</v>
      </c>
      <c r="BE1488" s="11">
        <f t="shared" si="1507"/>
        <v>0</v>
      </c>
      <c r="BG1488" s="11">
        <f t="shared" si="1508"/>
        <v>0</v>
      </c>
      <c r="BN1488" s="8">
        <f t="shared" si="1447"/>
        <v>0</v>
      </c>
      <c r="BO1488" s="8">
        <f t="shared" si="1448"/>
        <v>0</v>
      </c>
      <c r="BP1488" s="8">
        <f t="shared" si="1450"/>
        <v>0</v>
      </c>
      <c r="BQ1488" s="12">
        <f t="shared" si="1451"/>
        <v>0</v>
      </c>
    </row>
    <row r="1489" spans="1:69">
      <c r="A1489" s="28">
        <v>1992</v>
      </c>
      <c r="B1489" s="27" t="s">
        <v>72</v>
      </c>
      <c r="C1489" s="24">
        <f t="shared" si="1471"/>
        <v>1452</v>
      </c>
      <c r="D1489" s="7" t="e">
        <f t="shared" ca="1" si="1490"/>
        <v>#N/A</v>
      </c>
      <c r="E1489" s="26">
        <f t="array" aca="1" ref="E1489" ca="1">AVERAGE(IF(INDIRECT(DatCol&amp;"$"&amp;TEXT(C1489,"###")):INDIRECT(DatCol&amp;"$"&amp;TEXT(C1489+57,"###"))&gt;0,INDIRECT(DatCol&amp;"$"&amp;TEXT(C1489,"###")):INDIRECT(DatCol&amp;"$"&amp;TEXT(C1489+57,"###"))))</f>
        <v>372.53333333333336</v>
      </c>
      <c r="F1489" s="26" t="str">
        <f t="shared" si="1509"/>
        <v>C</v>
      </c>
      <c r="G1489" s="8">
        <v>247</v>
      </c>
      <c r="H1489" s="8">
        <v>18</v>
      </c>
      <c r="I1489" s="8">
        <v>15</v>
      </c>
      <c r="J1489" s="8">
        <v>400</v>
      </c>
      <c r="K1489" s="9">
        <f t="shared" si="1449"/>
        <v>665</v>
      </c>
      <c r="L1489" s="12">
        <v>500</v>
      </c>
      <c r="M1489" s="11">
        <f t="shared" si="1491"/>
        <v>25000</v>
      </c>
      <c r="N1489" s="12">
        <v>500</v>
      </c>
      <c r="O1489" s="11">
        <f t="shared" si="1492"/>
        <v>25000</v>
      </c>
      <c r="P1489" s="12">
        <v>250</v>
      </c>
      <c r="Q1489" s="11">
        <f t="shared" si="1493"/>
        <v>15000</v>
      </c>
      <c r="X1489" s="12">
        <v>250</v>
      </c>
      <c r="Y1489" s="11">
        <f t="shared" si="1494"/>
        <v>15000</v>
      </c>
      <c r="AF1489" s="12">
        <v>0</v>
      </c>
      <c r="AG1489" s="11">
        <f t="shared" si="1495"/>
        <v>0</v>
      </c>
      <c r="AH1489" s="12">
        <v>0</v>
      </c>
      <c r="AI1489" s="11">
        <f t="shared" si="1496"/>
        <v>0</v>
      </c>
      <c r="AK1489" s="13">
        <f t="shared" si="1497"/>
        <v>0</v>
      </c>
      <c r="AL1489" s="12">
        <v>150</v>
      </c>
      <c r="AM1489" s="13">
        <f t="shared" si="1498"/>
        <v>1350</v>
      </c>
      <c r="AO1489" s="11">
        <f t="shared" si="1499"/>
        <v>0</v>
      </c>
      <c r="AQ1489" s="11">
        <f t="shared" si="1500"/>
        <v>0</v>
      </c>
      <c r="AS1489" s="11">
        <f t="shared" si="1501"/>
        <v>0</v>
      </c>
      <c r="AU1489" s="11">
        <f t="shared" si="1502"/>
        <v>0</v>
      </c>
      <c r="AW1489" s="11">
        <f t="shared" si="1503"/>
        <v>0</v>
      </c>
      <c r="AY1489" s="11">
        <f t="shared" si="1504"/>
        <v>0</v>
      </c>
      <c r="BA1489" s="11">
        <f t="shared" si="1505"/>
        <v>0</v>
      </c>
      <c r="BC1489" s="11">
        <f t="shared" si="1506"/>
        <v>0</v>
      </c>
      <c r="BE1489" s="11">
        <f t="shared" si="1507"/>
        <v>0</v>
      </c>
      <c r="BG1489" s="11">
        <f t="shared" si="1508"/>
        <v>0</v>
      </c>
      <c r="BN1489" s="8">
        <f t="shared" si="1447"/>
        <v>1000</v>
      </c>
      <c r="BO1489" s="8">
        <f t="shared" si="1448"/>
        <v>55000</v>
      </c>
      <c r="BP1489" s="8">
        <f t="shared" si="1450"/>
        <v>900</v>
      </c>
      <c r="BQ1489" s="12">
        <f t="shared" si="1451"/>
        <v>41350</v>
      </c>
    </row>
    <row r="1490" spans="1:69">
      <c r="A1490" s="28">
        <v>1993</v>
      </c>
      <c r="B1490" s="27" t="s">
        <v>72</v>
      </c>
      <c r="C1490" s="24">
        <f t="shared" si="1471"/>
        <v>1452</v>
      </c>
      <c r="D1490" s="7" t="e">
        <f t="shared" ca="1" si="1490"/>
        <v>#N/A</v>
      </c>
      <c r="E1490" s="26">
        <f t="array" aca="1" ref="E1490" ca="1">AVERAGE(IF(INDIRECT(DatCol&amp;"$"&amp;TEXT(C1490,"###")):INDIRECT(DatCol&amp;"$"&amp;TEXT(C1490+57,"###"))&gt;0,INDIRECT(DatCol&amp;"$"&amp;TEXT(C1490,"###")):INDIRECT(DatCol&amp;"$"&amp;TEXT(C1490+57,"###"))))</f>
        <v>372.53333333333336</v>
      </c>
      <c r="F1490" s="26" t="str">
        <f t="shared" si="1509"/>
        <v>C</v>
      </c>
      <c r="G1490" s="8">
        <v>245</v>
      </c>
      <c r="H1490" s="8">
        <v>30</v>
      </c>
      <c r="I1490" s="8">
        <v>16</v>
      </c>
      <c r="J1490" s="8">
        <v>377</v>
      </c>
      <c r="K1490" s="9">
        <f t="shared" si="1449"/>
        <v>652</v>
      </c>
      <c r="L1490" s="12">
        <v>500</v>
      </c>
      <c r="M1490" s="11">
        <f t="shared" si="1491"/>
        <v>25000</v>
      </c>
      <c r="N1490" s="12">
        <v>500</v>
      </c>
      <c r="O1490" s="11">
        <f t="shared" si="1492"/>
        <v>25000</v>
      </c>
      <c r="P1490" s="12">
        <v>250</v>
      </c>
      <c r="Q1490" s="11">
        <f t="shared" si="1493"/>
        <v>15000</v>
      </c>
      <c r="X1490" s="12">
        <v>250</v>
      </c>
      <c r="Y1490" s="11">
        <f t="shared" si="1494"/>
        <v>15000</v>
      </c>
      <c r="AF1490" s="12">
        <v>0</v>
      </c>
      <c r="AG1490" s="11">
        <f t="shared" si="1495"/>
        <v>0</v>
      </c>
      <c r="AH1490" s="12">
        <v>0</v>
      </c>
      <c r="AI1490" s="11">
        <f t="shared" si="1496"/>
        <v>0</v>
      </c>
      <c r="AK1490" s="13">
        <f t="shared" si="1497"/>
        <v>0</v>
      </c>
      <c r="AL1490" s="12">
        <v>50</v>
      </c>
      <c r="AM1490" s="13">
        <f t="shared" si="1498"/>
        <v>450</v>
      </c>
      <c r="AO1490" s="11">
        <f t="shared" si="1499"/>
        <v>0</v>
      </c>
      <c r="AQ1490" s="11">
        <f t="shared" si="1500"/>
        <v>0</v>
      </c>
      <c r="AS1490" s="11">
        <f t="shared" si="1501"/>
        <v>0</v>
      </c>
      <c r="AU1490" s="11">
        <f t="shared" si="1502"/>
        <v>0</v>
      </c>
      <c r="AW1490" s="11">
        <f t="shared" si="1503"/>
        <v>0</v>
      </c>
      <c r="AY1490" s="11">
        <f t="shared" si="1504"/>
        <v>0</v>
      </c>
      <c r="BA1490" s="11">
        <f t="shared" si="1505"/>
        <v>0</v>
      </c>
      <c r="BC1490" s="11">
        <f t="shared" si="1506"/>
        <v>0</v>
      </c>
      <c r="BE1490" s="11">
        <f t="shared" si="1507"/>
        <v>0</v>
      </c>
      <c r="BG1490" s="11">
        <f t="shared" si="1508"/>
        <v>0</v>
      </c>
      <c r="BN1490" s="8">
        <f t="shared" si="1447"/>
        <v>1000</v>
      </c>
      <c r="BO1490" s="8">
        <f t="shared" si="1448"/>
        <v>55000</v>
      </c>
      <c r="BP1490" s="8">
        <f t="shared" si="1450"/>
        <v>800</v>
      </c>
      <c r="BQ1490" s="12">
        <f t="shared" si="1451"/>
        <v>40450</v>
      </c>
    </row>
    <row r="1491" spans="1:69">
      <c r="A1491" s="28">
        <v>1994</v>
      </c>
      <c r="B1491" s="27" t="s">
        <v>72</v>
      </c>
      <c r="C1491" s="24">
        <f t="shared" si="1471"/>
        <v>1452</v>
      </c>
      <c r="D1491" s="7" t="e">
        <f t="shared" ca="1" si="1490"/>
        <v>#N/A</v>
      </c>
      <c r="E1491" s="26">
        <f t="array" aca="1" ref="E1491" ca="1">AVERAGE(IF(INDIRECT(DatCol&amp;"$"&amp;TEXT(C1491,"###")):INDIRECT(DatCol&amp;"$"&amp;TEXT(C1491+57,"###"))&gt;0,INDIRECT(DatCol&amp;"$"&amp;TEXT(C1491,"###")):INDIRECT(DatCol&amp;"$"&amp;TEXT(C1491+57,"###"))))</f>
        <v>372.53333333333336</v>
      </c>
      <c r="F1491" s="26" t="str">
        <f t="shared" si="1509"/>
        <v>C</v>
      </c>
      <c r="G1491" s="8">
        <v>255</v>
      </c>
      <c r="H1491" s="8">
        <v>24</v>
      </c>
      <c r="I1491" s="8">
        <v>17</v>
      </c>
      <c r="J1491" s="8">
        <v>322</v>
      </c>
      <c r="K1491" s="9">
        <f t="shared" si="1449"/>
        <v>601</v>
      </c>
      <c r="L1491" s="12">
        <v>500</v>
      </c>
      <c r="M1491" s="11">
        <f t="shared" si="1491"/>
        <v>25000</v>
      </c>
      <c r="N1491" s="12">
        <v>500</v>
      </c>
      <c r="O1491" s="11">
        <f t="shared" si="1492"/>
        <v>25000</v>
      </c>
      <c r="P1491" s="12">
        <v>250</v>
      </c>
      <c r="Q1491" s="11">
        <f t="shared" si="1493"/>
        <v>15000</v>
      </c>
      <c r="X1491" s="12">
        <v>250</v>
      </c>
      <c r="Y1491" s="11">
        <f t="shared" si="1494"/>
        <v>15000</v>
      </c>
      <c r="AF1491" s="12">
        <v>0</v>
      </c>
      <c r="AG1491" s="11">
        <f t="shared" si="1495"/>
        <v>0</v>
      </c>
      <c r="AH1491" s="12">
        <v>0</v>
      </c>
      <c r="AI1491" s="11">
        <f t="shared" si="1496"/>
        <v>0</v>
      </c>
      <c r="AK1491" s="13">
        <f t="shared" si="1497"/>
        <v>0</v>
      </c>
      <c r="AL1491" s="12">
        <v>5</v>
      </c>
      <c r="AM1491" s="13">
        <f t="shared" si="1498"/>
        <v>45</v>
      </c>
      <c r="AO1491" s="11">
        <f t="shared" si="1499"/>
        <v>0</v>
      </c>
      <c r="AQ1491" s="11">
        <f t="shared" si="1500"/>
        <v>0</v>
      </c>
      <c r="AS1491" s="11">
        <f t="shared" si="1501"/>
        <v>0</v>
      </c>
      <c r="AU1491" s="11">
        <f t="shared" si="1502"/>
        <v>0</v>
      </c>
      <c r="AW1491" s="11">
        <f t="shared" si="1503"/>
        <v>0</v>
      </c>
      <c r="AY1491" s="11">
        <f t="shared" si="1504"/>
        <v>0</v>
      </c>
      <c r="BA1491" s="11">
        <f t="shared" si="1505"/>
        <v>0</v>
      </c>
      <c r="BC1491" s="11">
        <f t="shared" si="1506"/>
        <v>0</v>
      </c>
      <c r="BE1491" s="11">
        <f t="shared" si="1507"/>
        <v>0</v>
      </c>
      <c r="BG1491" s="11">
        <f t="shared" si="1508"/>
        <v>0</v>
      </c>
      <c r="BN1491" s="8">
        <f t="shared" si="1447"/>
        <v>1000</v>
      </c>
      <c r="BO1491" s="8">
        <f t="shared" si="1448"/>
        <v>55000</v>
      </c>
      <c r="BP1491" s="8">
        <f t="shared" si="1450"/>
        <v>755</v>
      </c>
      <c r="BQ1491" s="12">
        <f t="shared" si="1451"/>
        <v>40045</v>
      </c>
    </row>
    <row r="1492" spans="1:69">
      <c r="A1492" s="28">
        <v>1995</v>
      </c>
      <c r="B1492" s="27" t="s">
        <v>72</v>
      </c>
      <c r="C1492" s="24">
        <f t="shared" si="1471"/>
        <v>1452</v>
      </c>
      <c r="D1492" s="7" t="e">
        <f t="shared" ca="1" si="1490"/>
        <v>#N/A</v>
      </c>
      <c r="E1492" s="26">
        <f t="array" aca="1" ref="E1492" ca="1">AVERAGE(IF(INDIRECT(DatCol&amp;"$"&amp;TEXT(C1492,"###")):INDIRECT(DatCol&amp;"$"&amp;TEXT(C1492+57,"###"))&gt;0,INDIRECT(DatCol&amp;"$"&amp;TEXT(C1492,"###")):INDIRECT(DatCol&amp;"$"&amp;TEXT(C1492+57,"###"))))</f>
        <v>372.53333333333336</v>
      </c>
      <c r="F1492" s="26" t="str">
        <f t="shared" si="1509"/>
        <v>C</v>
      </c>
      <c r="G1492" s="9">
        <v>250</v>
      </c>
      <c r="H1492" s="9">
        <v>26</v>
      </c>
      <c r="I1492" s="9">
        <v>20</v>
      </c>
      <c r="J1492" s="9">
        <v>347</v>
      </c>
      <c r="K1492" s="9">
        <f t="shared" si="1449"/>
        <v>623</v>
      </c>
      <c r="L1492" s="10">
        <v>500</v>
      </c>
      <c r="M1492" s="11">
        <f t="shared" si="1491"/>
        <v>25000</v>
      </c>
      <c r="N1492" s="10">
        <v>500</v>
      </c>
      <c r="O1492" s="11">
        <f t="shared" si="1492"/>
        <v>25000</v>
      </c>
      <c r="P1492" s="10">
        <v>250</v>
      </c>
      <c r="Q1492" s="11">
        <f t="shared" si="1493"/>
        <v>15000</v>
      </c>
      <c r="X1492" s="10">
        <v>250</v>
      </c>
      <c r="Y1492" s="11">
        <f t="shared" si="1494"/>
        <v>15000</v>
      </c>
      <c r="AF1492" s="10">
        <v>0</v>
      </c>
      <c r="AG1492" s="11">
        <f t="shared" si="1495"/>
        <v>0</v>
      </c>
      <c r="AH1492" s="10">
        <v>0</v>
      </c>
      <c r="AI1492" s="11">
        <f t="shared" si="1496"/>
        <v>0</v>
      </c>
      <c r="AJ1492" s="10">
        <v>0</v>
      </c>
      <c r="AK1492" s="13">
        <f t="shared" si="1497"/>
        <v>0</v>
      </c>
      <c r="AL1492" s="10">
        <v>0</v>
      </c>
      <c r="AM1492" s="13">
        <f t="shared" si="1498"/>
        <v>0</v>
      </c>
      <c r="AN1492" s="10">
        <v>0</v>
      </c>
      <c r="AO1492" s="11">
        <f t="shared" si="1499"/>
        <v>0</v>
      </c>
      <c r="AP1492" s="10">
        <v>0</v>
      </c>
      <c r="AQ1492" s="11">
        <f t="shared" si="1500"/>
        <v>0</v>
      </c>
      <c r="AR1492" s="10">
        <v>0</v>
      </c>
      <c r="AS1492" s="11">
        <f t="shared" si="1501"/>
        <v>0</v>
      </c>
      <c r="AT1492" s="10">
        <v>0</v>
      </c>
      <c r="AU1492" s="11">
        <f t="shared" si="1502"/>
        <v>0</v>
      </c>
      <c r="AV1492" s="10">
        <v>0</v>
      </c>
      <c r="AW1492" s="11">
        <f t="shared" si="1503"/>
        <v>0</v>
      </c>
      <c r="AX1492" s="10">
        <v>0</v>
      </c>
      <c r="AY1492" s="11">
        <f t="shared" si="1504"/>
        <v>0</v>
      </c>
      <c r="BA1492" s="11">
        <f t="shared" si="1505"/>
        <v>0</v>
      </c>
      <c r="BC1492" s="11">
        <f t="shared" si="1506"/>
        <v>0</v>
      </c>
      <c r="BE1492" s="11">
        <f t="shared" si="1507"/>
        <v>0</v>
      </c>
      <c r="BG1492" s="11">
        <f t="shared" si="1508"/>
        <v>0</v>
      </c>
      <c r="BN1492" s="8">
        <f t="shared" si="1447"/>
        <v>1000</v>
      </c>
      <c r="BO1492" s="8">
        <f t="shared" si="1448"/>
        <v>55000</v>
      </c>
      <c r="BP1492" s="8">
        <f t="shared" si="1450"/>
        <v>750</v>
      </c>
      <c r="BQ1492" s="12">
        <f t="shared" si="1451"/>
        <v>40000</v>
      </c>
    </row>
    <row r="1493" spans="1:69">
      <c r="A1493" s="28">
        <v>1996</v>
      </c>
      <c r="B1493" s="27" t="s">
        <v>72</v>
      </c>
      <c r="C1493" s="24">
        <f t="shared" si="1471"/>
        <v>1452</v>
      </c>
      <c r="D1493" s="7" t="e">
        <f t="shared" ca="1" si="1490"/>
        <v>#N/A</v>
      </c>
      <c r="E1493" s="26">
        <f t="array" aca="1" ref="E1493" ca="1">AVERAGE(IF(INDIRECT(DatCol&amp;"$"&amp;TEXT(C1493,"###")):INDIRECT(DatCol&amp;"$"&amp;TEXT(C1493+57,"###"))&gt;0,INDIRECT(DatCol&amp;"$"&amp;TEXT(C1493,"###")):INDIRECT(DatCol&amp;"$"&amp;TEXT(C1493+57,"###"))))</f>
        <v>372.53333333333336</v>
      </c>
      <c r="F1493" s="26" t="str">
        <f t="shared" si="1509"/>
        <v>C</v>
      </c>
      <c r="G1493" s="9">
        <v>250</v>
      </c>
      <c r="H1493" s="9">
        <v>26</v>
      </c>
      <c r="I1493" s="9">
        <v>20</v>
      </c>
      <c r="J1493" s="9">
        <v>347</v>
      </c>
      <c r="K1493" s="9">
        <f t="shared" si="1449"/>
        <v>623</v>
      </c>
      <c r="L1493" s="10">
        <v>500</v>
      </c>
      <c r="M1493" s="11">
        <f t="shared" si="1491"/>
        <v>25000</v>
      </c>
      <c r="N1493" s="10">
        <v>500</v>
      </c>
      <c r="O1493" s="11">
        <f t="shared" si="1492"/>
        <v>25000</v>
      </c>
      <c r="P1493" s="10">
        <v>250</v>
      </c>
      <c r="Q1493" s="11">
        <f t="shared" si="1493"/>
        <v>15000</v>
      </c>
      <c r="X1493" s="10">
        <v>250</v>
      </c>
      <c r="Y1493" s="11">
        <f t="shared" si="1494"/>
        <v>15000</v>
      </c>
      <c r="AF1493" s="10">
        <v>0</v>
      </c>
      <c r="AG1493" s="11">
        <f t="shared" si="1495"/>
        <v>0</v>
      </c>
      <c r="AH1493" s="10">
        <v>0</v>
      </c>
      <c r="AI1493" s="11">
        <f t="shared" si="1496"/>
        <v>0</v>
      </c>
      <c r="AJ1493" s="10">
        <v>0</v>
      </c>
      <c r="AK1493" s="13">
        <f t="shared" si="1497"/>
        <v>0</v>
      </c>
      <c r="AL1493" s="10">
        <v>0</v>
      </c>
      <c r="AM1493" s="13">
        <f t="shared" si="1498"/>
        <v>0</v>
      </c>
      <c r="AN1493" s="10">
        <v>0</v>
      </c>
      <c r="AO1493" s="11">
        <f t="shared" si="1499"/>
        <v>0</v>
      </c>
      <c r="AP1493" s="10">
        <v>0</v>
      </c>
      <c r="AQ1493" s="11">
        <f t="shared" si="1500"/>
        <v>0</v>
      </c>
      <c r="AR1493" s="10">
        <v>0</v>
      </c>
      <c r="AS1493" s="11">
        <f t="shared" si="1501"/>
        <v>0</v>
      </c>
      <c r="AT1493" s="10">
        <v>0</v>
      </c>
      <c r="AU1493" s="11">
        <f t="shared" si="1502"/>
        <v>0</v>
      </c>
      <c r="AV1493" s="10">
        <v>0</v>
      </c>
      <c r="AW1493" s="11">
        <f t="shared" si="1503"/>
        <v>0</v>
      </c>
      <c r="AX1493" s="10">
        <v>0</v>
      </c>
      <c r="AY1493" s="11">
        <f t="shared" si="1504"/>
        <v>0</v>
      </c>
      <c r="BA1493" s="11">
        <f t="shared" si="1505"/>
        <v>0</v>
      </c>
      <c r="BC1493" s="11">
        <f t="shared" si="1506"/>
        <v>0</v>
      </c>
      <c r="BE1493" s="11">
        <f t="shared" si="1507"/>
        <v>0</v>
      </c>
      <c r="BG1493" s="11">
        <f t="shared" si="1508"/>
        <v>0</v>
      </c>
      <c r="BN1493" s="8">
        <f t="shared" si="1447"/>
        <v>1000</v>
      </c>
      <c r="BO1493" s="8">
        <f t="shared" si="1448"/>
        <v>55000</v>
      </c>
      <c r="BP1493" s="8">
        <f t="shared" si="1450"/>
        <v>750</v>
      </c>
      <c r="BQ1493" s="12">
        <f t="shared" si="1451"/>
        <v>40000</v>
      </c>
    </row>
    <row r="1494" spans="1:69">
      <c r="A1494" s="28">
        <v>1997</v>
      </c>
      <c r="B1494" s="27" t="s">
        <v>72</v>
      </c>
      <c r="C1494" s="24">
        <f t="shared" si="1471"/>
        <v>1452</v>
      </c>
      <c r="D1494" s="7" t="e">
        <f t="shared" ca="1" si="1490"/>
        <v>#N/A</v>
      </c>
      <c r="E1494" s="26">
        <f t="array" aca="1" ref="E1494" ca="1">AVERAGE(IF(INDIRECT(DatCol&amp;"$"&amp;TEXT(C1494,"###")):INDIRECT(DatCol&amp;"$"&amp;TEXT(C1494+57,"###"))&gt;0,INDIRECT(DatCol&amp;"$"&amp;TEXT(C1494,"###")):INDIRECT(DatCol&amp;"$"&amp;TEXT(C1494+57,"###"))))</f>
        <v>372.53333333333336</v>
      </c>
      <c r="F1494" s="26" t="str">
        <f t="shared" si="1509"/>
        <v>C</v>
      </c>
      <c r="G1494" s="9">
        <v>250</v>
      </c>
      <c r="H1494" s="9">
        <v>26</v>
      </c>
      <c r="I1494" s="9">
        <v>13</v>
      </c>
      <c r="J1494" s="9">
        <v>323</v>
      </c>
      <c r="K1494" s="9">
        <f t="shared" si="1449"/>
        <v>599</v>
      </c>
      <c r="L1494" s="10">
        <v>500</v>
      </c>
      <c r="M1494" s="11">
        <f t="shared" si="1491"/>
        <v>25000</v>
      </c>
      <c r="N1494" s="10">
        <v>500</v>
      </c>
      <c r="O1494" s="11">
        <f t="shared" si="1492"/>
        <v>25000</v>
      </c>
      <c r="P1494" s="10">
        <v>250</v>
      </c>
      <c r="Q1494" s="11">
        <f t="shared" si="1493"/>
        <v>15000</v>
      </c>
      <c r="X1494" s="10">
        <v>250</v>
      </c>
      <c r="Y1494" s="11">
        <f t="shared" si="1494"/>
        <v>15000</v>
      </c>
      <c r="AF1494" s="10">
        <v>0</v>
      </c>
      <c r="AG1494" s="11">
        <f t="shared" si="1495"/>
        <v>0</v>
      </c>
      <c r="AH1494" s="10">
        <v>0</v>
      </c>
      <c r="AI1494" s="11">
        <f t="shared" si="1496"/>
        <v>0</v>
      </c>
      <c r="AJ1494" s="10">
        <v>0</v>
      </c>
      <c r="AK1494" s="13">
        <f t="shared" si="1497"/>
        <v>0</v>
      </c>
      <c r="AL1494" s="10">
        <v>0</v>
      </c>
      <c r="AM1494" s="13">
        <f t="shared" si="1498"/>
        <v>0</v>
      </c>
      <c r="AN1494" s="10">
        <v>0</v>
      </c>
      <c r="AO1494" s="11">
        <f t="shared" si="1499"/>
        <v>0</v>
      </c>
      <c r="AP1494" s="10">
        <v>0</v>
      </c>
      <c r="AQ1494" s="11">
        <f t="shared" si="1500"/>
        <v>0</v>
      </c>
      <c r="AR1494" s="10">
        <v>0</v>
      </c>
      <c r="AS1494" s="11">
        <f t="shared" si="1501"/>
        <v>0</v>
      </c>
      <c r="AT1494" s="10">
        <v>0</v>
      </c>
      <c r="AU1494" s="11">
        <f t="shared" si="1502"/>
        <v>0</v>
      </c>
      <c r="AV1494" s="10">
        <v>0</v>
      </c>
      <c r="AW1494" s="11">
        <f t="shared" si="1503"/>
        <v>0</v>
      </c>
      <c r="AX1494" s="10">
        <v>0</v>
      </c>
      <c r="AY1494" s="11">
        <f t="shared" si="1504"/>
        <v>0</v>
      </c>
      <c r="BA1494" s="11">
        <f t="shared" si="1505"/>
        <v>0</v>
      </c>
      <c r="BC1494" s="11">
        <f t="shared" si="1506"/>
        <v>0</v>
      </c>
      <c r="BE1494" s="11">
        <f t="shared" si="1507"/>
        <v>0</v>
      </c>
      <c r="BG1494" s="11">
        <f t="shared" si="1508"/>
        <v>0</v>
      </c>
      <c r="BN1494" s="8">
        <f t="shared" si="1447"/>
        <v>1000</v>
      </c>
      <c r="BO1494" s="8">
        <f t="shared" si="1448"/>
        <v>55000</v>
      </c>
      <c r="BP1494" s="8">
        <f t="shared" si="1450"/>
        <v>750</v>
      </c>
      <c r="BQ1494" s="12">
        <f t="shared" si="1451"/>
        <v>40000</v>
      </c>
    </row>
    <row r="1495" spans="1:69">
      <c r="A1495" s="28">
        <v>1998</v>
      </c>
      <c r="B1495" s="27" t="s">
        <v>72</v>
      </c>
      <c r="C1495" s="24">
        <f t="shared" si="1471"/>
        <v>1452</v>
      </c>
      <c r="D1495" s="7" t="e">
        <f t="shared" ca="1" si="1490"/>
        <v>#N/A</v>
      </c>
      <c r="E1495" s="26">
        <f t="array" aca="1" ref="E1495" ca="1">AVERAGE(IF(INDIRECT(DatCol&amp;"$"&amp;TEXT(C1495,"###")):INDIRECT(DatCol&amp;"$"&amp;TEXT(C1495+57,"###"))&gt;0,INDIRECT(DatCol&amp;"$"&amp;TEXT(C1495,"###")):INDIRECT(DatCol&amp;"$"&amp;TEXT(C1495+57,"###"))))</f>
        <v>372.53333333333336</v>
      </c>
      <c r="F1495" s="26" t="str">
        <f t="shared" si="1509"/>
        <v>C</v>
      </c>
      <c r="G1495" s="9">
        <v>250</v>
      </c>
      <c r="H1495" s="9">
        <v>26</v>
      </c>
      <c r="I1495" s="9">
        <v>13</v>
      </c>
      <c r="J1495" s="9">
        <v>323</v>
      </c>
      <c r="K1495" s="9">
        <f t="shared" si="1449"/>
        <v>599</v>
      </c>
      <c r="L1495" s="10">
        <v>500</v>
      </c>
      <c r="M1495" s="11">
        <v>25000</v>
      </c>
      <c r="N1495" s="10">
        <v>500</v>
      </c>
      <c r="O1495" s="11">
        <v>25000</v>
      </c>
      <c r="P1495" s="10">
        <v>250</v>
      </c>
      <c r="Q1495" s="11">
        <v>15000</v>
      </c>
      <c r="X1495" s="10">
        <v>250</v>
      </c>
      <c r="Y1495" s="11">
        <v>15000</v>
      </c>
      <c r="AF1495" s="10">
        <v>0</v>
      </c>
      <c r="AG1495" s="11">
        <v>0</v>
      </c>
      <c r="AH1495" s="10">
        <v>0</v>
      </c>
      <c r="AI1495" s="11">
        <v>0</v>
      </c>
      <c r="AJ1495" s="10">
        <v>0</v>
      </c>
      <c r="AK1495" s="13">
        <v>0</v>
      </c>
      <c r="AL1495" s="10">
        <v>0</v>
      </c>
      <c r="AM1495" s="13">
        <v>0</v>
      </c>
      <c r="AN1495" s="10">
        <v>0</v>
      </c>
      <c r="AO1495" s="11">
        <v>0</v>
      </c>
      <c r="AP1495" s="10">
        <v>0</v>
      </c>
      <c r="AQ1495" s="11">
        <v>0</v>
      </c>
      <c r="AR1495" s="10">
        <v>0</v>
      </c>
      <c r="AS1495" s="11">
        <v>0</v>
      </c>
      <c r="AT1495" s="10">
        <v>0</v>
      </c>
      <c r="AU1495" s="11">
        <v>0</v>
      </c>
      <c r="AV1495" s="10">
        <v>0</v>
      </c>
      <c r="AW1495" s="11">
        <v>0</v>
      </c>
      <c r="AX1495" s="10">
        <v>0</v>
      </c>
      <c r="AY1495" s="11">
        <v>0</v>
      </c>
      <c r="BA1495" s="11">
        <v>0</v>
      </c>
      <c r="BC1495" s="11">
        <v>0</v>
      </c>
      <c r="BE1495" s="11">
        <v>0</v>
      </c>
      <c r="BG1495" s="11">
        <v>0</v>
      </c>
      <c r="BN1495" s="8">
        <f t="shared" si="1447"/>
        <v>1000</v>
      </c>
      <c r="BO1495" s="8">
        <f t="shared" si="1448"/>
        <v>55000</v>
      </c>
      <c r="BP1495" s="8">
        <f t="shared" si="1450"/>
        <v>750</v>
      </c>
      <c r="BQ1495" s="12">
        <f t="shared" si="1451"/>
        <v>40000</v>
      </c>
    </row>
    <row r="1496" spans="1:69">
      <c r="A1496" s="28">
        <v>1999</v>
      </c>
      <c r="B1496" s="27" t="s">
        <v>72</v>
      </c>
      <c r="C1496" s="24">
        <f t="shared" si="1471"/>
        <v>1452</v>
      </c>
      <c r="D1496" s="7" t="e">
        <f t="shared" ca="1" si="1490"/>
        <v>#N/A</v>
      </c>
      <c r="E1496" s="26">
        <f t="array" aca="1" ref="E1496" ca="1">AVERAGE(IF(INDIRECT(DatCol&amp;"$"&amp;TEXT(C1496,"###")):INDIRECT(DatCol&amp;"$"&amp;TEXT(C1496+57,"###"))&gt;0,INDIRECT(DatCol&amp;"$"&amp;TEXT(C1496,"###")):INDIRECT(DatCol&amp;"$"&amp;TEXT(C1496+57,"###"))))</f>
        <v>372.53333333333336</v>
      </c>
      <c r="F1496" s="26" t="str">
        <f t="shared" si="1509"/>
        <v>C</v>
      </c>
      <c r="G1496" s="9">
        <v>250</v>
      </c>
      <c r="H1496" s="9">
        <v>26</v>
      </c>
      <c r="I1496" s="9">
        <v>13</v>
      </c>
      <c r="J1496" s="9">
        <v>323</v>
      </c>
      <c r="K1496" s="9">
        <f t="shared" si="1449"/>
        <v>599</v>
      </c>
      <c r="L1496" s="10">
        <v>500</v>
      </c>
      <c r="M1496" s="11">
        <v>25000</v>
      </c>
      <c r="N1496" s="10">
        <v>500</v>
      </c>
      <c r="O1496" s="11">
        <v>25000</v>
      </c>
      <c r="P1496" s="10">
        <v>250</v>
      </c>
      <c r="Q1496" s="11">
        <v>15000</v>
      </c>
      <c r="X1496" s="10">
        <v>250</v>
      </c>
      <c r="Y1496" s="11">
        <v>15000</v>
      </c>
      <c r="AF1496" s="10">
        <v>0</v>
      </c>
      <c r="AG1496" s="11">
        <v>0</v>
      </c>
      <c r="AH1496" s="10">
        <v>0</v>
      </c>
      <c r="AI1496" s="11">
        <v>0</v>
      </c>
      <c r="AJ1496" s="10">
        <v>0</v>
      </c>
      <c r="AK1496" s="13">
        <v>0</v>
      </c>
      <c r="AL1496" s="10">
        <v>0</v>
      </c>
      <c r="AM1496" s="13">
        <v>0</v>
      </c>
      <c r="AN1496" s="10">
        <v>0</v>
      </c>
      <c r="AO1496" s="11">
        <v>0</v>
      </c>
      <c r="AP1496" s="10">
        <v>0</v>
      </c>
      <c r="AQ1496" s="11">
        <v>0</v>
      </c>
      <c r="AR1496" s="10">
        <v>0</v>
      </c>
      <c r="AS1496" s="11">
        <v>0</v>
      </c>
      <c r="AT1496" s="10">
        <v>0</v>
      </c>
      <c r="AU1496" s="11">
        <v>0</v>
      </c>
      <c r="AV1496" s="10">
        <v>0</v>
      </c>
      <c r="AW1496" s="11">
        <v>0</v>
      </c>
      <c r="AX1496" s="10">
        <v>0</v>
      </c>
      <c r="AY1496" s="11">
        <v>0</v>
      </c>
      <c r="BA1496" s="11">
        <v>0</v>
      </c>
      <c r="BC1496" s="11">
        <v>0</v>
      </c>
      <c r="BE1496" s="11">
        <v>0</v>
      </c>
      <c r="BG1496" s="11">
        <v>0</v>
      </c>
      <c r="BN1496" s="8">
        <f t="shared" si="1447"/>
        <v>1000</v>
      </c>
      <c r="BO1496" s="8">
        <f t="shared" si="1448"/>
        <v>55000</v>
      </c>
      <c r="BP1496" s="8">
        <f t="shared" si="1450"/>
        <v>750</v>
      </c>
      <c r="BQ1496" s="12">
        <f t="shared" si="1451"/>
        <v>40000</v>
      </c>
    </row>
    <row r="1497" spans="1:69">
      <c r="A1497" s="28">
        <v>2000</v>
      </c>
      <c r="B1497" s="27" t="s">
        <v>72</v>
      </c>
      <c r="C1497" s="24">
        <f t="shared" si="1471"/>
        <v>1452</v>
      </c>
      <c r="D1497" s="7" t="e">
        <f t="shared" ca="1" si="1490"/>
        <v>#N/A</v>
      </c>
      <c r="E1497" s="26">
        <f t="array" aca="1" ref="E1497" ca="1">AVERAGE(IF(INDIRECT(DatCol&amp;"$"&amp;TEXT(C1497,"###")):INDIRECT(DatCol&amp;"$"&amp;TEXT(C1497+57,"###"))&gt;0,INDIRECT(DatCol&amp;"$"&amp;TEXT(C1497,"###")):INDIRECT(DatCol&amp;"$"&amp;TEXT(C1497+57,"###"))))</f>
        <v>372.53333333333336</v>
      </c>
      <c r="F1497" s="26" t="str">
        <f t="shared" si="1509"/>
        <v>C</v>
      </c>
      <c r="G1497" s="9">
        <v>283</v>
      </c>
      <c r="H1497" s="9">
        <v>28</v>
      </c>
      <c r="I1497" s="9">
        <v>20</v>
      </c>
      <c r="J1497" s="9">
        <v>428</v>
      </c>
      <c r="K1497" s="9">
        <f t="shared" si="1449"/>
        <v>739</v>
      </c>
      <c r="L1497" s="10">
        <v>0</v>
      </c>
      <c r="M1497" s="11">
        <v>0</v>
      </c>
      <c r="N1497" s="10">
        <v>0</v>
      </c>
      <c r="O1497" s="11">
        <v>0</v>
      </c>
      <c r="P1497" s="10">
        <f>Q1497/75</f>
        <v>66.666666666666671</v>
      </c>
      <c r="Q1497" s="11">
        <v>5000</v>
      </c>
      <c r="R1497" s="10">
        <f>S1497/75</f>
        <v>1333.3333333333333</v>
      </c>
      <c r="S1497" s="11">
        <v>100000</v>
      </c>
      <c r="T1497" s="10">
        <v>0</v>
      </c>
      <c r="U1497" s="11">
        <v>0</v>
      </c>
      <c r="V1497" s="10">
        <v>0</v>
      </c>
      <c r="W1497" s="11">
        <v>0</v>
      </c>
      <c r="X1497" s="10">
        <f>Y1497/75</f>
        <v>546.66666666666663</v>
      </c>
      <c r="Y1497" s="11">
        <v>41000</v>
      </c>
      <c r="Z1497" s="10">
        <f>AA1497/75</f>
        <v>546.66666666666663</v>
      </c>
      <c r="AA1497" s="11">
        <v>41000</v>
      </c>
      <c r="AB1497" s="10">
        <v>0</v>
      </c>
      <c r="AC1497" s="11">
        <v>0</v>
      </c>
      <c r="AD1497" s="10">
        <v>0</v>
      </c>
      <c r="AE1497" s="11">
        <v>0</v>
      </c>
      <c r="AF1497" s="10">
        <v>0</v>
      </c>
      <c r="AG1497" s="11">
        <v>0</v>
      </c>
      <c r="AH1497" s="10">
        <v>0</v>
      </c>
      <c r="AI1497" s="11">
        <v>0</v>
      </c>
      <c r="AJ1497" s="10">
        <v>0</v>
      </c>
      <c r="AK1497" s="13">
        <v>0</v>
      </c>
      <c r="AL1497" s="10">
        <f>AM1497/9</f>
        <v>555.55555555555554</v>
      </c>
      <c r="AM1497" s="13">
        <v>5000</v>
      </c>
      <c r="AN1497" s="10">
        <v>0</v>
      </c>
      <c r="AO1497" s="11">
        <v>0</v>
      </c>
      <c r="AP1497" s="10">
        <v>0</v>
      </c>
      <c r="AQ1497" s="11">
        <v>0</v>
      </c>
      <c r="AR1497" s="10">
        <v>0</v>
      </c>
      <c r="AS1497" s="11">
        <v>0</v>
      </c>
      <c r="AT1497" s="10">
        <v>1.8</v>
      </c>
      <c r="AU1497" s="11">
        <v>100</v>
      </c>
      <c r="AV1497" s="10">
        <v>0</v>
      </c>
      <c r="AW1497" s="11">
        <v>0</v>
      </c>
      <c r="AX1497" s="10">
        <v>0</v>
      </c>
      <c r="AY1497" s="11">
        <v>0</v>
      </c>
      <c r="BA1497" s="11">
        <v>0</v>
      </c>
      <c r="BC1497" s="11">
        <v>0</v>
      </c>
      <c r="BE1497" s="11">
        <v>0</v>
      </c>
      <c r="BG1497" s="11">
        <v>0</v>
      </c>
      <c r="BI1497" s="11">
        <v>200</v>
      </c>
      <c r="BN1497" s="8">
        <f t="shared" si="1447"/>
        <v>2493.333333333333</v>
      </c>
      <c r="BO1497" s="8">
        <f t="shared" si="1448"/>
        <v>187000</v>
      </c>
      <c r="BP1497" s="8">
        <f t="shared" si="1450"/>
        <v>1650.6888888888886</v>
      </c>
      <c r="BQ1497" s="12">
        <f t="shared" si="1451"/>
        <v>87100</v>
      </c>
    </row>
    <row r="1498" spans="1:69">
      <c r="A1498" s="28">
        <v>2001</v>
      </c>
      <c r="B1498" s="27" t="s">
        <v>72</v>
      </c>
      <c r="C1498" s="24">
        <f t="shared" si="1471"/>
        <v>1452</v>
      </c>
      <c r="D1498" s="7" t="e">
        <f t="shared" ca="1" si="1490"/>
        <v>#N/A</v>
      </c>
      <c r="E1498" s="26">
        <f t="array" aca="1" ref="E1498" ca="1">AVERAGE(IF(INDIRECT(DatCol&amp;"$"&amp;TEXT(C1498,"###")):INDIRECT(DatCol&amp;"$"&amp;TEXT(C1498+57,"###"))&gt;0,INDIRECT(DatCol&amp;"$"&amp;TEXT(C1498,"###")):INDIRECT(DatCol&amp;"$"&amp;TEXT(C1498+57,"###"))))</f>
        <v>372.53333333333336</v>
      </c>
      <c r="F1498" s="26" t="str">
        <f t="shared" si="1509"/>
        <v>C</v>
      </c>
      <c r="G1498" s="9">
        <v>250</v>
      </c>
      <c r="H1498" s="9">
        <v>31</v>
      </c>
      <c r="I1498" s="9">
        <v>17</v>
      </c>
      <c r="J1498" s="9">
        <v>447</v>
      </c>
      <c r="K1498" s="9">
        <f t="shared" si="1449"/>
        <v>728</v>
      </c>
      <c r="L1498" s="10">
        <v>0</v>
      </c>
      <c r="M1498" s="11">
        <v>0</v>
      </c>
      <c r="N1498" s="10">
        <f>O1498/50</f>
        <v>10</v>
      </c>
      <c r="O1498" s="11">
        <v>500</v>
      </c>
      <c r="P1498" s="10">
        <f>Q1498/75</f>
        <v>26.666666666666668</v>
      </c>
      <c r="Q1498" s="11">
        <v>2000</v>
      </c>
      <c r="R1498" s="10">
        <f>S1498/75</f>
        <v>666.66666666666663</v>
      </c>
      <c r="S1498" s="11">
        <v>50000</v>
      </c>
      <c r="T1498" s="10">
        <v>0</v>
      </c>
      <c r="U1498" s="11">
        <v>0</v>
      </c>
      <c r="V1498" s="10">
        <v>0</v>
      </c>
      <c r="W1498" s="11">
        <v>0</v>
      </c>
      <c r="X1498" s="10">
        <f>Y1498/75</f>
        <v>533.33333333333337</v>
      </c>
      <c r="Y1498" s="11">
        <v>40000</v>
      </c>
      <c r="Z1498" s="10">
        <f>AA1498/75</f>
        <v>533.33333333333337</v>
      </c>
      <c r="AA1498" s="11">
        <v>40000</v>
      </c>
      <c r="AB1498" s="10">
        <v>0</v>
      </c>
      <c r="AC1498" s="11">
        <v>0</v>
      </c>
      <c r="AD1498" s="10">
        <v>0</v>
      </c>
      <c r="AE1498" s="11">
        <v>0</v>
      </c>
      <c r="AF1498" s="10">
        <v>0</v>
      </c>
      <c r="AG1498" s="11">
        <v>0</v>
      </c>
      <c r="AH1498" s="10">
        <v>0</v>
      </c>
      <c r="AI1498" s="11">
        <v>0</v>
      </c>
      <c r="AJ1498" s="10">
        <v>0</v>
      </c>
      <c r="AK1498" s="13">
        <v>0</v>
      </c>
      <c r="AL1498" s="10">
        <f>AM1498/9</f>
        <v>555.55555555555554</v>
      </c>
      <c r="AM1498" s="13">
        <v>5000</v>
      </c>
      <c r="AN1498" s="10">
        <v>0</v>
      </c>
      <c r="AO1498" s="11">
        <v>0</v>
      </c>
      <c r="AP1498" s="10">
        <v>0</v>
      </c>
      <c r="AQ1498" s="11">
        <v>0</v>
      </c>
      <c r="AR1498" s="10">
        <v>0</v>
      </c>
      <c r="AS1498" s="11">
        <v>0</v>
      </c>
      <c r="AT1498" s="10">
        <f>AU1498/55</f>
        <v>1.8181818181818181</v>
      </c>
      <c r="AU1498" s="11">
        <v>100</v>
      </c>
      <c r="AV1498" s="10">
        <v>0</v>
      </c>
      <c r="AW1498" s="11">
        <v>0</v>
      </c>
      <c r="AX1498" s="10">
        <v>0</v>
      </c>
      <c r="AY1498" s="11">
        <v>0</v>
      </c>
      <c r="AZ1498" s="10">
        <v>0</v>
      </c>
      <c r="BA1498" s="11">
        <v>0</v>
      </c>
      <c r="BB1498" s="10">
        <v>0</v>
      </c>
      <c r="BC1498" s="11">
        <v>0</v>
      </c>
      <c r="BD1498" s="10">
        <v>0</v>
      </c>
      <c r="BE1498" s="11">
        <v>0</v>
      </c>
      <c r="BF1498" s="10">
        <v>0</v>
      </c>
      <c r="BG1498" s="11">
        <v>0</v>
      </c>
      <c r="BH1498" s="11">
        <v>0</v>
      </c>
      <c r="BI1498" s="11">
        <v>200</v>
      </c>
      <c r="BN1498" s="8">
        <f t="shared" ref="BN1498:BN1562" si="1510">(L1498+P1498+R1498+T1498+V1498+X1498+Z1498+AB1498+AD1498+AF1498+AJ1498+AN1498+AR1498+AV1498+AZ1498+BD1498)</f>
        <v>1760</v>
      </c>
      <c r="BO1498" s="8">
        <f t="shared" si="1448"/>
        <v>132000</v>
      </c>
      <c r="BP1498" s="8">
        <f t="shared" si="1450"/>
        <v>1634.0404040404039</v>
      </c>
      <c r="BQ1498" s="12">
        <f t="shared" si="1451"/>
        <v>85600</v>
      </c>
    </row>
    <row r="1499" spans="1:69">
      <c r="A1499" s="28">
        <v>2002</v>
      </c>
      <c r="B1499" s="27" t="s">
        <v>72</v>
      </c>
      <c r="C1499" s="24">
        <f t="shared" si="1471"/>
        <v>1452</v>
      </c>
      <c r="D1499" s="7" t="e">
        <f t="shared" ca="1" si="1490"/>
        <v>#N/A</v>
      </c>
      <c r="E1499" s="26">
        <f t="array" aca="1" ref="E1499" ca="1">AVERAGE(IF(INDIRECT(DatCol&amp;"$"&amp;TEXT(C1499,"###")):INDIRECT(DatCol&amp;"$"&amp;TEXT(C1499+57,"###"))&gt;0,INDIRECT(DatCol&amp;"$"&amp;TEXT(C1499,"###")):INDIRECT(DatCol&amp;"$"&amp;TEXT(C1499+57,"###"))))</f>
        <v>372.53333333333336</v>
      </c>
      <c r="F1499" s="26" t="str">
        <f t="shared" si="1509"/>
        <v>C</v>
      </c>
      <c r="G1499" s="9">
        <v>248</v>
      </c>
      <c r="H1499" s="9">
        <v>22</v>
      </c>
      <c r="I1499" s="9">
        <v>15</v>
      </c>
      <c r="J1499" s="9">
        <v>425</v>
      </c>
      <c r="K1499" s="9">
        <f t="shared" si="1449"/>
        <v>695</v>
      </c>
      <c r="L1499" s="10">
        <f>M1499/50</f>
        <v>60</v>
      </c>
      <c r="M1499" s="11">
        <v>3000</v>
      </c>
      <c r="N1499" s="10">
        <f>O1499/50</f>
        <v>40</v>
      </c>
      <c r="O1499" s="11">
        <v>2000</v>
      </c>
      <c r="P1499" s="10">
        <f>Q1499/75</f>
        <v>53.333333333333336</v>
      </c>
      <c r="Q1499" s="11">
        <v>4000</v>
      </c>
      <c r="R1499" s="10">
        <f>S1499/75</f>
        <v>1066.6666666666667</v>
      </c>
      <c r="S1499" s="11">
        <v>80000</v>
      </c>
      <c r="T1499" s="10">
        <v>0</v>
      </c>
      <c r="U1499" s="11">
        <v>0</v>
      </c>
      <c r="V1499" s="10">
        <v>0</v>
      </c>
      <c r="W1499" s="11">
        <v>0</v>
      </c>
      <c r="X1499" s="10">
        <f>Y1499/75</f>
        <v>466.66666666666669</v>
      </c>
      <c r="Y1499" s="11">
        <v>35000</v>
      </c>
      <c r="Z1499" s="10">
        <f>AA1499/75</f>
        <v>466.66666666666669</v>
      </c>
      <c r="AA1499" s="11">
        <v>35000</v>
      </c>
      <c r="AB1499" s="10">
        <v>0</v>
      </c>
      <c r="AC1499" s="11">
        <v>0</v>
      </c>
      <c r="AD1499" s="10">
        <v>0</v>
      </c>
      <c r="AE1499" s="11">
        <v>0</v>
      </c>
      <c r="AF1499" s="10">
        <v>0</v>
      </c>
      <c r="AG1499" s="11">
        <v>0</v>
      </c>
      <c r="AH1499" s="10">
        <v>0</v>
      </c>
      <c r="AI1499" s="11">
        <v>0</v>
      </c>
      <c r="AJ1499" s="10">
        <f>AK1499/9</f>
        <v>1111.1111111111111</v>
      </c>
      <c r="AK1499" s="13">
        <v>10000</v>
      </c>
      <c r="AL1499" s="10">
        <f>AM1499/9</f>
        <v>1111.1111111111111</v>
      </c>
      <c r="AM1499" s="13">
        <v>10000</v>
      </c>
      <c r="AN1499" s="10">
        <v>0</v>
      </c>
      <c r="AO1499" s="11">
        <v>0</v>
      </c>
      <c r="AP1499" s="10">
        <v>0</v>
      </c>
      <c r="AQ1499" s="11">
        <v>0</v>
      </c>
      <c r="AR1499" s="10">
        <v>0</v>
      </c>
      <c r="AS1499" s="11">
        <v>0</v>
      </c>
      <c r="AT1499" s="10">
        <v>1.8</v>
      </c>
      <c r="AU1499" s="11">
        <v>100</v>
      </c>
      <c r="AV1499" s="10">
        <v>0</v>
      </c>
      <c r="AW1499" s="11">
        <v>0</v>
      </c>
      <c r="AX1499" s="10">
        <v>0</v>
      </c>
      <c r="AY1499" s="11">
        <v>0</v>
      </c>
      <c r="AZ1499" s="10">
        <v>0</v>
      </c>
      <c r="BA1499" s="11">
        <v>0</v>
      </c>
      <c r="BB1499" s="10">
        <v>0</v>
      </c>
      <c r="BC1499" s="11">
        <v>0</v>
      </c>
      <c r="BD1499" s="10">
        <v>0</v>
      </c>
      <c r="BE1499" s="11">
        <v>0</v>
      </c>
      <c r="BF1499" s="10">
        <v>0</v>
      </c>
      <c r="BG1499" s="11">
        <v>0</v>
      </c>
      <c r="BH1499" s="11">
        <v>0</v>
      </c>
      <c r="BI1499" s="11">
        <v>200</v>
      </c>
      <c r="BN1499" s="8">
        <f t="shared" si="1510"/>
        <v>3224.4444444444443</v>
      </c>
      <c r="BO1499" s="8">
        <f t="shared" ref="BO1499:BO1563" si="1511">(M1499+Q1499+S1499+U1499+W1499+Y1499+AA1499+AC1499+AG1499+AK1499+AO1499+AS1499+AW1499+BA1499+BE1499)</f>
        <v>167000</v>
      </c>
      <c r="BP1499" s="8">
        <f t="shared" si="1450"/>
        <v>2086.2444444444445</v>
      </c>
      <c r="BQ1499" s="12">
        <f t="shared" si="1451"/>
        <v>82100</v>
      </c>
    </row>
    <row r="1500" spans="1:69">
      <c r="A1500" s="28">
        <v>2003</v>
      </c>
      <c r="B1500" s="27" t="s">
        <v>72</v>
      </c>
      <c r="C1500" s="24">
        <f t="shared" si="1471"/>
        <v>1452</v>
      </c>
      <c r="D1500" s="7" t="e">
        <f t="shared" ca="1" si="1490"/>
        <v>#N/A</v>
      </c>
      <c r="E1500" s="26">
        <f t="array" aca="1" ref="E1500" ca="1">AVERAGE(IF(INDIRECT(DatCol&amp;"$"&amp;TEXT(C1500,"###")):INDIRECT(DatCol&amp;"$"&amp;TEXT(C1500+57,"###"))&gt;0,INDIRECT(DatCol&amp;"$"&amp;TEXT(C1500,"###")):INDIRECT(DatCol&amp;"$"&amp;TEXT(C1500+57,"###"))))</f>
        <v>372.53333333333336</v>
      </c>
      <c r="F1500" s="26" t="str">
        <f t="shared" si="1509"/>
        <v>C</v>
      </c>
      <c r="H1500" s="9">
        <v>18</v>
      </c>
      <c r="I1500" s="9">
        <v>14</v>
      </c>
      <c r="J1500" s="9">
        <v>711</v>
      </c>
      <c r="K1500" s="9">
        <f t="shared" ref="K1500:K1564" si="1512">G1500+H1500+J1500</f>
        <v>729</v>
      </c>
      <c r="L1500" s="10">
        <f>M1500/50</f>
        <v>100</v>
      </c>
      <c r="M1500" s="11">
        <v>5000</v>
      </c>
      <c r="N1500" s="10">
        <f>O1500/50</f>
        <v>60</v>
      </c>
      <c r="O1500" s="11">
        <v>3000</v>
      </c>
      <c r="P1500" s="10">
        <f>Q1500/75</f>
        <v>800</v>
      </c>
      <c r="Q1500" s="11">
        <v>60000</v>
      </c>
      <c r="R1500" s="10">
        <f>S1500/75</f>
        <v>1000</v>
      </c>
      <c r="S1500" s="11">
        <v>75000</v>
      </c>
      <c r="T1500" s="10">
        <v>0</v>
      </c>
      <c r="U1500" s="11">
        <v>0</v>
      </c>
      <c r="V1500" s="10">
        <v>0</v>
      </c>
      <c r="W1500" s="11">
        <v>0</v>
      </c>
      <c r="X1500" s="10">
        <f>Y1500/75</f>
        <v>533.33333333333337</v>
      </c>
      <c r="Y1500" s="11">
        <v>40000</v>
      </c>
      <c r="Z1500" s="10">
        <f>AA1500/75</f>
        <v>533.33333333333337</v>
      </c>
      <c r="AA1500" s="11">
        <v>40000</v>
      </c>
      <c r="AB1500" s="10">
        <v>0</v>
      </c>
      <c r="AC1500" s="11">
        <v>0</v>
      </c>
      <c r="AD1500" s="10">
        <v>0</v>
      </c>
      <c r="AE1500" s="11">
        <v>0</v>
      </c>
      <c r="AF1500" s="10">
        <v>0</v>
      </c>
      <c r="AG1500" s="11">
        <v>0</v>
      </c>
      <c r="AH1500" s="10">
        <v>0</v>
      </c>
      <c r="AI1500" s="11">
        <v>0</v>
      </c>
      <c r="AJ1500" s="10">
        <v>0</v>
      </c>
      <c r="AK1500" s="13">
        <v>0</v>
      </c>
      <c r="AL1500" s="10">
        <f>AM1500/9</f>
        <v>555.55555555555554</v>
      </c>
      <c r="AM1500" s="13">
        <v>5000</v>
      </c>
      <c r="BN1500" s="8">
        <f t="shared" si="1510"/>
        <v>2966.666666666667</v>
      </c>
      <c r="BO1500" s="8">
        <f t="shared" si="1511"/>
        <v>220000</v>
      </c>
      <c r="BP1500" s="8">
        <f t="shared" si="1450"/>
        <v>1682.2222222222222</v>
      </c>
      <c r="BQ1500" s="12">
        <f t="shared" si="1451"/>
        <v>88000</v>
      </c>
    </row>
    <row r="1501" spans="1:69">
      <c r="A1501" s="28">
        <v>2004</v>
      </c>
      <c r="B1501" s="27" t="s">
        <v>72</v>
      </c>
      <c r="C1501" s="24">
        <f t="shared" si="1471"/>
        <v>1452</v>
      </c>
      <c r="D1501" s="7" t="e">
        <f t="shared" ca="1" si="1490"/>
        <v>#N/A</v>
      </c>
      <c r="E1501" s="26">
        <f t="array" aca="1" ref="E1501" ca="1">AVERAGE(IF(INDIRECT(DatCol&amp;"$"&amp;TEXT(C1501,"###")):INDIRECT(DatCol&amp;"$"&amp;TEXT(C1501+57,"###"))&gt;0,INDIRECT(DatCol&amp;"$"&amp;TEXT(C1501,"###")):INDIRECT(DatCol&amp;"$"&amp;TEXT(C1501+57,"###"))))</f>
        <v>372.53333333333336</v>
      </c>
      <c r="F1501" s="26" t="str">
        <f t="shared" si="1509"/>
        <v>C</v>
      </c>
      <c r="H1501" s="9">
        <v>29</v>
      </c>
      <c r="I1501" s="9">
        <v>13</v>
      </c>
      <c r="J1501" s="9">
        <v>716</v>
      </c>
      <c r="K1501" s="9">
        <f t="shared" si="1512"/>
        <v>745</v>
      </c>
      <c r="L1501" s="10">
        <f>M1501/50</f>
        <v>80</v>
      </c>
      <c r="M1501" s="11">
        <v>4000</v>
      </c>
      <c r="N1501" s="10">
        <f>O1501/50</f>
        <v>40</v>
      </c>
      <c r="O1501" s="11">
        <v>2000</v>
      </c>
      <c r="P1501" s="10">
        <f>Q1501/75</f>
        <v>800</v>
      </c>
      <c r="Q1501" s="11">
        <v>60000</v>
      </c>
      <c r="R1501" s="10">
        <f>S1501/75</f>
        <v>960</v>
      </c>
      <c r="S1501" s="11">
        <v>72000</v>
      </c>
      <c r="T1501" s="10">
        <v>0</v>
      </c>
      <c r="U1501" s="11">
        <v>0</v>
      </c>
      <c r="V1501" s="10">
        <v>0</v>
      </c>
      <c r="W1501" s="11">
        <v>0</v>
      </c>
      <c r="X1501" s="10">
        <f>Y1501/75</f>
        <v>560</v>
      </c>
      <c r="Y1501" s="11">
        <v>42000</v>
      </c>
      <c r="Z1501" s="10">
        <f>AA1501/75</f>
        <v>560</v>
      </c>
      <c r="AA1501" s="11">
        <v>42000</v>
      </c>
      <c r="AB1501" s="10">
        <v>0</v>
      </c>
      <c r="AC1501" s="11">
        <v>0</v>
      </c>
      <c r="AD1501" s="10">
        <v>0</v>
      </c>
      <c r="AE1501" s="11">
        <v>0</v>
      </c>
      <c r="AF1501" s="10">
        <v>0</v>
      </c>
      <c r="AG1501" s="11">
        <v>0</v>
      </c>
      <c r="AH1501" s="10">
        <v>0</v>
      </c>
      <c r="AI1501" s="11">
        <v>0</v>
      </c>
      <c r="AJ1501" s="10">
        <v>0</v>
      </c>
      <c r="AK1501" s="13">
        <v>0</v>
      </c>
      <c r="AL1501" s="10">
        <f>AM1501/9</f>
        <v>277.77777777777777</v>
      </c>
      <c r="AM1501" s="13">
        <v>2500</v>
      </c>
      <c r="BN1501" s="8">
        <f t="shared" si="1510"/>
        <v>2960</v>
      </c>
      <c r="BO1501" s="8">
        <f t="shared" si="1511"/>
        <v>220000</v>
      </c>
      <c r="BP1501" s="8">
        <f t="shared" si="1450"/>
        <v>1437.7777777777778</v>
      </c>
      <c r="BQ1501" s="12">
        <f t="shared" si="1451"/>
        <v>88500</v>
      </c>
    </row>
    <row r="1502" spans="1:69">
      <c r="A1502" s="28">
        <v>2005</v>
      </c>
      <c r="B1502" s="27" t="s">
        <v>72</v>
      </c>
      <c r="C1502" s="24">
        <f t="shared" si="1471"/>
        <v>1452</v>
      </c>
      <c r="D1502" s="7" t="e">
        <f t="shared" ca="1" si="1490"/>
        <v>#N/A</v>
      </c>
      <c r="E1502" s="26">
        <f t="array" aca="1" ref="E1502" ca="1">AVERAGE(IF(INDIRECT(DatCol&amp;"$"&amp;TEXT(C1502,"###")):INDIRECT(DatCol&amp;"$"&amp;TEXT(C1502+57,"###"))&gt;0,INDIRECT(DatCol&amp;"$"&amp;TEXT(C1502,"###")):INDIRECT(DatCol&amp;"$"&amp;TEXT(C1502+57,"###"))))</f>
        <v>372.53333333333336</v>
      </c>
      <c r="F1502" s="26" t="str">
        <f t="shared" si="1509"/>
        <v>C</v>
      </c>
      <c r="K1502" s="9">
        <f t="shared" si="1512"/>
        <v>0</v>
      </c>
      <c r="AK1502" s="13"/>
      <c r="AM1502" s="13"/>
      <c r="BN1502" s="8">
        <f t="shared" si="1510"/>
        <v>0</v>
      </c>
      <c r="BO1502" s="8">
        <f t="shared" si="1511"/>
        <v>0</v>
      </c>
      <c r="BP1502" s="8">
        <f t="shared" si="1450"/>
        <v>0</v>
      </c>
      <c r="BQ1502" s="12">
        <f t="shared" si="1451"/>
        <v>0</v>
      </c>
    </row>
    <row r="1503" spans="1:69">
      <c r="A1503" s="28">
        <v>2006</v>
      </c>
      <c r="B1503" s="27" t="s">
        <v>72</v>
      </c>
      <c r="C1503" s="24">
        <f t="shared" si="1471"/>
        <v>1452</v>
      </c>
      <c r="D1503" s="7" t="e">
        <f t="shared" ca="1" si="1490"/>
        <v>#N/A</v>
      </c>
      <c r="E1503" s="26">
        <f t="array" aca="1" ref="E1503" ca="1">AVERAGE(IF(INDIRECT(DatCol&amp;"$"&amp;TEXT(C1503,"###")):INDIRECT(DatCol&amp;"$"&amp;TEXT(C1503+57,"###"))&gt;0,INDIRECT(DatCol&amp;"$"&amp;TEXT(C1503,"###")):INDIRECT(DatCol&amp;"$"&amp;TEXT(C1503+57,"###"))))</f>
        <v>372.53333333333336</v>
      </c>
      <c r="F1503" s="26" t="str">
        <f t="shared" si="1509"/>
        <v>C</v>
      </c>
      <c r="K1503" s="9">
        <f t="shared" si="1512"/>
        <v>0</v>
      </c>
      <c r="AK1503" s="13"/>
      <c r="AM1503" s="13"/>
      <c r="BN1503" s="8">
        <f t="shared" si="1510"/>
        <v>0</v>
      </c>
      <c r="BO1503" s="8">
        <f t="shared" si="1511"/>
        <v>0</v>
      </c>
      <c r="BP1503" s="8">
        <f t="shared" si="1450"/>
        <v>0</v>
      </c>
      <c r="BQ1503" s="12">
        <f t="shared" si="1451"/>
        <v>0</v>
      </c>
    </row>
    <row r="1504" spans="1:69">
      <c r="A1504" s="28">
        <v>2007</v>
      </c>
      <c r="B1504" s="27" t="s">
        <v>72</v>
      </c>
      <c r="C1504" s="24">
        <f t="shared" si="1471"/>
        <v>1452</v>
      </c>
      <c r="D1504" s="7" t="e">
        <f t="shared" ca="1" si="1490"/>
        <v>#N/A</v>
      </c>
      <c r="E1504" s="26">
        <f t="array" aca="1" ref="E1504" ca="1">AVERAGE(IF(INDIRECT(DatCol&amp;"$"&amp;TEXT(C1504,"###")):INDIRECT(DatCol&amp;"$"&amp;TEXT(C1504+57,"###"))&gt;0,INDIRECT(DatCol&amp;"$"&amp;TEXT(C1504,"###")):INDIRECT(DatCol&amp;"$"&amp;TEXT(C1504+57,"###"))))</f>
        <v>372.53333333333336</v>
      </c>
      <c r="F1504" s="26" t="str">
        <f t="shared" si="1509"/>
        <v>C</v>
      </c>
      <c r="K1504" s="9">
        <f t="shared" si="1512"/>
        <v>0</v>
      </c>
      <c r="AK1504" s="13"/>
      <c r="AM1504" s="13"/>
      <c r="BN1504" s="8">
        <f t="shared" si="1510"/>
        <v>0</v>
      </c>
      <c r="BO1504" s="8">
        <f t="shared" si="1511"/>
        <v>0</v>
      </c>
      <c r="BP1504" s="8">
        <f t="shared" si="1450"/>
        <v>0</v>
      </c>
      <c r="BQ1504" s="12">
        <f t="shared" si="1451"/>
        <v>0</v>
      </c>
    </row>
    <row r="1505" spans="1:69">
      <c r="A1505" s="28">
        <v>2008</v>
      </c>
      <c r="B1505" s="27" t="s">
        <v>72</v>
      </c>
      <c r="C1505" s="24">
        <f t="shared" si="1471"/>
        <v>1452</v>
      </c>
      <c r="D1505" s="7" t="e">
        <f t="shared" ca="1" si="1490"/>
        <v>#N/A</v>
      </c>
      <c r="E1505" s="26">
        <f t="array" aca="1" ref="E1505" ca="1">AVERAGE(IF(INDIRECT(DatCol&amp;"$"&amp;TEXT(C1505,"###")):INDIRECT(DatCol&amp;"$"&amp;TEXT(C1505+57,"###"))&gt;0,INDIRECT(DatCol&amp;"$"&amp;TEXT(C1505,"###")):INDIRECT(DatCol&amp;"$"&amp;TEXT(C1505+57,"###"))))</f>
        <v>372.53333333333336</v>
      </c>
      <c r="F1505" s="26" t="str">
        <f t="shared" si="1509"/>
        <v>C</v>
      </c>
      <c r="K1505" s="9">
        <f t="shared" si="1512"/>
        <v>0</v>
      </c>
      <c r="AK1505" s="13"/>
      <c r="AM1505" s="13"/>
      <c r="BN1505" s="8">
        <f t="shared" si="1510"/>
        <v>0</v>
      </c>
      <c r="BO1505" s="8">
        <f t="shared" si="1511"/>
        <v>0</v>
      </c>
      <c r="BP1505" s="8">
        <f t="shared" si="1450"/>
        <v>0</v>
      </c>
      <c r="BQ1505" s="12">
        <f t="shared" si="1451"/>
        <v>0</v>
      </c>
    </row>
    <row r="1506" spans="1:69">
      <c r="A1506" s="28">
        <v>2009</v>
      </c>
      <c r="B1506" s="27" t="s">
        <v>72</v>
      </c>
      <c r="C1506" s="24">
        <f t="shared" si="1471"/>
        <v>1452</v>
      </c>
      <c r="D1506" s="7" t="e">
        <f t="shared" ca="1" si="1490"/>
        <v>#N/A</v>
      </c>
      <c r="E1506" s="26">
        <f t="array" aca="1" ref="E1506" ca="1">AVERAGE(IF(INDIRECT(DatCol&amp;"$"&amp;TEXT(C1506,"###")):INDIRECT(DatCol&amp;"$"&amp;TEXT(C1506+57,"###"))&gt;0,INDIRECT(DatCol&amp;"$"&amp;TEXT(C1506,"###")):INDIRECT(DatCol&amp;"$"&amp;TEXT(C1506+57,"###"))))</f>
        <v>372.53333333333336</v>
      </c>
      <c r="F1506" s="26" t="str">
        <f t="shared" si="1509"/>
        <v>C</v>
      </c>
      <c r="K1506" s="9">
        <f t="shared" si="1512"/>
        <v>0</v>
      </c>
      <c r="AK1506" s="13"/>
      <c r="AM1506" s="13"/>
      <c r="BN1506" s="8">
        <f t="shared" si="1510"/>
        <v>0</v>
      </c>
      <c r="BO1506" s="8">
        <f t="shared" si="1511"/>
        <v>0</v>
      </c>
      <c r="BP1506" s="8">
        <f t="shared" si="1450"/>
        <v>0</v>
      </c>
      <c r="BQ1506" s="12">
        <f t="shared" si="1451"/>
        <v>0</v>
      </c>
    </row>
    <row r="1507" spans="1:69">
      <c r="A1507" s="28">
        <v>2010</v>
      </c>
      <c r="B1507" s="27" t="s">
        <v>72</v>
      </c>
      <c r="C1507" s="24">
        <f t="shared" si="1471"/>
        <v>1452</v>
      </c>
      <c r="D1507" s="7" t="e">
        <f t="shared" ca="1" si="1490"/>
        <v>#N/A</v>
      </c>
      <c r="E1507" s="26">
        <f t="array" aca="1" ref="E1507" ca="1">AVERAGE(IF(INDIRECT(DatCol&amp;"$"&amp;TEXT(C1507,"###")):INDIRECT(DatCol&amp;"$"&amp;TEXT(C1507+57,"###"))&gt;0,INDIRECT(DatCol&amp;"$"&amp;TEXT(C1507,"###")):INDIRECT(DatCol&amp;"$"&amp;TEXT(C1507+57,"###"))))</f>
        <v>372.53333333333336</v>
      </c>
      <c r="F1507" s="26" t="str">
        <f t="shared" ref="F1507:F1509" si="1513">VLOOKUP(B1507,town_region,2,FALSE)</f>
        <v>C</v>
      </c>
      <c r="AK1507" s="13"/>
      <c r="AM1507" s="13"/>
      <c r="BN1507" s="8"/>
      <c r="BO1507" s="8"/>
      <c r="BP1507" s="8"/>
      <c r="BQ1507" s="12"/>
    </row>
    <row r="1508" spans="1:69">
      <c r="A1508" s="28">
        <v>2011</v>
      </c>
      <c r="B1508" s="27" t="s">
        <v>72</v>
      </c>
      <c r="C1508" s="24">
        <f t="shared" si="1471"/>
        <v>1452</v>
      </c>
      <c r="D1508" s="7" t="e">
        <f t="shared" ca="1" si="1490"/>
        <v>#N/A</v>
      </c>
      <c r="E1508" s="26">
        <f t="array" aca="1" ref="E1508" ca="1">AVERAGE(IF(INDIRECT(DatCol&amp;"$"&amp;TEXT(C1508,"###")):INDIRECT(DatCol&amp;"$"&amp;TEXT(C1508+57,"###"))&gt;0,INDIRECT(DatCol&amp;"$"&amp;TEXT(C1508,"###")):INDIRECT(DatCol&amp;"$"&amp;TEXT(C1508+57,"###"))))</f>
        <v>372.53333333333336</v>
      </c>
      <c r="F1508" s="26" t="str">
        <f t="shared" si="1513"/>
        <v>C</v>
      </c>
      <c r="AK1508" s="13"/>
      <c r="AM1508" s="13"/>
      <c r="BN1508" s="8"/>
      <c r="BO1508" s="8"/>
      <c r="BP1508" s="8"/>
      <c r="BQ1508" s="12"/>
    </row>
    <row r="1509" spans="1:69">
      <c r="A1509" s="28">
        <v>2012</v>
      </c>
      <c r="B1509" s="27" t="s">
        <v>72</v>
      </c>
      <c r="C1509" s="24">
        <f t="shared" si="1471"/>
        <v>1452</v>
      </c>
      <c r="D1509" s="7" t="e">
        <f t="shared" ca="1" si="1490"/>
        <v>#N/A</v>
      </c>
      <c r="E1509" s="26">
        <f t="array" aca="1" ref="E1509" ca="1">AVERAGE(IF(INDIRECT(DatCol&amp;"$"&amp;TEXT(C1509,"###")):INDIRECT(DatCol&amp;"$"&amp;TEXT(C1509+57,"###"))&gt;0,INDIRECT(DatCol&amp;"$"&amp;TEXT(C1509,"###")):INDIRECT(DatCol&amp;"$"&amp;TEXT(C1509+57,"###"))))</f>
        <v>372.53333333333336</v>
      </c>
      <c r="F1509" s="26" t="str">
        <f t="shared" si="1513"/>
        <v>C</v>
      </c>
      <c r="AK1509" s="13"/>
      <c r="AM1509" s="13"/>
      <c r="BN1509" s="8"/>
      <c r="BO1509" s="8"/>
      <c r="BP1509" s="8"/>
      <c r="BQ1509" s="12"/>
    </row>
    <row r="1510" spans="1:69">
      <c r="A1510" s="28">
        <v>1955</v>
      </c>
      <c r="B1510" s="27" t="s">
        <v>74</v>
      </c>
      <c r="C1510" s="24">
        <f>ROW()</f>
        <v>1510</v>
      </c>
      <c r="D1510" s="7" t="e">
        <f t="shared" ca="1" si="1490"/>
        <v>#N/A</v>
      </c>
      <c r="E1510" s="26">
        <f t="array" aca="1" ref="E1510" ca="1">AVERAGE(IF(INDIRECT(DatCol&amp;"$"&amp;TEXT(C1510,"###")):INDIRECT(DatCol&amp;"$"&amp;TEXT(C1510+57,"###"))&gt;0,INDIRECT(DatCol&amp;"$"&amp;TEXT(C1510,"###")):INDIRECT(DatCol&amp;"$"&amp;TEXT(C1510+57,"###"))))</f>
        <v>107.63157894736842</v>
      </c>
      <c r="F1510" s="26" t="str">
        <f t="shared" si="1509"/>
        <v>B</v>
      </c>
      <c r="G1510" s="8"/>
      <c r="K1510" s="9">
        <f t="shared" si="1512"/>
        <v>0</v>
      </c>
      <c r="M1510" s="11">
        <f t="shared" si="1491"/>
        <v>0</v>
      </c>
      <c r="O1510" s="11">
        <f t="shared" si="1492"/>
        <v>0</v>
      </c>
      <c r="Q1510" s="11">
        <f t="shared" si="1493"/>
        <v>0</v>
      </c>
      <c r="Y1510" s="11">
        <f t="shared" si="1494"/>
        <v>0</v>
      </c>
      <c r="AG1510" s="11">
        <f t="shared" si="1495"/>
        <v>0</v>
      </c>
      <c r="AI1510" s="11">
        <f t="shared" si="1496"/>
        <v>0</v>
      </c>
      <c r="AK1510" s="13">
        <f t="shared" si="1497"/>
        <v>0</v>
      </c>
      <c r="AM1510" s="13">
        <f t="shared" si="1498"/>
        <v>0</v>
      </c>
      <c r="AO1510" s="11">
        <f t="shared" si="1499"/>
        <v>0</v>
      </c>
      <c r="AQ1510" s="11">
        <f t="shared" si="1500"/>
        <v>0</v>
      </c>
      <c r="AS1510" s="11">
        <f t="shared" si="1501"/>
        <v>0</v>
      </c>
      <c r="AU1510" s="11">
        <f t="shared" si="1502"/>
        <v>0</v>
      </c>
      <c r="AW1510" s="11">
        <f t="shared" si="1503"/>
        <v>0</v>
      </c>
      <c r="AY1510" s="11">
        <f t="shared" si="1504"/>
        <v>0</v>
      </c>
      <c r="BA1510" s="11">
        <f t="shared" si="1505"/>
        <v>0</v>
      </c>
      <c r="BC1510" s="11">
        <f t="shared" si="1506"/>
        <v>0</v>
      </c>
      <c r="BE1510" s="11">
        <f t="shared" si="1507"/>
        <v>0</v>
      </c>
      <c r="BG1510" s="11">
        <f t="shared" si="1508"/>
        <v>0</v>
      </c>
      <c r="BN1510" s="8">
        <f t="shared" si="1510"/>
        <v>0</v>
      </c>
      <c r="BO1510" s="8">
        <f t="shared" si="1511"/>
        <v>0</v>
      </c>
      <c r="BP1510" s="8">
        <f t="shared" ref="BP1510:BP1574" si="1514">(N1510+X1510+Z1510+AB1510+AD1510+AH1510+AL1510+AP1510+AT1510+AX1510+BB1510+BF1510)</f>
        <v>0</v>
      </c>
      <c r="BQ1510" s="12">
        <f t="shared" ref="BQ1510:BQ1574" si="1515">(O1510+Y1510+AA1510+AC1510+AE1510+AI1510+AM1510+AQ1510+AU1510+AY1510+BC1510+BG1510)</f>
        <v>0</v>
      </c>
    </row>
    <row r="1511" spans="1:69">
      <c r="A1511" s="28">
        <v>1956</v>
      </c>
      <c r="B1511" s="27" t="s">
        <v>74</v>
      </c>
      <c r="C1511" s="24">
        <f t="shared" ref="C1511:C1567" si="1516">C1510</f>
        <v>1510</v>
      </c>
      <c r="D1511" s="7" t="e">
        <f t="shared" ca="1" si="1490"/>
        <v>#N/A</v>
      </c>
      <c r="E1511" s="26">
        <f t="array" aca="1" ref="E1511" ca="1">AVERAGE(IF(INDIRECT(DatCol&amp;"$"&amp;TEXT(C1511,"###")):INDIRECT(DatCol&amp;"$"&amp;TEXT(C1511+57,"###"))&gt;0,INDIRECT(DatCol&amp;"$"&amp;TEXT(C1511,"###")):INDIRECT(DatCol&amp;"$"&amp;TEXT(C1511+57,"###"))))</f>
        <v>107.63157894736842</v>
      </c>
      <c r="F1511" s="26" t="str">
        <f t="shared" si="1509"/>
        <v>B</v>
      </c>
      <c r="G1511" s="8"/>
      <c r="K1511" s="9">
        <f t="shared" si="1512"/>
        <v>0</v>
      </c>
      <c r="M1511" s="11">
        <f t="shared" si="1491"/>
        <v>0</v>
      </c>
      <c r="O1511" s="11">
        <f t="shared" si="1492"/>
        <v>0</v>
      </c>
      <c r="Q1511" s="11">
        <f t="shared" si="1493"/>
        <v>0</v>
      </c>
      <c r="Y1511" s="11">
        <f t="shared" si="1494"/>
        <v>0</v>
      </c>
      <c r="AG1511" s="11">
        <f t="shared" si="1495"/>
        <v>0</v>
      </c>
      <c r="AI1511" s="11">
        <f t="shared" si="1496"/>
        <v>0</v>
      </c>
      <c r="AK1511" s="13">
        <f t="shared" si="1497"/>
        <v>0</v>
      </c>
      <c r="AM1511" s="13">
        <f t="shared" si="1498"/>
        <v>0</v>
      </c>
      <c r="AO1511" s="11">
        <f t="shared" si="1499"/>
        <v>0</v>
      </c>
      <c r="AQ1511" s="11">
        <f t="shared" si="1500"/>
        <v>0</v>
      </c>
      <c r="AS1511" s="11">
        <f t="shared" si="1501"/>
        <v>0</v>
      </c>
      <c r="AU1511" s="11">
        <f t="shared" si="1502"/>
        <v>0</v>
      </c>
      <c r="AW1511" s="11">
        <f t="shared" si="1503"/>
        <v>0</v>
      </c>
      <c r="AY1511" s="11">
        <f t="shared" si="1504"/>
        <v>0</v>
      </c>
      <c r="BA1511" s="11">
        <f t="shared" si="1505"/>
        <v>0</v>
      </c>
      <c r="BC1511" s="11">
        <f t="shared" si="1506"/>
        <v>0</v>
      </c>
      <c r="BE1511" s="11">
        <f t="shared" si="1507"/>
        <v>0</v>
      </c>
      <c r="BG1511" s="11">
        <f t="shared" si="1508"/>
        <v>0</v>
      </c>
      <c r="BN1511" s="8">
        <f t="shared" si="1510"/>
        <v>0</v>
      </c>
      <c r="BO1511" s="8">
        <f t="shared" si="1511"/>
        <v>0</v>
      </c>
      <c r="BP1511" s="8">
        <f t="shared" si="1514"/>
        <v>0</v>
      </c>
      <c r="BQ1511" s="12">
        <f t="shared" si="1515"/>
        <v>0</v>
      </c>
    </row>
    <row r="1512" spans="1:69">
      <c r="A1512" s="28">
        <v>1957</v>
      </c>
      <c r="B1512" s="27" t="s">
        <v>74</v>
      </c>
      <c r="C1512" s="24">
        <f t="shared" si="1516"/>
        <v>1510</v>
      </c>
      <c r="D1512" s="7" t="e">
        <f t="shared" ca="1" si="1490"/>
        <v>#N/A</v>
      </c>
      <c r="E1512" s="26">
        <f t="array" aca="1" ref="E1512" ca="1">AVERAGE(IF(INDIRECT(DatCol&amp;"$"&amp;TEXT(C1512,"###")):INDIRECT(DatCol&amp;"$"&amp;TEXT(C1512+57,"###"))&gt;0,INDIRECT(DatCol&amp;"$"&amp;TEXT(C1512,"###")):INDIRECT(DatCol&amp;"$"&amp;TEXT(C1512+57,"###"))))</f>
        <v>107.63157894736842</v>
      </c>
      <c r="F1512" s="26" t="str">
        <f t="shared" si="1509"/>
        <v>B</v>
      </c>
      <c r="G1512" s="8"/>
      <c r="K1512" s="9">
        <f t="shared" si="1512"/>
        <v>0</v>
      </c>
      <c r="M1512" s="11">
        <f t="shared" si="1491"/>
        <v>0</v>
      </c>
      <c r="O1512" s="11">
        <f t="shared" si="1492"/>
        <v>0</v>
      </c>
      <c r="Q1512" s="11">
        <f t="shared" si="1493"/>
        <v>0</v>
      </c>
      <c r="Y1512" s="11">
        <f t="shared" si="1494"/>
        <v>0</v>
      </c>
      <c r="AG1512" s="11">
        <f t="shared" si="1495"/>
        <v>0</v>
      </c>
      <c r="AI1512" s="11">
        <f t="shared" si="1496"/>
        <v>0</v>
      </c>
      <c r="AK1512" s="13">
        <f t="shared" si="1497"/>
        <v>0</v>
      </c>
      <c r="AM1512" s="13">
        <f t="shared" si="1498"/>
        <v>0</v>
      </c>
      <c r="AO1512" s="11">
        <f t="shared" si="1499"/>
        <v>0</v>
      </c>
      <c r="AQ1512" s="11">
        <f t="shared" si="1500"/>
        <v>0</v>
      </c>
      <c r="AS1512" s="11">
        <f t="shared" si="1501"/>
        <v>0</v>
      </c>
      <c r="AU1512" s="11">
        <f t="shared" si="1502"/>
        <v>0</v>
      </c>
      <c r="AW1512" s="11">
        <f t="shared" si="1503"/>
        <v>0</v>
      </c>
      <c r="AY1512" s="11">
        <f t="shared" si="1504"/>
        <v>0</v>
      </c>
      <c r="BA1512" s="11">
        <f t="shared" si="1505"/>
        <v>0</v>
      </c>
      <c r="BC1512" s="11">
        <f t="shared" si="1506"/>
        <v>0</v>
      </c>
      <c r="BE1512" s="11">
        <f t="shared" si="1507"/>
        <v>0</v>
      </c>
      <c r="BG1512" s="11">
        <f t="shared" si="1508"/>
        <v>0</v>
      </c>
      <c r="BN1512" s="8">
        <f t="shared" si="1510"/>
        <v>0</v>
      </c>
      <c r="BO1512" s="8">
        <f t="shared" si="1511"/>
        <v>0</v>
      </c>
      <c r="BP1512" s="8">
        <f t="shared" si="1514"/>
        <v>0</v>
      </c>
      <c r="BQ1512" s="12">
        <f t="shared" si="1515"/>
        <v>0</v>
      </c>
    </row>
    <row r="1513" spans="1:69">
      <c r="A1513" s="28">
        <v>1958</v>
      </c>
      <c r="B1513" s="27" t="s">
        <v>74</v>
      </c>
      <c r="C1513" s="24">
        <f t="shared" si="1516"/>
        <v>1510</v>
      </c>
      <c r="D1513" s="7" t="e">
        <f t="shared" ca="1" si="1490"/>
        <v>#N/A</v>
      </c>
      <c r="E1513" s="26">
        <f t="array" aca="1" ref="E1513" ca="1">AVERAGE(IF(INDIRECT(DatCol&amp;"$"&amp;TEXT(C1513,"###")):INDIRECT(DatCol&amp;"$"&amp;TEXT(C1513+57,"###"))&gt;0,INDIRECT(DatCol&amp;"$"&amp;TEXT(C1513,"###")):INDIRECT(DatCol&amp;"$"&amp;TEXT(C1513+57,"###"))))</f>
        <v>107.63157894736842</v>
      </c>
      <c r="F1513" s="26" t="str">
        <f t="shared" si="1509"/>
        <v>B</v>
      </c>
      <c r="G1513" s="8"/>
      <c r="K1513" s="9">
        <f t="shared" si="1512"/>
        <v>0</v>
      </c>
      <c r="M1513" s="11">
        <f t="shared" ref="M1513:M1528" si="1517">(L1513*50)</f>
        <v>0</v>
      </c>
      <c r="O1513" s="11">
        <f t="shared" ref="O1513:O1528" si="1518">(N1513*50)</f>
        <v>0</v>
      </c>
      <c r="Q1513" s="11">
        <f t="shared" ref="Q1513:Q1528" si="1519">((P1513*330)/5.5)</f>
        <v>0</v>
      </c>
      <c r="Y1513" s="11">
        <f t="shared" ref="Y1513:Y1528" si="1520">((X1513*330)/5.5)</f>
        <v>0</v>
      </c>
      <c r="AG1513" s="11">
        <f t="shared" ref="AG1513:AG1528" si="1521">(AF1513*65)</f>
        <v>0</v>
      </c>
      <c r="AI1513" s="11">
        <f t="shared" ref="AI1513:AI1528" si="1522">(AH1513*65)</f>
        <v>0</v>
      </c>
      <c r="AK1513" s="13">
        <f t="shared" ref="AK1513:AK1528" si="1523">(AJ1513*9)</f>
        <v>0</v>
      </c>
      <c r="AM1513" s="13">
        <f t="shared" ref="AM1513:AM1528" si="1524">(AL1513*9)</f>
        <v>0</v>
      </c>
      <c r="AO1513" s="11">
        <f t="shared" ref="AO1513:AO1528" si="1525">(AN1513*80)</f>
        <v>0</v>
      </c>
      <c r="AQ1513" s="11">
        <f t="shared" ref="AQ1513:AQ1528" si="1526">(AP1513*80)</f>
        <v>0</v>
      </c>
      <c r="AS1513" s="11">
        <f t="shared" ref="AS1513:AS1528" si="1527">(AR1513*50)</f>
        <v>0</v>
      </c>
      <c r="AU1513" s="11">
        <f t="shared" ref="AU1513:AU1528" si="1528">(AT1513*50)</f>
        <v>0</v>
      </c>
      <c r="AW1513" s="11">
        <f t="shared" ref="AW1513:AW1528" si="1529">(AV1513*60)</f>
        <v>0</v>
      </c>
      <c r="AY1513" s="11">
        <f t="shared" ref="AY1513:AY1528" si="1530">(AX1513*60)</f>
        <v>0</v>
      </c>
      <c r="BA1513" s="11">
        <f t="shared" ref="BA1513:BA1528" si="1531">(AZ1513*40)</f>
        <v>0</v>
      </c>
      <c r="BC1513" s="11">
        <f t="shared" ref="BC1513:BC1528" si="1532">(BB1513*40)</f>
        <v>0</v>
      </c>
      <c r="BE1513" s="11">
        <f t="shared" ref="BE1513:BE1528" si="1533">(BD1513*95)</f>
        <v>0</v>
      </c>
      <c r="BG1513" s="11">
        <f t="shared" ref="BG1513:BG1528" si="1534">(BF1513*95)</f>
        <v>0</v>
      </c>
      <c r="BN1513" s="8">
        <f t="shared" si="1510"/>
        <v>0</v>
      </c>
      <c r="BO1513" s="8">
        <f t="shared" si="1511"/>
        <v>0</v>
      </c>
      <c r="BP1513" s="8">
        <f t="shared" si="1514"/>
        <v>0</v>
      </c>
      <c r="BQ1513" s="12">
        <f t="shared" si="1515"/>
        <v>0</v>
      </c>
    </row>
    <row r="1514" spans="1:69">
      <c r="A1514" s="28">
        <v>1959</v>
      </c>
      <c r="B1514" s="27" t="s">
        <v>74</v>
      </c>
      <c r="C1514" s="24">
        <f t="shared" si="1516"/>
        <v>1510</v>
      </c>
      <c r="D1514" s="7" t="e">
        <f t="shared" ca="1" si="1490"/>
        <v>#N/A</v>
      </c>
      <c r="E1514" s="26">
        <f t="array" aca="1" ref="E1514" ca="1">AVERAGE(IF(INDIRECT(DatCol&amp;"$"&amp;TEXT(C1514,"###")):INDIRECT(DatCol&amp;"$"&amp;TEXT(C1514+57,"###"))&gt;0,INDIRECT(DatCol&amp;"$"&amp;TEXT(C1514,"###")):INDIRECT(DatCol&amp;"$"&amp;TEXT(C1514+57,"###"))))</f>
        <v>107.63157894736842</v>
      </c>
      <c r="F1514" s="26" t="str">
        <f t="shared" si="1509"/>
        <v>B</v>
      </c>
      <c r="G1514" s="8"/>
      <c r="K1514" s="9">
        <f t="shared" si="1512"/>
        <v>0</v>
      </c>
      <c r="M1514" s="11">
        <f t="shared" si="1517"/>
        <v>0</v>
      </c>
      <c r="O1514" s="11">
        <f t="shared" si="1518"/>
        <v>0</v>
      </c>
      <c r="Q1514" s="11">
        <f t="shared" si="1519"/>
        <v>0</v>
      </c>
      <c r="Y1514" s="11">
        <f t="shared" si="1520"/>
        <v>0</v>
      </c>
      <c r="AG1514" s="11">
        <f t="shared" si="1521"/>
        <v>0</v>
      </c>
      <c r="AI1514" s="11">
        <f t="shared" si="1522"/>
        <v>0</v>
      </c>
      <c r="AK1514" s="13">
        <f t="shared" si="1523"/>
        <v>0</v>
      </c>
      <c r="AM1514" s="13">
        <f t="shared" si="1524"/>
        <v>0</v>
      </c>
      <c r="AO1514" s="11">
        <f t="shared" si="1525"/>
        <v>0</v>
      </c>
      <c r="AQ1514" s="11">
        <f t="shared" si="1526"/>
        <v>0</v>
      </c>
      <c r="AS1514" s="11">
        <f t="shared" si="1527"/>
        <v>0</v>
      </c>
      <c r="AU1514" s="11">
        <f t="shared" si="1528"/>
        <v>0</v>
      </c>
      <c r="AW1514" s="11">
        <f t="shared" si="1529"/>
        <v>0</v>
      </c>
      <c r="AY1514" s="11">
        <f t="shared" si="1530"/>
        <v>0</v>
      </c>
      <c r="BA1514" s="11">
        <f t="shared" si="1531"/>
        <v>0</v>
      </c>
      <c r="BC1514" s="11">
        <f t="shared" si="1532"/>
        <v>0</v>
      </c>
      <c r="BE1514" s="11">
        <f t="shared" si="1533"/>
        <v>0</v>
      </c>
      <c r="BG1514" s="11">
        <f t="shared" si="1534"/>
        <v>0</v>
      </c>
      <c r="BN1514" s="8">
        <f t="shared" si="1510"/>
        <v>0</v>
      </c>
      <c r="BO1514" s="8">
        <f t="shared" si="1511"/>
        <v>0</v>
      </c>
      <c r="BP1514" s="8">
        <f t="shared" si="1514"/>
        <v>0</v>
      </c>
      <c r="BQ1514" s="12">
        <f t="shared" si="1515"/>
        <v>0</v>
      </c>
    </row>
    <row r="1515" spans="1:69">
      <c r="A1515" s="28">
        <v>1960</v>
      </c>
      <c r="B1515" s="27" t="s">
        <v>74</v>
      </c>
      <c r="C1515" s="24">
        <f t="shared" si="1516"/>
        <v>1510</v>
      </c>
      <c r="D1515" s="7" t="e">
        <f t="shared" ca="1" si="1490"/>
        <v>#N/A</v>
      </c>
      <c r="E1515" s="26">
        <f t="array" aca="1" ref="E1515" ca="1">AVERAGE(IF(INDIRECT(DatCol&amp;"$"&amp;TEXT(C1515,"###")):INDIRECT(DatCol&amp;"$"&amp;TEXT(C1515+57,"###"))&gt;0,INDIRECT(DatCol&amp;"$"&amp;TEXT(C1515,"###")):INDIRECT(DatCol&amp;"$"&amp;TEXT(C1515+57,"###"))))</f>
        <v>107.63157894736842</v>
      </c>
      <c r="F1515" s="26" t="str">
        <f t="shared" si="1509"/>
        <v>B</v>
      </c>
      <c r="G1515" s="8"/>
      <c r="K1515" s="9">
        <f t="shared" si="1512"/>
        <v>0</v>
      </c>
      <c r="M1515" s="11">
        <f t="shared" si="1517"/>
        <v>0</v>
      </c>
      <c r="O1515" s="11">
        <f t="shared" si="1518"/>
        <v>0</v>
      </c>
      <c r="Q1515" s="11">
        <f t="shared" si="1519"/>
        <v>0</v>
      </c>
      <c r="Y1515" s="11">
        <f t="shared" si="1520"/>
        <v>0</v>
      </c>
      <c r="AG1515" s="11">
        <f t="shared" si="1521"/>
        <v>0</v>
      </c>
      <c r="AI1515" s="11">
        <f t="shared" si="1522"/>
        <v>0</v>
      </c>
      <c r="AK1515" s="13">
        <f t="shared" si="1523"/>
        <v>0</v>
      </c>
      <c r="AM1515" s="13">
        <f t="shared" si="1524"/>
        <v>0</v>
      </c>
      <c r="AO1515" s="11">
        <f t="shared" si="1525"/>
        <v>0</v>
      </c>
      <c r="AQ1515" s="11">
        <f t="shared" si="1526"/>
        <v>0</v>
      </c>
      <c r="AS1515" s="11">
        <f t="shared" si="1527"/>
        <v>0</v>
      </c>
      <c r="AU1515" s="11">
        <f t="shared" si="1528"/>
        <v>0</v>
      </c>
      <c r="AW1515" s="11">
        <f t="shared" si="1529"/>
        <v>0</v>
      </c>
      <c r="AY1515" s="11">
        <f t="shared" si="1530"/>
        <v>0</v>
      </c>
      <c r="BA1515" s="11">
        <f t="shared" si="1531"/>
        <v>0</v>
      </c>
      <c r="BC1515" s="11">
        <f t="shared" si="1532"/>
        <v>0</v>
      </c>
      <c r="BE1515" s="11">
        <f t="shared" si="1533"/>
        <v>0</v>
      </c>
      <c r="BG1515" s="11">
        <f t="shared" si="1534"/>
        <v>0</v>
      </c>
      <c r="BN1515" s="8">
        <f t="shared" si="1510"/>
        <v>0</v>
      </c>
      <c r="BO1515" s="8">
        <f t="shared" si="1511"/>
        <v>0</v>
      </c>
      <c r="BP1515" s="8">
        <f t="shared" si="1514"/>
        <v>0</v>
      </c>
      <c r="BQ1515" s="12">
        <f t="shared" si="1515"/>
        <v>0</v>
      </c>
    </row>
    <row r="1516" spans="1:69">
      <c r="A1516" s="28">
        <v>1961</v>
      </c>
      <c r="B1516" s="27" t="s">
        <v>74</v>
      </c>
      <c r="C1516" s="24">
        <f t="shared" si="1516"/>
        <v>1510</v>
      </c>
      <c r="D1516" s="7">
        <f t="shared" ca="1" si="1490"/>
        <v>2.6014669926650367</v>
      </c>
      <c r="E1516" s="26">
        <f t="array" aca="1" ref="E1516" ca="1">AVERAGE(IF(INDIRECT(DatCol&amp;"$"&amp;TEXT(C1516,"###")):INDIRECT(DatCol&amp;"$"&amp;TEXT(C1516+57,"###"))&gt;0,INDIRECT(DatCol&amp;"$"&amp;TEXT(C1516,"###")):INDIRECT(DatCol&amp;"$"&amp;TEXT(C1516+57,"###"))))</f>
        <v>107.63157894736842</v>
      </c>
      <c r="F1516" s="26" t="str">
        <f t="shared" si="1509"/>
        <v>B</v>
      </c>
      <c r="G1516" s="8"/>
      <c r="K1516" s="9">
        <f t="shared" si="1512"/>
        <v>0</v>
      </c>
      <c r="M1516" s="11">
        <f t="shared" si="1517"/>
        <v>0</v>
      </c>
      <c r="N1516" s="12">
        <v>280</v>
      </c>
      <c r="O1516" s="11">
        <f t="shared" si="1518"/>
        <v>14000</v>
      </c>
      <c r="Q1516" s="11">
        <f t="shared" si="1519"/>
        <v>0</v>
      </c>
      <c r="X1516" s="12">
        <v>633</v>
      </c>
      <c r="Y1516" s="11">
        <f t="shared" si="1520"/>
        <v>37980</v>
      </c>
      <c r="AG1516" s="11">
        <f t="shared" si="1521"/>
        <v>0</v>
      </c>
      <c r="AH1516" s="12">
        <v>75</v>
      </c>
      <c r="AI1516" s="11">
        <f t="shared" si="1522"/>
        <v>4875</v>
      </c>
      <c r="AK1516" s="13">
        <f t="shared" si="1523"/>
        <v>0</v>
      </c>
      <c r="AM1516" s="13">
        <f t="shared" si="1524"/>
        <v>0</v>
      </c>
      <c r="AO1516" s="11">
        <f t="shared" si="1525"/>
        <v>0</v>
      </c>
      <c r="AQ1516" s="11">
        <f t="shared" si="1526"/>
        <v>0</v>
      </c>
      <c r="AS1516" s="11">
        <f t="shared" si="1527"/>
        <v>0</v>
      </c>
      <c r="AU1516" s="11">
        <f t="shared" si="1528"/>
        <v>0</v>
      </c>
      <c r="AW1516" s="11">
        <f t="shared" si="1529"/>
        <v>0</v>
      </c>
      <c r="AY1516" s="11">
        <f t="shared" si="1530"/>
        <v>0</v>
      </c>
      <c r="BA1516" s="11">
        <f t="shared" si="1531"/>
        <v>0</v>
      </c>
      <c r="BC1516" s="11">
        <f t="shared" si="1532"/>
        <v>0</v>
      </c>
      <c r="BE1516" s="11">
        <f t="shared" si="1533"/>
        <v>0</v>
      </c>
      <c r="BG1516" s="11">
        <f t="shared" si="1534"/>
        <v>0</v>
      </c>
      <c r="BN1516" s="8">
        <f t="shared" si="1510"/>
        <v>633</v>
      </c>
      <c r="BO1516" s="8">
        <f t="shared" si="1511"/>
        <v>37980</v>
      </c>
      <c r="BP1516" s="8">
        <f t="shared" si="1514"/>
        <v>988</v>
      </c>
      <c r="BQ1516" s="12">
        <f t="shared" si="1515"/>
        <v>56855</v>
      </c>
    </row>
    <row r="1517" spans="1:69">
      <c r="A1517" s="28">
        <v>1962</v>
      </c>
      <c r="B1517" s="27" t="s">
        <v>74</v>
      </c>
      <c r="C1517" s="24">
        <f t="shared" si="1516"/>
        <v>1510</v>
      </c>
      <c r="D1517" s="7">
        <f t="shared" ca="1" si="1490"/>
        <v>2.1555012224938874</v>
      </c>
      <c r="E1517" s="26">
        <f t="array" aca="1" ref="E1517" ca="1">AVERAGE(IF(INDIRECT(DatCol&amp;"$"&amp;TEXT(C1517,"###")):INDIRECT(DatCol&amp;"$"&amp;TEXT(C1517+57,"###"))&gt;0,INDIRECT(DatCol&amp;"$"&amp;TEXT(C1517,"###")):INDIRECT(DatCol&amp;"$"&amp;TEXT(C1517+57,"###"))))</f>
        <v>107.63157894736842</v>
      </c>
      <c r="F1517" s="26" t="str">
        <f t="shared" si="1509"/>
        <v>B</v>
      </c>
      <c r="G1517" s="8"/>
      <c r="K1517" s="9">
        <f t="shared" si="1512"/>
        <v>0</v>
      </c>
      <c r="M1517" s="11">
        <f t="shared" si="1517"/>
        <v>0</v>
      </c>
      <c r="N1517" s="12">
        <v>232</v>
      </c>
      <c r="O1517" s="11">
        <f t="shared" si="1518"/>
        <v>11600</v>
      </c>
      <c r="Q1517" s="11">
        <f t="shared" si="1519"/>
        <v>0</v>
      </c>
      <c r="X1517" s="12">
        <v>186</v>
      </c>
      <c r="Y1517" s="11">
        <f t="shared" si="1520"/>
        <v>11160</v>
      </c>
      <c r="AG1517" s="11">
        <f t="shared" si="1521"/>
        <v>0</v>
      </c>
      <c r="AH1517" s="12">
        <v>137</v>
      </c>
      <c r="AI1517" s="11">
        <f t="shared" si="1522"/>
        <v>8905</v>
      </c>
      <c r="AK1517" s="13">
        <f t="shared" si="1523"/>
        <v>0</v>
      </c>
      <c r="AM1517" s="13">
        <f t="shared" si="1524"/>
        <v>0</v>
      </c>
      <c r="AO1517" s="11">
        <f t="shared" si="1525"/>
        <v>0</v>
      </c>
      <c r="AQ1517" s="11">
        <f t="shared" si="1526"/>
        <v>0</v>
      </c>
      <c r="AS1517" s="11">
        <f t="shared" si="1527"/>
        <v>0</v>
      </c>
      <c r="AU1517" s="11">
        <f t="shared" si="1528"/>
        <v>0</v>
      </c>
      <c r="AW1517" s="11">
        <f t="shared" si="1529"/>
        <v>0</v>
      </c>
      <c r="AY1517" s="11">
        <f t="shared" si="1530"/>
        <v>0</v>
      </c>
      <c r="BA1517" s="11">
        <f t="shared" si="1531"/>
        <v>0</v>
      </c>
      <c r="BC1517" s="11">
        <f t="shared" si="1532"/>
        <v>0</v>
      </c>
      <c r="BE1517" s="11">
        <f t="shared" si="1533"/>
        <v>0</v>
      </c>
      <c r="BG1517" s="11">
        <f t="shared" si="1534"/>
        <v>0</v>
      </c>
      <c r="BN1517" s="8">
        <f t="shared" si="1510"/>
        <v>186</v>
      </c>
      <c r="BO1517" s="8">
        <f t="shared" si="1511"/>
        <v>11160</v>
      </c>
      <c r="BP1517" s="8">
        <f t="shared" si="1514"/>
        <v>555</v>
      </c>
      <c r="BQ1517" s="12">
        <f t="shared" si="1515"/>
        <v>31665</v>
      </c>
    </row>
    <row r="1518" spans="1:69">
      <c r="A1518" s="28">
        <v>1963</v>
      </c>
      <c r="B1518" s="27" t="s">
        <v>74</v>
      </c>
      <c r="C1518" s="24">
        <f t="shared" si="1516"/>
        <v>1510</v>
      </c>
      <c r="D1518" s="7">
        <f t="shared" ca="1" si="1490"/>
        <v>1.1427872860635697</v>
      </c>
      <c r="E1518" s="26">
        <f t="array" aca="1" ref="E1518" ca="1">AVERAGE(IF(INDIRECT(DatCol&amp;"$"&amp;TEXT(C1518,"###")):INDIRECT(DatCol&amp;"$"&amp;TEXT(C1518+57,"###"))&gt;0,INDIRECT(DatCol&amp;"$"&amp;TEXT(C1518,"###")):INDIRECT(DatCol&amp;"$"&amp;TEXT(C1518+57,"###"))))</f>
        <v>107.63157894736842</v>
      </c>
      <c r="F1518" s="26" t="str">
        <f t="shared" si="1509"/>
        <v>B</v>
      </c>
      <c r="G1518" s="8"/>
      <c r="K1518" s="9">
        <f t="shared" si="1512"/>
        <v>0</v>
      </c>
      <c r="M1518" s="11">
        <f t="shared" si="1517"/>
        <v>0</v>
      </c>
      <c r="N1518" s="12">
        <v>123</v>
      </c>
      <c r="O1518" s="11">
        <f t="shared" si="1518"/>
        <v>6150</v>
      </c>
      <c r="Q1518" s="11">
        <f t="shared" si="1519"/>
        <v>0</v>
      </c>
      <c r="X1518" s="12">
        <v>116</v>
      </c>
      <c r="Y1518" s="11">
        <f t="shared" si="1520"/>
        <v>6960</v>
      </c>
      <c r="AG1518" s="11">
        <f t="shared" si="1521"/>
        <v>0</v>
      </c>
      <c r="AH1518" s="12">
        <v>70</v>
      </c>
      <c r="AI1518" s="11">
        <f t="shared" si="1522"/>
        <v>4550</v>
      </c>
      <c r="AK1518" s="13">
        <f t="shared" si="1523"/>
        <v>0</v>
      </c>
      <c r="AM1518" s="13">
        <f t="shared" si="1524"/>
        <v>0</v>
      </c>
      <c r="AO1518" s="11">
        <f t="shared" si="1525"/>
        <v>0</v>
      </c>
      <c r="AQ1518" s="11">
        <f t="shared" si="1526"/>
        <v>0</v>
      </c>
      <c r="AS1518" s="11">
        <f t="shared" si="1527"/>
        <v>0</v>
      </c>
      <c r="AU1518" s="11">
        <f t="shared" si="1528"/>
        <v>0</v>
      </c>
      <c r="AW1518" s="11">
        <f t="shared" si="1529"/>
        <v>0</v>
      </c>
      <c r="AY1518" s="11">
        <f t="shared" si="1530"/>
        <v>0</v>
      </c>
      <c r="BA1518" s="11">
        <f t="shared" si="1531"/>
        <v>0</v>
      </c>
      <c r="BC1518" s="11">
        <f t="shared" si="1532"/>
        <v>0</v>
      </c>
      <c r="BE1518" s="11">
        <f t="shared" si="1533"/>
        <v>0</v>
      </c>
      <c r="BG1518" s="11">
        <f t="shared" si="1534"/>
        <v>0</v>
      </c>
      <c r="BN1518" s="8">
        <f t="shared" si="1510"/>
        <v>116</v>
      </c>
      <c r="BO1518" s="8">
        <f t="shared" si="1511"/>
        <v>6960</v>
      </c>
      <c r="BP1518" s="8">
        <f t="shared" si="1514"/>
        <v>309</v>
      </c>
      <c r="BQ1518" s="12">
        <f t="shared" si="1515"/>
        <v>17660</v>
      </c>
    </row>
    <row r="1519" spans="1:69">
      <c r="A1519" s="28">
        <v>1964</v>
      </c>
      <c r="B1519" s="27" t="s">
        <v>74</v>
      </c>
      <c r="C1519" s="24">
        <f t="shared" si="1516"/>
        <v>1510</v>
      </c>
      <c r="D1519" s="7">
        <f t="shared" ca="1" si="1490"/>
        <v>1.2078239608801955</v>
      </c>
      <c r="E1519" s="26">
        <f t="array" aca="1" ref="E1519" ca="1">AVERAGE(IF(INDIRECT(DatCol&amp;"$"&amp;TEXT(C1519,"###")):INDIRECT(DatCol&amp;"$"&amp;TEXT(C1519+57,"###"))&gt;0,INDIRECT(DatCol&amp;"$"&amp;TEXT(C1519,"###")):INDIRECT(DatCol&amp;"$"&amp;TEXT(C1519+57,"###"))))</f>
        <v>107.63157894736842</v>
      </c>
      <c r="F1519" s="26" t="str">
        <f t="shared" si="1509"/>
        <v>B</v>
      </c>
      <c r="G1519" s="8"/>
      <c r="K1519" s="9">
        <f t="shared" si="1512"/>
        <v>0</v>
      </c>
      <c r="M1519" s="11">
        <f t="shared" si="1517"/>
        <v>0</v>
      </c>
      <c r="N1519" s="12">
        <v>130</v>
      </c>
      <c r="O1519" s="11">
        <f t="shared" si="1518"/>
        <v>6500</v>
      </c>
      <c r="Q1519" s="11">
        <f t="shared" si="1519"/>
        <v>0</v>
      </c>
      <c r="X1519" s="12">
        <v>110</v>
      </c>
      <c r="Y1519" s="11">
        <f t="shared" si="1520"/>
        <v>6600</v>
      </c>
      <c r="AG1519" s="11">
        <f t="shared" si="1521"/>
        <v>0</v>
      </c>
      <c r="AH1519" s="12">
        <v>227</v>
      </c>
      <c r="AI1519" s="11">
        <f t="shared" si="1522"/>
        <v>14755</v>
      </c>
      <c r="AK1519" s="13">
        <f t="shared" si="1523"/>
        <v>0</v>
      </c>
      <c r="AM1519" s="13">
        <f t="shared" si="1524"/>
        <v>0</v>
      </c>
      <c r="AO1519" s="11">
        <f t="shared" si="1525"/>
        <v>0</v>
      </c>
      <c r="AQ1519" s="11">
        <f t="shared" si="1526"/>
        <v>0</v>
      </c>
      <c r="AS1519" s="11">
        <f t="shared" si="1527"/>
        <v>0</v>
      </c>
      <c r="AU1519" s="11">
        <f t="shared" si="1528"/>
        <v>0</v>
      </c>
      <c r="AW1519" s="11">
        <f t="shared" si="1529"/>
        <v>0</v>
      </c>
      <c r="AY1519" s="11">
        <f t="shared" si="1530"/>
        <v>0</v>
      </c>
      <c r="BA1519" s="11">
        <f t="shared" si="1531"/>
        <v>0</v>
      </c>
      <c r="BC1519" s="11">
        <f t="shared" si="1532"/>
        <v>0</v>
      </c>
      <c r="BE1519" s="11">
        <f t="shared" si="1533"/>
        <v>0</v>
      </c>
      <c r="BG1519" s="11">
        <f t="shared" si="1534"/>
        <v>0</v>
      </c>
      <c r="BN1519" s="8">
        <f t="shared" si="1510"/>
        <v>110</v>
      </c>
      <c r="BO1519" s="8">
        <f t="shared" si="1511"/>
        <v>6600</v>
      </c>
      <c r="BP1519" s="8">
        <f t="shared" si="1514"/>
        <v>467</v>
      </c>
      <c r="BQ1519" s="12">
        <f t="shared" si="1515"/>
        <v>27855</v>
      </c>
    </row>
    <row r="1520" spans="1:69">
      <c r="A1520" s="28">
        <v>1965</v>
      </c>
      <c r="B1520" s="27" t="s">
        <v>74</v>
      </c>
      <c r="C1520" s="24">
        <f t="shared" si="1516"/>
        <v>1510</v>
      </c>
      <c r="D1520" s="7">
        <f t="shared" ca="1" si="1490"/>
        <v>1.9325183374083128</v>
      </c>
      <c r="E1520" s="26">
        <f t="array" aca="1" ref="E1520" ca="1">AVERAGE(IF(INDIRECT(DatCol&amp;"$"&amp;TEXT(C1520,"###")):INDIRECT(DatCol&amp;"$"&amp;TEXT(C1520+57,"###"))&gt;0,INDIRECT(DatCol&amp;"$"&amp;TEXT(C1520,"###")):INDIRECT(DatCol&amp;"$"&amp;TEXT(C1520+57,"###"))))</f>
        <v>107.63157894736842</v>
      </c>
      <c r="F1520" s="26" t="str">
        <f t="shared" si="1509"/>
        <v>B</v>
      </c>
      <c r="G1520" s="8"/>
      <c r="K1520" s="9">
        <f t="shared" si="1512"/>
        <v>0</v>
      </c>
      <c r="M1520" s="11">
        <f t="shared" si="1517"/>
        <v>0</v>
      </c>
      <c r="N1520" s="12">
        <v>208</v>
      </c>
      <c r="O1520" s="11">
        <f t="shared" si="1518"/>
        <v>10400</v>
      </c>
      <c r="P1520" s="12">
        <v>48</v>
      </c>
      <c r="Q1520" s="11">
        <f t="shared" si="1519"/>
        <v>2880</v>
      </c>
      <c r="X1520" s="12">
        <v>220</v>
      </c>
      <c r="Y1520" s="11">
        <f t="shared" si="1520"/>
        <v>13200</v>
      </c>
      <c r="AG1520" s="11">
        <f t="shared" si="1521"/>
        <v>0</v>
      </c>
      <c r="AH1520" s="12">
        <v>170</v>
      </c>
      <c r="AI1520" s="11">
        <f t="shared" si="1522"/>
        <v>11050</v>
      </c>
      <c r="AJ1520" s="12">
        <v>110</v>
      </c>
      <c r="AK1520" s="13">
        <f t="shared" si="1523"/>
        <v>990</v>
      </c>
      <c r="AM1520" s="13">
        <f t="shared" si="1524"/>
        <v>0</v>
      </c>
      <c r="AO1520" s="11">
        <f t="shared" si="1525"/>
        <v>0</v>
      </c>
      <c r="AQ1520" s="11">
        <f t="shared" si="1526"/>
        <v>0</v>
      </c>
      <c r="AS1520" s="11">
        <f t="shared" si="1527"/>
        <v>0</v>
      </c>
      <c r="AU1520" s="11">
        <f t="shared" si="1528"/>
        <v>0</v>
      </c>
      <c r="AW1520" s="11">
        <f t="shared" si="1529"/>
        <v>0</v>
      </c>
      <c r="AY1520" s="11">
        <f t="shared" si="1530"/>
        <v>0</v>
      </c>
      <c r="BA1520" s="11">
        <f t="shared" si="1531"/>
        <v>0</v>
      </c>
      <c r="BC1520" s="11">
        <f t="shared" si="1532"/>
        <v>0</v>
      </c>
      <c r="BE1520" s="11">
        <f t="shared" si="1533"/>
        <v>0</v>
      </c>
      <c r="BG1520" s="11">
        <f t="shared" si="1534"/>
        <v>0</v>
      </c>
      <c r="BN1520" s="8">
        <f t="shared" si="1510"/>
        <v>378</v>
      </c>
      <c r="BO1520" s="8">
        <f t="shared" si="1511"/>
        <v>17070</v>
      </c>
      <c r="BP1520" s="8">
        <f t="shared" si="1514"/>
        <v>598</v>
      </c>
      <c r="BQ1520" s="12">
        <f t="shared" si="1515"/>
        <v>34650</v>
      </c>
    </row>
    <row r="1521" spans="1:69">
      <c r="A1521" s="28">
        <v>1966</v>
      </c>
      <c r="B1521" s="27" t="s">
        <v>74</v>
      </c>
      <c r="C1521" s="24">
        <f t="shared" si="1516"/>
        <v>1510</v>
      </c>
      <c r="D1521" s="7">
        <f t="shared" ca="1" si="1490"/>
        <v>2.0161369193154033</v>
      </c>
      <c r="E1521" s="26">
        <f t="array" aca="1" ref="E1521" ca="1">AVERAGE(IF(INDIRECT(DatCol&amp;"$"&amp;TEXT(C1521,"###")):INDIRECT(DatCol&amp;"$"&amp;TEXT(C1521+57,"###"))&gt;0,INDIRECT(DatCol&amp;"$"&amp;TEXT(C1521,"###")):INDIRECT(DatCol&amp;"$"&amp;TEXT(C1521+57,"###"))))</f>
        <v>107.63157894736842</v>
      </c>
      <c r="F1521" s="26" t="str">
        <f t="shared" si="1509"/>
        <v>B</v>
      </c>
      <c r="G1521" s="8"/>
      <c r="K1521" s="9">
        <f t="shared" si="1512"/>
        <v>0</v>
      </c>
      <c r="M1521" s="11">
        <f t="shared" si="1517"/>
        <v>0</v>
      </c>
      <c r="N1521" s="12">
        <v>217</v>
      </c>
      <c r="O1521" s="11">
        <f t="shared" si="1518"/>
        <v>10850</v>
      </c>
      <c r="Q1521" s="11">
        <f t="shared" si="1519"/>
        <v>0</v>
      </c>
      <c r="X1521" s="12">
        <v>269</v>
      </c>
      <c r="Y1521" s="11">
        <f t="shared" si="1520"/>
        <v>16140</v>
      </c>
      <c r="AF1521" s="12">
        <v>109</v>
      </c>
      <c r="AG1521" s="11">
        <f t="shared" si="1521"/>
        <v>7085</v>
      </c>
      <c r="AH1521" s="12">
        <v>220</v>
      </c>
      <c r="AI1521" s="11">
        <f t="shared" si="1522"/>
        <v>14300</v>
      </c>
      <c r="AJ1521" s="12">
        <v>109</v>
      </c>
      <c r="AK1521" s="13">
        <f t="shared" si="1523"/>
        <v>981</v>
      </c>
      <c r="AL1521" s="12">
        <v>200</v>
      </c>
      <c r="AM1521" s="13">
        <f t="shared" si="1524"/>
        <v>1800</v>
      </c>
      <c r="AO1521" s="11">
        <f t="shared" si="1525"/>
        <v>0</v>
      </c>
      <c r="AQ1521" s="11">
        <f t="shared" si="1526"/>
        <v>0</v>
      </c>
      <c r="AS1521" s="11">
        <f t="shared" si="1527"/>
        <v>0</v>
      </c>
      <c r="AU1521" s="11">
        <f t="shared" si="1528"/>
        <v>0</v>
      </c>
      <c r="AW1521" s="11">
        <f t="shared" si="1529"/>
        <v>0</v>
      </c>
      <c r="AY1521" s="11">
        <f t="shared" si="1530"/>
        <v>0</v>
      </c>
      <c r="BA1521" s="11">
        <f t="shared" si="1531"/>
        <v>0</v>
      </c>
      <c r="BC1521" s="11">
        <f t="shared" si="1532"/>
        <v>0</v>
      </c>
      <c r="BE1521" s="11">
        <f t="shared" si="1533"/>
        <v>0</v>
      </c>
      <c r="BG1521" s="11">
        <f t="shared" si="1534"/>
        <v>0</v>
      </c>
      <c r="BN1521" s="8">
        <f t="shared" si="1510"/>
        <v>487</v>
      </c>
      <c r="BO1521" s="8">
        <f t="shared" si="1511"/>
        <v>24206</v>
      </c>
      <c r="BP1521" s="8">
        <f t="shared" si="1514"/>
        <v>906</v>
      </c>
      <c r="BQ1521" s="12">
        <f t="shared" si="1515"/>
        <v>43090</v>
      </c>
    </row>
    <row r="1522" spans="1:69">
      <c r="A1522" s="28">
        <v>1967</v>
      </c>
      <c r="B1522" s="27" t="s">
        <v>74</v>
      </c>
      <c r="C1522" s="24">
        <f t="shared" si="1516"/>
        <v>1510</v>
      </c>
      <c r="D1522" s="7">
        <f t="shared" ca="1" si="1490"/>
        <v>1.8953545232273838</v>
      </c>
      <c r="E1522" s="26">
        <f t="array" aca="1" ref="E1522" ca="1">AVERAGE(IF(INDIRECT(DatCol&amp;"$"&amp;TEXT(C1522,"###")):INDIRECT(DatCol&amp;"$"&amp;TEXT(C1522+57,"###"))&gt;0,INDIRECT(DatCol&amp;"$"&amp;TEXT(C1522,"###")):INDIRECT(DatCol&amp;"$"&amp;TEXT(C1522+57,"###"))))</f>
        <v>107.63157894736842</v>
      </c>
      <c r="F1522" s="26" t="str">
        <f t="shared" si="1509"/>
        <v>B</v>
      </c>
      <c r="G1522" s="8"/>
      <c r="H1522" s="8">
        <v>29</v>
      </c>
      <c r="I1522" s="8">
        <v>6</v>
      </c>
      <c r="J1522" s="8">
        <v>820</v>
      </c>
      <c r="K1522" s="9">
        <f t="shared" si="1512"/>
        <v>849</v>
      </c>
      <c r="M1522" s="11">
        <f t="shared" si="1517"/>
        <v>0</v>
      </c>
      <c r="N1522" s="12">
        <v>204</v>
      </c>
      <c r="O1522" s="11">
        <f t="shared" si="1518"/>
        <v>10200</v>
      </c>
      <c r="P1522" s="12">
        <v>12</v>
      </c>
      <c r="Q1522" s="11">
        <f t="shared" si="1519"/>
        <v>720</v>
      </c>
      <c r="X1522" s="12">
        <v>218</v>
      </c>
      <c r="Y1522" s="11">
        <f t="shared" si="1520"/>
        <v>13080</v>
      </c>
      <c r="AG1522" s="11">
        <f t="shared" si="1521"/>
        <v>0</v>
      </c>
      <c r="AH1522" s="12">
        <v>66</v>
      </c>
      <c r="AI1522" s="11">
        <f t="shared" si="1522"/>
        <v>4290</v>
      </c>
      <c r="AJ1522" s="12">
        <v>30</v>
      </c>
      <c r="AK1522" s="13">
        <f t="shared" si="1523"/>
        <v>270</v>
      </c>
      <c r="AM1522" s="13">
        <f t="shared" si="1524"/>
        <v>0</v>
      </c>
      <c r="AO1522" s="11">
        <f t="shared" si="1525"/>
        <v>0</v>
      </c>
      <c r="AQ1522" s="11">
        <f t="shared" si="1526"/>
        <v>0</v>
      </c>
      <c r="AS1522" s="11">
        <f t="shared" si="1527"/>
        <v>0</v>
      </c>
      <c r="AU1522" s="11">
        <f t="shared" si="1528"/>
        <v>0</v>
      </c>
      <c r="AW1522" s="11">
        <f t="shared" si="1529"/>
        <v>0</v>
      </c>
      <c r="AY1522" s="11">
        <f t="shared" si="1530"/>
        <v>0</v>
      </c>
      <c r="BA1522" s="11">
        <f t="shared" si="1531"/>
        <v>0</v>
      </c>
      <c r="BC1522" s="11">
        <f t="shared" si="1532"/>
        <v>0</v>
      </c>
      <c r="BE1522" s="11">
        <f t="shared" si="1533"/>
        <v>0</v>
      </c>
      <c r="BG1522" s="11">
        <f t="shared" si="1534"/>
        <v>0</v>
      </c>
      <c r="BN1522" s="8">
        <f t="shared" si="1510"/>
        <v>260</v>
      </c>
      <c r="BO1522" s="8">
        <f t="shared" si="1511"/>
        <v>14070</v>
      </c>
      <c r="BP1522" s="8">
        <f t="shared" si="1514"/>
        <v>488</v>
      </c>
      <c r="BQ1522" s="12">
        <f t="shared" si="1515"/>
        <v>27570</v>
      </c>
    </row>
    <row r="1523" spans="1:69">
      <c r="A1523" s="28">
        <v>1968</v>
      </c>
      <c r="B1523" s="27" t="s">
        <v>74</v>
      </c>
      <c r="C1523" s="24">
        <f t="shared" si="1516"/>
        <v>1510</v>
      </c>
      <c r="D1523" s="7">
        <f t="shared" ca="1" si="1490"/>
        <v>3.1496332518337407</v>
      </c>
      <c r="E1523" s="26">
        <f t="array" aca="1" ref="E1523" ca="1">AVERAGE(IF(INDIRECT(DatCol&amp;"$"&amp;TEXT(C1523,"###")):INDIRECT(DatCol&amp;"$"&amp;TEXT(C1523+57,"###"))&gt;0,INDIRECT(DatCol&amp;"$"&amp;TEXT(C1523,"###")):INDIRECT(DatCol&amp;"$"&amp;TEXT(C1523+57,"###"))))</f>
        <v>107.63157894736842</v>
      </c>
      <c r="F1523" s="26" t="str">
        <f t="shared" si="1509"/>
        <v>B</v>
      </c>
      <c r="G1523" s="8"/>
      <c r="H1523" s="8">
        <v>37</v>
      </c>
      <c r="I1523" s="8">
        <v>4</v>
      </c>
      <c r="J1523" s="8">
        <v>863</v>
      </c>
      <c r="K1523" s="9">
        <f t="shared" si="1512"/>
        <v>900</v>
      </c>
      <c r="M1523" s="11">
        <f t="shared" si="1517"/>
        <v>0</v>
      </c>
      <c r="N1523" s="12">
        <v>339</v>
      </c>
      <c r="O1523" s="11">
        <f t="shared" si="1518"/>
        <v>16950</v>
      </c>
      <c r="Q1523" s="11">
        <f t="shared" si="1519"/>
        <v>0</v>
      </c>
      <c r="X1523" s="12">
        <v>419</v>
      </c>
      <c r="Y1523" s="11">
        <f t="shared" si="1520"/>
        <v>25140</v>
      </c>
      <c r="AG1523" s="11">
        <f t="shared" si="1521"/>
        <v>0</v>
      </c>
      <c r="AH1523" s="12">
        <v>378</v>
      </c>
      <c r="AI1523" s="11">
        <f t="shared" si="1522"/>
        <v>24570</v>
      </c>
      <c r="AJ1523" s="12">
        <v>70</v>
      </c>
      <c r="AK1523" s="13">
        <f t="shared" si="1523"/>
        <v>630</v>
      </c>
      <c r="AL1523" s="12">
        <v>40</v>
      </c>
      <c r="AM1523" s="13">
        <f t="shared" si="1524"/>
        <v>360</v>
      </c>
      <c r="AO1523" s="11">
        <f t="shared" si="1525"/>
        <v>0</v>
      </c>
      <c r="AQ1523" s="11">
        <f t="shared" si="1526"/>
        <v>0</v>
      </c>
      <c r="AS1523" s="11">
        <f t="shared" si="1527"/>
        <v>0</v>
      </c>
      <c r="AU1523" s="11">
        <f t="shared" si="1528"/>
        <v>0</v>
      </c>
      <c r="AW1523" s="11">
        <f t="shared" si="1529"/>
        <v>0</v>
      </c>
      <c r="AY1523" s="11">
        <f t="shared" si="1530"/>
        <v>0</v>
      </c>
      <c r="BA1523" s="11">
        <f t="shared" si="1531"/>
        <v>0</v>
      </c>
      <c r="BC1523" s="11">
        <f t="shared" si="1532"/>
        <v>0</v>
      </c>
      <c r="BE1523" s="11">
        <f t="shared" si="1533"/>
        <v>0</v>
      </c>
      <c r="BG1523" s="11">
        <f t="shared" si="1534"/>
        <v>0</v>
      </c>
      <c r="BN1523" s="8">
        <f t="shared" si="1510"/>
        <v>489</v>
      </c>
      <c r="BO1523" s="8">
        <f t="shared" si="1511"/>
        <v>25770</v>
      </c>
      <c r="BP1523" s="8">
        <f t="shared" si="1514"/>
        <v>1176</v>
      </c>
      <c r="BQ1523" s="12">
        <f t="shared" si="1515"/>
        <v>67020</v>
      </c>
    </row>
    <row r="1524" spans="1:69">
      <c r="A1524" s="28">
        <v>1969</v>
      </c>
      <c r="B1524" s="27" t="s">
        <v>74</v>
      </c>
      <c r="C1524" s="24">
        <f t="shared" si="1516"/>
        <v>1510</v>
      </c>
      <c r="D1524" s="7">
        <f t="shared" ca="1" si="1490"/>
        <v>1.254278728606357</v>
      </c>
      <c r="E1524" s="26">
        <f t="array" aca="1" ref="E1524" ca="1">AVERAGE(IF(INDIRECT(DatCol&amp;"$"&amp;TEXT(C1524,"###")):INDIRECT(DatCol&amp;"$"&amp;TEXT(C1524+57,"###"))&gt;0,INDIRECT(DatCol&amp;"$"&amp;TEXT(C1524,"###")):INDIRECT(DatCol&amp;"$"&amp;TEXT(C1524+57,"###"))))</f>
        <v>107.63157894736842</v>
      </c>
      <c r="F1524" s="26" t="str">
        <f t="shared" si="1509"/>
        <v>B</v>
      </c>
      <c r="G1524" s="8"/>
      <c r="H1524" s="8">
        <v>18</v>
      </c>
      <c r="J1524" s="8">
        <v>972</v>
      </c>
      <c r="K1524" s="9">
        <f t="shared" si="1512"/>
        <v>990</v>
      </c>
      <c r="M1524" s="11">
        <f t="shared" si="1517"/>
        <v>0</v>
      </c>
      <c r="N1524" s="12">
        <v>135</v>
      </c>
      <c r="O1524" s="11">
        <f t="shared" si="1518"/>
        <v>6750</v>
      </c>
      <c r="P1524" s="12">
        <v>585</v>
      </c>
      <c r="Q1524" s="11">
        <f t="shared" si="1519"/>
        <v>35100</v>
      </c>
      <c r="X1524" s="12">
        <v>379</v>
      </c>
      <c r="Y1524" s="11">
        <f t="shared" si="1520"/>
        <v>22740</v>
      </c>
      <c r="AG1524" s="11">
        <f t="shared" si="1521"/>
        <v>0</v>
      </c>
      <c r="AH1524" s="12">
        <v>216</v>
      </c>
      <c r="AI1524" s="11">
        <f t="shared" si="1522"/>
        <v>14040</v>
      </c>
      <c r="AJ1524" s="12">
        <v>1236</v>
      </c>
      <c r="AK1524" s="13">
        <f t="shared" si="1523"/>
        <v>11124</v>
      </c>
      <c r="AL1524" s="12">
        <v>293</v>
      </c>
      <c r="AM1524" s="13">
        <f t="shared" si="1524"/>
        <v>2637</v>
      </c>
      <c r="AO1524" s="11">
        <f t="shared" si="1525"/>
        <v>0</v>
      </c>
      <c r="AQ1524" s="11">
        <f t="shared" si="1526"/>
        <v>0</v>
      </c>
      <c r="AS1524" s="11">
        <f t="shared" si="1527"/>
        <v>0</v>
      </c>
      <c r="AU1524" s="11">
        <f t="shared" si="1528"/>
        <v>0</v>
      </c>
      <c r="AW1524" s="11">
        <f t="shared" si="1529"/>
        <v>0</v>
      </c>
      <c r="AY1524" s="11">
        <f t="shared" si="1530"/>
        <v>0</v>
      </c>
      <c r="BA1524" s="11">
        <f t="shared" si="1531"/>
        <v>0</v>
      </c>
      <c r="BC1524" s="11">
        <f t="shared" si="1532"/>
        <v>0</v>
      </c>
      <c r="BE1524" s="11">
        <f t="shared" si="1533"/>
        <v>0</v>
      </c>
      <c r="BG1524" s="11">
        <f t="shared" si="1534"/>
        <v>0</v>
      </c>
      <c r="BN1524" s="8">
        <f t="shared" si="1510"/>
        <v>2200</v>
      </c>
      <c r="BO1524" s="8">
        <f t="shared" si="1511"/>
        <v>68964</v>
      </c>
      <c r="BP1524" s="8">
        <f t="shared" si="1514"/>
        <v>1023</v>
      </c>
      <c r="BQ1524" s="12">
        <f t="shared" si="1515"/>
        <v>46167</v>
      </c>
    </row>
    <row r="1525" spans="1:69">
      <c r="A1525" s="28">
        <v>1970</v>
      </c>
      <c r="B1525" s="27" t="s">
        <v>74</v>
      </c>
      <c r="C1525" s="24">
        <f t="shared" si="1516"/>
        <v>1510</v>
      </c>
      <c r="D1525" s="7">
        <f t="shared" ca="1" si="1490"/>
        <v>2.4621026894865525</v>
      </c>
      <c r="E1525" s="26">
        <f t="array" aca="1" ref="E1525" ca="1">AVERAGE(IF(INDIRECT(DatCol&amp;"$"&amp;TEXT(C1525,"###")):INDIRECT(DatCol&amp;"$"&amp;TEXT(C1525+57,"###"))&gt;0,INDIRECT(DatCol&amp;"$"&amp;TEXT(C1525,"###")):INDIRECT(DatCol&amp;"$"&amp;TEXT(C1525+57,"###"))))</f>
        <v>107.63157894736842</v>
      </c>
      <c r="F1525" s="26" t="str">
        <f t="shared" si="1509"/>
        <v>B</v>
      </c>
      <c r="G1525" s="8"/>
      <c r="H1525" s="8">
        <v>6</v>
      </c>
      <c r="I1525" s="8">
        <v>39</v>
      </c>
      <c r="J1525" s="8">
        <v>1013</v>
      </c>
      <c r="K1525" s="9">
        <f t="shared" si="1512"/>
        <v>1019</v>
      </c>
      <c r="M1525" s="11">
        <f t="shared" si="1517"/>
        <v>0</v>
      </c>
      <c r="N1525" s="12">
        <v>265</v>
      </c>
      <c r="O1525" s="11">
        <f t="shared" si="1518"/>
        <v>13250</v>
      </c>
      <c r="P1525" s="12">
        <v>35</v>
      </c>
      <c r="Q1525" s="11">
        <f t="shared" si="1519"/>
        <v>2100</v>
      </c>
      <c r="X1525" s="12">
        <v>530</v>
      </c>
      <c r="Y1525" s="11">
        <f t="shared" si="1520"/>
        <v>31800</v>
      </c>
      <c r="AG1525" s="11">
        <f t="shared" si="1521"/>
        <v>0</v>
      </c>
      <c r="AH1525" s="12">
        <v>325</v>
      </c>
      <c r="AI1525" s="11">
        <f t="shared" si="1522"/>
        <v>21125</v>
      </c>
      <c r="AJ1525" s="12">
        <v>2200</v>
      </c>
      <c r="AK1525" s="13">
        <f t="shared" si="1523"/>
        <v>19800</v>
      </c>
      <c r="AL1525" s="12">
        <v>600</v>
      </c>
      <c r="AM1525" s="13">
        <f t="shared" si="1524"/>
        <v>5400</v>
      </c>
      <c r="AO1525" s="11">
        <f t="shared" si="1525"/>
        <v>0</v>
      </c>
      <c r="AQ1525" s="11">
        <f t="shared" si="1526"/>
        <v>0</v>
      </c>
      <c r="AS1525" s="11">
        <f t="shared" si="1527"/>
        <v>0</v>
      </c>
      <c r="AU1525" s="11">
        <f t="shared" si="1528"/>
        <v>0</v>
      </c>
      <c r="AW1525" s="11">
        <f t="shared" si="1529"/>
        <v>0</v>
      </c>
      <c r="AY1525" s="11">
        <f t="shared" si="1530"/>
        <v>0</v>
      </c>
      <c r="BA1525" s="11">
        <f t="shared" si="1531"/>
        <v>0</v>
      </c>
      <c r="BC1525" s="11">
        <f t="shared" si="1532"/>
        <v>0</v>
      </c>
      <c r="BE1525" s="11">
        <f t="shared" si="1533"/>
        <v>0</v>
      </c>
      <c r="BG1525" s="11">
        <f t="shared" si="1534"/>
        <v>0</v>
      </c>
      <c r="BN1525" s="8">
        <f t="shared" si="1510"/>
        <v>2765</v>
      </c>
      <c r="BO1525" s="8">
        <f t="shared" si="1511"/>
        <v>53700</v>
      </c>
      <c r="BP1525" s="8">
        <f t="shared" si="1514"/>
        <v>1720</v>
      </c>
      <c r="BQ1525" s="12">
        <f t="shared" si="1515"/>
        <v>71575</v>
      </c>
    </row>
    <row r="1526" spans="1:69">
      <c r="A1526" s="28">
        <v>1971</v>
      </c>
      <c r="B1526" s="27" t="s">
        <v>74</v>
      </c>
      <c r="C1526" s="24">
        <f t="shared" si="1516"/>
        <v>1510</v>
      </c>
      <c r="D1526" s="7">
        <f t="shared" ca="1" si="1490"/>
        <v>2.5550122249388751</v>
      </c>
      <c r="E1526" s="26">
        <f t="array" aca="1" ref="E1526" ca="1">AVERAGE(IF(INDIRECT(DatCol&amp;"$"&amp;TEXT(C1526,"###")):INDIRECT(DatCol&amp;"$"&amp;TEXT(C1526+57,"###"))&gt;0,INDIRECT(DatCol&amp;"$"&amp;TEXT(C1526,"###")):INDIRECT(DatCol&amp;"$"&amp;TEXT(C1526+57,"###"))))</f>
        <v>107.63157894736842</v>
      </c>
      <c r="F1526" s="26" t="str">
        <f t="shared" si="1509"/>
        <v>B</v>
      </c>
      <c r="G1526" s="8"/>
      <c r="H1526" s="8">
        <v>9</v>
      </c>
      <c r="I1526" s="8">
        <v>53</v>
      </c>
      <c r="J1526" s="8">
        <v>1119</v>
      </c>
      <c r="K1526" s="9">
        <f t="shared" si="1512"/>
        <v>1128</v>
      </c>
      <c r="M1526" s="11">
        <f t="shared" si="1517"/>
        <v>0</v>
      </c>
      <c r="N1526" s="12">
        <v>275</v>
      </c>
      <c r="O1526" s="11">
        <f t="shared" si="1518"/>
        <v>13750</v>
      </c>
      <c r="P1526" s="12">
        <v>50</v>
      </c>
      <c r="Q1526" s="11">
        <f t="shared" si="1519"/>
        <v>3000</v>
      </c>
      <c r="X1526" s="12">
        <v>1000</v>
      </c>
      <c r="Y1526" s="11">
        <f t="shared" si="1520"/>
        <v>60000</v>
      </c>
      <c r="AG1526" s="11">
        <f t="shared" si="1521"/>
        <v>0</v>
      </c>
      <c r="AH1526" s="12">
        <v>250</v>
      </c>
      <c r="AI1526" s="11">
        <f t="shared" si="1522"/>
        <v>16250</v>
      </c>
      <c r="AJ1526" s="12">
        <v>3500</v>
      </c>
      <c r="AK1526" s="13">
        <f t="shared" si="1523"/>
        <v>31500</v>
      </c>
      <c r="AL1526" s="12">
        <v>1200</v>
      </c>
      <c r="AM1526" s="13">
        <f t="shared" si="1524"/>
        <v>10800</v>
      </c>
      <c r="AO1526" s="11">
        <f t="shared" si="1525"/>
        <v>0</v>
      </c>
      <c r="AQ1526" s="11">
        <f t="shared" si="1526"/>
        <v>0</v>
      </c>
      <c r="AS1526" s="11">
        <f t="shared" si="1527"/>
        <v>0</v>
      </c>
      <c r="AU1526" s="11">
        <f t="shared" si="1528"/>
        <v>0</v>
      </c>
      <c r="AW1526" s="11">
        <f t="shared" si="1529"/>
        <v>0</v>
      </c>
      <c r="AY1526" s="11">
        <f t="shared" si="1530"/>
        <v>0</v>
      </c>
      <c r="BA1526" s="11">
        <f t="shared" si="1531"/>
        <v>0</v>
      </c>
      <c r="BC1526" s="11">
        <f t="shared" si="1532"/>
        <v>0</v>
      </c>
      <c r="BE1526" s="11">
        <f t="shared" si="1533"/>
        <v>0</v>
      </c>
      <c r="BG1526" s="11">
        <f t="shared" si="1534"/>
        <v>0</v>
      </c>
      <c r="BN1526" s="8">
        <f t="shared" si="1510"/>
        <v>4550</v>
      </c>
      <c r="BO1526" s="8">
        <f t="shared" si="1511"/>
        <v>94500</v>
      </c>
      <c r="BP1526" s="8">
        <f t="shared" si="1514"/>
        <v>2725</v>
      </c>
      <c r="BQ1526" s="12">
        <f t="shared" si="1515"/>
        <v>100800</v>
      </c>
    </row>
    <row r="1527" spans="1:69">
      <c r="A1527" s="28">
        <v>1972</v>
      </c>
      <c r="B1527" s="27" t="s">
        <v>74</v>
      </c>
      <c r="C1527" s="24">
        <f t="shared" si="1516"/>
        <v>1510</v>
      </c>
      <c r="D1527" s="7">
        <f t="shared" ca="1" si="1490"/>
        <v>0.32518337408312958</v>
      </c>
      <c r="E1527" s="26">
        <f t="array" aca="1" ref="E1527" ca="1">AVERAGE(IF(INDIRECT(DatCol&amp;"$"&amp;TEXT(C1527,"###")):INDIRECT(DatCol&amp;"$"&amp;TEXT(C1527+57,"###"))&gt;0,INDIRECT(DatCol&amp;"$"&amp;TEXT(C1527,"###")):INDIRECT(DatCol&amp;"$"&amp;TEXT(C1527+57,"###"))))</f>
        <v>107.63157894736842</v>
      </c>
      <c r="F1527" s="26" t="str">
        <f t="shared" si="1509"/>
        <v>B</v>
      </c>
      <c r="G1527" s="8"/>
      <c r="H1527" s="8">
        <v>25</v>
      </c>
      <c r="I1527" s="8">
        <v>5</v>
      </c>
      <c r="J1527" s="8">
        <v>1035</v>
      </c>
      <c r="K1527" s="9">
        <f t="shared" si="1512"/>
        <v>1060</v>
      </c>
      <c r="M1527" s="11">
        <f t="shared" si="1517"/>
        <v>0</v>
      </c>
      <c r="N1527" s="12">
        <v>35</v>
      </c>
      <c r="O1527" s="11">
        <f t="shared" si="1518"/>
        <v>1750</v>
      </c>
      <c r="P1527" s="12">
        <v>1000</v>
      </c>
      <c r="Q1527" s="11">
        <f t="shared" si="1519"/>
        <v>60000</v>
      </c>
      <c r="X1527" s="12">
        <v>825</v>
      </c>
      <c r="Y1527" s="11">
        <f t="shared" si="1520"/>
        <v>49500</v>
      </c>
      <c r="AG1527" s="11">
        <f t="shared" si="1521"/>
        <v>0</v>
      </c>
      <c r="AH1527" s="12">
        <v>185</v>
      </c>
      <c r="AI1527" s="11">
        <f t="shared" si="1522"/>
        <v>12025</v>
      </c>
      <c r="AJ1527" s="12">
        <v>0</v>
      </c>
      <c r="AK1527" s="13">
        <f t="shared" si="1523"/>
        <v>0</v>
      </c>
      <c r="AL1527" s="12">
        <v>75</v>
      </c>
      <c r="AM1527" s="13">
        <f t="shared" si="1524"/>
        <v>675</v>
      </c>
      <c r="AO1527" s="11">
        <f t="shared" si="1525"/>
        <v>0</v>
      </c>
      <c r="AQ1527" s="11">
        <f t="shared" si="1526"/>
        <v>0</v>
      </c>
      <c r="AS1527" s="11">
        <f t="shared" si="1527"/>
        <v>0</v>
      </c>
      <c r="AU1527" s="11">
        <f t="shared" si="1528"/>
        <v>0</v>
      </c>
      <c r="AW1527" s="11">
        <f t="shared" si="1529"/>
        <v>0</v>
      </c>
      <c r="AY1527" s="11">
        <f t="shared" si="1530"/>
        <v>0</v>
      </c>
      <c r="BA1527" s="11">
        <f t="shared" si="1531"/>
        <v>0</v>
      </c>
      <c r="BC1527" s="11">
        <f t="shared" si="1532"/>
        <v>0</v>
      </c>
      <c r="BE1527" s="11">
        <f t="shared" si="1533"/>
        <v>0</v>
      </c>
      <c r="BG1527" s="11">
        <f t="shared" si="1534"/>
        <v>0</v>
      </c>
      <c r="BN1527" s="8">
        <f t="shared" si="1510"/>
        <v>1825</v>
      </c>
      <c r="BO1527" s="8">
        <f t="shared" si="1511"/>
        <v>109500</v>
      </c>
      <c r="BP1527" s="8">
        <f t="shared" si="1514"/>
        <v>1120</v>
      </c>
      <c r="BQ1527" s="12">
        <f t="shared" si="1515"/>
        <v>63950</v>
      </c>
    </row>
    <row r="1528" spans="1:69">
      <c r="A1528" s="28">
        <v>1973</v>
      </c>
      <c r="B1528" s="27" t="s">
        <v>74</v>
      </c>
      <c r="C1528" s="24">
        <f t="shared" si="1516"/>
        <v>1510</v>
      </c>
      <c r="D1528" s="7">
        <f t="shared" ca="1" si="1490"/>
        <v>0.41809290953545231</v>
      </c>
      <c r="E1528" s="26">
        <f t="array" aca="1" ref="E1528" ca="1">AVERAGE(IF(INDIRECT(DatCol&amp;"$"&amp;TEXT(C1528,"###")):INDIRECT(DatCol&amp;"$"&amp;TEXT(C1528+57,"###"))&gt;0,INDIRECT(DatCol&amp;"$"&amp;TEXT(C1528,"###")):INDIRECT(DatCol&amp;"$"&amp;TEXT(C1528+57,"###"))))</f>
        <v>107.63157894736842</v>
      </c>
      <c r="F1528" s="26" t="str">
        <f t="shared" si="1509"/>
        <v>B</v>
      </c>
      <c r="G1528" s="8"/>
      <c r="H1528" s="8">
        <v>12</v>
      </c>
      <c r="I1528" s="8">
        <v>1</v>
      </c>
      <c r="J1528" s="8">
        <v>1136</v>
      </c>
      <c r="K1528" s="9">
        <f t="shared" si="1512"/>
        <v>1148</v>
      </c>
      <c r="M1528" s="11">
        <f t="shared" si="1517"/>
        <v>0</v>
      </c>
      <c r="N1528" s="12">
        <v>45</v>
      </c>
      <c r="O1528" s="11">
        <f t="shared" si="1518"/>
        <v>2250</v>
      </c>
      <c r="Q1528" s="11">
        <f t="shared" si="1519"/>
        <v>0</v>
      </c>
      <c r="X1528" s="12">
        <v>1045</v>
      </c>
      <c r="Y1528" s="11">
        <f t="shared" si="1520"/>
        <v>62700</v>
      </c>
      <c r="AG1528" s="11">
        <f t="shared" si="1521"/>
        <v>0</v>
      </c>
      <c r="AH1528" s="12">
        <v>98</v>
      </c>
      <c r="AI1528" s="11">
        <f t="shared" si="1522"/>
        <v>6370</v>
      </c>
      <c r="AK1528" s="13">
        <f t="shared" si="1523"/>
        <v>0</v>
      </c>
      <c r="AL1528" s="12">
        <v>5</v>
      </c>
      <c r="AM1528" s="13">
        <f t="shared" si="1524"/>
        <v>45</v>
      </c>
      <c r="AO1528" s="11">
        <f t="shared" si="1525"/>
        <v>0</v>
      </c>
      <c r="AQ1528" s="11">
        <f t="shared" si="1526"/>
        <v>0</v>
      </c>
      <c r="AS1528" s="11">
        <f t="shared" si="1527"/>
        <v>0</v>
      </c>
      <c r="AU1528" s="11">
        <f t="shared" si="1528"/>
        <v>0</v>
      </c>
      <c r="AW1528" s="11">
        <f t="shared" si="1529"/>
        <v>0</v>
      </c>
      <c r="AY1528" s="11">
        <f t="shared" si="1530"/>
        <v>0</v>
      </c>
      <c r="BA1528" s="11">
        <f t="shared" si="1531"/>
        <v>0</v>
      </c>
      <c r="BC1528" s="11">
        <f t="shared" si="1532"/>
        <v>0</v>
      </c>
      <c r="BE1528" s="11">
        <f t="shared" si="1533"/>
        <v>0</v>
      </c>
      <c r="BG1528" s="11">
        <f t="shared" si="1534"/>
        <v>0</v>
      </c>
      <c r="BN1528" s="8">
        <f t="shared" si="1510"/>
        <v>1045</v>
      </c>
      <c r="BO1528" s="8">
        <f t="shared" si="1511"/>
        <v>62700</v>
      </c>
      <c r="BP1528" s="8">
        <f t="shared" si="1514"/>
        <v>1193</v>
      </c>
      <c r="BQ1528" s="12">
        <f t="shared" si="1515"/>
        <v>71365</v>
      </c>
    </row>
    <row r="1529" spans="1:69">
      <c r="A1529" s="28">
        <v>1974</v>
      </c>
      <c r="B1529" s="27" t="s">
        <v>74</v>
      </c>
      <c r="C1529" s="24">
        <f t="shared" si="1516"/>
        <v>1510</v>
      </c>
      <c r="D1529" s="7">
        <f t="shared" ca="1" si="1490"/>
        <v>0.13936430317848411</v>
      </c>
      <c r="E1529" s="26">
        <f t="array" aca="1" ref="E1529" ca="1">AVERAGE(IF(INDIRECT(DatCol&amp;"$"&amp;TEXT(C1529,"###")):INDIRECT(DatCol&amp;"$"&amp;TEXT(C1529+57,"###"))&gt;0,INDIRECT(DatCol&amp;"$"&amp;TEXT(C1529,"###")):INDIRECT(DatCol&amp;"$"&amp;TEXT(C1529+57,"###"))))</f>
        <v>107.63157894736842</v>
      </c>
      <c r="F1529" s="26" t="str">
        <f t="shared" si="1509"/>
        <v>B</v>
      </c>
      <c r="G1529" s="8"/>
      <c r="H1529" s="8">
        <v>10</v>
      </c>
      <c r="I1529" s="8">
        <v>0</v>
      </c>
      <c r="J1529" s="8">
        <v>1184</v>
      </c>
      <c r="K1529" s="9">
        <f t="shared" si="1512"/>
        <v>1194</v>
      </c>
      <c r="M1529" s="11">
        <f t="shared" ref="M1529:M1544" si="1535">(L1529*50)</f>
        <v>0</v>
      </c>
      <c r="N1529" s="12">
        <v>15</v>
      </c>
      <c r="O1529" s="11">
        <f t="shared" ref="O1529:O1544" si="1536">(N1529*50)</f>
        <v>750</v>
      </c>
      <c r="Q1529" s="11">
        <f t="shared" ref="Q1529:Q1544" si="1537">((P1529*330)/5.5)</f>
        <v>0</v>
      </c>
      <c r="X1529" s="12">
        <v>1600</v>
      </c>
      <c r="Y1529" s="11">
        <f t="shared" ref="Y1529:Y1544" si="1538">((X1529*330)/5.5)</f>
        <v>96000</v>
      </c>
      <c r="AG1529" s="11">
        <f t="shared" ref="AG1529:AG1544" si="1539">(AF1529*65)</f>
        <v>0</v>
      </c>
      <c r="AH1529" s="12">
        <v>250</v>
      </c>
      <c r="AI1529" s="11">
        <f t="shared" ref="AI1529:AI1544" si="1540">(AH1529*65)</f>
        <v>16250</v>
      </c>
      <c r="AK1529" s="13">
        <f t="shared" ref="AK1529:AK1544" si="1541">(AJ1529*9)</f>
        <v>0</v>
      </c>
      <c r="AL1529" s="12">
        <v>0</v>
      </c>
      <c r="AM1529" s="13">
        <f t="shared" ref="AM1529:AM1544" si="1542">(AL1529*9)</f>
        <v>0</v>
      </c>
      <c r="AO1529" s="11">
        <f t="shared" ref="AO1529:AO1544" si="1543">(AN1529*80)</f>
        <v>0</v>
      </c>
      <c r="AQ1529" s="11">
        <f t="shared" ref="AQ1529:AQ1544" si="1544">(AP1529*80)</f>
        <v>0</v>
      </c>
      <c r="AS1529" s="11">
        <f t="shared" ref="AS1529:AS1544" si="1545">(AR1529*50)</f>
        <v>0</v>
      </c>
      <c r="AU1529" s="11">
        <f t="shared" ref="AU1529:AU1544" si="1546">(AT1529*50)</f>
        <v>0</v>
      </c>
      <c r="AW1529" s="11">
        <f t="shared" ref="AW1529:AW1544" si="1547">(AV1529*60)</f>
        <v>0</v>
      </c>
      <c r="AY1529" s="11">
        <f t="shared" ref="AY1529:AY1544" si="1548">(AX1529*60)</f>
        <v>0</v>
      </c>
      <c r="BA1529" s="11">
        <f t="shared" ref="BA1529:BA1544" si="1549">(AZ1529*40)</f>
        <v>0</v>
      </c>
      <c r="BC1529" s="11">
        <f t="shared" ref="BC1529:BC1544" si="1550">(BB1529*40)</f>
        <v>0</v>
      </c>
      <c r="BE1529" s="11">
        <f t="shared" ref="BE1529:BE1544" si="1551">(BD1529*95)</f>
        <v>0</v>
      </c>
      <c r="BG1529" s="11">
        <f t="shared" ref="BG1529:BG1544" si="1552">(BF1529*95)</f>
        <v>0</v>
      </c>
      <c r="BN1529" s="8">
        <f t="shared" si="1510"/>
        <v>1600</v>
      </c>
      <c r="BO1529" s="8">
        <f t="shared" si="1511"/>
        <v>96000</v>
      </c>
      <c r="BP1529" s="8">
        <f t="shared" si="1514"/>
        <v>1865</v>
      </c>
      <c r="BQ1529" s="12">
        <f t="shared" si="1515"/>
        <v>113000</v>
      </c>
    </row>
    <row r="1530" spans="1:69">
      <c r="A1530" s="28">
        <v>1975</v>
      </c>
      <c r="B1530" s="27" t="s">
        <v>74</v>
      </c>
      <c r="C1530" s="24">
        <f t="shared" si="1516"/>
        <v>1510</v>
      </c>
      <c r="D1530" s="7" t="e">
        <f t="shared" ca="1" si="1490"/>
        <v>#N/A</v>
      </c>
      <c r="E1530" s="26">
        <f t="array" aca="1" ref="E1530" ca="1">AVERAGE(IF(INDIRECT(DatCol&amp;"$"&amp;TEXT(C1530,"###")):INDIRECT(DatCol&amp;"$"&amp;TEXT(C1530+57,"###"))&gt;0,INDIRECT(DatCol&amp;"$"&amp;TEXT(C1530,"###")):INDIRECT(DatCol&amp;"$"&amp;TEXT(C1530+57,"###"))))</f>
        <v>107.63157894736842</v>
      </c>
      <c r="F1530" s="26" t="str">
        <f t="shared" si="1509"/>
        <v>B</v>
      </c>
      <c r="G1530" s="8"/>
      <c r="H1530" s="8">
        <v>4</v>
      </c>
      <c r="I1530" s="8">
        <v>4</v>
      </c>
      <c r="J1530" s="8">
        <v>1049</v>
      </c>
      <c r="K1530" s="9">
        <f t="shared" si="1512"/>
        <v>1053</v>
      </c>
      <c r="M1530" s="11">
        <f t="shared" si="1535"/>
        <v>0</v>
      </c>
      <c r="O1530" s="11">
        <f t="shared" si="1536"/>
        <v>0</v>
      </c>
      <c r="Q1530" s="11">
        <f t="shared" si="1537"/>
        <v>0</v>
      </c>
      <c r="X1530" s="12">
        <v>2175</v>
      </c>
      <c r="Y1530" s="11">
        <f t="shared" si="1538"/>
        <v>130500</v>
      </c>
      <c r="AG1530" s="11">
        <f t="shared" si="1539"/>
        <v>0</v>
      </c>
      <c r="AH1530" s="12">
        <v>185</v>
      </c>
      <c r="AI1530" s="11">
        <f t="shared" si="1540"/>
        <v>12025</v>
      </c>
      <c r="AJ1530" s="12">
        <v>0</v>
      </c>
      <c r="AK1530" s="13">
        <f t="shared" si="1541"/>
        <v>0</v>
      </c>
      <c r="AL1530" s="12">
        <v>3</v>
      </c>
      <c r="AM1530" s="13">
        <f t="shared" si="1542"/>
        <v>27</v>
      </c>
      <c r="AO1530" s="11">
        <f t="shared" si="1543"/>
        <v>0</v>
      </c>
      <c r="AQ1530" s="11">
        <f t="shared" si="1544"/>
        <v>0</v>
      </c>
      <c r="AS1530" s="11">
        <f t="shared" si="1545"/>
        <v>0</v>
      </c>
      <c r="AU1530" s="11">
        <f t="shared" si="1546"/>
        <v>0</v>
      </c>
      <c r="AW1530" s="11">
        <f t="shared" si="1547"/>
        <v>0</v>
      </c>
      <c r="AY1530" s="11">
        <f t="shared" si="1548"/>
        <v>0</v>
      </c>
      <c r="BA1530" s="11">
        <f t="shared" si="1549"/>
        <v>0</v>
      </c>
      <c r="BC1530" s="11">
        <f t="shared" si="1550"/>
        <v>0</v>
      </c>
      <c r="BE1530" s="11">
        <f t="shared" si="1551"/>
        <v>0</v>
      </c>
      <c r="BG1530" s="11">
        <f t="shared" si="1552"/>
        <v>0</v>
      </c>
      <c r="BN1530" s="8">
        <f t="shared" si="1510"/>
        <v>2175</v>
      </c>
      <c r="BO1530" s="8">
        <f t="shared" si="1511"/>
        <v>130500</v>
      </c>
      <c r="BP1530" s="8">
        <f t="shared" si="1514"/>
        <v>2363</v>
      </c>
      <c r="BQ1530" s="12">
        <f t="shared" si="1515"/>
        <v>142552</v>
      </c>
    </row>
    <row r="1531" spans="1:69">
      <c r="A1531" s="28">
        <v>1976</v>
      </c>
      <c r="B1531" s="27" t="s">
        <v>74</v>
      </c>
      <c r="C1531" s="24">
        <f t="shared" si="1516"/>
        <v>1510</v>
      </c>
      <c r="D1531" s="7">
        <f t="shared" ca="1" si="1490"/>
        <v>7.4327628361858189E-2</v>
      </c>
      <c r="E1531" s="26">
        <f t="array" aca="1" ref="E1531" ca="1">AVERAGE(IF(INDIRECT(DatCol&amp;"$"&amp;TEXT(C1531,"###")):INDIRECT(DatCol&amp;"$"&amp;TEXT(C1531+57,"###"))&gt;0,INDIRECT(DatCol&amp;"$"&amp;TEXT(C1531,"###")):INDIRECT(DatCol&amp;"$"&amp;TEXT(C1531+57,"###"))))</f>
        <v>107.63157894736842</v>
      </c>
      <c r="F1531" s="26" t="str">
        <f t="shared" si="1509"/>
        <v>B</v>
      </c>
      <c r="G1531" s="8"/>
      <c r="H1531" s="8">
        <v>5</v>
      </c>
      <c r="I1531" s="8">
        <v>0</v>
      </c>
      <c r="J1531" s="8">
        <v>1080</v>
      </c>
      <c r="K1531" s="9">
        <f t="shared" si="1512"/>
        <v>1085</v>
      </c>
      <c r="L1531" s="12">
        <v>0</v>
      </c>
      <c r="M1531" s="11">
        <f t="shared" si="1535"/>
        <v>0</v>
      </c>
      <c r="N1531" s="12">
        <v>8</v>
      </c>
      <c r="O1531" s="11">
        <f t="shared" si="1536"/>
        <v>400</v>
      </c>
      <c r="P1531" s="12">
        <v>0</v>
      </c>
      <c r="Q1531" s="11">
        <f t="shared" si="1537"/>
        <v>0</v>
      </c>
      <c r="X1531" s="12">
        <v>2075</v>
      </c>
      <c r="Y1531" s="11">
        <f t="shared" si="1538"/>
        <v>124500</v>
      </c>
      <c r="AG1531" s="11">
        <f t="shared" si="1539"/>
        <v>0</v>
      </c>
      <c r="AH1531" s="12">
        <v>275</v>
      </c>
      <c r="AI1531" s="11">
        <f t="shared" si="1540"/>
        <v>17875</v>
      </c>
      <c r="AJ1531" s="12">
        <v>0</v>
      </c>
      <c r="AK1531" s="13">
        <f t="shared" si="1541"/>
        <v>0</v>
      </c>
      <c r="AL1531" s="12">
        <v>0</v>
      </c>
      <c r="AM1531" s="13">
        <f t="shared" si="1542"/>
        <v>0</v>
      </c>
      <c r="AO1531" s="11">
        <f t="shared" si="1543"/>
        <v>0</v>
      </c>
      <c r="AQ1531" s="11">
        <f t="shared" si="1544"/>
        <v>0</v>
      </c>
      <c r="AS1531" s="11">
        <f t="shared" si="1545"/>
        <v>0</v>
      </c>
      <c r="AU1531" s="11">
        <f t="shared" si="1546"/>
        <v>0</v>
      </c>
      <c r="AW1531" s="11">
        <f t="shared" si="1547"/>
        <v>0</v>
      </c>
      <c r="AY1531" s="11">
        <f t="shared" si="1548"/>
        <v>0</v>
      </c>
      <c r="BA1531" s="11">
        <f t="shared" si="1549"/>
        <v>0</v>
      </c>
      <c r="BC1531" s="11">
        <f t="shared" si="1550"/>
        <v>0</v>
      </c>
      <c r="BE1531" s="11">
        <f t="shared" si="1551"/>
        <v>0</v>
      </c>
      <c r="BG1531" s="11">
        <f t="shared" si="1552"/>
        <v>0</v>
      </c>
      <c r="BN1531" s="8">
        <f t="shared" si="1510"/>
        <v>2075</v>
      </c>
      <c r="BO1531" s="8">
        <f t="shared" si="1511"/>
        <v>124500</v>
      </c>
      <c r="BP1531" s="8">
        <f t="shared" si="1514"/>
        <v>2358</v>
      </c>
      <c r="BQ1531" s="12">
        <f t="shared" si="1515"/>
        <v>142775</v>
      </c>
    </row>
    <row r="1532" spans="1:69">
      <c r="A1532" s="28">
        <v>1977</v>
      </c>
      <c r="B1532" s="27" t="s">
        <v>74</v>
      </c>
      <c r="C1532" s="24">
        <f t="shared" si="1516"/>
        <v>1510</v>
      </c>
      <c r="D1532" s="7" t="e">
        <f t="shared" ca="1" si="1490"/>
        <v>#N/A</v>
      </c>
      <c r="E1532" s="26">
        <f t="array" aca="1" ref="E1532" ca="1">AVERAGE(IF(INDIRECT(DatCol&amp;"$"&amp;TEXT(C1532,"###")):INDIRECT(DatCol&amp;"$"&amp;TEXT(C1532+57,"###"))&gt;0,INDIRECT(DatCol&amp;"$"&amp;TEXT(C1532,"###")):INDIRECT(DatCol&amp;"$"&amp;TEXT(C1532+57,"###"))))</f>
        <v>107.63157894736842</v>
      </c>
      <c r="F1532" s="26" t="str">
        <f t="shared" si="1509"/>
        <v>B</v>
      </c>
      <c r="G1532" s="8"/>
      <c r="H1532" s="8">
        <v>14</v>
      </c>
      <c r="I1532" s="8">
        <v>1</v>
      </c>
      <c r="J1532" s="8">
        <v>1155</v>
      </c>
      <c r="K1532" s="9">
        <f t="shared" si="1512"/>
        <v>1169</v>
      </c>
      <c r="L1532" s="12">
        <v>0</v>
      </c>
      <c r="M1532" s="11">
        <f t="shared" si="1535"/>
        <v>0</v>
      </c>
      <c r="N1532" s="12">
        <v>0</v>
      </c>
      <c r="O1532" s="11">
        <f t="shared" si="1536"/>
        <v>0</v>
      </c>
      <c r="P1532" s="12">
        <v>0</v>
      </c>
      <c r="Q1532" s="11">
        <f t="shared" si="1537"/>
        <v>0</v>
      </c>
      <c r="X1532" s="12">
        <v>2425</v>
      </c>
      <c r="Y1532" s="11">
        <f t="shared" si="1538"/>
        <v>145500</v>
      </c>
      <c r="AG1532" s="11">
        <f t="shared" si="1539"/>
        <v>0</v>
      </c>
      <c r="AH1532" s="12">
        <v>345</v>
      </c>
      <c r="AI1532" s="11">
        <f t="shared" si="1540"/>
        <v>22425</v>
      </c>
      <c r="AJ1532" s="12">
        <v>0</v>
      </c>
      <c r="AK1532" s="13">
        <f t="shared" si="1541"/>
        <v>0</v>
      </c>
      <c r="AL1532" s="12">
        <v>0</v>
      </c>
      <c r="AM1532" s="13">
        <f t="shared" si="1542"/>
        <v>0</v>
      </c>
      <c r="AO1532" s="11">
        <f t="shared" si="1543"/>
        <v>0</v>
      </c>
      <c r="AQ1532" s="11">
        <f t="shared" si="1544"/>
        <v>0</v>
      </c>
      <c r="AS1532" s="11">
        <f t="shared" si="1545"/>
        <v>0</v>
      </c>
      <c r="AU1532" s="11">
        <f t="shared" si="1546"/>
        <v>0</v>
      </c>
      <c r="AW1532" s="11">
        <f t="shared" si="1547"/>
        <v>0</v>
      </c>
      <c r="AY1532" s="11">
        <f t="shared" si="1548"/>
        <v>0</v>
      </c>
      <c r="BA1532" s="11">
        <f t="shared" si="1549"/>
        <v>0</v>
      </c>
      <c r="BC1532" s="11">
        <f t="shared" si="1550"/>
        <v>0</v>
      </c>
      <c r="BE1532" s="11">
        <f t="shared" si="1551"/>
        <v>0</v>
      </c>
      <c r="BG1532" s="11">
        <f t="shared" si="1552"/>
        <v>0</v>
      </c>
      <c r="BN1532" s="8">
        <f t="shared" si="1510"/>
        <v>2425</v>
      </c>
      <c r="BO1532" s="8">
        <f t="shared" si="1511"/>
        <v>145500</v>
      </c>
      <c r="BP1532" s="8">
        <f t="shared" si="1514"/>
        <v>2770</v>
      </c>
      <c r="BQ1532" s="12">
        <f t="shared" si="1515"/>
        <v>167925</v>
      </c>
    </row>
    <row r="1533" spans="1:69">
      <c r="A1533" s="28">
        <v>1978</v>
      </c>
      <c r="B1533" s="27" t="s">
        <v>74</v>
      </c>
      <c r="C1533" s="24">
        <f t="shared" si="1516"/>
        <v>1510</v>
      </c>
      <c r="D1533" s="7" t="e">
        <f t="shared" ca="1" si="1490"/>
        <v>#N/A</v>
      </c>
      <c r="E1533" s="26">
        <f t="array" aca="1" ref="E1533" ca="1">AVERAGE(IF(INDIRECT(DatCol&amp;"$"&amp;TEXT(C1533,"###")):INDIRECT(DatCol&amp;"$"&amp;TEXT(C1533+57,"###"))&gt;0,INDIRECT(DatCol&amp;"$"&amp;TEXT(C1533,"###")):INDIRECT(DatCol&amp;"$"&amp;TEXT(C1533+57,"###"))))</f>
        <v>107.63157894736842</v>
      </c>
      <c r="F1533" s="26" t="str">
        <f t="shared" si="1509"/>
        <v>B</v>
      </c>
      <c r="G1533" s="8"/>
      <c r="H1533" s="8">
        <v>16</v>
      </c>
      <c r="I1533" s="8">
        <v>56</v>
      </c>
      <c r="J1533" s="8">
        <v>1184</v>
      </c>
      <c r="K1533" s="9">
        <f t="shared" si="1512"/>
        <v>1200</v>
      </c>
      <c r="M1533" s="11">
        <f t="shared" si="1535"/>
        <v>0</v>
      </c>
      <c r="O1533" s="11">
        <f t="shared" si="1536"/>
        <v>0</v>
      </c>
      <c r="Q1533" s="11">
        <f t="shared" si="1537"/>
        <v>0</v>
      </c>
      <c r="X1533" s="12">
        <v>500</v>
      </c>
      <c r="Y1533" s="11">
        <f t="shared" si="1538"/>
        <v>30000</v>
      </c>
      <c r="AG1533" s="11">
        <f t="shared" si="1539"/>
        <v>0</v>
      </c>
      <c r="AH1533" s="12">
        <v>400</v>
      </c>
      <c r="AI1533" s="11">
        <f t="shared" si="1540"/>
        <v>26000</v>
      </c>
      <c r="AJ1533" s="12">
        <v>10831</v>
      </c>
      <c r="AK1533" s="13">
        <f t="shared" si="1541"/>
        <v>97479</v>
      </c>
      <c r="AL1533" s="12">
        <v>200</v>
      </c>
      <c r="AM1533" s="13">
        <f t="shared" si="1542"/>
        <v>1800</v>
      </c>
      <c r="AO1533" s="11">
        <f t="shared" si="1543"/>
        <v>0</v>
      </c>
      <c r="AQ1533" s="11">
        <f t="shared" si="1544"/>
        <v>0</v>
      </c>
      <c r="AS1533" s="11">
        <f t="shared" si="1545"/>
        <v>0</v>
      </c>
      <c r="AU1533" s="11">
        <f t="shared" si="1546"/>
        <v>0</v>
      </c>
      <c r="AW1533" s="11">
        <f t="shared" si="1547"/>
        <v>0</v>
      </c>
      <c r="AY1533" s="11">
        <f t="shared" si="1548"/>
        <v>0</v>
      </c>
      <c r="BA1533" s="11">
        <f t="shared" si="1549"/>
        <v>0</v>
      </c>
      <c r="BC1533" s="11">
        <f t="shared" si="1550"/>
        <v>0</v>
      </c>
      <c r="BE1533" s="11">
        <f t="shared" si="1551"/>
        <v>0</v>
      </c>
      <c r="BG1533" s="11">
        <f t="shared" si="1552"/>
        <v>0</v>
      </c>
      <c r="BN1533" s="8">
        <f t="shared" si="1510"/>
        <v>11331</v>
      </c>
      <c r="BO1533" s="8">
        <f t="shared" si="1511"/>
        <v>127479</v>
      </c>
      <c r="BP1533" s="8">
        <f t="shared" si="1514"/>
        <v>1100</v>
      </c>
      <c r="BQ1533" s="12">
        <f t="shared" si="1515"/>
        <v>57800</v>
      </c>
    </row>
    <row r="1534" spans="1:69">
      <c r="A1534" s="28">
        <v>1979</v>
      </c>
      <c r="B1534" s="27" t="s">
        <v>74</v>
      </c>
      <c r="C1534" s="24">
        <f t="shared" si="1516"/>
        <v>1510</v>
      </c>
      <c r="D1534" s="7" t="e">
        <f t="shared" ca="1" si="1490"/>
        <v>#N/A</v>
      </c>
      <c r="E1534" s="26">
        <f t="array" aca="1" ref="E1534" ca="1">AVERAGE(IF(INDIRECT(DatCol&amp;"$"&amp;TEXT(C1534,"###")):INDIRECT(DatCol&amp;"$"&amp;TEXT(C1534+57,"###"))&gt;0,INDIRECT(DatCol&amp;"$"&amp;TEXT(C1534,"###")):INDIRECT(DatCol&amp;"$"&amp;TEXT(C1534+57,"###"))))</f>
        <v>107.63157894736842</v>
      </c>
      <c r="F1534" s="26" t="str">
        <f t="shared" si="1509"/>
        <v>B</v>
      </c>
      <c r="G1534" s="8"/>
      <c r="K1534" s="9">
        <f t="shared" si="1512"/>
        <v>0</v>
      </c>
      <c r="M1534" s="11">
        <f t="shared" si="1535"/>
        <v>0</v>
      </c>
      <c r="O1534" s="11">
        <f t="shared" si="1536"/>
        <v>0</v>
      </c>
      <c r="Q1534" s="11">
        <f t="shared" si="1537"/>
        <v>0</v>
      </c>
      <c r="Y1534" s="11">
        <f t="shared" si="1538"/>
        <v>0</v>
      </c>
      <c r="AG1534" s="11">
        <f t="shared" si="1539"/>
        <v>0</v>
      </c>
      <c r="AI1534" s="11">
        <f t="shared" si="1540"/>
        <v>0</v>
      </c>
      <c r="AK1534" s="13">
        <f t="shared" si="1541"/>
        <v>0</v>
      </c>
      <c r="AM1534" s="13">
        <f t="shared" si="1542"/>
        <v>0</v>
      </c>
      <c r="AO1534" s="11">
        <f t="shared" si="1543"/>
        <v>0</v>
      </c>
      <c r="AQ1534" s="11">
        <f t="shared" si="1544"/>
        <v>0</v>
      </c>
      <c r="AS1534" s="11">
        <f t="shared" si="1545"/>
        <v>0</v>
      </c>
      <c r="AU1534" s="11">
        <f t="shared" si="1546"/>
        <v>0</v>
      </c>
      <c r="AW1534" s="11">
        <f t="shared" si="1547"/>
        <v>0</v>
      </c>
      <c r="AY1534" s="11">
        <f t="shared" si="1548"/>
        <v>0</v>
      </c>
      <c r="BA1534" s="11">
        <f t="shared" si="1549"/>
        <v>0</v>
      </c>
      <c r="BC1534" s="11">
        <f t="shared" si="1550"/>
        <v>0</v>
      </c>
      <c r="BE1534" s="11">
        <f t="shared" si="1551"/>
        <v>0</v>
      </c>
      <c r="BG1534" s="11">
        <f t="shared" si="1552"/>
        <v>0</v>
      </c>
      <c r="BN1534" s="8">
        <f t="shared" si="1510"/>
        <v>0</v>
      </c>
      <c r="BO1534" s="8">
        <f t="shared" si="1511"/>
        <v>0</v>
      </c>
      <c r="BP1534" s="8">
        <f t="shared" si="1514"/>
        <v>0</v>
      </c>
      <c r="BQ1534" s="12">
        <f t="shared" si="1515"/>
        <v>0</v>
      </c>
    </row>
    <row r="1535" spans="1:69">
      <c r="A1535" s="28">
        <v>1980</v>
      </c>
      <c r="B1535" s="27" t="s">
        <v>74</v>
      </c>
      <c r="C1535" s="24">
        <f t="shared" si="1516"/>
        <v>1510</v>
      </c>
      <c r="D1535" s="7">
        <f t="shared" ca="1" si="1490"/>
        <v>1.3936430317848409</v>
      </c>
      <c r="E1535" s="26">
        <f t="array" aca="1" ref="E1535" ca="1">AVERAGE(IF(INDIRECT(DatCol&amp;"$"&amp;TEXT(C1535,"###")):INDIRECT(DatCol&amp;"$"&amp;TEXT(C1535+57,"###"))&gt;0,INDIRECT(DatCol&amp;"$"&amp;TEXT(C1535,"###")):INDIRECT(DatCol&amp;"$"&amp;TEXT(C1535+57,"###"))))</f>
        <v>107.63157894736842</v>
      </c>
      <c r="F1535" s="26" t="str">
        <f t="shared" si="1509"/>
        <v>B</v>
      </c>
      <c r="G1535" s="8"/>
      <c r="H1535" s="8">
        <v>60</v>
      </c>
      <c r="I1535" s="8">
        <v>26</v>
      </c>
      <c r="J1535" s="8">
        <v>1275</v>
      </c>
      <c r="K1535" s="9">
        <f t="shared" si="1512"/>
        <v>1335</v>
      </c>
      <c r="M1535" s="11">
        <f t="shared" si="1535"/>
        <v>0</v>
      </c>
      <c r="N1535" s="12">
        <v>150</v>
      </c>
      <c r="O1535" s="11">
        <f t="shared" si="1536"/>
        <v>7500</v>
      </c>
      <c r="P1535" s="12">
        <v>300</v>
      </c>
      <c r="Q1535" s="11">
        <f t="shared" si="1537"/>
        <v>18000</v>
      </c>
      <c r="X1535" s="12">
        <v>1000</v>
      </c>
      <c r="Y1535" s="11">
        <f t="shared" si="1538"/>
        <v>60000</v>
      </c>
      <c r="AG1535" s="11">
        <f t="shared" si="1539"/>
        <v>0</v>
      </c>
      <c r="AH1535" s="12">
        <v>600</v>
      </c>
      <c r="AI1535" s="11">
        <f t="shared" si="1540"/>
        <v>39000</v>
      </c>
      <c r="AJ1535" s="12">
        <v>30</v>
      </c>
      <c r="AK1535" s="13">
        <f t="shared" si="1541"/>
        <v>270</v>
      </c>
      <c r="AL1535" s="12">
        <v>75</v>
      </c>
      <c r="AM1535" s="13">
        <f t="shared" si="1542"/>
        <v>675</v>
      </c>
      <c r="AO1535" s="11">
        <f t="shared" si="1543"/>
        <v>0</v>
      </c>
      <c r="AQ1535" s="11">
        <f t="shared" si="1544"/>
        <v>0</v>
      </c>
      <c r="AS1535" s="11">
        <f t="shared" si="1545"/>
        <v>0</v>
      </c>
      <c r="AU1535" s="11">
        <f t="shared" si="1546"/>
        <v>0</v>
      </c>
      <c r="AV1535" s="12">
        <v>1000</v>
      </c>
      <c r="AW1535" s="11">
        <f t="shared" si="1547"/>
        <v>60000</v>
      </c>
      <c r="AY1535" s="11">
        <f t="shared" si="1548"/>
        <v>0</v>
      </c>
      <c r="BA1535" s="11">
        <f t="shared" si="1549"/>
        <v>0</v>
      </c>
      <c r="BC1535" s="11">
        <f t="shared" si="1550"/>
        <v>0</v>
      </c>
      <c r="BE1535" s="11">
        <f t="shared" si="1551"/>
        <v>0</v>
      </c>
      <c r="BG1535" s="11">
        <f t="shared" si="1552"/>
        <v>0</v>
      </c>
      <c r="BN1535" s="8">
        <f t="shared" si="1510"/>
        <v>2330</v>
      </c>
      <c r="BO1535" s="8">
        <f t="shared" si="1511"/>
        <v>138270</v>
      </c>
      <c r="BP1535" s="8">
        <f t="shared" si="1514"/>
        <v>1825</v>
      </c>
      <c r="BQ1535" s="12">
        <f t="shared" si="1515"/>
        <v>107175</v>
      </c>
    </row>
    <row r="1536" spans="1:69">
      <c r="A1536" s="28">
        <v>1981</v>
      </c>
      <c r="B1536" s="27" t="s">
        <v>74</v>
      </c>
      <c r="C1536" s="24">
        <f t="shared" si="1516"/>
        <v>1510</v>
      </c>
      <c r="D1536" s="7">
        <f t="shared" ca="1" si="1490"/>
        <v>0.79902200488997555</v>
      </c>
      <c r="E1536" s="26">
        <f t="array" aca="1" ref="E1536" ca="1">AVERAGE(IF(INDIRECT(DatCol&amp;"$"&amp;TEXT(C1536,"###")):INDIRECT(DatCol&amp;"$"&amp;TEXT(C1536+57,"###"))&gt;0,INDIRECT(DatCol&amp;"$"&amp;TEXT(C1536,"###")):INDIRECT(DatCol&amp;"$"&amp;TEXT(C1536+57,"###"))))</f>
        <v>107.63157894736842</v>
      </c>
      <c r="F1536" s="26" t="str">
        <f t="shared" si="1509"/>
        <v>B</v>
      </c>
      <c r="G1536" s="8"/>
      <c r="H1536" s="8">
        <v>35</v>
      </c>
      <c r="I1536" s="8">
        <v>40</v>
      </c>
      <c r="J1536" s="8">
        <v>1388</v>
      </c>
      <c r="K1536" s="9">
        <f t="shared" si="1512"/>
        <v>1423</v>
      </c>
      <c r="M1536" s="11">
        <f t="shared" si="1535"/>
        <v>0</v>
      </c>
      <c r="N1536" s="12">
        <v>86</v>
      </c>
      <c r="O1536" s="11">
        <f t="shared" si="1536"/>
        <v>4300</v>
      </c>
      <c r="P1536" s="12">
        <v>1140</v>
      </c>
      <c r="Q1536" s="11">
        <f t="shared" si="1537"/>
        <v>68400</v>
      </c>
      <c r="X1536" s="12">
        <v>630</v>
      </c>
      <c r="Y1536" s="11">
        <f t="shared" si="1538"/>
        <v>37800</v>
      </c>
      <c r="AG1536" s="11">
        <f t="shared" si="1539"/>
        <v>0</v>
      </c>
      <c r="AH1536" s="12">
        <v>700</v>
      </c>
      <c r="AI1536" s="11">
        <f t="shared" si="1540"/>
        <v>45500</v>
      </c>
      <c r="AK1536" s="13">
        <f t="shared" si="1541"/>
        <v>0</v>
      </c>
      <c r="AL1536" s="12">
        <v>200</v>
      </c>
      <c r="AM1536" s="13">
        <f t="shared" si="1542"/>
        <v>1800</v>
      </c>
      <c r="AO1536" s="11">
        <f t="shared" si="1543"/>
        <v>0</v>
      </c>
      <c r="AQ1536" s="11">
        <f t="shared" si="1544"/>
        <v>0</v>
      </c>
      <c r="AS1536" s="11">
        <f t="shared" si="1545"/>
        <v>0</v>
      </c>
      <c r="AU1536" s="11">
        <f t="shared" si="1546"/>
        <v>0</v>
      </c>
      <c r="AW1536" s="11">
        <f t="shared" si="1547"/>
        <v>0</v>
      </c>
      <c r="AY1536" s="11">
        <f t="shared" si="1548"/>
        <v>0</v>
      </c>
      <c r="BA1536" s="11">
        <f t="shared" si="1549"/>
        <v>0</v>
      </c>
      <c r="BC1536" s="11">
        <f t="shared" si="1550"/>
        <v>0</v>
      </c>
      <c r="BE1536" s="11">
        <f t="shared" si="1551"/>
        <v>0</v>
      </c>
      <c r="BF1536" s="12">
        <v>800</v>
      </c>
      <c r="BG1536" s="11">
        <f t="shared" si="1552"/>
        <v>76000</v>
      </c>
      <c r="BN1536" s="8">
        <f t="shared" si="1510"/>
        <v>1770</v>
      </c>
      <c r="BO1536" s="8">
        <f t="shared" si="1511"/>
        <v>106200</v>
      </c>
      <c r="BP1536" s="8">
        <f t="shared" si="1514"/>
        <v>2416</v>
      </c>
      <c r="BQ1536" s="12">
        <f t="shared" si="1515"/>
        <v>165400</v>
      </c>
    </row>
    <row r="1537" spans="1:69">
      <c r="A1537" s="28">
        <v>1982</v>
      </c>
      <c r="B1537" s="27" t="s">
        <v>74</v>
      </c>
      <c r="C1537" s="24">
        <f t="shared" si="1516"/>
        <v>1510</v>
      </c>
      <c r="D1537" s="7">
        <f t="shared" ca="1" si="1490"/>
        <v>0.28801955990220046</v>
      </c>
      <c r="E1537" s="26">
        <f t="array" aca="1" ref="E1537" ca="1">AVERAGE(IF(INDIRECT(DatCol&amp;"$"&amp;TEXT(C1537,"###")):INDIRECT(DatCol&amp;"$"&amp;TEXT(C1537+57,"###"))&gt;0,INDIRECT(DatCol&amp;"$"&amp;TEXT(C1537,"###")):INDIRECT(DatCol&amp;"$"&amp;TEXT(C1537+57,"###"))))</f>
        <v>107.63157894736842</v>
      </c>
      <c r="F1537" s="26" t="str">
        <f t="shared" si="1509"/>
        <v>B</v>
      </c>
      <c r="G1537" s="8"/>
      <c r="H1537" s="8">
        <v>28</v>
      </c>
      <c r="I1537" s="8">
        <v>0</v>
      </c>
      <c r="J1537" s="8">
        <v>1018</v>
      </c>
      <c r="K1537" s="9">
        <f t="shared" si="1512"/>
        <v>1046</v>
      </c>
      <c r="M1537" s="11">
        <f t="shared" si="1535"/>
        <v>0</v>
      </c>
      <c r="N1537" s="12">
        <v>31</v>
      </c>
      <c r="O1537" s="11">
        <f t="shared" si="1536"/>
        <v>1550</v>
      </c>
      <c r="P1537" s="12">
        <v>0</v>
      </c>
      <c r="Q1537" s="11">
        <f t="shared" si="1537"/>
        <v>0</v>
      </c>
      <c r="X1537" s="12">
        <v>545</v>
      </c>
      <c r="Y1537" s="11">
        <f t="shared" si="1538"/>
        <v>32700</v>
      </c>
      <c r="AG1537" s="11">
        <f t="shared" si="1539"/>
        <v>0</v>
      </c>
      <c r="AH1537" s="12">
        <v>375</v>
      </c>
      <c r="AI1537" s="11">
        <f t="shared" si="1540"/>
        <v>24375</v>
      </c>
      <c r="AK1537" s="13">
        <f t="shared" si="1541"/>
        <v>0</v>
      </c>
      <c r="AL1537" s="12">
        <v>60</v>
      </c>
      <c r="AM1537" s="13">
        <f t="shared" si="1542"/>
        <v>540</v>
      </c>
      <c r="AO1537" s="11">
        <f t="shared" si="1543"/>
        <v>0</v>
      </c>
      <c r="AQ1537" s="11">
        <f t="shared" si="1544"/>
        <v>0</v>
      </c>
      <c r="AS1537" s="11">
        <f t="shared" si="1545"/>
        <v>0</v>
      </c>
      <c r="AT1537" s="12">
        <v>5</v>
      </c>
      <c r="AU1537" s="11">
        <f t="shared" si="1546"/>
        <v>250</v>
      </c>
      <c r="AW1537" s="11">
        <f t="shared" si="1547"/>
        <v>0</v>
      </c>
      <c r="AX1537" s="12">
        <v>700</v>
      </c>
      <c r="AY1537" s="11">
        <f t="shared" si="1548"/>
        <v>42000</v>
      </c>
      <c r="BA1537" s="11">
        <f t="shared" si="1549"/>
        <v>0</v>
      </c>
      <c r="BB1537" s="12">
        <v>700</v>
      </c>
      <c r="BC1537" s="11">
        <f t="shared" si="1550"/>
        <v>28000</v>
      </c>
      <c r="BE1537" s="11">
        <f t="shared" si="1551"/>
        <v>0</v>
      </c>
      <c r="BG1537" s="11">
        <f t="shared" si="1552"/>
        <v>0</v>
      </c>
      <c r="BN1537" s="8">
        <f t="shared" si="1510"/>
        <v>545</v>
      </c>
      <c r="BO1537" s="8">
        <f t="shared" si="1511"/>
        <v>32700</v>
      </c>
      <c r="BP1537" s="8">
        <f t="shared" si="1514"/>
        <v>2416</v>
      </c>
      <c r="BQ1537" s="12">
        <f t="shared" si="1515"/>
        <v>129415</v>
      </c>
    </row>
    <row r="1538" spans="1:69">
      <c r="A1538" s="28">
        <v>1983</v>
      </c>
      <c r="B1538" s="27" t="s">
        <v>74</v>
      </c>
      <c r="C1538" s="24">
        <f t="shared" si="1516"/>
        <v>1510</v>
      </c>
      <c r="D1538" s="7">
        <f t="shared" ref="D1538:D1601" ca="1" si="1553">IF(AND((INDIRECT(DatCol&amp;TEXT(ROW(),"###"))&gt;0),((F1538=RegionSelect)+(RegionSelect="A"))),INDIRECT(DatCol&amp;TEXT(ROW(),"###"))/E1538,NA())</f>
        <v>0.83618581907090461</v>
      </c>
      <c r="E1538" s="26">
        <f t="array" aca="1" ref="E1538" ca="1">AVERAGE(IF(INDIRECT(DatCol&amp;"$"&amp;TEXT(C1538,"###")):INDIRECT(DatCol&amp;"$"&amp;TEXT(C1538+57,"###"))&gt;0,INDIRECT(DatCol&amp;"$"&amp;TEXT(C1538,"###")):INDIRECT(DatCol&amp;"$"&amp;TEXT(C1538+57,"###"))))</f>
        <v>107.63157894736842</v>
      </c>
      <c r="F1538" s="26" t="str">
        <f t="shared" si="1509"/>
        <v>B</v>
      </c>
      <c r="G1538" s="8"/>
      <c r="H1538" s="8">
        <v>19</v>
      </c>
      <c r="I1538" s="8">
        <v>0</v>
      </c>
      <c r="J1538" s="8">
        <v>1063</v>
      </c>
      <c r="K1538" s="9">
        <f t="shared" si="1512"/>
        <v>1082</v>
      </c>
      <c r="M1538" s="11">
        <f t="shared" si="1535"/>
        <v>0</v>
      </c>
      <c r="N1538" s="12">
        <v>90</v>
      </c>
      <c r="O1538" s="11">
        <f t="shared" si="1536"/>
        <v>4500</v>
      </c>
      <c r="Q1538" s="11">
        <f t="shared" si="1537"/>
        <v>0</v>
      </c>
      <c r="X1538" s="12">
        <v>360</v>
      </c>
      <c r="Y1538" s="11">
        <f t="shared" si="1538"/>
        <v>21600</v>
      </c>
      <c r="AG1538" s="11">
        <f t="shared" si="1539"/>
        <v>0</v>
      </c>
      <c r="AH1538" s="12">
        <v>300</v>
      </c>
      <c r="AI1538" s="11">
        <f t="shared" si="1540"/>
        <v>19500</v>
      </c>
      <c r="AK1538" s="13">
        <f t="shared" si="1541"/>
        <v>0</v>
      </c>
      <c r="AL1538" s="12">
        <v>10</v>
      </c>
      <c r="AM1538" s="13">
        <f t="shared" si="1542"/>
        <v>90</v>
      </c>
      <c r="AO1538" s="11">
        <f t="shared" si="1543"/>
        <v>0</v>
      </c>
      <c r="AQ1538" s="11">
        <f t="shared" si="1544"/>
        <v>0</v>
      </c>
      <c r="AS1538" s="11">
        <f t="shared" si="1545"/>
        <v>0</v>
      </c>
      <c r="AT1538" s="12">
        <v>6</v>
      </c>
      <c r="AU1538" s="11">
        <f t="shared" si="1546"/>
        <v>300</v>
      </c>
      <c r="AW1538" s="11">
        <f t="shared" si="1547"/>
        <v>0</v>
      </c>
      <c r="AX1538" s="12">
        <v>400</v>
      </c>
      <c r="AY1538" s="11">
        <f t="shared" si="1548"/>
        <v>24000</v>
      </c>
      <c r="BA1538" s="11">
        <f t="shared" si="1549"/>
        <v>0</v>
      </c>
      <c r="BC1538" s="11">
        <f t="shared" si="1550"/>
        <v>0</v>
      </c>
      <c r="BE1538" s="11">
        <f t="shared" si="1551"/>
        <v>0</v>
      </c>
      <c r="BG1538" s="11">
        <f t="shared" si="1552"/>
        <v>0</v>
      </c>
      <c r="BN1538" s="8">
        <f t="shared" si="1510"/>
        <v>360</v>
      </c>
      <c r="BO1538" s="8">
        <f t="shared" si="1511"/>
        <v>21600</v>
      </c>
      <c r="BP1538" s="8">
        <f t="shared" si="1514"/>
        <v>1166</v>
      </c>
      <c r="BQ1538" s="12">
        <f t="shared" si="1515"/>
        <v>69990</v>
      </c>
    </row>
    <row r="1539" spans="1:69">
      <c r="A1539" s="28">
        <v>1984</v>
      </c>
      <c r="B1539" s="27" t="s">
        <v>74</v>
      </c>
      <c r="C1539" s="24">
        <f t="shared" si="1516"/>
        <v>1510</v>
      </c>
      <c r="D1539" s="7">
        <f t="shared" ca="1" si="1553"/>
        <v>0.69682151589242047</v>
      </c>
      <c r="E1539" s="26">
        <f t="array" aca="1" ref="E1539" ca="1">AVERAGE(IF(INDIRECT(DatCol&amp;"$"&amp;TEXT(C1539,"###")):INDIRECT(DatCol&amp;"$"&amp;TEXT(C1539+57,"###"))&gt;0,INDIRECT(DatCol&amp;"$"&amp;TEXT(C1539,"###")):INDIRECT(DatCol&amp;"$"&amp;TEXT(C1539+57,"###"))))</f>
        <v>107.63157894736842</v>
      </c>
      <c r="F1539" s="26" t="str">
        <f t="shared" si="1509"/>
        <v>B</v>
      </c>
      <c r="G1539" s="8"/>
      <c r="H1539" s="8">
        <v>14</v>
      </c>
      <c r="I1539" s="8">
        <v>1</v>
      </c>
      <c r="J1539" s="8">
        <v>750</v>
      </c>
      <c r="K1539" s="9">
        <f t="shared" si="1512"/>
        <v>764</v>
      </c>
      <c r="M1539" s="11">
        <f t="shared" si="1535"/>
        <v>0</v>
      </c>
      <c r="N1539" s="12">
        <v>75</v>
      </c>
      <c r="O1539" s="11">
        <f t="shared" si="1536"/>
        <v>3750</v>
      </c>
      <c r="Q1539" s="11">
        <f t="shared" si="1537"/>
        <v>0</v>
      </c>
      <c r="X1539" s="12">
        <v>520</v>
      </c>
      <c r="Y1539" s="11">
        <f t="shared" si="1538"/>
        <v>31200</v>
      </c>
      <c r="AG1539" s="11">
        <f t="shared" si="1539"/>
        <v>0</v>
      </c>
      <c r="AH1539" s="12">
        <v>400</v>
      </c>
      <c r="AI1539" s="11">
        <f t="shared" si="1540"/>
        <v>26000</v>
      </c>
      <c r="AJ1539" s="12">
        <v>300</v>
      </c>
      <c r="AK1539" s="13">
        <f t="shared" si="1541"/>
        <v>2700</v>
      </c>
      <c r="AL1539" s="12">
        <v>200</v>
      </c>
      <c r="AM1539" s="13">
        <f t="shared" si="1542"/>
        <v>1800</v>
      </c>
      <c r="AO1539" s="11">
        <f t="shared" si="1543"/>
        <v>0</v>
      </c>
      <c r="AQ1539" s="11">
        <f t="shared" si="1544"/>
        <v>0</v>
      </c>
      <c r="AS1539" s="11">
        <f t="shared" si="1545"/>
        <v>0</v>
      </c>
      <c r="AT1539" s="12">
        <v>8</v>
      </c>
      <c r="AU1539" s="11">
        <f t="shared" si="1546"/>
        <v>400</v>
      </c>
      <c r="AV1539" s="12">
        <v>1000</v>
      </c>
      <c r="AW1539" s="11">
        <f t="shared" si="1547"/>
        <v>60000</v>
      </c>
      <c r="AX1539" s="12">
        <v>1000</v>
      </c>
      <c r="AY1539" s="11">
        <f t="shared" si="1548"/>
        <v>60000</v>
      </c>
      <c r="BA1539" s="11">
        <f t="shared" si="1549"/>
        <v>0</v>
      </c>
      <c r="BC1539" s="11">
        <f t="shared" si="1550"/>
        <v>0</v>
      </c>
      <c r="BE1539" s="11">
        <f t="shared" si="1551"/>
        <v>0</v>
      </c>
      <c r="BG1539" s="11">
        <f t="shared" si="1552"/>
        <v>0</v>
      </c>
      <c r="BN1539" s="8">
        <f t="shared" si="1510"/>
        <v>1820</v>
      </c>
      <c r="BO1539" s="8">
        <f t="shared" si="1511"/>
        <v>93900</v>
      </c>
      <c r="BP1539" s="8">
        <f t="shared" si="1514"/>
        <v>2203</v>
      </c>
      <c r="BQ1539" s="12">
        <f t="shared" si="1515"/>
        <v>123150</v>
      </c>
    </row>
    <row r="1540" spans="1:69">
      <c r="A1540" s="28">
        <v>1985</v>
      </c>
      <c r="B1540" s="27" t="s">
        <v>74</v>
      </c>
      <c r="C1540" s="24">
        <f t="shared" si="1516"/>
        <v>1510</v>
      </c>
      <c r="D1540" s="7">
        <f t="shared" ca="1" si="1553"/>
        <v>0.69682151589242047</v>
      </c>
      <c r="E1540" s="26">
        <f t="array" aca="1" ref="E1540" ca="1">AVERAGE(IF(INDIRECT(DatCol&amp;"$"&amp;TEXT(C1540,"###")):INDIRECT(DatCol&amp;"$"&amp;TEXT(C1540+57,"###"))&gt;0,INDIRECT(DatCol&amp;"$"&amp;TEXT(C1540,"###")):INDIRECT(DatCol&amp;"$"&amp;TEXT(C1540+57,"###"))))</f>
        <v>107.63157894736842</v>
      </c>
      <c r="F1540" s="26" t="str">
        <f t="shared" si="1509"/>
        <v>B</v>
      </c>
      <c r="G1540" s="8">
        <v>40</v>
      </c>
      <c r="H1540" s="8">
        <v>44</v>
      </c>
      <c r="I1540" s="8">
        <v>1</v>
      </c>
      <c r="J1540" s="8">
        <v>800</v>
      </c>
      <c r="K1540" s="9">
        <f t="shared" si="1512"/>
        <v>884</v>
      </c>
      <c r="M1540" s="11">
        <f t="shared" si="1535"/>
        <v>0</v>
      </c>
      <c r="N1540" s="12">
        <v>75</v>
      </c>
      <c r="O1540" s="11">
        <f t="shared" si="1536"/>
        <v>3750</v>
      </c>
      <c r="P1540" s="12">
        <v>50</v>
      </c>
      <c r="Q1540" s="11">
        <f t="shared" si="1537"/>
        <v>3000</v>
      </c>
      <c r="X1540" s="12">
        <v>605</v>
      </c>
      <c r="Y1540" s="11">
        <f t="shared" si="1538"/>
        <v>36300</v>
      </c>
      <c r="AG1540" s="11">
        <f t="shared" si="1539"/>
        <v>0</v>
      </c>
      <c r="AH1540" s="12">
        <v>150</v>
      </c>
      <c r="AI1540" s="11">
        <f t="shared" si="1540"/>
        <v>9750</v>
      </c>
      <c r="AK1540" s="13">
        <f t="shared" si="1541"/>
        <v>0</v>
      </c>
      <c r="AL1540" s="12">
        <v>10</v>
      </c>
      <c r="AM1540" s="13">
        <f t="shared" si="1542"/>
        <v>90</v>
      </c>
      <c r="AO1540" s="11">
        <f t="shared" si="1543"/>
        <v>0</v>
      </c>
      <c r="AQ1540" s="11">
        <f t="shared" si="1544"/>
        <v>0</v>
      </c>
      <c r="AS1540" s="11">
        <f t="shared" si="1545"/>
        <v>0</v>
      </c>
      <c r="AT1540" s="12">
        <v>6</v>
      </c>
      <c r="AU1540" s="11">
        <f t="shared" si="1546"/>
        <v>300</v>
      </c>
      <c r="AV1540" s="12">
        <v>1400</v>
      </c>
      <c r="AW1540" s="11">
        <f t="shared" si="1547"/>
        <v>84000</v>
      </c>
      <c r="AY1540" s="11">
        <f t="shared" si="1548"/>
        <v>0</v>
      </c>
      <c r="BA1540" s="11">
        <f t="shared" si="1549"/>
        <v>0</v>
      </c>
      <c r="BC1540" s="11">
        <f t="shared" si="1550"/>
        <v>0</v>
      </c>
      <c r="BE1540" s="11">
        <f t="shared" si="1551"/>
        <v>0</v>
      </c>
      <c r="BG1540" s="11">
        <f t="shared" si="1552"/>
        <v>0</v>
      </c>
      <c r="BN1540" s="8">
        <f t="shared" si="1510"/>
        <v>2055</v>
      </c>
      <c r="BO1540" s="8">
        <f t="shared" si="1511"/>
        <v>123300</v>
      </c>
      <c r="BP1540" s="8">
        <f t="shared" si="1514"/>
        <v>846</v>
      </c>
      <c r="BQ1540" s="12">
        <f t="shared" si="1515"/>
        <v>50190</v>
      </c>
    </row>
    <row r="1541" spans="1:69">
      <c r="A1541" s="28">
        <v>1986</v>
      </c>
      <c r="B1541" s="27" t="s">
        <v>74</v>
      </c>
      <c r="C1541" s="24">
        <f t="shared" si="1516"/>
        <v>1510</v>
      </c>
      <c r="D1541" s="7">
        <f t="shared" ca="1" si="1553"/>
        <v>0.69682151589242047</v>
      </c>
      <c r="E1541" s="26">
        <f t="array" aca="1" ref="E1541" ca="1">AVERAGE(IF(INDIRECT(DatCol&amp;"$"&amp;TEXT(C1541,"###")):INDIRECT(DatCol&amp;"$"&amp;TEXT(C1541+57,"###"))&gt;0,INDIRECT(DatCol&amp;"$"&amp;TEXT(C1541,"###")):INDIRECT(DatCol&amp;"$"&amp;TEXT(C1541+57,"###"))))</f>
        <v>107.63157894736842</v>
      </c>
      <c r="F1541" s="26" t="str">
        <f t="shared" si="1509"/>
        <v>B</v>
      </c>
      <c r="G1541" s="8">
        <v>50</v>
      </c>
      <c r="H1541" s="8">
        <v>50</v>
      </c>
      <c r="I1541" s="8">
        <v>2</v>
      </c>
      <c r="J1541" s="8">
        <v>700</v>
      </c>
      <c r="K1541" s="9">
        <f t="shared" si="1512"/>
        <v>800</v>
      </c>
      <c r="M1541" s="11">
        <f t="shared" si="1535"/>
        <v>0</v>
      </c>
      <c r="N1541" s="12">
        <v>75</v>
      </c>
      <c r="O1541" s="11">
        <f t="shared" si="1536"/>
        <v>3750</v>
      </c>
      <c r="P1541" s="12">
        <v>50</v>
      </c>
      <c r="Q1541" s="11">
        <f t="shared" si="1537"/>
        <v>3000</v>
      </c>
      <c r="X1541" s="12">
        <v>625</v>
      </c>
      <c r="Y1541" s="11">
        <f t="shared" si="1538"/>
        <v>37500</v>
      </c>
      <c r="AG1541" s="11">
        <f t="shared" si="1539"/>
        <v>0</v>
      </c>
      <c r="AH1541" s="12">
        <v>250</v>
      </c>
      <c r="AI1541" s="11">
        <f t="shared" si="1540"/>
        <v>16250</v>
      </c>
      <c r="AK1541" s="13">
        <f t="shared" si="1541"/>
        <v>0</v>
      </c>
      <c r="AL1541" s="12">
        <v>5</v>
      </c>
      <c r="AM1541" s="13">
        <f t="shared" si="1542"/>
        <v>45</v>
      </c>
      <c r="AO1541" s="11">
        <f t="shared" si="1543"/>
        <v>0</v>
      </c>
      <c r="AQ1541" s="11">
        <f t="shared" si="1544"/>
        <v>0</v>
      </c>
      <c r="AS1541" s="11">
        <f t="shared" si="1545"/>
        <v>0</v>
      </c>
      <c r="AU1541" s="11">
        <f t="shared" si="1546"/>
        <v>0</v>
      </c>
      <c r="AV1541" s="12">
        <v>1400</v>
      </c>
      <c r="AW1541" s="11">
        <f t="shared" si="1547"/>
        <v>84000</v>
      </c>
      <c r="AY1541" s="11">
        <f t="shared" si="1548"/>
        <v>0</v>
      </c>
      <c r="BA1541" s="11">
        <f t="shared" si="1549"/>
        <v>0</v>
      </c>
      <c r="BC1541" s="11">
        <f t="shared" si="1550"/>
        <v>0</v>
      </c>
      <c r="BE1541" s="11">
        <f t="shared" si="1551"/>
        <v>0</v>
      </c>
      <c r="BG1541" s="11">
        <f t="shared" si="1552"/>
        <v>0</v>
      </c>
      <c r="BN1541" s="8">
        <f t="shared" si="1510"/>
        <v>2075</v>
      </c>
      <c r="BO1541" s="8">
        <f t="shared" si="1511"/>
        <v>124500</v>
      </c>
      <c r="BP1541" s="8">
        <f t="shared" si="1514"/>
        <v>955</v>
      </c>
      <c r="BQ1541" s="12">
        <f t="shared" si="1515"/>
        <v>57545</v>
      </c>
    </row>
    <row r="1542" spans="1:69">
      <c r="A1542" s="28">
        <v>1987</v>
      </c>
      <c r="B1542" s="27" t="s">
        <v>74</v>
      </c>
      <c r="C1542" s="24">
        <f t="shared" si="1516"/>
        <v>1510</v>
      </c>
      <c r="D1542" s="7">
        <f t="shared" ca="1" si="1553"/>
        <v>0.69682151589242047</v>
      </c>
      <c r="E1542" s="26">
        <f t="array" aca="1" ref="E1542" ca="1">AVERAGE(IF(INDIRECT(DatCol&amp;"$"&amp;TEXT(C1542,"###")):INDIRECT(DatCol&amp;"$"&amp;TEXT(C1542+57,"###"))&gt;0,INDIRECT(DatCol&amp;"$"&amp;TEXT(C1542,"###")):INDIRECT(DatCol&amp;"$"&amp;TEXT(C1542+57,"###"))))</f>
        <v>107.63157894736842</v>
      </c>
      <c r="F1542" s="26" t="str">
        <f t="shared" si="1509"/>
        <v>B</v>
      </c>
      <c r="G1542" s="8">
        <v>100</v>
      </c>
      <c r="H1542" s="8">
        <v>50</v>
      </c>
      <c r="I1542" s="8">
        <v>1</v>
      </c>
      <c r="J1542" s="8">
        <v>700</v>
      </c>
      <c r="K1542" s="9">
        <f t="shared" si="1512"/>
        <v>850</v>
      </c>
      <c r="L1542" s="12">
        <v>0</v>
      </c>
      <c r="M1542" s="11">
        <f t="shared" si="1535"/>
        <v>0</v>
      </c>
      <c r="N1542" s="12">
        <v>75</v>
      </c>
      <c r="O1542" s="11">
        <f t="shared" si="1536"/>
        <v>3750</v>
      </c>
      <c r="P1542" s="12">
        <v>15</v>
      </c>
      <c r="Q1542" s="11">
        <f t="shared" si="1537"/>
        <v>900</v>
      </c>
      <c r="X1542" s="12">
        <v>750</v>
      </c>
      <c r="Y1542" s="11">
        <f t="shared" si="1538"/>
        <v>45000</v>
      </c>
      <c r="AG1542" s="11">
        <f t="shared" si="1539"/>
        <v>0</v>
      </c>
      <c r="AH1542" s="12">
        <v>250</v>
      </c>
      <c r="AI1542" s="11">
        <f t="shared" si="1540"/>
        <v>16250</v>
      </c>
      <c r="AJ1542" s="12">
        <v>0</v>
      </c>
      <c r="AK1542" s="13">
        <f t="shared" si="1541"/>
        <v>0</v>
      </c>
      <c r="AL1542" s="12">
        <v>5</v>
      </c>
      <c r="AM1542" s="13">
        <f t="shared" si="1542"/>
        <v>45</v>
      </c>
      <c r="AO1542" s="11">
        <f t="shared" si="1543"/>
        <v>0</v>
      </c>
      <c r="AQ1542" s="11">
        <f t="shared" si="1544"/>
        <v>0</v>
      </c>
      <c r="AS1542" s="11">
        <f t="shared" si="1545"/>
        <v>0</v>
      </c>
      <c r="AU1542" s="11">
        <f t="shared" si="1546"/>
        <v>0</v>
      </c>
      <c r="AV1542" s="12">
        <v>500</v>
      </c>
      <c r="AW1542" s="11">
        <f t="shared" si="1547"/>
        <v>30000</v>
      </c>
      <c r="AX1542" s="12">
        <v>0</v>
      </c>
      <c r="AY1542" s="11">
        <f t="shared" si="1548"/>
        <v>0</v>
      </c>
      <c r="BA1542" s="11">
        <f t="shared" si="1549"/>
        <v>0</v>
      </c>
      <c r="BC1542" s="11">
        <f t="shared" si="1550"/>
        <v>0</v>
      </c>
      <c r="BE1542" s="11">
        <f t="shared" si="1551"/>
        <v>0</v>
      </c>
      <c r="BG1542" s="11">
        <f t="shared" si="1552"/>
        <v>0</v>
      </c>
      <c r="BN1542" s="8">
        <f t="shared" si="1510"/>
        <v>1265</v>
      </c>
      <c r="BO1542" s="8">
        <f t="shared" si="1511"/>
        <v>75900</v>
      </c>
      <c r="BP1542" s="8">
        <f t="shared" si="1514"/>
        <v>1080</v>
      </c>
      <c r="BQ1542" s="12">
        <f t="shared" si="1515"/>
        <v>65045</v>
      </c>
    </row>
    <row r="1543" spans="1:69">
      <c r="A1543" s="28">
        <v>1988</v>
      </c>
      <c r="B1543" s="27" t="s">
        <v>74</v>
      </c>
      <c r="C1543" s="24">
        <f t="shared" si="1516"/>
        <v>1510</v>
      </c>
      <c r="D1543" s="7">
        <f t="shared" ca="1" si="1553"/>
        <v>0.69682151589242047</v>
      </c>
      <c r="E1543" s="26">
        <f t="array" aca="1" ref="E1543" ca="1">AVERAGE(IF(INDIRECT(DatCol&amp;"$"&amp;TEXT(C1543,"###")):INDIRECT(DatCol&amp;"$"&amp;TEXT(C1543+57,"###"))&gt;0,INDIRECT(DatCol&amp;"$"&amp;TEXT(C1543,"###")):INDIRECT(DatCol&amp;"$"&amp;TEXT(C1543+57,"###"))))</f>
        <v>107.63157894736842</v>
      </c>
      <c r="F1543" s="26" t="str">
        <f t="shared" si="1509"/>
        <v>B</v>
      </c>
      <c r="G1543" s="8">
        <v>100</v>
      </c>
      <c r="H1543" s="8">
        <v>50</v>
      </c>
      <c r="I1543" s="8">
        <v>0</v>
      </c>
      <c r="J1543" s="8">
        <v>700</v>
      </c>
      <c r="K1543" s="9">
        <f t="shared" si="1512"/>
        <v>850</v>
      </c>
      <c r="L1543" s="12">
        <v>0</v>
      </c>
      <c r="M1543" s="11">
        <f t="shared" si="1535"/>
        <v>0</v>
      </c>
      <c r="N1543" s="12">
        <v>75</v>
      </c>
      <c r="O1543" s="11">
        <f t="shared" si="1536"/>
        <v>3750</v>
      </c>
      <c r="P1543" s="12">
        <v>0</v>
      </c>
      <c r="Q1543" s="11">
        <f t="shared" si="1537"/>
        <v>0</v>
      </c>
      <c r="X1543" s="12">
        <v>625</v>
      </c>
      <c r="Y1543" s="11">
        <f t="shared" si="1538"/>
        <v>37500</v>
      </c>
      <c r="AG1543" s="11">
        <f t="shared" si="1539"/>
        <v>0</v>
      </c>
      <c r="AH1543" s="12">
        <v>250</v>
      </c>
      <c r="AI1543" s="11">
        <f t="shared" si="1540"/>
        <v>16250</v>
      </c>
      <c r="AK1543" s="13">
        <f t="shared" si="1541"/>
        <v>0</v>
      </c>
      <c r="AL1543" s="12">
        <v>0</v>
      </c>
      <c r="AM1543" s="13">
        <f t="shared" si="1542"/>
        <v>0</v>
      </c>
      <c r="AO1543" s="11">
        <f t="shared" si="1543"/>
        <v>0</v>
      </c>
      <c r="AQ1543" s="11">
        <f t="shared" si="1544"/>
        <v>0</v>
      </c>
      <c r="AS1543" s="11">
        <f t="shared" si="1545"/>
        <v>0</v>
      </c>
      <c r="AU1543" s="11">
        <f t="shared" si="1546"/>
        <v>0</v>
      </c>
      <c r="AW1543" s="11">
        <f t="shared" si="1547"/>
        <v>0</v>
      </c>
      <c r="AY1543" s="11">
        <f t="shared" si="1548"/>
        <v>0</v>
      </c>
      <c r="BA1543" s="11">
        <f t="shared" si="1549"/>
        <v>0</v>
      </c>
      <c r="BC1543" s="11">
        <f t="shared" si="1550"/>
        <v>0</v>
      </c>
      <c r="BE1543" s="11">
        <f t="shared" si="1551"/>
        <v>0</v>
      </c>
      <c r="BG1543" s="11">
        <f t="shared" si="1552"/>
        <v>0</v>
      </c>
      <c r="BN1543" s="8">
        <f t="shared" si="1510"/>
        <v>625</v>
      </c>
      <c r="BO1543" s="8">
        <f t="shared" si="1511"/>
        <v>37500</v>
      </c>
      <c r="BP1543" s="8">
        <f t="shared" si="1514"/>
        <v>950</v>
      </c>
      <c r="BQ1543" s="12">
        <f t="shared" si="1515"/>
        <v>57500</v>
      </c>
    </row>
    <row r="1544" spans="1:69">
      <c r="A1544" s="28">
        <v>1989</v>
      </c>
      <c r="B1544" s="27" t="s">
        <v>74</v>
      </c>
      <c r="C1544" s="24">
        <f t="shared" si="1516"/>
        <v>1510</v>
      </c>
      <c r="D1544" s="7">
        <f t="shared" ca="1" si="1553"/>
        <v>0.69682151589242047</v>
      </c>
      <c r="E1544" s="26">
        <f t="array" aca="1" ref="E1544" ca="1">AVERAGE(IF(INDIRECT(DatCol&amp;"$"&amp;TEXT(C1544,"###")):INDIRECT(DatCol&amp;"$"&amp;TEXT(C1544+57,"###"))&gt;0,INDIRECT(DatCol&amp;"$"&amp;TEXT(C1544,"###")):INDIRECT(DatCol&amp;"$"&amp;TEXT(C1544+57,"###"))))</f>
        <v>107.63157894736842</v>
      </c>
      <c r="F1544" s="26" t="str">
        <f t="shared" si="1509"/>
        <v>B</v>
      </c>
      <c r="G1544" s="8">
        <v>130</v>
      </c>
      <c r="H1544" s="8">
        <v>18</v>
      </c>
      <c r="I1544" s="8">
        <v>2</v>
      </c>
      <c r="J1544" s="8">
        <v>500</v>
      </c>
      <c r="K1544" s="9">
        <f t="shared" si="1512"/>
        <v>648</v>
      </c>
      <c r="L1544" s="12">
        <v>0</v>
      </c>
      <c r="M1544" s="11">
        <f t="shared" si="1535"/>
        <v>0</v>
      </c>
      <c r="N1544" s="12">
        <v>75</v>
      </c>
      <c r="O1544" s="11">
        <f t="shared" si="1536"/>
        <v>3750</v>
      </c>
      <c r="P1544" s="12">
        <v>0</v>
      </c>
      <c r="Q1544" s="11">
        <f t="shared" si="1537"/>
        <v>0</v>
      </c>
      <c r="X1544" s="12">
        <v>600</v>
      </c>
      <c r="Y1544" s="11">
        <f t="shared" si="1538"/>
        <v>36000</v>
      </c>
      <c r="AF1544" s="12">
        <v>0</v>
      </c>
      <c r="AG1544" s="11">
        <f t="shared" si="1539"/>
        <v>0</v>
      </c>
      <c r="AH1544" s="12">
        <v>200</v>
      </c>
      <c r="AI1544" s="11">
        <f t="shared" si="1540"/>
        <v>13000</v>
      </c>
      <c r="AK1544" s="13">
        <f t="shared" si="1541"/>
        <v>0</v>
      </c>
      <c r="AM1544" s="13">
        <f t="shared" si="1542"/>
        <v>0</v>
      </c>
      <c r="AO1544" s="11">
        <f t="shared" si="1543"/>
        <v>0</v>
      </c>
      <c r="AQ1544" s="11">
        <f t="shared" si="1544"/>
        <v>0</v>
      </c>
      <c r="AS1544" s="11">
        <f t="shared" si="1545"/>
        <v>0</v>
      </c>
      <c r="AU1544" s="11">
        <f t="shared" si="1546"/>
        <v>0</v>
      </c>
      <c r="AW1544" s="11">
        <f t="shared" si="1547"/>
        <v>0</v>
      </c>
      <c r="AY1544" s="11">
        <f t="shared" si="1548"/>
        <v>0</v>
      </c>
      <c r="BA1544" s="11">
        <f t="shared" si="1549"/>
        <v>0</v>
      </c>
      <c r="BC1544" s="11">
        <f t="shared" si="1550"/>
        <v>0</v>
      </c>
      <c r="BE1544" s="11">
        <f t="shared" si="1551"/>
        <v>0</v>
      </c>
      <c r="BG1544" s="11">
        <f t="shared" si="1552"/>
        <v>0</v>
      </c>
      <c r="BN1544" s="8">
        <f t="shared" si="1510"/>
        <v>600</v>
      </c>
      <c r="BO1544" s="8">
        <f t="shared" si="1511"/>
        <v>36000</v>
      </c>
      <c r="BP1544" s="8">
        <f t="shared" si="1514"/>
        <v>875</v>
      </c>
      <c r="BQ1544" s="12">
        <f t="shared" si="1515"/>
        <v>52750</v>
      </c>
    </row>
    <row r="1545" spans="1:69">
      <c r="A1545" s="28">
        <v>1990</v>
      </c>
      <c r="B1545" s="27" t="s">
        <v>74</v>
      </c>
      <c r="C1545" s="24">
        <f t="shared" si="1516"/>
        <v>1510</v>
      </c>
      <c r="D1545" s="7">
        <f t="shared" ca="1" si="1553"/>
        <v>1.1613691931540342</v>
      </c>
      <c r="E1545" s="26">
        <f t="array" aca="1" ref="E1545" ca="1">AVERAGE(IF(INDIRECT(DatCol&amp;"$"&amp;TEXT(C1545,"###")):INDIRECT(DatCol&amp;"$"&amp;TEXT(C1545+57,"###"))&gt;0,INDIRECT(DatCol&amp;"$"&amp;TEXT(C1545,"###")):INDIRECT(DatCol&amp;"$"&amp;TEXT(C1545+57,"###"))))</f>
        <v>107.63157894736842</v>
      </c>
      <c r="F1545" s="26" t="str">
        <f t="shared" si="1509"/>
        <v>B</v>
      </c>
      <c r="G1545" s="8">
        <v>165</v>
      </c>
      <c r="H1545" s="8">
        <v>13</v>
      </c>
      <c r="I1545" s="8">
        <v>0</v>
      </c>
      <c r="J1545" s="8">
        <v>503</v>
      </c>
      <c r="K1545" s="9">
        <f t="shared" si="1512"/>
        <v>681</v>
      </c>
      <c r="L1545" s="12">
        <v>0</v>
      </c>
      <c r="M1545" s="11">
        <f t="shared" ref="M1545:M1575" si="1554">(L1545*50)</f>
        <v>0</v>
      </c>
      <c r="N1545" s="12">
        <v>125</v>
      </c>
      <c r="O1545" s="11">
        <f t="shared" ref="O1545:O1575" si="1555">(N1545*50)</f>
        <v>6250</v>
      </c>
      <c r="P1545" s="12">
        <v>0</v>
      </c>
      <c r="Q1545" s="11">
        <f t="shared" ref="Q1545:Q1575" si="1556">((P1545*330)/5.5)</f>
        <v>0</v>
      </c>
      <c r="X1545" s="12">
        <v>900</v>
      </c>
      <c r="Y1545" s="11">
        <f t="shared" ref="Y1545:Y1575" si="1557">((X1545*330)/5.5)</f>
        <v>54000</v>
      </c>
      <c r="AF1545" s="12">
        <v>0</v>
      </c>
      <c r="AG1545" s="11">
        <f t="shared" ref="AG1545:AG1575" si="1558">(AF1545*65)</f>
        <v>0</v>
      </c>
      <c r="AH1545" s="12">
        <v>50</v>
      </c>
      <c r="AI1545" s="11">
        <f t="shared" ref="AI1545:AI1575" si="1559">(AH1545*65)</f>
        <v>3250</v>
      </c>
      <c r="AJ1545" s="12">
        <v>0</v>
      </c>
      <c r="AK1545" s="13">
        <f t="shared" ref="AK1545:AK1575" si="1560">(AJ1545*9)</f>
        <v>0</v>
      </c>
      <c r="AL1545" s="12">
        <v>10</v>
      </c>
      <c r="AM1545" s="13">
        <f t="shared" ref="AM1545:AM1575" si="1561">(AL1545*9)</f>
        <v>90</v>
      </c>
      <c r="AO1545" s="11">
        <f t="shared" ref="AO1545:AO1575" si="1562">(AN1545*80)</f>
        <v>0</v>
      </c>
      <c r="AQ1545" s="11">
        <f t="shared" ref="AQ1545:AQ1575" si="1563">(AP1545*80)</f>
        <v>0</v>
      </c>
      <c r="AS1545" s="11">
        <f t="shared" ref="AS1545:AS1575" si="1564">(AR1545*50)</f>
        <v>0</v>
      </c>
      <c r="AU1545" s="11">
        <f t="shared" ref="AU1545:AU1575" si="1565">(AT1545*50)</f>
        <v>0</v>
      </c>
      <c r="AV1545" s="12">
        <v>400</v>
      </c>
      <c r="AW1545" s="11">
        <f t="shared" ref="AW1545:AW1575" si="1566">(AV1545*60)</f>
        <v>24000</v>
      </c>
      <c r="AX1545" s="12">
        <v>3</v>
      </c>
      <c r="AY1545" s="11">
        <f t="shared" ref="AY1545:AY1575" si="1567">(AX1545*60)</f>
        <v>180</v>
      </c>
      <c r="BA1545" s="11">
        <f t="shared" ref="BA1545:BA1575" si="1568">(AZ1545*40)</f>
        <v>0</v>
      </c>
      <c r="BC1545" s="11">
        <f t="shared" ref="BC1545:BC1575" si="1569">(BB1545*40)</f>
        <v>0</v>
      </c>
      <c r="BE1545" s="11">
        <f t="shared" ref="BE1545:BE1575" si="1570">(BD1545*95)</f>
        <v>0</v>
      </c>
      <c r="BG1545" s="11">
        <f t="shared" ref="BG1545:BG1575" si="1571">(BF1545*95)</f>
        <v>0</v>
      </c>
      <c r="BN1545" s="8">
        <f t="shared" si="1510"/>
        <v>1300</v>
      </c>
      <c r="BO1545" s="8">
        <f t="shared" si="1511"/>
        <v>78000</v>
      </c>
      <c r="BP1545" s="8">
        <f t="shared" si="1514"/>
        <v>1088</v>
      </c>
      <c r="BQ1545" s="12">
        <f t="shared" si="1515"/>
        <v>63770</v>
      </c>
    </row>
    <row r="1546" spans="1:69">
      <c r="A1546" s="28">
        <v>1991</v>
      </c>
      <c r="B1546" s="27" t="s">
        <v>74</v>
      </c>
      <c r="C1546" s="24">
        <f t="shared" si="1516"/>
        <v>1510</v>
      </c>
      <c r="D1546" s="7">
        <f t="shared" ca="1" si="1553"/>
        <v>0.69682151589242047</v>
      </c>
      <c r="E1546" s="26">
        <f t="array" aca="1" ref="E1546" ca="1">AVERAGE(IF(INDIRECT(DatCol&amp;"$"&amp;TEXT(C1546,"###")):INDIRECT(DatCol&amp;"$"&amp;TEXT(C1546+57,"###"))&gt;0,INDIRECT(DatCol&amp;"$"&amp;TEXT(C1546,"###")):INDIRECT(DatCol&amp;"$"&amp;TEXT(C1546+57,"###"))))</f>
        <v>107.63157894736842</v>
      </c>
      <c r="F1546" s="26" t="str">
        <f t="shared" si="1509"/>
        <v>B</v>
      </c>
      <c r="G1546" s="8">
        <v>189</v>
      </c>
      <c r="H1546" s="8">
        <v>18</v>
      </c>
      <c r="I1546" s="8">
        <v>1</v>
      </c>
      <c r="J1546" s="8">
        <v>501</v>
      </c>
      <c r="K1546" s="9">
        <f t="shared" si="1512"/>
        <v>708</v>
      </c>
      <c r="L1546" s="12">
        <v>0</v>
      </c>
      <c r="M1546" s="11">
        <f t="shared" si="1554"/>
        <v>0</v>
      </c>
      <c r="N1546" s="12">
        <v>75</v>
      </c>
      <c r="O1546" s="11">
        <f t="shared" si="1555"/>
        <v>3750</v>
      </c>
      <c r="P1546" s="12">
        <v>0</v>
      </c>
      <c r="Q1546" s="11">
        <f t="shared" si="1556"/>
        <v>0</v>
      </c>
      <c r="X1546" s="12">
        <v>600</v>
      </c>
      <c r="Y1546" s="11">
        <f t="shared" si="1557"/>
        <v>36000</v>
      </c>
      <c r="AF1546" s="12">
        <v>0</v>
      </c>
      <c r="AG1546" s="11">
        <f t="shared" si="1558"/>
        <v>0</v>
      </c>
      <c r="AH1546" s="12">
        <v>20</v>
      </c>
      <c r="AI1546" s="11">
        <f t="shared" si="1559"/>
        <v>1300</v>
      </c>
      <c r="AJ1546" s="12">
        <v>10</v>
      </c>
      <c r="AK1546" s="13">
        <f t="shared" si="1560"/>
        <v>90</v>
      </c>
      <c r="AL1546" s="12">
        <v>50</v>
      </c>
      <c r="AM1546" s="13">
        <f t="shared" si="1561"/>
        <v>450</v>
      </c>
      <c r="AO1546" s="11">
        <f t="shared" si="1562"/>
        <v>0</v>
      </c>
      <c r="AQ1546" s="11">
        <f t="shared" si="1563"/>
        <v>0</v>
      </c>
      <c r="AS1546" s="11">
        <f t="shared" si="1564"/>
        <v>0</v>
      </c>
      <c r="AU1546" s="11">
        <f t="shared" si="1565"/>
        <v>0</v>
      </c>
      <c r="AW1546" s="11">
        <f t="shared" si="1566"/>
        <v>0</v>
      </c>
      <c r="AY1546" s="11">
        <f t="shared" si="1567"/>
        <v>0</v>
      </c>
      <c r="BA1546" s="11">
        <f t="shared" si="1568"/>
        <v>0</v>
      </c>
      <c r="BC1546" s="11">
        <f t="shared" si="1569"/>
        <v>0</v>
      </c>
      <c r="BE1546" s="11">
        <f t="shared" si="1570"/>
        <v>0</v>
      </c>
      <c r="BG1546" s="11">
        <f t="shared" si="1571"/>
        <v>0</v>
      </c>
      <c r="BN1546" s="8">
        <f t="shared" si="1510"/>
        <v>610</v>
      </c>
      <c r="BO1546" s="8">
        <f t="shared" si="1511"/>
        <v>36090</v>
      </c>
      <c r="BP1546" s="8">
        <f t="shared" si="1514"/>
        <v>745</v>
      </c>
      <c r="BQ1546" s="12">
        <f t="shared" si="1515"/>
        <v>41500</v>
      </c>
    </row>
    <row r="1547" spans="1:69">
      <c r="A1547" s="28">
        <v>1992</v>
      </c>
      <c r="B1547" s="27" t="s">
        <v>74</v>
      </c>
      <c r="C1547" s="24">
        <f t="shared" si="1516"/>
        <v>1510</v>
      </c>
      <c r="D1547" s="7">
        <f t="shared" ca="1" si="1553"/>
        <v>1.1613691931540342</v>
      </c>
      <c r="E1547" s="26">
        <f t="array" aca="1" ref="E1547" ca="1">AVERAGE(IF(INDIRECT(DatCol&amp;"$"&amp;TEXT(C1547,"###")):INDIRECT(DatCol&amp;"$"&amp;TEXT(C1547+57,"###"))&gt;0,INDIRECT(DatCol&amp;"$"&amp;TEXT(C1547,"###")):INDIRECT(DatCol&amp;"$"&amp;TEXT(C1547+57,"###"))))</f>
        <v>107.63157894736842</v>
      </c>
      <c r="F1547" s="26" t="str">
        <f t="shared" si="1509"/>
        <v>B</v>
      </c>
      <c r="G1547" s="8">
        <v>300</v>
      </c>
      <c r="H1547" s="8">
        <v>18</v>
      </c>
      <c r="I1547" s="8">
        <v>7</v>
      </c>
      <c r="J1547" s="8">
        <v>503</v>
      </c>
      <c r="K1547" s="9">
        <f t="shared" si="1512"/>
        <v>821</v>
      </c>
      <c r="L1547" s="12">
        <v>0</v>
      </c>
      <c r="M1547" s="11">
        <f t="shared" si="1554"/>
        <v>0</v>
      </c>
      <c r="N1547" s="12">
        <v>125</v>
      </c>
      <c r="O1547" s="11">
        <f t="shared" si="1555"/>
        <v>6250</v>
      </c>
      <c r="P1547" s="12">
        <v>0</v>
      </c>
      <c r="Q1547" s="11">
        <f t="shared" si="1556"/>
        <v>0</v>
      </c>
      <c r="X1547" s="12">
        <f>200+100+400</f>
        <v>700</v>
      </c>
      <c r="Y1547" s="11">
        <f t="shared" si="1557"/>
        <v>42000</v>
      </c>
      <c r="AF1547" s="12">
        <v>0</v>
      </c>
      <c r="AG1547" s="11">
        <f t="shared" si="1558"/>
        <v>0</v>
      </c>
      <c r="AH1547" s="12">
        <v>50</v>
      </c>
      <c r="AI1547" s="11">
        <f t="shared" si="1559"/>
        <v>3250</v>
      </c>
      <c r="AJ1547" s="12">
        <v>480</v>
      </c>
      <c r="AK1547" s="13">
        <f t="shared" si="1560"/>
        <v>4320</v>
      </c>
      <c r="AL1547" s="12">
        <v>100</v>
      </c>
      <c r="AM1547" s="13">
        <f t="shared" si="1561"/>
        <v>900</v>
      </c>
      <c r="AO1547" s="11">
        <f t="shared" si="1562"/>
        <v>0</v>
      </c>
      <c r="AQ1547" s="11">
        <f t="shared" si="1563"/>
        <v>0</v>
      </c>
      <c r="AS1547" s="11">
        <f t="shared" si="1564"/>
        <v>0</v>
      </c>
      <c r="AU1547" s="11">
        <f t="shared" si="1565"/>
        <v>0</v>
      </c>
      <c r="AW1547" s="11">
        <f t="shared" si="1566"/>
        <v>0</v>
      </c>
      <c r="AY1547" s="11">
        <f t="shared" si="1567"/>
        <v>0</v>
      </c>
      <c r="BA1547" s="11">
        <f t="shared" si="1568"/>
        <v>0</v>
      </c>
      <c r="BC1547" s="11">
        <f t="shared" si="1569"/>
        <v>0</v>
      </c>
      <c r="BE1547" s="11">
        <f t="shared" si="1570"/>
        <v>0</v>
      </c>
      <c r="BG1547" s="11">
        <f t="shared" si="1571"/>
        <v>0</v>
      </c>
      <c r="BN1547" s="8">
        <f t="shared" si="1510"/>
        <v>1180</v>
      </c>
      <c r="BO1547" s="8">
        <f t="shared" si="1511"/>
        <v>46320</v>
      </c>
      <c r="BP1547" s="8">
        <f t="shared" si="1514"/>
        <v>975</v>
      </c>
      <c r="BQ1547" s="12">
        <f t="shared" si="1515"/>
        <v>52400</v>
      </c>
    </row>
    <row r="1548" spans="1:69">
      <c r="A1548" s="28">
        <v>1993</v>
      </c>
      <c r="B1548" s="27" t="s">
        <v>74</v>
      </c>
      <c r="C1548" s="24">
        <f t="shared" si="1516"/>
        <v>1510</v>
      </c>
      <c r="D1548" s="7">
        <f t="shared" ca="1" si="1553"/>
        <v>1.254278728606357</v>
      </c>
      <c r="E1548" s="26">
        <f t="array" aca="1" ref="E1548" ca="1">AVERAGE(IF(INDIRECT(DatCol&amp;"$"&amp;TEXT(C1548,"###")):INDIRECT(DatCol&amp;"$"&amp;TEXT(C1548+57,"###"))&gt;0,INDIRECT(DatCol&amp;"$"&amp;TEXT(C1548,"###")):INDIRECT(DatCol&amp;"$"&amp;TEXT(C1548+57,"###"))))</f>
        <v>107.63157894736842</v>
      </c>
      <c r="F1548" s="26" t="str">
        <f t="shared" si="1509"/>
        <v>B</v>
      </c>
      <c r="G1548" s="8">
        <v>30</v>
      </c>
      <c r="H1548" s="8">
        <v>19</v>
      </c>
      <c r="I1548" s="8">
        <v>2</v>
      </c>
      <c r="J1548" s="8">
        <v>510</v>
      </c>
      <c r="K1548" s="9">
        <f t="shared" si="1512"/>
        <v>559</v>
      </c>
      <c r="L1548" s="12">
        <v>0</v>
      </c>
      <c r="M1548" s="11">
        <f t="shared" si="1554"/>
        <v>0</v>
      </c>
      <c r="N1548" s="12">
        <v>135</v>
      </c>
      <c r="O1548" s="11">
        <f t="shared" si="1555"/>
        <v>6750</v>
      </c>
      <c r="P1548" s="12">
        <v>110</v>
      </c>
      <c r="Q1548" s="11">
        <f t="shared" si="1556"/>
        <v>6600</v>
      </c>
      <c r="X1548" s="12">
        <f>240+120+450</f>
        <v>810</v>
      </c>
      <c r="Y1548" s="11">
        <f t="shared" si="1557"/>
        <v>48600</v>
      </c>
      <c r="AF1548" s="12">
        <v>0</v>
      </c>
      <c r="AG1548" s="11">
        <f t="shared" si="1558"/>
        <v>0</v>
      </c>
      <c r="AH1548" s="12">
        <v>0</v>
      </c>
      <c r="AI1548" s="11">
        <f t="shared" si="1559"/>
        <v>0</v>
      </c>
      <c r="AJ1548" s="12">
        <v>0</v>
      </c>
      <c r="AK1548" s="13">
        <f t="shared" si="1560"/>
        <v>0</v>
      </c>
      <c r="AL1548" s="12">
        <v>30</v>
      </c>
      <c r="AM1548" s="13">
        <f t="shared" si="1561"/>
        <v>270</v>
      </c>
      <c r="AO1548" s="11">
        <f t="shared" si="1562"/>
        <v>0</v>
      </c>
      <c r="AQ1548" s="11">
        <f t="shared" si="1563"/>
        <v>0</v>
      </c>
      <c r="AS1548" s="11">
        <f t="shared" si="1564"/>
        <v>0</v>
      </c>
      <c r="AU1548" s="11">
        <f t="shared" si="1565"/>
        <v>0</v>
      </c>
      <c r="AW1548" s="11">
        <f t="shared" si="1566"/>
        <v>0</v>
      </c>
      <c r="AY1548" s="11">
        <f t="shared" si="1567"/>
        <v>0</v>
      </c>
      <c r="BA1548" s="11">
        <f t="shared" si="1568"/>
        <v>0</v>
      </c>
      <c r="BC1548" s="11">
        <f t="shared" si="1569"/>
        <v>0</v>
      </c>
      <c r="BE1548" s="11">
        <f t="shared" si="1570"/>
        <v>0</v>
      </c>
      <c r="BG1548" s="11">
        <f t="shared" si="1571"/>
        <v>0</v>
      </c>
      <c r="BN1548" s="8">
        <f t="shared" si="1510"/>
        <v>920</v>
      </c>
      <c r="BO1548" s="8">
        <f t="shared" si="1511"/>
        <v>55200</v>
      </c>
      <c r="BP1548" s="8">
        <f t="shared" si="1514"/>
        <v>975</v>
      </c>
      <c r="BQ1548" s="12">
        <f t="shared" si="1515"/>
        <v>55620</v>
      </c>
    </row>
    <row r="1549" spans="1:69">
      <c r="A1549" s="28">
        <v>1994</v>
      </c>
      <c r="B1549" s="27" t="s">
        <v>74</v>
      </c>
      <c r="C1549" s="24">
        <f t="shared" si="1516"/>
        <v>1510</v>
      </c>
      <c r="D1549" s="7">
        <f t="shared" ca="1" si="1553"/>
        <v>1.6723716381418092</v>
      </c>
      <c r="E1549" s="26">
        <f t="array" aca="1" ref="E1549" ca="1">AVERAGE(IF(INDIRECT(DatCol&amp;"$"&amp;TEXT(C1549,"###")):INDIRECT(DatCol&amp;"$"&amp;TEXT(C1549+57,"###"))&gt;0,INDIRECT(DatCol&amp;"$"&amp;TEXT(C1549,"###")):INDIRECT(DatCol&amp;"$"&amp;TEXT(C1549+57,"###"))))</f>
        <v>107.63157894736842</v>
      </c>
      <c r="F1549" s="26" t="str">
        <f t="shared" si="1509"/>
        <v>B</v>
      </c>
      <c r="G1549" s="8">
        <v>300</v>
      </c>
      <c r="H1549" s="8">
        <v>20</v>
      </c>
      <c r="I1549" s="8">
        <v>1</v>
      </c>
      <c r="J1549" s="8">
        <v>625</v>
      </c>
      <c r="K1549" s="9">
        <f t="shared" si="1512"/>
        <v>945</v>
      </c>
      <c r="L1549" s="12">
        <v>0</v>
      </c>
      <c r="M1549" s="11">
        <f t="shared" si="1554"/>
        <v>0</v>
      </c>
      <c r="N1549" s="12">
        <v>180</v>
      </c>
      <c r="O1549" s="11">
        <f t="shared" si="1555"/>
        <v>9000</v>
      </c>
      <c r="P1549" s="12">
        <v>20</v>
      </c>
      <c r="Q1549" s="11">
        <f t="shared" si="1556"/>
        <v>1200</v>
      </c>
      <c r="X1549" s="12">
        <f>290+170+500</f>
        <v>960</v>
      </c>
      <c r="Y1549" s="11">
        <f t="shared" si="1557"/>
        <v>57600</v>
      </c>
      <c r="AF1549" s="12">
        <v>0</v>
      </c>
      <c r="AG1549" s="11">
        <f t="shared" si="1558"/>
        <v>0</v>
      </c>
      <c r="AH1549" s="12">
        <v>15</v>
      </c>
      <c r="AI1549" s="11">
        <f t="shared" si="1559"/>
        <v>975</v>
      </c>
      <c r="AJ1549" s="12">
        <v>0</v>
      </c>
      <c r="AK1549" s="13">
        <f t="shared" si="1560"/>
        <v>0</v>
      </c>
      <c r="AL1549" s="12">
        <v>35</v>
      </c>
      <c r="AM1549" s="13">
        <f t="shared" si="1561"/>
        <v>315</v>
      </c>
      <c r="AN1549" s="12">
        <v>0</v>
      </c>
      <c r="AO1549" s="11">
        <f t="shared" si="1562"/>
        <v>0</v>
      </c>
      <c r="AP1549" s="12">
        <v>0</v>
      </c>
      <c r="AQ1549" s="11">
        <f t="shared" si="1563"/>
        <v>0</v>
      </c>
      <c r="AR1549" s="12">
        <v>0</v>
      </c>
      <c r="AS1549" s="11">
        <f t="shared" si="1564"/>
        <v>0</v>
      </c>
      <c r="AT1549" s="12">
        <v>10</v>
      </c>
      <c r="AU1549" s="11">
        <f t="shared" si="1565"/>
        <v>500</v>
      </c>
      <c r="AV1549" s="12">
        <v>500</v>
      </c>
      <c r="AW1549" s="11">
        <f t="shared" si="1566"/>
        <v>30000</v>
      </c>
      <c r="AX1549" s="12">
        <v>0</v>
      </c>
      <c r="AY1549" s="11">
        <f t="shared" si="1567"/>
        <v>0</v>
      </c>
      <c r="AZ1549" s="12">
        <v>0</v>
      </c>
      <c r="BA1549" s="11">
        <f t="shared" si="1568"/>
        <v>0</v>
      </c>
      <c r="BB1549" s="12">
        <v>0</v>
      </c>
      <c r="BC1549" s="11">
        <f t="shared" si="1569"/>
        <v>0</v>
      </c>
      <c r="BD1549" s="12">
        <v>0</v>
      </c>
      <c r="BE1549" s="11">
        <f t="shared" si="1570"/>
        <v>0</v>
      </c>
      <c r="BF1549" s="12">
        <v>0</v>
      </c>
      <c r="BG1549" s="11">
        <f t="shared" si="1571"/>
        <v>0</v>
      </c>
      <c r="BN1549" s="8">
        <f t="shared" si="1510"/>
        <v>1480</v>
      </c>
      <c r="BO1549" s="8">
        <f t="shared" si="1511"/>
        <v>88800</v>
      </c>
      <c r="BP1549" s="8">
        <f t="shared" si="1514"/>
        <v>1200</v>
      </c>
      <c r="BQ1549" s="12">
        <f t="shared" si="1515"/>
        <v>68390</v>
      </c>
    </row>
    <row r="1550" spans="1:69">
      <c r="A1550" s="28">
        <v>1995</v>
      </c>
      <c r="B1550" s="27" t="s">
        <v>74</v>
      </c>
      <c r="C1550" s="24">
        <f t="shared" si="1516"/>
        <v>1510</v>
      </c>
      <c r="D1550" s="7">
        <f t="shared" ca="1" si="1553"/>
        <v>0.18581907090464547</v>
      </c>
      <c r="E1550" s="26">
        <f t="array" aca="1" ref="E1550" ca="1">AVERAGE(IF(INDIRECT(DatCol&amp;"$"&amp;TEXT(C1550,"###")):INDIRECT(DatCol&amp;"$"&amp;TEXT(C1550+57,"###"))&gt;0,INDIRECT(DatCol&amp;"$"&amp;TEXT(C1550,"###")):INDIRECT(DatCol&amp;"$"&amp;TEXT(C1550+57,"###"))))</f>
        <v>107.63157894736842</v>
      </c>
      <c r="F1550" s="26" t="str">
        <f t="shared" si="1509"/>
        <v>B</v>
      </c>
      <c r="G1550" s="9">
        <v>300</v>
      </c>
      <c r="H1550" s="9">
        <v>20</v>
      </c>
      <c r="I1550" s="9">
        <v>5</v>
      </c>
      <c r="J1550" s="9">
        <v>680</v>
      </c>
      <c r="K1550" s="9">
        <f t="shared" si="1512"/>
        <v>1000</v>
      </c>
      <c r="L1550" s="10">
        <v>0</v>
      </c>
      <c r="M1550" s="11">
        <f t="shared" si="1554"/>
        <v>0</v>
      </c>
      <c r="N1550" s="10">
        <v>20</v>
      </c>
      <c r="O1550" s="11">
        <f t="shared" si="1555"/>
        <v>1000</v>
      </c>
      <c r="P1550" s="10">
        <v>0</v>
      </c>
      <c r="Q1550" s="11">
        <f t="shared" si="1556"/>
        <v>0</v>
      </c>
      <c r="X1550" s="10">
        <f>60+500+1200+320</f>
        <v>2080</v>
      </c>
      <c r="Y1550" s="11">
        <f t="shared" si="1557"/>
        <v>124800</v>
      </c>
      <c r="AF1550" s="10">
        <v>0</v>
      </c>
      <c r="AG1550" s="11">
        <f t="shared" si="1558"/>
        <v>0</v>
      </c>
      <c r="AH1550" s="10">
        <v>15</v>
      </c>
      <c r="AI1550" s="11">
        <f t="shared" si="1559"/>
        <v>975</v>
      </c>
      <c r="AJ1550" s="10">
        <v>415</v>
      </c>
      <c r="AK1550" s="13">
        <f t="shared" si="1560"/>
        <v>3735</v>
      </c>
      <c r="AL1550" s="10">
        <v>125</v>
      </c>
      <c r="AM1550" s="13">
        <f t="shared" si="1561"/>
        <v>1125</v>
      </c>
      <c r="AN1550" s="10">
        <v>0</v>
      </c>
      <c r="AO1550" s="11">
        <f t="shared" si="1562"/>
        <v>0</v>
      </c>
      <c r="AP1550" s="10">
        <v>0</v>
      </c>
      <c r="AQ1550" s="11">
        <f t="shared" si="1563"/>
        <v>0</v>
      </c>
      <c r="AR1550" s="10">
        <v>0</v>
      </c>
      <c r="AS1550" s="11">
        <f t="shared" si="1564"/>
        <v>0</v>
      </c>
      <c r="AT1550" s="10">
        <v>0</v>
      </c>
      <c r="AU1550" s="11">
        <f t="shared" si="1565"/>
        <v>0</v>
      </c>
      <c r="AV1550" s="10">
        <v>300</v>
      </c>
      <c r="AW1550" s="11">
        <f t="shared" si="1566"/>
        <v>18000</v>
      </c>
      <c r="AX1550" s="10">
        <v>0</v>
      </c>
      <c r="AY1550" s="11">
        <f t="shared" si="1567"/>
        <v>0</v>
      </c>
      <c r="AZ1550" s="10">
        <v>0</v>
      </c>
      <c r="BA1550" s="11">
        <f t="shared" si="1568"/>
        <v>0</v>
      </c>
      <c r="BB1550" s="10">
        <v>0</v>
      </c>
      <c r="BC1550" s="11">
        <f t="shared" si="1569"/>
        <v>0</v>
      </c>
      <c r="BD1550" s="10">
        <v>0</v>
      </c>
      <c r="BE1550" s="11">
        <f t="shared" si="1570"/>
        <v>0</v>
      </c>
      <c r="BF1550" s="10">
        <v>0</v>
      </c>
      <c r="BG1550" s="11">
        <f t="shared" si="1571"/>
        <v>0</v>
      </c>
      <c r="BH1550" s="11">
        <v>0</v>
      </c>
      <c r="BN1550" s="8">
        <f t="shared" si="1510"/>
        <v>2795</v>
      </c>
      <c r="BO1550" s="8">
        <f t="shared" si="1511"/>
        <v>146535</v>
      </c>
      <c r="BP1550" s="8">
        <f t="shared" si="1514"/>
        <v>2240</v>
      </c>
      <c r="BQ1550" s="12">
        <f t="shared" si="1515"/>
        <v>127900</v>
      </c>
    </row>
    <row r="1551" spans="1:69">
      <c r="A1551" s="28">
        <v>1996</v>
      </c>
      <c r="B1551" s="27" t="s">
        <v>74</v>
      </c>
      <c r="C1551" s="24">
        <f t="shared" si="1516"/>
        <v>1510</v>
      </c>
      <c r="D1551" s="7">
        <f t="shared" ca="1" si="1553"/>
        <v>0.37163814180929094</v>
      </c>
      <c r="E1551" s="26">
        <f t="array" aca="1" ref="E1551" ca="1">AVERAGE(IF(INDIRECT(DatCol&amp;"$"&amp;TEXT(C1551,"###")):INDIRECT(DatCol&amp;"$"&amp;TEXT(C1551+57,"###"))&gt;0,INDIRECT(DatCol&amp;"$"&amp;TEXT(C1551,"###")):INDIRECT(DatCol&amp;"$"&amp;TEXT(C1551+57,"###"))))</f>
        <v>107.63157894736842</v>
      </c>
      <c r="F1551" s="26" t="str">
        <f t="shared" si="1509"/>
        <v>B</v>
      </c>
      <c r="G1551" s="9">
        <v>50</v>
      </c>
      <c r="H1551" s="9">
        <v>30</v>
      </c>
      <c r="I1551" s="9">
        <v>2</v>
      </c>
      <c r="J1551" s="9">
        <v>740</v>
      </c>
      <c r="K1551" s="9">
        <f t="shared" si="1512"/>
        <v>820</v>
      </c>
      <c r="L1551" s="10">
        <v>0</v>
      </c>
      <c r="M1551" s="11">
        <f t="shared" si="1554"/>
        <v>0</v>
      </c>
      <c r="N1551" s="10">
        <v>40</v>
      </c>
      <c r="O1551" s="11">
        <f t="shared" si="1555"/>
        <v>2000</v>
      </c>
      <c r="P1551" s="10">
        <f>20+10+20</f>
        <v>50</v>
      </c>
      <c r="Q1551" s="11">
        <f t="shared" si="1556"/>
        <v>3000</v>
      </c>
      <c r="X1551" s="10">
        <f>200+600+300+275</f>
        <v>1375</v>
      </c>
      <c r="Y1551" s="11">
        <f t="shared" si="1557"/>
        <v>82500</v>
      </c>
      <c r="AF1551" s="10">
        <v>0</v>
      </c>
      <c r="AG1551" s="11">
        <f t="shared" si="1558"/>
        <v>0</v>
      </c>
      <c r="AH1551" s="10">
        <v>5</v>
      </c>
      <c r="AI1551" s="11">
        <f t="shared" si="1559"/>
        <v>325</v>
      </c>
      <c r="AJ1551" s="10">
        <v>0</v>
      </c>
      <c r="AK1551" s="13">
        <f t="shared" si="1560"/>
        <v>0</v>
      </c>
      <c r="AL1551" s="10">
        <v>10</v>
      </c>
      <c r="AM1551" s="13">
        <f t="shared" si="1561"/>
        <v>90</v>
      </c>
      <c r="AN1551" s="10">
        <v>0</v>
      </c>
      <c r="AO1551" s="11">
        <f t="shared" si="1562"/>
        <v>0</v>
      </c>
      <c r="AP1551" s="10">
        <v>0</v>
      </c>
      <c r="AQ1551" s="11">
        <f t="shared" si="1563"/>
        <v>0</v>
      </c>
      <c r="AR1551" s="10">
        <v>0</v>
      </c>
      <c r="AS1551" s="11">
        <f t="shared" si="1564"/>
        <v>0</v>
      </c>
      <c r="AT1551" s="10">
        <v>4</v>
      </c>
      <c r="AU1551" s="11">
        <f t="shared" si="1565"/>
        <v>200</v>
      </c>
      <c r="AV1551" s="10">
        <v>0</v>
      </c>
      <c r="AW1551" s="11">
        <f t="shared" si="1566"/>
        <v>0</v>
      </c>
      <c r="AX1551" s="10">
        <v>3</v>
      </c>
      <c r="AY1551" s="11">
        <f t="shared" si="1567"/>
        <v>180</v>
      </c>
      <c r="AZ1551" s="10">
        <v>0</v>
      </c>
      <c r="BA1551" s="11">
        <f t="shared" si="1568"/>
        <v>0</v>
      </c>
      <c r="BB1551" s="10">
        <v>10</v>
      </c>
      <c r="BC1551" s="11">
        <f t="shared" si="1569"/>
        <v>400</v>
      </c>
      <c r="BD1551" s="10">
        <v>0</v>
      </c>
      <c r="BE1551" s="11">
        <f t="shared" si="1570"/>
        <v>0</v>
      </c>
      <c r="BF1551" s="10">
        <v>0</v>
      </c>
      <c r="BG1551" s="11">
        <f t="shared" si="1571"/>
        <v>0</v>
      </c>
      <c r="BH1551" s="11">
        <v>0</v>
      </c>
      <c r="BN1551" s="8">
        <f t="shared" si="1510"/>
        <v>1425</v>
      </c>
      <c r="BO1551" s="8">
        <f t="shared" si="1511"/>
        <v>85500</v>
      </c>
      <c r="BP1551" s="8">
        <f t="shared" si="1514"/>
        <v>1447</v>
      </c>
      <c r="BQ1551" s="12">
        <f t="shared" si="1515"/>
        <v>85695</v>
      </c>
    </row>
    <row r="1552" spans="1:69">
      <c r="A1552" s="28">
        <v>1997</v>
      </c>
      <c r="B1552" s="27" t="s">
        <v>74</v>
      </c>
      <c r="C1552" s="24">
        <f t="shared" si="1516"/>
        <v>1510</v>
      </c>
      <c r="D1552" s="7">
        <f t="shared" ca="1" si="1553"/>
        <v>0.18581907090464547</v>
      </c>
      <c r="E1552" s="26">
        <f t="array" aca="1" ref="E1552" ca="1">AVERAGE(IF(INDIRECT(DatCol&amp;"$"&amp;TEXT(C1552,"###")):INDIRECT(DatCol&amp;"$"&amp;TEXT(C1552+57,"###"))&gt;0,INDIRECT(DatCol&amp;"$"&amp;TEXT(C1552,"###")):INDIRECT(DatCol&amp;"$"&amp;TEXT(C1552+57,"###"))))</f>
        <v>107.63157894736842</v>
      </c>
      <c r="F1552" s="26" t="str">
        <f t="shared" ref="F1552:F1618" si="1572">VLOOKUP(B1552,town_region,2,FALSE)</f>
        <v>B</v>
      </c>
      <c r="G1552" s="9">
        <v>30</v>
      </c>
      <c r="H1552" s="9">
        <v>30</v>
      </c>
      <c r="I1552" s="9">
        <v>2</v>
      </c>
      <c r="J1552" s="9">
        <v>760</v>
      </c>
      <c r="K1552" s="9">
        <f t="shared" si="1512"/>
        <v>820</v>
      </c>
      <c r="L1552" s="10">
        <v>20</v>
      </c>
      <c r="M1552" s="11">
        <f t="shared" si="1554"/>
        <v>1000</v>
      </c>
      <c r="N1552" s="10">
        <v>20</v>
      </c>
      <c r="O1552" s="11">
        <f t="shared" si="1555"/>
        <v>1000</v>
      </c>
      <c r="P1552" s="10">
        <f>20+10</f>
        <v>30</v>
      </c>
      <c r="Q1552" s="11">
        <f t="shared" si="1556"/>
        <v>1800</v>
      </c>
      <c r="X1552" s="10">
        <f>230+500+300+200</f>
        <v>1230</v>
      </c>
      <c r="Y1552" s="11">
        <f t="shared" si="1557"/>
        <v>73800</v>
      </c>
      <c r="AF1552" s="10">
        <v>0</v>
      </c>
      <c r="AG1552" s="11">
        <f t="shared" si="1558"/>
        <v>0</v>
      </c>
      <c r="AH1552" s="10">
        <v>10</v>
      </c>
      <c r="AI1552" s="11">
        <f t="shared" si="1559"/>
        <v>650</v>
      </c>
      <c r="AJ1552" s="10">
        <v>0</v>
      </c>
      <c r="AK1552" s="13">
        <f t="shared" si="1560"/>
        <v>0</v>
      </c>
      <c r="AL1552" s="10">
        <v>20</v>
      </c>
      <c r="AM1552" s="13">
        <f t="shared" si="1561"/>
        <v>180</v>
      </c>
      <c r="AN1552" s="10">
        <v>0</v>
      </c>
      <c r="AO1552" s="11">
        <f t="shared" si="1562"/>
        <v>0</v>
      </c>
      <c r="AP1552" s="10">
        <v>0</v>
      </c>
      <c r="AQ1552" s="11">
        <f t="shared" si="1563"/>
        <v>0</v>
      </c>
      <c r="AR1552" s="10">
        <v>0</v>
      </c>
      <c r="AS1552" s="11">
        <f t="shared" si="1564"/>
        <v>0</v>
      </c>
      <c r="AT1552" s="10">
        <v>2</v>
      </c>
      <c r="AU1552" s="11">
        <f t="shared" si="1565"/>
        <v>100</v>
      </c>
      <c r="AV1552" s="10">
        <v>100</v>
      </c>
      <c r="AW1552" s="11">
        <f t="shared" si="1566"/>
        <v>6000</v>
      </c>
      <c r="AX1552" s="10">
        <v>0</v>
      </c>
      <c r="AY1552" s="11">
        <f t="shared" si="1567"/>
        <v>0</v>
      </c>
      <c r="AZ1552" s="10">
        <v>0</v>
      </c>
      <c r="BA1552" s="11">
        <f t="shared" si="1568"/>
        <v>0</v>
      </c>
      <c r="BB1552" s="10">
        <v>10</v>
      </c>
      <c r="BC1552" s="11">
        <f t="shared" si="1569"/>
        <v>400</v>
      </c>
      <c r="BD1552" s="10">
        <v>0</v>
      </c>
      <c r="BE1552" s="11">
        <f t="shared" si="1570"/>
        <v>0</v>
      </c>
      <c r="BF1552" s="10">
        <v>0</v>
      </c>
      <c r="BG1552" s="11">
        <f t="shared" si="1571"/>
        <v>0</v>
      </c>
      <c r="BH1552" s="11">
        <v>0</v>
      </c>
      <c r="BN1552" s="8">
        <f t="shared" si="1510"/>
        <v>1380</v>
      </c>
      <c r="BO1552" s="8">
        <f t="shared" si="1511"/>
        <v>82600</v>
      </c>
      <c r="BP1552" s="8">
        <f t="shared" si="1514"/>
        <v>1292</v>
      </c>
      <c r="BQ1552" s="12">
        <f t="shared" si="1515"/>
        <v>76130</v>
      </c>
    </row>
    <row r="1553" spans="1:69">
      <c r="A1553" s="28">
        <v>1998</v>
      </c>
      <c r="B1553" s="27" t="s">
        <v>74</v>
      </c>
      <c r="C1553" s="24">
        <f t="shared" si="1516"/>
        <v>1510</v>
      </c>
      <c r="D1553" s="7">
        <f t="shared" ca="1" si="1553"/>
        <v>9.2909535452322736E-2</v>
      </c>
      <c r="E1553" s="26">
        <f t="array" aca="1" ref="E1553" ca="1">AVERAGE(IF(INDIRECT(DatCol&amp;"$"&amp;TEXT(C1553,"###")):INDIRECT(DatCol&amp;"$"&amp;TEXT(C1553+57,"###"))&gt;0,INDIRECT(DatCol&amp;"$"&amp;TEXT(C1553,"###")):INDIRECT(DatCol&amp;"$"&amp;TEXT(C1553+57,"###"))))</f>
        <v>107.63157894736842</v>
      </c>
      <c r="F1553" s="26" t="str">
        <f t="shared" si="1572"/>
        <v>B</v>
      </c>
      <c r="G1553" s="9">
        <v>30</v>
      </c>
      <c r="H1553" s="9">
        <v>65</v>
      </c>
      <c r="I1553" s="9">
        <v>12</v>
      </c>
      <c r="J1553" s="9">
        <v>720</v>
      </c>
      <c r="K1553" s="9">
        <f t="shared" si="1512"/>
        <v>815</v>
      </c>
      <c r="L1553" s="10">
        <v>0</v>
      </c>
      <c r="M1553" s="11">
        <v>0</v>
      </c>
      <c r="N1553" s="10">
        <f>O1553/50</f>
        <v>10</v>
      </c>
      <c r="O1553" s="11">
        <v>500</v>
      </c>
      <c r="P1553" s="10">
        <f>Q1553/60</f>
        <v>40</v>
      </c>
      <c r="Q1553" s="11">
        <v>2400</v>
      </c>
      <c r="R1553" s="10">
        <f>S1553/60</f>
        <v>50</v>
      </c>
      <c r="S1553" s="11">
        <v>3000</v>
      </c>
      <c r="T1553" s="10">
        <f>U1553/60</f>
        <v>40</v>
      </c>
      <c r="U1553" s="11">
        <v>2400</v>
      </c>
      <c r="V1553" s="10">
        <f>W1553/60</f>
        <v>20</v>
      </c>
      <c r="W1553" s="11">
        <v>1200</v>
      </c>
      <c r="X1553" s="10">
        <f>Y1553/60</f>
        <v>2250</v>
      </c>
      <c r="Y1553" s="11">
        <v>135000</v>
      </c>
      <c r="Z1553" s="10">
        <f>AA1553/60</f>
        <v>150</v>
      </c>
      <c r="AA1553" s="11">
        <v>9000</v>
      </c>
      <c r="AB1553" s="10">
        <f>AC1553/60</f>
        <v>65</v>
      </c>
      <c r="AC1553" s="11">
        <v>3900</v>
      </c>
      <c r="AD1553" s="10">
        <f>AE1553/60</f>
        <v>70</v>
      </c>
      <c r="AE1553" s="11">
        <v>4200</v>
      </c>
      <c r="AF1553" s="10">
        <v>0</v>
      </c>
      <c r="AG1553" s="11">
        <v>0</v>
      </c>
      <c r="AH1553" s="10">
        <f>AI1553/50</f>
        <v>5</v>
      </c>
      <c r="AI1553" s="11">
        <v>250</v>
      </c>
      <c r="AJ1553" s="10">
        <f>AK1553/9</f>
        <v>1566.6666666666667</v>
      </c>
      <c r="AK1553" s="13">
        <v>14100</v>
      </c>
      <c r="AL1553" s="10">
        <f>AM1553/9</f>
        <v>522.22222222222217</v>
      </c>
      <c r="AM1553" s="13">
        <v>4700</v>
      </c>
      <c r="AN1553" s="10">
        <v>0</v>
      </c>
      <c r="AO1553" s="11">
        <v>0</v>
      </c>
      <c r="AP1553" s="10">
        <v>0</v>
      </c>
      <c r="AQ1553" s="11">
        <v>0</v>
      </c>
      <c r="AR1553" s="10">
        <v>0</v>
      </c>
      <c r="AS1553" s="11">
        <v>0</v>
      </c>
      <c r="AT1553" s="10">
        <f>AU1553/55</f>
        <v>3</v>
      </c>
      <c r="AU1553" s="11">
        <v>165</v>
      </c>
      <c r="AV1553" s="10">
        <f>AW1553/55</f>
        <v>3.6363636363636362</v>
      </c>
      <c r="AW1553" s="11">
        <v>200</v>
      </c>
      <c r="AX1553" s="10">
        <v>0</v>
      </c>
      <c r="AY1553" s="11">
        <v>0</v>
      </c>
      <c r="AZ1553" s="10">
        <v>0</v>
      </c>
      <c r="BA1553" s="11">
        <v>0</v>
      </c>
      <c r="BB1553" s="10">
        <f>BC1553/40</f>
        <v>0.25</v>
      </c>
      <c r="BC1553" s="11">
        <v>10</v>
      </c>
      <c r="BD1553" s="10">
        <v>0</v>
      </c>
      <c r="BE1553" s="11">
        <v>0</v>
      </c>
      <c r="BF1553" s="10">
        <v>0</v>
      </c>
      <c r="BG1553" s="11">
        <v>0</v>
      </c>
      <c r="BH1553" s="11">
        <v>0</v>
      </c>
      <c r="BI1553" s="11">
        <v>10</v>
      </c>
      <c r="BN1553" s="8">
        <f t="shared" si="1510"/>
        <v>4255.3030303030309</v>
      </c>
      <c r="BO1553" s="8">
        <f t="shared" si="1511"/>
        <v>171200</v>
      </c>
      <c r="BP1553" s="8">
        <f t="shared" si="1514"/>
        <v>3075.4722222222222</v>
      </c>
      <c r="BQ1553" s="12">
        <f t="shared" si="1515"/>
        <v>157725</v>
      </c>
    </row>
    <row r="1554" spans="1:69">
      <c r="A1554" s="28">
        <v>1999</v>
      </c>
      <c r="B1554" s="27" t="s">
        <v>74</v>
      </c>
      <c r="C1554" s="24">
        <f t="shared" si="1516"/>
        <v>1510</v>
      </c>
      <c r="D1554" s="7">
        <f t="shared" ca="1" si="1553"/>
        <v>9.2909535452322736E-2</v>
      </c>
      <c r="E1554" s="26">
        <f t="array" aca="1" ref="E1554" ca="1">AVERAGE(IF(INDIRECT(DatCol&amp;"$"&amp;TEXT(C1554,"###")):INDIRECT(DatCol&amp;"$"&amp;TEXT(C1554+57,"###"))&gt;0,INDIRECT(DatCol&amp;"$"&amp;TEXT(C1554,"###")):INDIRECT(DatCol&amp;"$"&amp;TEXT(C1554+57,"###"))))</f>
        <v>107.63157894736842</v>
      </c>
      <c r="F1554" s="26" t="str">
        <f t="shared" si="1572"/>
        <v>B</v>
      </c>
      <c r="G1554" s="9">
        <v>10</v>
      </c>
      <c r="H1554" s="9">
        <v>94</v>
      </c>
      <c r="I1554" s="9">
        <v>3</v>
      </c>
      <c r="J1554" s="9">
        <v>701</v>
      </c>
      <c r="K1554" s="9">
        <f t="shared" si="1512"/>
        <v>805</v>
      </c>
      <c r="L1554" s="10">
        <v>0</v>
      </c>
      <c r="M1554" s="11">
        <v>0</v>
      </c>
      <c r="N1554" s="10">
        <v>10</v>
      </c>
      <c r="O1554" s="11">
        <v>500</v>
      </c>
      <c r="P1554" s="10">
        <v>0</v>
      </c>
      <c r="Q1554" s="11">
        <v>0</v>
      </c>
      <c r="R1554" s="10">
        <f>S1554/50</f>
        <v>48</v>
      </c>
      <c r="S1554" s="11">
        <v>2400</v>
      </c>
      <c r="T1554" s="10">
        <f>U1554/50</f>
        <v>30</v>
      </c>
      <c r="U1554" s="11">
        <v>1500</v>
      </c>
      <c r="V1554" s="10">
        <v>0</v>
      </c>
      <c r="W1554" s="11">
        <v>0</v>
      </c>
      <c r="X1554" s="10">
        <v>0</v>
      </c>
      <c r="Y1554" s="11">
        <v>0</v>
      </c>
      <c r="Z1554" s="10">
        <f>AA1554/60</f>
        <v>1112</v>
      </c>
      <c r="AA1554" s="11">
        <v>66720</v>
      </c>
      <c r="AB1554" s="10">
        <v>1112</v>
      </c>
      <c r="AC1554" s="11">
        <v>66720</v>
      </c>
      <c r="AD1554" s="10">
        <f>AE1554/60</f>
        <v>25</v>
      </c>
      <c r="AE1554" s="11">
        <v>1500</v>
      </c>
      <c r="AF1554" s="10">
        <v>0</v>
      </c>
      <c r="AG1554" s="11">
        <v>0</v>
      </c>
      <c r="AH1554" s="10">
        <v>0</v>
      </c>
      <c r="AI1554" s="11">
        <v>0</v>
      </c>
      <c r="AJ1554" s="10">
        <f>AK1554/9</f>
        <v>822.22222222222217</v>
      </c>
      <c r="AK1554" s="13">
        <v>7400</v>
      </c>
      <c r="AL1554" s="10">
        <f>AM1554/9</f>
        <v>5.5555555555555554</v>
      </c>
      <c r="AM1554" s="13">
        <v>50</v>
      </c>
      <c r="AN1554" s="10">
        <v>0</v>
      </c>
      <c r="AO1554" s="11">
        <v>0</v>
      </c>
      <c r="AP1554" s="10">
        <v>0</v>
      </c>
      <c r="AQ1554" s="11">
        <v>0</v>
      </c>
      <c r="AR1554" s="10">
        <v>0</v>
      </c>
      <c r="AS1554" s="11">
        <v>0</v>
      </c>
      <c r="AT1554" s="10">
        <v>0</v>
      </c>
      <c r="AU1554" s="11">
        <v>0</v>
      </c>
      <c r="AV1554" s="10">
        <v>0</v>
      </c>
      <c r="AW1554" s="11">
        <v>0</v>
      </c>
      <c r="AX1554" s="10">
        <v>0</v>
      </c>
      <c r="AY1554" s="11">
        <v>0</v>
      </c>
      <c r="AZ1554" s="10">
        <v>0</v>
      </c>
      <c r="BA1554" s="11">
        <v>0</v>
      </c>
      <c r="BB1554" s="10">
        <v>0</v>
      </c>
      <c r="BC1554" s="11">
        <v>0</v>
      </c>
      <c r="BD1554" s="10">
        <v>0</v>
      </c>
      <c r="BE1554" s="11">
        <v>0</v>
      </c>
      <c r="BF1554" s="10">
        <v>0</v>
      </c>
      <c r="BG1554" s="11">
        <v>0</v>
      </c>
      <c r="BH1554" s="11">
        <v>0</v>
      </c>
      <c r="BI1554" s="11">
        <v>0</v>
      </c>
      <c r="BN1554" s="8">
        <f t="shared" si="1510"/>
        <v>3149.2222222222222</v>
      </c>
      <c r="BO1554" s="8">
        <f t="shared" si="1511"/>
        <v>144740</v>
      </c>
      <c r="BP1554" s="8">
        <f t="shared" si="1514"/>
        <v>2264.5555555555557</v>
      </c>
      <c r="BQ1554" s="12">
        <f t="shared" si="1515"/>
        <v>135490</v>
      </c>
    </row>
    <row r="1555" spans="1:69">
      <c r="A1555" s="28">
        <v>2000</v>
      </c>
      <c r="B1555" s="27" t="s">
        <v>74</v>
      </c>
      <c r="C1555" s="24">
        <f t="shared" si="1516"/>
        <v>1510</v>
      </c>
      <c r="D1555" s="7">
        <f t="shared" ca="1" si="1553"/>
        <v>0.18581907090464547</v>
      </c>
      <c r="E1555" s="26">
        <f t="array" aca="1" ref="E1555" ca="1">AVERAGE(IF(INDIRECT(DatCol&amp;"$"&amp;TEXT(C1555,"###")):INDIRECT(DatCol&amp;"$"&amp;TEXT(C1555+57,"###"))&gt;0,INDIRECT(DatCol&amp;"$"&amp;TEXT(C1555,"###")):INDIRECT(DatCol&amp;"$"&amp;TEXT(C1555+57,"###"))))</f>
        <v>107.63157894736842</v>
      </c>
      <c r="F1555" s="26" t="str">
        <f t="shared" si="1572"/>
        <v>B</v>
      </c>
      <c r="G1555" s="9">
        <v>30</v>
      </c>
      <c r="H1555" s="9">
        <v>30</v>
      </c>
      <c r="I1555" s="9">
        <v>2</v>
      </c>
      <c r="J1555" s="9">
        <v>760</v>
      </c>
      <c r="K1555" s="9">
        <f t="shared" si="1512"/>
        <v>820</v>
      </c>
      <c r="L1555" s="10">
        <v>20</v>
      </c>
      <c r="M1555" s="11">
        <f>L1555*50</f>
        <v>1000</v>
      </c>
      <c r="N1555" s="10">
        <v>20</v>
      </c>
      <c r="O1555" s="11">
        <f>N1555*50</f>
        <v>1000</v>
      </c>
      <c r="P1555" s="10">
        <v>0</v>
      </c>
      <c r="Q1555" s="11">
        <v>0</v>
      </c>
      <c r="R1555" s="10">
        <v>20</v>
      </c>
      <c r="S1555" s="11">
        <f>R1555*75</f>
        <v>1500</v>
      </c>
      <c r="T1555" s="10">
        <v>10</v>
      </c>
      <c r="U1555" s="11">
        <f>T1555*75</f>
        <v>750</v>
      </c>
      <c r="V1555" s="10">
        <v>0</v>
      </c>
      <c r="W1555" s="11">
        <v>0</v>
      </c>
      <c r="X1555" s="10">
        <v>230</v>
      </c>
      <c r="Y1555" s="11">
        <f>X1555*75</f>
        <v>17250</v>
      </c>
      <c r="Z1555" s="10">
        <v>500</v>
      </c>
      <c r="AA1555" s="11">
        <f>Z1555*75</f>
        <v>37500</v>
      </c>
      <c r="AB1555" s="10">
        <v>300</v>
      </c>
      <c r="AC1555" s="11">
        <f>AB1555*75</f>
        <v>22500</v>
      </c>
      <c r="AD1555" s="10">
        <v>200</v>
      </c>
      <c r="AE1555" s="11">
        <f>AD1555*75</f>
        <v>15000</v>
      </c>
      <c r="AF1555" s="10">
        <v>0</v>
      </c>
      <c r="AG1555" s="11">
        <v>0</v>
      </c>
      <c r="AH1555" s="10">
        <v>10</v>
      </c>
      <c r="AI1555" s="11">
        <f>AH1555*47.5</f>
        <v>475</v>
      </c>
      <c r="AJ1555" s="10">
        <v>0</v>
      </c>
      <c r="AK1555" s="13">
        <v>0</v>
      </c>
      <c r="AL1555" s="10">
        <v>20</v>
      </c>
      <c r="AM1555" s="13">
        <f>AL1555*9</f>
        <v>180</v>
      </c>
      <c r="AN1555" s="10">
        <v>0</v>
      </c>
      <c r="AO1555" s="11">
        <v>0</v>
      </c>
      <c r="AP1555" s="10">
        <v>0</v>
      </c>
      <c r="AQ1555" s="11">
        <v>0</v>
      </c>
      <c r="AR1555" s="10">
        <v>0</v>
      </c>
      <c r="AS1555" s="11">
        <v>0</v>
      </c>
      <c r="AT1555" s="10">
        <v>2</v>
      </c>
      <c r="AU1555" s="11">
        <f>AT1555*55</f>
        <v>110</v>
      </c>
      <c r="AV1555" s="10">
        <v>100</v>
      </c>
      <c r="AW1555" s="11">
        <f>AV1555*40</f>
        <v>4000</v>
      </c>
      <c r="AX1555" s="10">
        <v>0</v>
      </c>
      <c r="AY1555" s="11">
        <v>0</v>
      </c>
      <c r="AZ1555" s="10">
        <v>0</v>
      </c>
      <c r="BA1555" s="11">
        <v>0</v>
      </c>
      <c r="BB1555" s="10">
        <v>0</v>
      </c>
      <c r="BC1555" s="11">
        <v>0</v>
      </c>
      <c r="BD1555" s="10">
        <v>0</v>
      </c>
      <c r="BE1555" s="11">
        <v>0</v>
      </c>
      <c r="BF1555" s="10">
        <v>0</v>
      </c>
      <c r="BG1555" s="11">
        <v>0</v>
      </c>
      <c r="BH1555" s="11">
        <v>0</v>
      </c>
      <c r="BI1555" s="11">
        <v>10</v>
      </c>
      <c r="BN1555" s="8">
        <f t="shared" si="1510"/>
        <v>1380</v>
      </c>
      <c r="BO1555" s="8">
        <f t="shared" si="1511"/>
        <v>84500</v>
      </c>
      <c r="BP1555" s="8">
        <f t="shared" si="1514"/>
        <v>1282</v>
      </c>
      <c r="BQ1555" s="12">
        <f t="shared" si="1515"/>
        <v>94015</v>
      </c>
    </row>
    <row r="1556" spans="1:69">
      <c r="A1556" s="28">
        <v>2001</v>
      </c>
      <c r="B1556" s="27" t="s">
        <v>74</v>
      </c>
      <c r="C1556" s="24">
        <f t="shared" si="1516"/>
        <v>1510</v>
      </c>
      <c r="D1556" s="7">
        <f t="shared" ca="1" si="1553"/>
        <v>9.2909535452322736E-2</v>
      </c>
      <c r="E1556" s="26">
        <f t="array" aca="1" ref="E1556" ca="1">AVERAGE(IF(INDIRECT(DatCol&amp;"$"&amp;TEXT(C1556,"###")):INDIRECT(DatCol&amp;"$"&amp;TEXT(C1556+57,"###"))&gt;0,INDIRECT(DatCol&amp;"$"&amp;TEXT(C1556,"###")):INDIRECT(DatCol&amp;"$"&amp;TEXT(C1556+57,"###"))))</f>
        <v>107.63157894736842</v>
      </c>
      <c r="F1556" s="26" t="str">
        <f t="shared" si="1572"/>
        <v>B</v>
      </c>
      <c r="G1556" s="9">
        <v>3</v>
      </c>
      <c r="H1556" s="9">
        <v>102</v>
      </c>
      <c r="I1556" s="9">
        <v>5</v>
      </c>
      <c r="J1556" s="9">
        <v>714</v>
      </c>
      <c r="K1556" s="9">
        <f t="shared" si="1512"/>
        <v>819</v>
      </c>
      <c r="L1556" s="10">
        <v>0</v>
      </c>
      <c r="M1556" s="11">
        <v>0</v>
      </c>
      <c r="N1556" s="10">
        <f>O1556/50</f>
        <v>10</v>
      </c>
      <c r="O1556" s="11">
        <v>500</v>
      </c>
      <c r="P1556" s="10">
        <v>0</v>
      </c>
      <c r="Q1556" s="11">
        <v>0</v>
      </c>
      <c r="R1556" s="10">
        <f>S1556/75</f>
        <v>32</v>
      </c>
      <c r="S1556" s="11">
        <v>2400</v>
      </c>
      <c r="T1556" s="10">
        <f>U1556/75</f>
        <v>20</v>
      </c>
      <c r="U1556" s="11">
        <v>1500</v>
      </c>
      <c r="V1556" s="10">
        <v>0</v>
      </c>
      <c r="W1556" s="11">
        <v>0</v>
      </c>
      <c r="X1556" s="10">
        <v>0</v>
      </c>
      <c r="Y1556" s="11">
        <v>0</v>
      </c>
      <c r="Z1556" s="10">
        <f>AA1556/75</f>
        <v>889.6</v>
      </c>
      <c r="AA1556" s="11">
        <v>66720</v>
      </c>
      <c r="AB1556" s="10">
        <f>AC1556/75</f>
        <v>889.6</v>
      </c>
      <c r="AC1556" s="11">
        <v>66720</v>
      </c>
      <c r="AD1556" s="10">
        <f>AE1556/75</f>
        <v>20</v>
      </c>
      <c r="AE1556" s="11">
        <v>1500</v>
      </c>
      <c r="AF1556" s="10">
        <v>0</v>
      </c>
      <c r="AG1556" s="11">
        <v>0</v>
      </c>
      <c r="AH1556" s="10">
        <f>AI1556/47.5</f>
        <v>5.2631578947368425</v>
      </c>
      <c r="AI1556" s="11">
        <v>250</v>
      </c>
      <c r="AJ1556" s="10">
        <f>AK1556/9</f>
        <v>3600</v>
      </c>
      <c r="AK1556" s="13">
        <v>32400</v>
      </c>
      <c r="AL1556" s="10">
        <f>AM1556/9</f>
        <v>5.5555555555555554</v>
      </c>
      <c r="AM1556" s="13">
        <v>50</v>
      </c>
      <c r="AN1556" s="10">
        <v>0</v>
      </c>
      <c r="AO1556" s="11">
        <v>0</v>
      </c>
      <c r="AP1556" s="10">
        <v>0</v>
      </c>
      <c r="AQ1556" s="11">
        <v>0</v>
      </c>
      <c r="AR1556" s="10">
        <v>0</v>
      </c>
      <c r="AS1556" s="11">
        <v>0</v>
      </c>
      <c r="AT1556" s="10">
        <v>0</v>
      </c>
      <c r="AU1556" s="11">
        <v>0</v>
      </c>
      <c r="AV1556" s="10">
        <v>0</v>
      </c>
      <c r="AW1556" s="11">
        <v>0</v>
      </c>
      <c r="AX1556" s="10">
        <v>0</v>
      </c>
      <c r="AY1556" s="11">
        <v>0</v>
      </c>
      <c r="AZ1556" s="10">
        <v>0</v>
      </c>
      <c r="BA1556" s="11">
        <v>0</v>
      </c>
      <c r="BB1556" s="10">
        <v>0</v>
      </c>
      <c r="BC1556" s="11">
        <v>0</v>
      </c>
      <c r="BD1556" s="10">
        <v>0</v>
      </c>
      <c r="BE1556" s="11">
        <v>0</v>
      </c>
      <c r="BF1556" s="10">
        <v>0</v>
      </c>
      <c r="BG1556" s="11">
        <v>0</v>
      </c>
      <c r="BH1556" s="11">
        <v>0</v>
      </c>
      <c r="BI1556" s="11">
        <v>10</v>
      </c>
      <c r="BN1556" s="8">
        <f t="shared" si="1510"/>
        <v>5451.2</v>
      </c>
      <c r="BO1556" s="8">
        <f t="shared" si="1511"/>
        <v>169740</v>
      </c>
      <c r="BP1556" s="8">
        <f t="shared" si="1514"/>
        <v>1820.0187134502926</v>
      </c>
      <c r="BQ1556" s="12">
        <f t="shared" si="1515"/>
        <v>135740</v>
      </c>
    </row>
    <row r="1557" spans="1:69">
      <c r="A1557" s="28">
        <v>2002</v>
      </c>
      <c r="B1557" s="27" t="s">
        <v>74</v>
      </c>
      <c r="C1557" s="24">
        <f t="shared" si="1516"/>
        <v>1510</v>
      </c>
      <c r="D1557" s="7" t="e">
        <f t="shared" ca="1" si="1553"/>
        <v>#N/A</v>
      </c>
      <c r="E1557" s="26">
        <f t="array" aca="1" ref="E1557" ca="1">AVERAGE(IF(INDIRECT(DatCol&amp;"$"&amp;TEXT(C1557,"###")):INDIRECT(DatCol&amp;"$"&amp;TEXT(C1557+57,"###"))&gt;0,INDIRECT(DatCol&amp;"$"&amp;TEXT(C1557,"###")):INDIRECT(DatCol&amp;"$"&amp;TEXT(C1557+57,"###"))))</f>
        <v>107.63157894736842</v>
      </c>
      <c r="F1557" s="26" t="str">
        <f t="shared" si="1572"/>
        <v>B</v>
      </c>
      <c r="G1557" s="9">
        <v>0</v>
      </c>
      <c r="H1557" s="9">
        <v>60</v>
      </c>
      <c r="I1557" s="9">
        <v>7</v>
      </c>
      <c r="J1557" s="9">
        <v>998</v>
      </c>
      <c r="K1557" s="9">
        <f t="shared" si="1512"/>
        <v>1058</v>
      </c>
      <c r="L1557" s="10">
        <v>0</v>
      </c>
      <c r="M1557" s="11">
        <v>0</v>
      </c>
      <c r="N1557" s="10">
        <v>0</v>
      </c>
      <c r="O1557" s="11">
        <v>0</v>
      </c>
      <c r="P1557" s="10">
        <f>Q1557/75</f>
        <v>1.3333333333333333</v>
      </c>
      <c r="Q1557" s="11">
        <v>100</v>
      </c>
      <c r="R1557" s="10">
        <f>S1557/75</f>
        <v>6.666666666666667</v>
      </c>
      <c r="S1557" s="11">
        <v>500</v>
      </c>
      <c r="T1557" s="10">
        <f>U1557/75</f>
        <v>8</v>
      </c>
      <c r="U1557" s="11">
        <v>600</v>
      </c>
      <c r="V1557" s="10">
        <v>0</v>
      </c>
      <c r="W1557" s="11">
        <v>0</v>
      </c>
      <c r="X1557" s="10">
        <f>Y1557/75</f>
        <v>60</v>
      </c>
      <c r="Y1557" s="11">
        <v>4500</v>
      </c>
      <c r="Z1557" s="10">
        <f>AA1557/75</f>
        <v>100</v>
      </c>
      <c r="AA1557" s="11">
        <v>7500</v>
      </c>
      <c r="AB1557" s="10">
        <f>AC1557/75</f>
        <v>54.666666666666664</v>
      </c>
      <c r="AC1557" s="11">
        <v>4100</v>
      </c>
      <c r="AD1557" s="10">
        <f>AE1557/75</f>
        <v>53.333333333333336</v>
      </c>
      <c r="AE1557" s="11">
        <v>4000</v>
      </c>
      <c r="AF1557" s="10">
        <v>0</v>
      </c>
      <c r="AG1557" s="11">
        <v>0</v>
      </c>
      <c r="AH1557" s="10">
        <f>AI1557/47.5</f>
        <v>6.3157894736842106</v>
      </c>
      <c r="AI1557" s="11">
        <v>300</v>
      </c>
      <c r="AJ1557" s="10">
        <f>AK1557/9</f>
        <v>1111.1111111111111</v>
      </c>
      <c r="AK1557" s="13">
        <v>10000</v>
      </c>
      <c r="AL1557" s="10">
        <f>AM1557/9</f>
        <v>144.44444444444446</v>
      </c>
      <c r="AM1557" s="13">
        <v>1300</v>
      </c>
      <c r="AN1557" s="10">
        <v>0</v>
      </c>
      <c r="AO1557" s="11">
        <v>0</v>
      </c>
      <c r="AP1557" s="10">
        <v>0</v>
      </c>
      <c r="AQ1557" s="11">
        <v>0</v>
      </c>
      <c r="AR1557" s="10">
        <v>0</v>
      </c>
      <c r="AS1557" s="11">
        <v>0</v>
      </c>
      <c r="AT1557" s="10">
        <v>0</v>
      </c>
      <c r="AU1557" s="11">
        <v>0</v>
      </c>
      <c r="AV1557" s="10">
        <v>0</v>
      </c>
      <c r="AW1557" s="11">
        <v>0</v>
      </c>
      <c r="AX1557" s="10">
        <v>0</v>
      </c>
      <c r="AY1557" s="11">
        <v>0</v>
      </c>
      <c r="AZ1557" s="10">
        <v>0</v>
      </c>
      <c r="BA1557" s="11">
        <v>0</v>
      </c>
      <c r="BB1557" s="10">
        <v>0</v>
      </c>
      <c r="BC1557" s="11">
        <v>0</v>
      </c>
      <c r="BD1557" s="10">
        <v>0</v>
      </c>
      <c r="BE1557" s="11">
        <v>0</v>
      </c>
      <c r="BF1557" s="10">
        <v>0</v>
      </c>
      <c r="BG1557" s="11">
        <v>0</v>
      </c>
      <c r="BN1557" s="8">
        <f t="shared" si="1510"/>
        <v>1395.1111111111111</v>
      </c>
      <c r="BO1557" s="8">
        <f t="shared" si="1511"/>
        <v>27300</v>
      </c>
      <c r="BP1557" s="8">
        <f t="shared" si="1514"/>
        <v>418.76023391812868</v>
      </c>
      <c r="BQ1557" s="12">
        <f t="shared" si="1515"/>
        <v>21700</v>
      </c>
    </row>
    <row r="1558" spans="1:69">
      <c r="A1558" s="28">
        <v>2003</v>
      </c>
      <c r="B1558" s="27" t="s">
        <v>74</v>
      </c>
      <c r="C1558" s="24">
        <f t="shared" si="1516"/>
        <v>1510</v>
      </c>
      <c r="D1558" s="7">
        <f t="shared" ca="1" si="1553"/>
        <v>1.8581907090464547E-2</v>
      </c>
      <c r="E1558" s="26">
        <f t="array" aca="1" ref="E1558" ca="1">AVERAGE(IF(INDIRECT(DatCol&amp;"$"&amp;TEXT(C1558,"###")):INDIRECT(DatCol&amp;"$"&amp;TEXT(C1558+57,"###"))&gt;0,INDIRECT(DatCol&amp;"$"&amp;TEXT(C1558,"###")):INDIRECT(DatCol&amp;"$"&amp;TEXT(C1558+57,"###"))))</f>
        <v>107.63157894736842</v>
      </c>
      <c r="F1558" s="26" t="str">
        <f t="shared" si="1572"/>
        <v>B</v>
      </c>
      <c r="G1558" s="9">
        <v>7</v>
      </c>
      <c r="H1558" s="9">
        <v>35</v>
      </c>
      <c r="I1558" s="9">
        <v>7</v>
      </c>
      <c r="J1558" s="9">
        <v>469</v>
      </c>
      <c r="K1558" s="9">
        <f t="shared" si="1512"/>
        <v>511</v>
      </c>
      <c r="L1558" s="10">
        <v>0</v>
      </c>
      <c r="M1558" s="11">
        <v>0</v>
      </c>
      <c r="N1558" s="10">
        <v>2</v>
      </c>
      <c r="O1558" s="11">
        <v>100</v>
      </c>
      <c r="P1558" s="10">
        <f>Q1558/75</f>
        <v>14.666666666666666</v>
      </c>
      <c r="Q1558" s="11">
        <v>1100</v>
      </c>
      <c r="R1558" s="10">
        <v>0</v>
      </c>
      <c r="S1558" s="11">
        <v>0</v>
      </c>
      <c r="T1558" s="10">
        <v>0</v>
      </c>
      <c r="U1558" s="11">
        <v>0</v>
      </c>
      <c r="V1558" s="10">
        <v>0</v>
      </c>
      <c r="W1558" s="11">
        <v>0</v>
      </c>
      <c r="X1558" s="10">
        <f>Y1558/75</f>
        <v>2.6666666666666665</v>
      </c>
      <c r="Y1558" s="11">
        <v>200</v>
      </c>
      <c r="Z1558" s="10">
        <f>AA1558/75</f>
        <v>2.6666666666666665</v>
      </c>
      <c r="AA1558" s="11">
        <v>200</v>
      </c>
      <c r="AB1558" s="10">
        <f>AC1558/75</f>
        <v>1.3333333333333333</v>
      </c>
      <c r="AC1558" s="11">
        <v>100</v>
      </c>
      <c r="AD1558" s="10">
        <v>0</v>
      </c>
      <c r="AE1558" s="11">
        <v>0</v>
      </c>
      <c r="AF1558" s="10">
        <v>0</v>
      </c>
      <c r="AG1558" s="11">
        <v>0</v>
      </c>
      <c r="AH1558" s="10">
        <f>AI1558/47.5</f>
        <v>1.0526315789473684</v>
      </c>
      <c r="AI1558" s="11">
        <v>50</v>
      </c>
      <c r="AJ1558" s="10">
        <v>0</v>
      </c>
      <c r="AK1558" s="13">
        <v>0</v>
      </c>
      <c r="AL1558" s="10">
        <f>AM1558/9</f>
        <v>33.333333333333336</v>
      </c>
      <c r="AM1558" s="13">
        <v>300</v>
      </c>
      <c r="BN1558" s="8">
        <f t="shared" si="1510"/>
        <v>21.333333333333332</v>
      </c>
      <c r="BO1558" s="8">
        <f t="shared" si="1511"/>
        <v>1600</v>
      </c>
      <c r="BP1558" s="8">
        <f t="shared" si="1514"/>
        <v>43.05263157894737</v>
      </c>
      <c r="BQ1558" s="12">
        <f t="shared" si="1515"/>
        <v>950</v>
      </c>
    </row>
    <row r="1559" spans="1:69">
      <c r="A1559" s="28">
        <v>2004</v>
      </c>
      <c r="B1559" s="27" t="s">
        <v>74</v>
      </c>
      <c r="C1559" s="24">
        <f t="shared" si="1516"/>
        <v>1510</v>
      </c>
      <c r="D1559" s="7" t="e">
        <f t="shared" ca="1" si="1553"/>
        <v>#N/A</v>
      </c>
      <c r="E1559" s="26">
        <f t="array" aca="1" ref="E1559" ca="1">AVERAGE(IF(INDIRECT(DatCol&amp;"$"&amp;TEXT(C1559,"###")):INDIRECT(DatCol&amp;"$"&amp;TEXT(C1559+57,"###"))&gt;0,INDIRECT(DatCol&amp;"$"&amp;TEXT(C1559,"###")):INDIRECT(DatCol&amp;"$"&amp;TEXT(C1559+57,"###"))))</f>
        <v>107.63157894736842</v>
      </c>
      <c r="F1559" s="26" t="str">
        <f t="shared" si="1572"/>
        <v>B</v>
      </c>
      <c r="G1559" s="9">
        <v>0</v>
      </c>
      <c r="H1559" s="9">
        <v>50</v>
      </c>
      <c r="I1559" s="9">
        <v>1</v>
      </c>
      <c r="J1559" s="9">
        <v>750</v>
      </c>
      <c r="K1559" s="9">
        <f t="shared" si="1512"/>
        <v>800</v>
      </c>
      <c r="L1559" s="10">
        <v>0</v>
      </c>
      <c r="M1559" s="11">
        <v>0</v>
      </c>
      <c r="N1559" s="10">
        <v>0</v>
      </c>
      <c r="O1559" s="11">
        <v>0</v>
      </c>
      <c r="P1559" s="10">
        <v>0</v>
      </c>
      <c r="Q1559" s="11">
        <v>0</v>
      </c>
      <c r="R1559" s="10">
        <v>0</v>
      </c>
      <c r="S1559" s="11">
        <v>0</v>
      </c>
      <c r="T1559" s="10">
        <v>0</v>
      </c>
      <c r="U1559" s="11">
        <v>0</v>
      </c>
      <c r="V1559" s="10">
        <v>0</v>
      </c>
      <c r="W1559" s="11">
        <v>0</v>
      </c>
      <c r="X1559" s="10">
        <v>0</v>
      </c>
      <c r="Y1559" s="11">
        <v>0</v>
      </c>
      <c r="Z1559" s="10">
        <f>AA1559/75</f>
        <v>885.6</v>
      </c>
      <c r="AA1559" s="11">
        <v>66420</v>
      </c>
      <c r="AB1559" s="10">
        <f>AC1559/75</f>
        <v>889.6</v>
      </c>
      <c r="AC1559" s="11">
        <v>66720</v>
      </c>
      <c r="AD1559" s="10">
        <f>AE1559/75</f>
        <v>20</v>
      </c>
      <c r="AE1559" s="11">
        <v>1500</v>
      </c>
      <c r="AF1559" s="10">
        <v>0</v>
      </c>
      <c r="AG1559" s="11">
        <v>0</v>
      </c>
      <c r="AH1559" s="10">
        <v>0</v>
      </c>
      <c r="AI1559" s="11">
        <v>0</v>
      </c>
      <c r="AJ1559" s="10">
        <v>40</v>
      </c>
      <c r="AK1559" s="13">
        <f>AJ1559*50</f>
        <v>2000</v>
      </c>
      <c r="AL1559" s="10">
        <v>50</v>
      </c>
      <c r="AM1559" s="13">
        <f>AL1559*50</f>
        <v>2500</v>
      </c>
      <c r="BN1559" s="8">
        <f t="shared" si="1510"/>
        <v>1835.2</v>
      </c>
      <c r="BO1559" s="8">
        <f t="shared" si="1511"/>
        <v>135140</v>
      </c>
      <c r="BP1559" s="8">
        <f t="shared" si="1514"/>
        <v>1845.2</v>
      </c>
      <c r="BQ1559" s="12">
        <f t="shared" si="1515"/>
        <v>137140</v>
      </c>
    </row>
    <row r="1560" spans="1:69">
      <c r="A1560" s="28">
        <v>2005</v>
      </c>
      <c r="B1560" s="27" t="s">
        <v>74</v>
      </c>
      <c r="C1560" s="24">
        <f t="shared" si="1516"/>
        <v>1510</v>
      </c>
      <c r="D1560" s="7" t="e">
        <f t="shared" ca="1" si="1553"/>
        <v>#N/A</v>
      </c>
      <c r="E1560" s="26">
        <f t="array" aca="1" ref="E1560" ca="1">AVERAGE(IF(INDIRECT(DatCol&amp;"$"&amp;TEXT(C1560,"###")):INDIRECT(DatCol&amp;"$"&amp;TEXT(C1560+57,"###"))&gt;0,INDIRECT(DatCol&amp;"$"&amp;TEXT(C1560,"###")):INDIRECT(DatCol&amp;"$"&amp;TEXT(C1560+57,"###"))))</f>
        <v>107.63157894736842</v>
      </c>
      <c r="F1560" s="26" t="str">
        <f t="shared" si="1572"/>
        <v>B</v>
      </c>
      <c r="K1560" s="9">
        <f t="shared" si="1512"/>
        <v>0</v>
      </c>
      <c r="AK1560" s="13"/>
      <c r="AM1560" s="13"/>
      <c r="BN1560" s="8">
        <f t="shared" si="1510"/>
        <v>0</v>
      </c>
      <c r="BO1560" s="8">
        <f t="shared" si="1511"/>
        <v>0</v>
      </c>
      <c r="BP1560" s="8">
        <f t="shared" si="1514"/>
        <v>0</v>
      </c>
      <c r="BQ1560" s="12">
        <f t="shared" si="1515"/>
        <v>0</v>
      </c>
    </row>
    <row r="1561" spans="1:69">
      <c r="A1561" s="28">
        <v>2006</v>
      </c>
      <c r="B1561" s="27" t="s">
        <v>74</v>
      </c>
      <c r="C1561" s="24">
        <f t="shared" si="1516"/>
        <v>1510</v>
      </c>
      <c r="D1561" s="7" t="e">
        <f t="shared" ca="1" si="1553"/>
        <v>#N/A</v>
      </c>
      <c r="E1561" s="26">
        <f t="array" aca="1" ref="E1561" ca="1">AVERAGE(IF(INDIRECT(DatCol&amp;"$"&amp;TEXT(C1561,"###")):INDIRECT(DatCol&amp;"$"&amp;TEXT(C1561+57,"###"))&gt;0,INDIRECT(DatCol&amp;"$"&amp;TEXT(C1561,"###")):INDIRECT(DatCol&amp;"$"&amp;TEXT(C1561+57,"###"))))</f>
        <v>107.63157894736842</v>
      </c>
      <c r="F1561" s="26" t="str">
        <f t="shared" si="1572"/>
        <v>B</v>
      </c>
      <c r="K1561" s="9">
        <f t="shared" si="1512"/>
        <v>0</v>
      </c>
      <c r="AK1561" s="13"/>
      <c r="AM1561" s="13"/>
      <c r="BN1561" s="8">
        <f t="shared" si="1510"/>
        <v>0</v>
      </c>
      <c r="BO1561" s="8">
        <f t="shared" si="1511"/>
        <v>0</v>
      </c>
      <c r="BP1561" s="8">
        <f t="shared" si="1514"/>
        <v>0</v>
      </c>
      <c r="BQ1561" s="12">
        <f t="shared" si="1515"/>
        <v>0</v>
      </c>
    </row>
    <row r="1562" spans="1:69">
      <c r="A1562" s="28">
        <v>2007</v>
      </c>
      <c r="B1562" s="27" t="s">
        <v>74</v>
      </c>
      <c r="C1562" s="24">
        <f t="shared" si="1516"/>
        <v>1510</v>
      </c>
      <c r="D1562" s="7" t="e">
        <f t="shared" ca="1" si="1553"/>
        <v>#N/A</v>
      </c>
      <c r="E1562" s="26">
        <f t="array" aca="1" ref="E1562" ca="1">AVERAGE(IF(INDIRECT(DatCol&amp;"$"&amp;TEXT(C1562,"###")):INDIRECT(DatCol&amp;"$"&amp;TEXT(C1562+57,"###"))&gt;0,INDIRECT(DatCol&amp;"$"&amp;TEXT(C1562,"###")):INDIRECT(DatCol&amp;"$"&amp;TEXT(C1562+57,"###"))))</f>
        <v>107.63157894736842</v>
      </c>
      <c r="F1562" s="26" t="str">
        <f t="shared" si="1572"/>
        <v>B</v>
      </c>
      <c r="K1562" s="9">
        <f t="shared" si="1512"/>
        <v>0</v>
      </c>
      <c r="AK1562" s="13"/>
      <c r="AM1562" s="13"/>
      <c r="BN1562" s="8">
        <f t="shared" si="1510"/>
        <v>0</v>
      </c>
      <c r="BO1562" s="8">
        <f t="shared" si="1511"/>
        <v>0</v>
      </c>
      <c r="BP1562" s="8">
        <f t="shared" si="1514"/>
        <v>0</v>
      </c>
      <c r="BQ1562" s="12">
        <f t="shared" si="1515"/>
        <v>0</v>
      </c>
    </row>
    <row r="1563" spans="1:69">
      <c r="A1563" s="28">
        <v>2008</v>
      </c>
      <c r="B1563" s="27" t="s">
        <v>74</v>
      </c>
      <c r="C1563" s="24">
        <f t="shared" si="1516"/>
        <v>1510</v>
      </c>
      <c r="D1563" s="7" t="e">
        <f t="shared" ca="1" si="1553"/>
        <v>#N/A</v>
      </c>
      <c r="E1563" s="26">
        <f t="array" aca="1" ref="E1563" ca="1">AVERAGE(IF(INDIRECT(DatCol&amp;"$"&amp;TEXT(C1563,"###")):INDIRECT(DatCol&amp;"$"&amp;TEXT(C1563+57,"###"))&gt;0,INDIRECT(DatCol&amp;"$"&amp;TEXT(C1563,"###")):INDIRECT(DatCol&amp;"$"&amp;TEXT(C1563+57,"###"))))</f>
        <v>107.63157894736842</v>
      </c>
      <c r="F1563" s="26" t="str">
        <f t="shared" si="1572"/>
        <v>B</v>
      </c>
      <c r="K1563" s="9">
        <f t="shared" si="1512"/>
        <v>0</v>
      </c>
      <c r="AK1563" s="13"/>
      <c r="AM1563" s="13"/>
      <c r="BN1563" s="8">
        <f t="shared" ref="BN1563:BN1628" si="1573">(L1563+P1563+R1563+T1563+V1563+X1563+Z1563+AB1563+AD1563+AF1563+AJ1563+AN1563+AR1563+AV1563+AZ1563+BD1563)</f>
        <v>0</v>
      </c>
      <c r="BO1563" s="8">
        <f t="shared" si="1511"/>
        <v>0</v>
      </c>
      <c r="BP1563" s="8">
        <f t="shared" si="1514"/>
        <v>0</v>
      </c>
      <c r="BQ1563" s="12">
        <f t="shared" si="1515"/>
        <v>0</v>
      </c>
    </row>
    <row r="1564" spans="1:69">
      <c r="A1564" s="28">
        <v>2009</v>
      </c>
      <c r="B1564" s="27" t="s">
        <v>74</v>
      </c>
      <c r="C1564" s="24">
        <f t="shared" si="1516"/>
        <v>1510</v>
      </c>
      <c r="D1564" s="7" t="e">
        <f t="shared" ca="1" si="1553"/>
        <v>#N/A</v>
      </c>
      <c r="E1564" s="26">
        <f t="array" aca="1" ref="E1564" ca="1">AVERAGE(IF(INDIRECT(DatCol&amp;"$"&amp;TEXT(C1564,"###")):INDIRECT(DatCol&amp;"$"&amp;TEXT(C1564+57,"###"))&gt;0,INDIRECT(DatCol&amp;"$"&amp;TEXT(C1564,"###")):INDIRECT(DatCol&amp;"$"&amp;TEXT(C1564+57,"###"))))</f>
        <v>107.63157894736842</v>
      </c>
      <c r="F1564" s="26" t="str">
        <f t="shared" si="1572"/>
        <v>B</v>
      </c>
      <c r="K1564" s="9">
        <f t="shared" si="1512"/>
        <v>0</v>
      </c>
      <c r="AK1564" s="13"/>
      <c r="AM1564" s="13"/>
      <c r="BN1564" s="8">
        <f t="shared" si="1573"/>
        <v>0</v>
      </c>
      <c r="BO1564" s="8">
        <f t="shared" ref="BO1564:BO1629" si="1574">(M1564+Q1564+S1564+U1564+W1564+Y1564+AA1564+AC1564+AG1564+AK1564+AO1564+AS1564+AW1564+BA1564+BE1564)</f>
        <v>0</v>
      </c>
      <c r="BP1564" s="8">
        <f t="shared" si="1514"/>
        <v>0</v>
      </c>
      <c r="BQ1564" s="12">
        <f t="shared" si="1515"/>
        <v>0</v>
      </c>
    </row>
    <row r="1565" spans="1:69">
      <c r="A1565" s="28">
        <v>2010</v>
      </c>
      <c r="B1565" s="27" t="s">
        <v>74</v>
      </c>
      <c r="C1565" s="24">
        <f t="shared" si="1516"/>
        <v>1510</v>
      </c>
      <c r="D1565" s="7" t="e">
        <f t="shared" ca="1" si="1553"/>
        <v>#N/A</v>
      </c>
      <c r="E1565" s="26">
        <f t="array" aca="1" ref="E1565" ca="1">AVERAGE(IF(INDIRECT(DatCol&amp;"$"&amp;TEXT(C1565,"###")):INDIRECT(DatCol&amp;"$"&amp;TEXT(C1565+57,"###"))&gt;0,INDIRECT(DatCol&amp;"$"&amp;TEXT(C1565,"###")):INDIRECT(DatCol&amp;"$"&amp;TEXT(C1565+57,"###"))))</f>
        <v>107.63157894736842</v>
      </c>
      <c r="F1565" s="26" t="str">
        <f t="shared" ref="F1565:F1567" si="1575">VLOOKUP(B1565,town_region,2,FALSE)</f>
        <v>B</v>
      </c>
      <c r="AK1565" s="13"/>
      <c r="AM1565" s="13"/>
      <c r="BN1565" s="8"/>
      <c r="BO1565" s="8"/>
      <c r="BP1565" s="8"/>
      <c r="BQ1565" s="12"/>
    </row>
    <row r="1566" spans="1:69">
      <c r="A1566" s="28">
        <v>2011</v>
      </c>
      <c r="B1566" s="27" t="s">
        <v>74</v>
      </c>
      <c r="C1566" s="24">
        <f t="shared" si="1516"/>
        <v>1510</v>
      </c>
      <c r="D1566" s="7" t="e">
        <f t="shared" ca="1" si="1553"/>
        <v>#N/A</v>
      </c>
      <c r="E1566" s="26">
        <f t="array" aca="1" ref="E1566" ca="1">AVERAGE(IF(INDIRECT(DatCol&amp;"$"&amp;TEXT(C1566,"###")):INDIRECT(DatCol&amp;"$"&amp;TEXT(C1566+57,"###"))&gt;0,INDIRECT(DatCol&amp;"$"&amp;TEXT(C1566,"###")):INDIRECT(DatCol&amp;"$"&amp;TEXT(C1566+57,"###"))))</f>
        <v>107.63157894736842</v>
      </c>
      <c r="F1566" s="26" t="str">
        <f t="shared" si="1575"/>
        <v>B</v>
      </c>
      <c r="AK1566" s="13"/>
      <c r="AM1566" s="13"/>
      <c r="BN1566" s="8"/>
      <c r="BO1566" s="8"/>
      <c r="BP1566" s="8"/>
      <c r="BQ1566" s="12"/>
    </row>
    <row r="1567" spans="1:69">
      <c r="A1567" s="28">
        <v>2012</v>
      </c>
      <c r="B1567" s="27" t="s">
        <v>74</v>
      </c>
      <c r="C1567" s="24">
        <f t="shared" si="1516"/>
        <v>1510</v>
      </c>
      <c r="D1567" s="7" t="e">
        <f t="shared" ca="1" si="1553"/>
        <v>#N/A</v>
      </c>
      <c r="E1567" s="26">
        <f t="array" aca="1" ref="E1567" ca="1">AVERAGE(IF(INDIRECT(DatCol&amp;"$"&amp;TEXT(C1567,"###")):INDIRECT(DatCol&amp;"$"&amp;TEXT(C1567+57,"###"))&gt;0,INDIRECT(DatCol&amp;"$"&amp;TEXT(C1567,"###")):INDIRECT(DatCol&amp;"$"&amp;TEXT(C1567+57,"###"))))</f>
        <v>107.63157894736842</v>
      </c>
      <c r="F1567" s="26" t="str">
        <f t="shared" si="1575"/>
        <v>B</v>
      </c>
      <c r="AK1567" s="13"/>
      <c r="AM1567" s="13"/>
      <c r="BN1567" s="8"/>
      <c r="BO1567" s="8"/>
      <c r="BP1567" s="8"/>
      <c r="BQ1567" s="12"/>
    </row>
    <row r="1568" spans="1:69">
      <c r="A1568" s="28">
        <v>1955</v>
      </c>
      <c r="B1568" s="27" t="s">
        <v>75</v>
      </c>
      <c r="C1568" s="24">
        <f>ROW()</f>
        <v>1568</v>
      </c>
      <c r="D1568" s="7" t="e">
        <f t="shared" ca="1" si="1553"/>
        <v>#N/A</v>
      </c>
      <c r="E1568" s="26">
        <f t="array" aca="1" ref="E1568" ca="1">AVERAGE(IF(INDIRECT(DatCol&amp;"$"&amp;TEXT(C1568,"###")):INDIRECT(DatCol&amp;"$"&amp;TEXT(C1568+57,"###"))&gt;0,INDIRECT(DatCol&amp;"$"&amp;TEXT(C1568,"###")):INDIRECT(DatCol&amp;"$"&amp;TEXT(C1568+57,"###"))))</f>
        <v>306.38235294117646</v>
      </c>
      <c r="F1568" s="26" t="str">
        <f t="shared" si="1572"/>
        <v>I</v>
      </c>
      <c r="G1568" s="8"/>
      <c r="K1568" s="9">
        <f t="shared" ref="K1568:K1630" si="1576">G1568+H1568+J1568</f>
        <v>0</v>
      </c>
      <c r="M1568" s="11">
        <f t="shared" si="1554"/>
        <v>0</v>
      </c>
      <c r="O1568" s="11">
        <f t="shared" si="1555"/>
        <v>0</v>
      </c>
      <c r="Q1568" s="11">
        <f t="shared" si="1556"/>
        <v>0</v>
      </c>
      <c r="Y1568" s="11">
        <f t="shared" si="1557"/>
        <v>0</v>
      </c>
      <c r="AG1568" s="11">
        <f t="shared" si="1558"/>
        <v>0</v>
      </c>
      <c r="AI1568" s="11">
        <f t="shared" si="1559"/>
        <v>0</v>
      </c>
      <c r="AK1568" s="13">
        <f t="shared" si="1560"/>
        <v>0</v>
      </c>
      <c r="AM1568" s="13">
        <f t="shared" si="1561"/>
        <v>0</v>
      </c>
      <c r="AO1568" s="11">
        <f t="shared" si="1562"/>
        <v>0</v>
      </c>
      <c r="AQ1568" s="11">
        <f t="shared" si="1563"/>
        <v>0</v>
      </c>
      <c r="AS1568" s="11">
        <f t="shared" si="1564"/>
        <v>0</v>
      </c>
      <c r="AU1568" s="11">
        <f t="shared" si="1565"/>
        <v>0</v>
      </c>
      <c r="AW1568" s="11">
        <f t="shared" si="1566"/>
        <v>0</v>
      </c>
      <c r="AY1568" s="11">
        <f t="shared" si="1567"/>
        <v>0</v>
      </c>
      <c r="BA1568" s="11">
        <f t="shared" si="1568"/>
        <v>0</v>
      </c>
      <c r="BC1568" s="11">
        <f t="shared" si="1569"/>
        <v>0</v>
      </c>
      <c r="BE1568" s="11">
        <f t="shared" si="1570"/>
        <v>0</v>
      </c>
      <c r="BG1568" s="11">
        <f t="shared" si="1571"/>
        <v>0</v>
      </c>
      <c r="BN1568" s="8">
        <f t="shared" si="1573"/>
        <v>0</v>
      </c>
      <c r="BO1568" s="8">
        <f t="shared" si="1574"/>
        <v>0</v>
      </c>
      <c r="BP1568" s="8">
        <f t="shared" si="1514"/>
        <v>0</v>
      </c>
      <c r="BQ1568" s="12">
        <f t="shared" si="1515"/>
        <v>0</v>
      </c>
    </row>
    <row r="1569" spans="1:69">
      <c r="A1569" s="28">
        <v>1956</v>
      </c>
      <c r="B1569" s="27" t="s">
        <v>75</v>
      </c>
      <c r="C1569" s="24">
        <f t="shared" ref="C1569:C1625" si="1577">C1568</f>
        <v>1568</v>
      </c>
      <c r="D1569" s="7" t="e">
        <f t="shared" ca="1" si="1553"/>
        <v>#N/A</v>
      </c>
      <c r="E1569" s="26">
        <f t="array" aca="1" ref="E1569" ca="1">AVERAGE(IF(INDIRECT(DatCol&amp;"$"&amp;TEXT(C1569,"###")):INDIRECT(DatCol&amp;"$"&amp;TEXT(C1569+57,"###"))&gt;0,INDIRECT(DatCol&amp;"$"&amp;TEXT(C1569,"###")):INDIRECT(DatCol&amp;"$"&amp;TEXT(C1569+57,"###"))))</f>
        <v>306.38235294117646</v>
      </c>
      <c r="F1569" s="26" t="str">
        <f t="shared" si="1572"/>
        <v>I</v>
      </c>
      <c r="G1569" s="8"/>
      <c r="K1569" s="9">
        <f t="shared" si="1576"/>
        <v>0</v>
      </c>
      <c r="M1569" s="11">
        <f t="shared" si="1554"/>
        <v>0</v>
      </c>
      <c r="O1569" s="11">
        <f t="shared" si="1555"/>
        <v>0</v>
      </c>
      <c r="Q1569" s="11">
        <f t="shared" si="1556"/>
        <v>0</v>
      </c>
      <c r="Y1569" s="11">
        <f t="shared" si="1557"/>
        <v>0</v>
      </c>
      <c r="AG1569" s="11">
        <f t="shared" si="1558"/>
        <v>0</v>
      </c>
      <c r="AI1569" s="11">
        <f t="shared" si="1559"/>
        <v>0</v>
      </c>
      <c r="AK1569" s="13">
        <f t="shared" si="1560"/>
        <v>0</v>
      </c>
      <c r="AM1569" s="13">
        <f t="shared" si="1561"/>
        <v>0</v>
      </c>
      <c r="AO1569" s="11">
        <f t="shared" si="1562"/>
        <v>0</v>
      </c>
      <c r="AQ1569" s="11">
        <f t="shared" si="1563"/>
        <v>0</v>
      </c>
      <c r="AS1569" s="11">
        <f t="shared" si="1564"/>
        <v>0</v>
      </c>
      <c r="AU1569" s="11">
        <f t="shared" si="1565"/>
        <v>0</v>
      </c>
      <c r="AW1569" s="11">
        <f t="shared" si="1566"/>
        <v>0</v>
      </c>
      <c r="AY1569" s="11">
        <f t="shared" si="1567"/>
        <v>0</v>
      </c>
      <c r="BA1569" s="11">
        <f t="shared" si="1568"/>
        <v>0</v>
      </c>
      <c r="BC1569" s="11">
        <f t="shared" si="1569"/>
        <v>0</v>
      </c>
      <c r="BE1569" s="11">
        <f t="shared" si="1570"/>
        <v>0</v>
      </c>
      <c r="BG1569" s="11">
        <f t="shared" si="1571"/>
        <v>0</v>
      </c>
      <c r="BN1569" s="8">
        <f t="shared" si="1573"/>
        <v>0</v>
      </c>
      <c r="BO1569" s="8">
        <f t="shared" si="1574"/>
        <v>0</v>
      </c>
      <c r="BP1569" s="8">
        <f t="shared" si="1514"/>
        <v>0</v>
      </c>
      <c r="BQ1569" s="12">
        <f t="shared" si="1515"/>
        <v>0</v>
      </c>
    </row>
    <row r="1570" spans="1:69">
      <c r="A1570" s="28">
        <v>1957</v>
      </c>
      <c r="B1570" s="27" t="s">
        <v>75</v>
      </c>
      <c r="C1570" s="24">
        <f t="shared" si="1577"/>
        <v>1568</v>
      </c>
      <c r="D1570" s="7" t="e">
        <f t="shared" ca="1" si="1553"/>
        <v>#N/A</v>
      </c>
      <c r="E1570" s="26">
        <f t="array" aca="1" ref="E1570" ca="1">AVERAGE(IF(INDIRECT(DatCol&amp;"$"&amp;TEXT(C1570,"###")):INDIRECT(DatCol&amp;"$"&amp;TEXT(C1570+57,"###"))&gt;0,INDIRECT(DatCol&amp;"$"&amp;TEXT(C1570,"###")):INDIRECT(DatCol&amp;"$"&amp;TEXT(C1570+57,"###"))))</f>
        <v>306.38235294117646</v>
      </c>
      <c r="F1570" s="26" t="str">
        <f t="shared" si="1572"/>
        <v>I</v>
      </c>
      <c r="G1570" s="8"/>
      <c r="K1570" s="9">
        <f t="shared" si="1576"/>
        <v>0</v>
      </c>
      <c r="M1570" s="11">
        <f t="shared" si="1554"/>
        <v>0</v>
      </c>
      <c r="O1570" s="11">
        <f t="shared" si="1555"/>
        <v>0</v>
      </c>
      <c r="Q1570" s="11">
        <f t="shared" si="1556"/>
        <v>0</v>
      </c>
      <c r="Y1570" s="11">
        <f t="shared" si="1557"/>
        <v>0</v>
      </c>
      <c r="AG1570" s="11">
        <f t="shared" si="1558"/>
        <v>0</v>
      </c>
      <c r="AI1570" s="11">
        <f t="shared" si="1559"/>
        <v>0</v>
      </c>
      <c r="AK1570" s="13">
        <f t="shared" si="1560"/>
        <v>0</v>
      </c>
      <c r="AM1570" s="13">
        <f t="shared" si="1561"/>
        <v>0</v>
      </c>
      <c r="AO1570" s="11">
        <f t="shared" si="1562"/>
        <v>0</v>
      </c>
      <c r="AQ1570" s="11">
        <f t="shared" si="1563"/>
        <v>0</v>
      </c>
      <c r="AS1570" s="11">
        <f t="shared" si="1564"/>
        <v>0</v>
      </c>
      <c r="AU1570" s="11">
        <f t="shared" si="1565"/>
        <v>0</v>
      </c>
      <c r="AW1570" s="11">
        <f t="shared" si="1566"/>
        <v>0</v>
      </c>
      <c r="AY1570" s="11">
        <f t="shared" si="1567"/>
        <v>0</v>
      </c>
      <c r="BA1570" s="11">
        <f t="shared" si="1568"/>
        <v>0</v>
      </c>
      <c r="BC1570" s="11">
        <f t="shared" si="1569"/>
        <v>0</v>
      </c>
      <c r="BE1570" s="11">
        <f t="shared" si="1570"/>
        <v>0</v>
      </c>
      <c r="BG1570" s="11">
        <f t="shared" si="1571"/>
        <v>0</v>
      </c>
      <c r="BN1570" s="8">
        <f t="shared" si="1573"/>
        <v>0</v>
      </c>
      <c r="BO1570" s="8">
        <f t="shared" si="1574"/>
        <v>0</v>
      </c>
      <c r="BP1570" s="8">
        <f t="shared" si="1514"/>
        <v>0</v>
      </c>
      <c r="BQ1570" s="12">
        <f t="shared" si="1515"/>
        <v>0</v>
      </c>
    </row>
    <row r="1571" spans="1:69">
      <c r="A1571" s="28">
        <v>1958</v>
      </c>
      <c r="B1571" s="27" t="s">
        <v>75</v>
      </c>
      <c r="C1571" s="24">
        <f t="shared" si="1577"/>
        <v>1568</v>
      </c>
      <c r="D1571" s="7" t="e">
        <f t="shared" ca="1" si="1553"/>
        <v>#N/A</v>
      </c>
      <c r="E1571" s="26">
        <f t="array" aca="1" ref="E1571" ca="1">AVERAGE(IF(INDIRECT(DatCol&amp;"$"&amp;TEXT(C1571,"###")):INDIRECT(DatCol&amp;"$"&amp;TEXT(C1571+57,"###"))&gt;0,INDIRECT(DatCol&amp;"$"&amp;TEXT(C1571,"###")):INDIRECT(DatCol&amp;"$"&amp;TEXT(C1571+57,"###"))))</f>
        <v>306.38235294117646</v>
      </c>
      <c r="F1571" s="26" t="str">
        <f t="shared" si="1572"/>
        <v>I</v>
      </c>
      <c r="G1571" s="8"/>
      <c r="K1571" s="9">
        <f t="shared" si="1576"/>
        <v>0</v>
      </c>
      <c r="M1571" s="11">
        <f t="shared" si="1554"/>
        <v>0</v>
      </c>
      <c r="O1571" s="11">
        <f t="shared" si="1555"/>
        <v>0</v>
      </c>
      <c r="Q1571" s="11">
        <f t="shared" si="1556"/>
        <v>0</v>
      </c>
      <c r="Y1571" s="11">
        <f t="shared" si="1557"/>
        <v>0</v>
      </c>
      <c r="AG1571" s="11">
        <f t="shared" si="1558"/>
        <v>0</v>
      </c>
      <c r="AI1571" s="11">
        <f t="shared" si="1559"/>
        <v>0</v>
      </c>
      <c r="AK1571" s="13">
        <f t="shared" si="1560"/>
        <v>0</v>
      </c>
      <c r="AM1571" s="13">
        <f t="shared" si="1561"/>
        <v>0</v>
      </c>
      <c r="AO1571" s="11">
        <f t="shared" si="1562"/>
        <v>0</v>
      </c>
      <c r="AQ1571" s="11">
        <f t="shared" si="1563"/>
        <v>0</v>
      </c>
      <c r="AS1571" s="11">
        <f t="shared" si="1564"/>
        <v>0</v>
      </c>
      <c r="AU1571" s="11">
        <f t="shared" si="1565"/>
        <v>0</v>
      </c>
      <c r="AW1571" s="11">
        <f t="shared" si="1566"/>
        <v>0</v>
      </c>
      <c r="AY1571" s="11">
        <f t="shared" si="1567"/>
        <v>0</v>
      </c>
      <c r="BA1571" s="11">
        <f t="shared" si="1568"/>
        <v>0</v>
      </c>
      <c r="BC1571" s="11">
        <f t="shared" si="1569"/>
        <v>0</v>
      </c>
      <c r="BE1571" s="11">
        <f t="shared" si="1570"/>
        <v>0</v>
      </c>
      <c r="BG1571" s="11">
        <f t="shared" si="1571"/>
        <v>0</v>
      </c>
      <c r="BN1571" s="8">
        <f t="shared" si="1573"/>
        <v>0</v>
      </c>
      <c r="BO1571" s="8">
        <f t="shared" si="1574"/>
        <v>0</v>
      </c>
      <c r="BP1571" s="8">
        <f t="shared" si="1514"/>
        <v>0</v>
      </c>
      <c r="BQ1571" s="12">
        <f t="shared" si="1515"/>
        <v>0</v>
      </c>
    </row>
    <row r="1572" spans="1:69">
      <c r="A1572" s="28">
        <v>1959</v>
      </c>
      <c r="B1572" s="27" t="s">
        <v>75</v>
      </c>
      <c r="C1572" s="24">
        <f t="shared" si="1577"/>
        <v>1568</v>
      </c>
      <c r="D1572" s="7" t="e">
        <f t="shared" ca="1" si="1553"/>
        <v>#N/A</v>
      </c>
      <c r="E1572" s="26">
        <f t="array" aca="1" ref="E1572" ca="1">AVERAGE(IF(INDIRECT(DatCol&amp;"$"&amp;TEXT(C1572,"###")):INDIRECT(DatCol&amp;"$"&amp;TEXT(C1572+57,"###"))&gt;0,INDIRECT(DatCol&amp;"$"&amp;TEXT(C1572,"###")):INDIRECT(DatCol&amp;"$"&amp;TEXT(C1572+57,"###"))))</f>
        <v>306.38235294117646</v>
      </c>
      <c r="F1572" s="26" t="str">
        <f t="shared" si="1572"/>
        <v>I</v>
      </c>
      <c r="G1572" s="8"/>
      <c r="K1572" s="9">
        <f t="shared" si="1576"/>
        <v>0</v>
      </c>
      <c r="M1572" s="11">
        <f t="shared" si="1554"/>
        <v>0</v>
      </c>
      <c r="O1572" s="11">
        <f t="shared" si="1555"/>
        <v>0</v>
      </c>
      <c r="Q1572" s="11">
        <f t="shared" si="1556"/>
        <v>0</v>
      </c>
      <c r="Y1572" s="11">
        <f t="shared" si="1557"/>
        <v>0</v>
      </c>
      <c r="AG1572" s="11">
        <f t="shared" si="1558"/>
        <v>0</v>
      </c>
      <c r="AI1572" s="11">
        <f t="shared" si="1559"/>
        <v>0</v>
      </c>
      <c r="AK1572" s="13">
        <f t="shared" si="1560"/>
        <v>0</v>
      </c>
      <c r="AM1572" s="13">
        <f t="shared" si="1561"/>
        <v>0</v>
      </c>
      <c r="AO1572" s="11">
        <f t="shared" si="1562"/>
        <v>0</v>
      </c>
      <c r="AQ1572" s="11">
        <f t="shared" si="1563"/>
        <v>0</v>
      </c>
      <c r="AS1572" s="11">
        <f t="shared" si="1564"/>
        <v>0</v>
      </c>
      <c r="AU1572" s="11">
        <f t="shared" si="1565"/>
        <v>0</v>
      </c>
      <c r="AW1572" s="11">
        <f t="shared" si="1566"/>
        <v>0</v>
      </c>
      <c r="AY1572" s="11">
        <f t="shared" si="1567"/>
        <v>0</v>
      </c>
      <c r="BA1572" s="11">
        <f t="shared" si="1568"/>
        <v>0</v>
      </c>
      <c r="BC1572" s="11">
        <f t="shared" si="1569"/>
        <v>0</v>
      </c>
      <c r="BE1572" s="11">
        <f t="shared" si="1570"/>
        <v>0</v>
      </c>
      <c r="BG1572" s="11">
        <f t="shared" si="1571"/>
        <v>0</v>
      </c>
      <c r="BN1572" s="8">
        <f t="shared" si="1573"/>
        <v>0</v>
      </c>
      <c r="BO1572" s="8">
        <f t="shared" si="1574"/>
        <v>0</v>
      </c>
      <c r="BP1572" s="8">
        <f t="shared" si="1514"/>
        <v>0</v>
      </c>
      <c r="BQ1572" s="12">
        <f t="shared" si="1515"/>
        <v>0</v>
      </c>
    </row>
    <row r="1573" spans="1:69">
      <c r="A1573" s="28">
        <v>1960</v>
      </c>
      <c r="B1573" s="27" t="s">
        <v>75</v>
      </c>
      <c r="C1573" s="24">
        <f t="shared" si="1577"/>
        <v>1568</v>
      </c>
      <c r="D1573" s="7" t="e">
        <f t="shared" ca="1" si="1553"/>
        <v>#N/A</v>
      </c>
      <c r="E1573" s="26">
        <f t="array" aca="1" ref="E1573" ca="1">AVERAGE(IF(INDIRECT(DatCol&amp;"$"&amp;TEXT(C1573,"###")):INDIRECT(DatCol&amp;"$"&amp;TEXT(C1573+57,"###"))&gt;0,INDIRECT(DatCol&amp;"$"&amp;TEXT(C1573,"###")):INDIRECT(DatCol&amp;"$"&amp;TEXT(C1573+57,"###"))))</f>
        <v>306.38235294117646</v>
      </c>
      <c r="F1573" s="26" t="str">
        <f t="shared" si="1572"/>
        <v>I</v>
      </c>
      <c r="G1573" s="8"/>
      <c r="K1573" s="9">
        <f t="shared" si="1576"/>
        <v>0</v>
      </c>
      <c r="M1573" s="11">
        <f t="shared" si="1554"/>
        <v>0</v>
      </c>
      <c r="O1573" s="11">
        <f t="shared" si="1555"/>
        <v>0</v>
      </c>
      <c r="Q1573" s="11">
        <f t="shared" si="1556"/>
        <v>0</v>
      </c>
      <c r="Y1573" s="11">
        <f t="shared" si="1557"/>
        <v>0</v>
      </c>
      <c r="AG1573" s="11">
        <f t="shared" si="1558"/>
        <v>0</v>
      </c>
      <c r="AI1573" s="11">
        <f t="shared" si="1559"/>
        <v>0</v>
      </c>
      <c r="AK1573" s="13">
        <f t="shared" si="1560"/>
        <v>0</v>
      </c>
      <c r="AM1573" s="13">
        <f t="shared" si="1561"/>
        <v>0</v>
      </c>
      <c r="AO1573" s="11">
        <f t="shared" si="1562"/>
        <v>0</v>
      </c>
      <c r="AQ1573" s="11">
        <f t="shared" si="1563"/>
        <v>0</v>
      </c>
      <c r="AS1573" s="11">
        <f t="shared" si="1564"/>
        <v>0</v>
      </c>
      <c r="AU1573" s="11">
        <f t="shared" si="1565"/>
        <v>0</v>
      </c>
      <c r="AW1573" s="11">
        <f t="shared" si="1566"/>
        <v>0</v>
      </c>
      <c r="AY1573" s="11">
        <f t="shared" si="1567"/>
        <v>0</v>
      </c>
      <c r="BA1573" s="11">
        <f t="shared" si="1568"/>
        <v>0</v>
      </c>
      <c r="BC1573" s="11">
        <f t="shared" si="1569"/>
        <v>0</v>
      </c>
      <c r="BE1573" s="11">
        <f t="shared" si="1570"/>
        <v>0</v>
      </c>
      <c r="BG1573" s="11">
        <f t="shared" si="1571"/>
        <v>0</v>
      </c>
      <c r="BN1573" s="8">
        <f t="shared" si="1573"/>
        <v>0</v>
      </c>
      <c r="BO1573" s="8">
        <f t="shared" si="1574"/>
        <v>0</v>
      </c>
      <c r="BP1573" s="8">
        <f t="shared" si="1514"/>
        <v>0</v>
      </c>
      <c r="BQ1573" s="12">
        <f t="shared" si="1515"/>
        <v>0</v>
      </c>
    </row>
    <row r="1574" spans="1:69">
      <c r="A1574" s="28">
        <v>1961</v>
      </c>
      <c r="B1574" s="27" t="s">
        <v>75</v>
      </c>
      <c r="C1574" s="24">
        <f t="shared" si="1577"/>
        <v>1568</v>
      </c>
      <c r="D1574" s="7" t="e">
        <f t="shared" ca="1" si="1553"/>
        <v>#N/A</v>
      </c>
      <c r="E1574" s="26">
        <f t="array" aca="1" ref="E1574" ca="1">AVERAGE(IF(INDIRECT(DatCol&amp;"$"&amp;TEXT(C1574,"###")):INDIRECT(DatCol&amp;"$"&amp;TEXT(C1574+57,"###"))&gt;0,INDIRECT(DatCol&amp;"$"&amp;TEXT(C1574,"###")):INDIRECT(DatCol&amp;"$"&amp;TEXT(C1574+57,"###"))))</f>
        <v>306.38235294117646</v>
      </c>
      <c r="F1574" s="26" t="str">
        <f t="shared" si="1572"/>
        <v>I</v>
      </c>
      <c r="G1574" s="8"/>
      <c r="K1574" s="9">
        <f t="shared" si="1576"/>
        <v>0</v>
      </c>
      <c r="M1574" s="11">
        <f t="shared" si="1554"/>
        <v>0</v>
      </c>
      <c r="O1574" s="11">
        <f t="shared" si="1555"/>
        <v>0</v>
      </c>
      <c r="Q1574" s="11">
        <f t="shared" si="1556"/>
        <v>0</v>
      </c>
      <c r="Y1574" s="11">
        <f t="shared" si="1557"/>
        <v>0</v>
      </c>
      <c r="AG1574" s="11">
        <f t="shared" si="1558"/>
        <v>0</v>
      </c>
      <c r="AI1574" s="11">
        <f t="shared" si="1559"/>
        <v>0</v>
      </c>
      <c r="AK1574" s="13">
        <f t="shared" si="1560"/>
        <v>0</v>
      </c>
      <c r="AM1574" s="13">
        <f t="shared" si="1561"/>
        <v>0</v>
      </c>
      <c r="AO1574" s="11">
        <f t="shared" si="1562"/>
        <v>0</v>
      </c>
      <c r="AQ1574" s="11">
        <f t="shared" si="1563"/>
        <v>0</v>
      </c>
      <c r="AS1574" s="11">
        <f t="shared" si="1564"/>
        <v>0</v>
      </c>
      <c r="AU1574" s="11">
        <f t="shared" si="1565"/>
        <v>0</v>
      </c>
      <c r="AW1574" s="11">
        <f t="shared" si="1566"/>
        <v>0</v>
      </c>
      <c r="AY1574" s="11">
        <f t="shared" si="1567"/>
        <v>0</v>
      </c>
      <c r="BA1574" s="11">
        <f t="shared" si="1568"/>
        <v>0</v>
      </c>
      <c r="BC1574" s="11">
        <f t="shared" si="1569"/>
        <v>0</v>
      </c>
      <c r="BE1574" s="11">
        <f t="shared" si="1570"/>
        <v>0</v>
      </c>
      <c r="BG1574" s="11">
        <f t="shared" si="1571"/>
        <v>0</v>
      </c>
      <c r="BN1574" s="8">
        <f t="shared" si="1573"/>
        <v>0</v>
      </c>
      <c r="BO1574" s="8">
        <f t="shared" si="1574"/>
        <v>0</v>
      </c>
      <c r="BP1574" s="8">
        <f t="shared" si="1514"/>
        <v>0</v>
      </c>
      <c r="BQ1574" s="12">
        <f t="shared" si="1515"/>
        <v>0</v>
      </c>
    </row>
    <row r="1575" spans="1:69">
      <c r="A1575" s="28">
        <v>1962</v>
      </c>
      <c r="B1575" s="27" t="s">
        <v>75</v>
      </c>
      <c r="C1575" s="24">
        <f t="shared" si="1577"/>
        <v>1568</v>
      </c>
      <c r="D1575" s="7" t="e">
        <f t="shared" ca="1" si="1553"/>
        <v>#N/A</v>
      </c>
      <c r="E1575" s="26">
        <f t="array" aca="1" ref="E1575" ca="1">AVERAGE(IF(INDIRECT(DatCol&amp;"$"&amp;TEXT(C1575,"###")):INDIRECT(DatCol&amp;"$"&amp;TEXT(C1575+57,"###"))&gt;0,INDIRECT(DatCol&amp;"$"&amp;TEXT(C1575,"###")):INDIRECT(DatCol&amp;"$"&amp;TEXT(C1575+57,"###"))))</f>
        <v>306.38235294117646</v>
      </c>
      <c r="F1575" s="26" t="str">
        <f t="shared" si="1572"/>
        <v>I</v>
      </c>
      <c r="G1575" s="8"/>
      <c r="K1575" s="9">
        <f t="shared" si="1576"/>
        <v>0</v>
      </c>
      <c r="M1575" s="11">
        <f t="shared" si="1554"/>
        <v>0</v>
      </c>
      <c r="O1575" s="11">
        <f t="shared" si="1555"/>
        <v>0</v>
      </c>
      <c r="Q1575" s="11">
        <f t="shared" si="1556"/>
        <v>0</v>
      </c>
      <c r="Y1575" s="11">
        <f t="shared" si="1557"/>
        <v>0</v>
      </c>
      <c r="AG1575" s="11">
        <f t="shared" si="1558"/>
        <v>0</v>
      </c>
      <c r="AI1575" s="11">
        <f t="shared" si="1559"/>
        <v>0</v>
      </c>
      <c r="AK1575" s="13">
        <f t="shared" si="1560"/>
        <v>0</v>
      </c>
      <c r="AM1575" s="13">
        <f t="shared" si="1561"/>
        <v>0</v>
      </c>
      <c r="AO1575" s="11">
        <f t="shared" si="1562"/>
        <v>0</v>
      </c>
      <c r="AQ1575" s="11">
        <f t="shared" si="1563"/>
        <v>0</v>
      </c>
      <c r="AS1575" s="11">
        <f t="shared" si="1564"/>
        <v>0</v>
      </c>
      <c r="AU1575" s="11">
        <f t="shared" si="1565"/>
        <v>0</v>
      </c>
      <c r="AW1575" s="11">
        <f t="shared" si="1566"/>
        <v>0</v>
      </c>
      <c r="AY1575" s="11">
        <f t="shared" si="1567"/>
        <v>0</v>
      </c>
      <c r="BA1575" s="11">
        <f t="shared" si="1568"/>
        <v>0</v>
      </c>
      <c r="BC1575" s="11">
        <f t="shared" si="1569"/>
        <v>0</v>
      </c>
      <c r="BE1575" s="11">
        <f t="shared" si="1570"/>
        <v>0</v>
      </c>
      <c r="BG1575" s="11">
        <f t="shared" si="1571"/>
        <v>0</v>
      </c>
      <c r="BN1575" s="8">
        <f t="shared" si="1573"/>
        <v>0</v>
      </c>
      <c r="BO1575" s="8">
        <f t="shared" si="1574"/>
        <v>0</v>
      </c>
      <c r="BP1575" s="8">
        <f t="shared" ref="BP1575:BP1639" si="1578">(N1575+X1575+Z1575+AB1575+AD1575+AH1575+AL1575+AP1575+AT1575+AX1575+BB1575+BF1575)</f>
        <v>0</v>
      </c>
      <c r="BQ1575" s="12">
        <f t="shared" ref="BQ1575:BQ1639" si="1579">(O1575+Y1575+AA1575+AC1575+AE1575+AI1575+AM1575+AQ1575+AU1575+AY1575+BC1575+BG1575)</f>
        <v>0</v>
      </c>
    </row>
    <row r="1576" spans="1:69">
      <c r="A1576" s="28">
        <v>1963</v>
      </c>
      <c r="B1576" s="27" t="s">
        <v>75</v>
      </c>
      <c r="C1576" s="24">
        <f t="shared" si="1577"/>
        <v>1568</v>
      </c>
      <c r="D1576" s="7" t="e">
        <f t="shared" ca="1" si="1553"/>
        <v>#N/A</v>
      </c>
      <c r="E1576" s="26">
        <f t="array" aca="1" ref="E1576" ca="1">AVERAGE(IF(INDIRECT(DatCol&amp;"$"&amp;TEXT(C1576,"###")):INDIRECT(DatCol&amp;"$"&amp;TEXT(C1576+57,"###"))&gt;0,INDIRECT(DatCol&amp;"$"&amp;TEXT(C1576,"###")):INDIRECT(DatCol&amp;"$"&amp;TEXT(C1576+57,"###"))))</f>
        <v>306.38235294117646</v>
      </c>
      <c r="F1576" s="26" t="str">
        <f t="shared" si="1572"/>
        <v>I</v>
      </c>
      <c r="G1576" s="8"/>
      <c r="K1576" s="9">
        <f t="shared" si="1576"/>
        <v>0</v>
      </c>
      <c r="M1576" s="11">
        <f t="shared" ref="M1576:M1591" si="1580">(L1576*50)</f>
        <v>0</v>
      </c>
      <c r="O1576" s="11">
        <f t="shared" ref="O1576:O1591" si="1581">(N1576*50)</f>
        <v>0</v>
      </c>
      <c r="Q1576" s="11">
        <f t="shared" ref="Q1576:Q1591" si="1582">((P1576*330)/5.5)</f>
        <v>0</v>
      </c>
      <c r="Y1576" s="11">
        <f t="shared" ref="Y1576:Y1591" si="1583">((X1576*330)/5.5)</f>
        <v>0</v>
      </c>
      <c r="AG1576" s="11">
        <f t="shared" ref="AG1576:AG1591" si="1584">(AF1576*65)</f>
        <v>0</v>
      </c>
      <c r="AI1576" s="11">
        <f t="shared" ref="AI1576:AI1591" si="1585">(AH1576*65)</f>
        <v>0</v>
      </c>
      <c r="AK1576" s="13">
        <f t="shared" ref="AK1576:AK1591" si="1586">(AJ1576*9)</f>
        <v>0</v>
      </c>
      <c r="AM1576" s="13">
        <f t="shared" ref="AM1576:AM1591" si="1587">(AL1576*9)</f>
        <v>0</v>
      </c>
      <c r="AO1576" s="11">
        <f t="shared" ref="AO1576:AO1591" si="1588">(AN1576*80)</f>
        <v>0</v>
      </c>
      <c r="AQ1576" s="11">
        <f t="shared" ref="AQ1576:AQ1591" si="1589">(AP1576*80)</f>
        <v>0</v>
      </c>
      <c r="AS1576" s="11">
        <f t="shared" ref="AS1576:AS1591" si="1590">(AR1576*50)</f>
        <v>0</v>
      </c>
      <c r="AU1576" s="11">
        <f t="shared" ref="AU1576:AU1591" si="1591">(AT1576*50)</f>
        <v>0</v>
      </c>
      <c r="AW1576" s="11">
        <f t="shared" ref="AW1576:AW1591" si="1592">(AV1576*60)</f>
        <v>0</v>
      </c>
      <c r="AY1576" s="11">
        <f t="shared" ref="AY1576:AY1591" si="1593">(AX1576*60)</f>
        <v>0</v>
      </c>
      <c r="BA1576" s="11">
        <f t="shared" ref="BA1576:BA1591" si="1594">(AZ1576*40)</f>
        <v>0</v>
      </c>
      <c r="BC1576" s="11">
        <f t="shared" ref="BC1576:BC1591" si="1595">(BB1576*40)</f>
        <v>0</v>
      </c>
      <c r="BE1576" s="11">
        <f t="shared" ref="BE1576:BE1591" si="1596">(BD1576*95)</f>
        <v>0</v>
      </c>
      <c r="BG1576" s="11">
        <f t="shared" ref="BG1576:BG1591" si="1597">(BF1576*95)</f>
        <v>0</v>
      </c>
      <c r="BN1576" s="8">
        <f t="shared" si="1573"/>
        <v>0</v>
      </c>
      <c r="BO1576" s="8">
        <f t="shared" si="1574"/>
        <v>0</v>
      </c>
      <c r="BP1576" s="8">
        <f t="shared" si="1578"/>
        <v>0</v>
      </c>
      <c r="BQ1576" s="12">
        <f t="shared" si="1579"/>
        <v>0</v>
      </c>
    </row>
    <row r="1577" spans="1:69">
      <c r="A1577" s="28">
        <v>1964</v>
      </c>
      <c r="B1577" s="27" t="s">
        <v>75</v>
      </c>
      <c r="C1577" s="24">
        <f t="shared" si="1577"/>
        <v>1568</v>
      </c>
      <c r="D1577" s="7" t="e">
        <f t="shared" ca="1" si="1553"/>
        <v>#N/A</v>
      </c>
      <c r="E1577" s="26">
        <f t="array" aca="1" ref="E1577" ca="1">AVERAGE(IF(INDIRECT(DatCol&amp;"$"&amp;TEXT(C1577,"###")):INDIRECT(DatCol&amp;"$"&amp;TEXT(C1577+57,"###"))&gt;0,INDIRECT(DatCol&amp;"$"&amp;TEXT(C1577,"###")):INDIRECT(DatCol&amp;"$"&amp;TEXT(C1577+57,"###"))))</f>
        <v>306.38235294117646</v>
      </c>
      <c r="F1577" s="26" t="str">
        <f t="shared" si="1572"/>
        <v>I</v>
      </c>
      <c r="G1577" s="8"/>
      <c r="K1577" s="9">
        <f t="shared" si="1576"/>
        <v>0</v>
      </c>
      <c r="M1577" s="11">
        <f t="shared" si="1580"/>
        <v>0</v>
      </c>
      <c r="O1577" s="11">
        <f t="shared" si="1581"/>
        <v>0</v>
      </c>
      <c r="Q1577" s="11">
        <f t="shared" si="1582"/>
        <v>0</v>
      </c>
      <c r="Y1577" s="11">
        <f t="shared" si="1583"/>
        <v>0</v>
      </c>
      <c r="AG1577" s="11">
        <f t="shared" si="1584"/>
        <v>0</v>
      </c>
      <c r="AI1577" s="11">
        <f t="shared" si="1585"/>
        <v>0</v>
      </c>
      <c r="AK1577" s="13">
        <f t="shared" si="1586"/>
        <v>0</v>
      </c>
      <c r="AM1577" s="13">
        <f t="shared" si="1587"/>
        <v>0</v>
      </c>
      <c r="AO1577" s="11">
        <f t="shared" si="1588"/>
        <v>0</v>
      </c>
      <c r="AQ1577" s="11">
        <f t="shared" si="1589"/>
        <v>0</v>
      </c>
      <c r="AS1577" s="11">
        <f t="shared" si="1590"/>
        <v>0</v>
      </c>
      <c r="AU1577" s="11">
        <f t="shared" si="1591"/>
        <v>0</v>
      </c>
      <c r="AW1577" s="11">
        <f t="shared" si="1592"/>
        <v>0</v>
      </c>
      <c r="AY1577" s="11">
        <f t="shared" si="1593"/>
        <v>0</v>
      </c>
      <c r="BA1577" s="11">
        <f t="shared" si="1594"/>
        <v>0</v>
      </c>
      <c r="BC1577" s="11">
        <f t="shared" si="1595"/>
        <v>0</v>
      </c>
      <c r="BE1577" s="11">
        <f t="shared" si="1596"/>
        <v>0</v>
      </c>
      <c r="BG1577" s="11">
        <f t="shared" si="1597"/>
        <v>0</v>
      </c>
      <c r="BN1577" s="8">
        <f t="shared" si="1573"/>
        <v>0</v>
      </c>
      <c r="BO1577" s="8">
        <f t="shared" si="1574"/>
        <v>0</v>
      </c>
      <c r="BP1577" s="8">
        <f t="shared" si="1578"/>
        <v>0</v>
      </c>
      <c r="BQ1577" s="12">
        <f t="shared" si="1579"/>
        <v>0</v>
      </c>
    </row>
    <row r="1578" spans="1:69">
      <c r="A1578" s="28">
        <v>1965</v>
      </c>
      <c r="B1578" s="27" t="s">
        <v>75</v>
      </c>
      <c r="C1578" s="24">
        <f t="shared" si="1577"/>
        <v>1568</v>
      </c>
      <c r="D1578" s="7" t="e">
        <f t="shared" ca="1" si="1553"/>
        <v>#N/A</v>
      </c>
      <c r="E1578" s="26">
        <f t="array" aca="1" ref="E1578" ca="1">AVERAGE(IF(INDIRECT(DatCol&amp;"$"&amp;TEXT(C1578,"###")):INDIRECT(DatCol&amp;"$"&amp;TEXT(C1578+57,"###"))&gt;0,INDIRECT(DatCol&amp;"$"&amp;TEXT(C1578,"###")):INDIRECT(DatCol&amp;"$"&amp;TEXT(C1578+57,"###"))))</f>
        <v>306.38235294117646</v>
      </c>
      <c r="F1578" s="26" t="str">
        <f t="shared" si="1572"/>
        <v>I</v>
      </c>
      <c r="G1578" s="8"/>
      <c r="K1578" s="9">
        <f t="shared" si="1576"/>
        <v>0</v>
      </c>
      <c r="M1578" s="11">
        <f t="shared" si="1580"/>
        <v>0</v>
      </c>
      <c r="O1578" s="11">
        <f t="shared" si="1581"/>
        <v>0</v>
      </c>
      <c r="Q1578" s="11">
        <f t="shared" si="1582"/>
        <v>0</v>
      </c>
      <c r="Y1578" s="11">
        <f t="shared" si="1583"/>
        <v>0</v>
      </c>
      <c r="AG1578" s="11">
        <f t="shared" si="1584"/>
        <v>0</v>
      </c>
      <c r="AI1578" s="11">
        <f t="shared" si="1585"/>
        <v>0</v>
      </c>
      <c r="AK1578" s="13">
        <f t="shared" si="1586"/>
        <v>0</v>
      </c>
      <c r="AM1578" s="13">
        <f t="shared" si="1587"/>
        <v>0</v>
      </c>
      <c r="AO1578" s="11">
        <f t="shared" si="1588"/>
        <v>0</v>
      </c>
      <c r="AQ1578" s="11">
        <f t="shared" si="1589"/>
        <v>0</v>
      </c>
      <c r="AS1578" s="11">
        <f t="shared" si="1590"/>
        <v>0</v>
      </c>
      <c r="AU1578" s="11">
        <f t="shared" si="1591"/>
        <v>0</v>
      </c>
      <c r="AW1578" s="11">
        <f t="shared" si="1592"/>
        <v>0</v>
      </c>
      <c r="AY1578" s="11">
        <f t="shared" si="1593"/>
        <v>0</v>
      </c>
      <c r="BA1578" s="11">
        <f t="shared" si="1594"/>
        <v>0</v>
      </c>
      <c r="BC1578" s="11">
        <f t="shared" si="1595"/>
        <v>0</v>
      </c>
      <c r="BE1578" s="11">
        <f t="shared" si="1596"/>
        <v>0</v>
      </c>
      <c r="BG1578" s="11">
        <f t="shared" si="1597"/>
        <v>0</v>
      </c>
      <c r="BN1578" s="8">
        <f t="shared" si="1573"/>
        <v>0</v>
      </c>
      <c r="BO1578" s="8">
        <f t="shared" si="1574"/>
        <v>0</v>
      </c>
      <c r="BP1578" s="8">
        <f t="shared" si="1578"/>
        <v>0</v>
      </c>
      <c r="BQ1578" s="12">
        <f t="shared" si="1579"/>
        <v>0</v>
      </c>
    </row>
    <row r="1579" spans="1:69">
      <c r="A1579" s="28">
        <v>1966</v>
      </c>
      <c r="B1579" s="27" t="s">
        <v>75</v>
      </c>
      <c r="C1579" s="24">
        <f t="shared" si="1577"/>
        <v>1568</v>
      </c>
      <c r="D1579" s="7" t="e">
        <f t="shared" ca="1" si="1553"/>
        <v>#N/A</v>
      </c>
      <c r="E1579" s="26">
        <f t="array" aca="1" ref="E1579" ca="1">AVERAGE(IF(INDIRECT(DatCol&amp;"$"&amp;TEXT(C1579,"###")):INDIRECT(DatCol&amp;"$"&amp;TEXT(C1579+57,"###"))&gt;0,INDIRECT(DatCol&amp;"$"&amp;TEXT(C1579,"###")):INDIRECT(DatCol&amp;"$"&amp;TEXT(C1579+57,"###"))))</f>
        <v>306.38235294117646</v>
      </c>
      <c r="F1579" s="26" t="str">
        <f t="shared" si="1572"/>
        <v>I</v>
      </c>
      <c r="G1579" s="8"/>
      <c r="K1579" s="9">
        <f t="shared" si="1576"/>
        <v>0</v>
      </c>
      <c r="M1579" s="11">
        <f t="shared" si="1580"/>
        <v>0</v>
      </c>
      <c r="O1579" s="11">
        <f t="shared" si="1581"/>
        <v>0</v>
      </c>
      <c r="Q1579" s="11">
        <f t="shared" si="1582"/>
        <v>0</v>
      </c>
      <c r="Y1579" s="11">
        <f t="shared" si="1583"/>
        <v>0</v>
      </c>
      <c r="AG1579" s="11">
        <f t="shared" si="1584"/>
        <v>0</v>
      </c>
      <c r="AI1579" s="11">
        <f t="shared" si="1585"/>
        <v>0</v>
      </c>
      <c r="AK1579" s="13">
        <f t="shared" si="1586"/>
        <v>0</v>
      </c>
      <c r="AM1579" s="13">
        <f t="shared" si="1587"/>
        <v>0</v>
      </c>
      <c r="AO1579" s="11">
        <f t="shared" si="1588"/>
        <v>0</v>
      </c>
      <c r="AQ1579" s="11">
        <f t="shared" si="1589"/>
        <v>0</v>
      </c>
      <c r="AS1579" s="11">
        <f t="shared" si="1590"/>
        <v>0</v>
      </c>
      <c r="AU1579" s="11">
        <f t="shared" si="1591"/>
        <v>0</v>
      </c>
      <c r="AW1579" s="11">
        <f t="shared" si="1592"/>
        <v>0</v>
      </c>
      <c r="AY1579" s="11">
        <f t="shared" si="1593"/>
        <v>0</v>
      </c>
      <c r="BA1579" s="11">
        <f t="shared" si="1594"/>
        <v>0</v>
      </c>
      <c r="BC1579" s="11">
        <f t="shared" si="1595"/>
        <v>0</v>
      </c>
      <c r="BE1579" s="11">
        <f t="shared" si="1596"/>
        <v>0</v>
      </c>
      <c r="BG1579" s="11">
        <f t="shared" si="1597"/>
        <v>0</v>
      </c>
      <c r="BN1579" s="8">
        <f t="shared" si="1573"/>
        <v>0</v>
      </c>
      <c r="BO1579" s="8">
        <f t="shared" si="1574"/>
        <v>0</v>
      </c>
      <c r="BP1579" s="8">
        <f t="shared" si="1578"/>
        <v>0</v>
      </c>
      <c r="BQ1579" s="12">
        <f t="shared" si="1579"/>
        <v>0</v>
      </c>
    </row>
    <row r="1580" spans="1:69">
      <c r="A1580" s="28">
        <v>1967</v>
      </c>
      <c r="B1580" s="27" t="s">
        <v>75</v>
      </c>
      <c r="C1580" s="24">
        <f t="shared" si="1577"/>
        <v>1568</v>
      </c>
      <c r="D1580" s="7" t="e">
        <f t="shared" ca="1" si="1553"/>
        <v>#N/A</v>
      </c>
      <c r="E1580" s="26">
        <f t="array" aca="1" ref="E1580" ca="1">AVERAGE(IF(INDIRECT(DatCol&amp;"$"&amp;TEXT(C1580,"###")):INDIRECT(DatCol&amp;"$"&amp;TEXT(C1580+57,"###"))&gt;0,INDIRECT(DatCol&amp;"$"&amp;TEXT(C1580,"###")):INDIRECT(DatCol&amp;"$"&amp;TEXT(C1580+57,"###"))))</f>
        <v>306.38235294117646</v>
      </c>
      <c r="F1580" s="26" t="str">
        <f t="shared" si="1572"/>
        <v>I</v>
      </c>
      <c r="G1580" s="8"/>
      <c r="H1580" s="8">
        <v>250</v>
      </c>
      <c r="I1580" s="8">
        <v>110</v>
      </c>
      <c r="J1580" s="8">
        <v>450</v>
      </c>
      <c r="K1580" s="9">
        <f t="shared" si="1576"/>
        <v>700</v>
      </c>
      <c r="M1580" s="11">
        <f t="shared" si="1580"/>
        <v>0</v>
      </c>
      <c r="N1580" s="12">
        <v>237</v>
      </c>
      <c r="O1580" s="11">
        <f t="shared" si="1581"/>
        <v>11850</v>
      </c>
      <c r="P1580" s="12">
        <v>359</v>
      </c>
      <c r="Q1580" s="11">
        <f t="shared" si="1582"/>
        <v>21540</v>
      </c>
      <c r="X1580" s="12">
        <v>170</v>
      </c>
      <c r="Y1580" s="11">
        <f t="shared" si="1583"/>
        <v>10200</v>
      </c>
      <c r="AG1580" s="11">
        <f t="shared" si="1584"/>
        <v>0</v>
      </c>
      <c r="AH1580" s="12">
        <v>17</v>
      </c>
      <c r="AI1580" s="11">
        <f t="shared" si="1585"/>
        <v>1105</v>
      </c>
      <c r="AJ1580" s="12">
        <v>10330</v>
      </c>
      <c r="AK1580" s="13">
        <f t="shared" si="1586"/>
        <v>92970</v>
      </c>
      <c r="AL1580" s="12">
        <v>550</v>
      </c>
      <c r="AM1580" s="13">
        <f t="shared" si="1587"/>
        <v>4950</v>
      </c>
      <c r="AO1580" s="11">
        <f t="shared" si="1588"/>
        <v>0</v>
      </c>
      <c r="AP1580" s="12">
        <v>3</v>
      </c>
      <c r="AQ1580" s="11">
        <f t="shared" si="1589"/>
        <v>240</v>
      </c>
      <c r="AS1580" s="11">
        <f t="shared" si="1590"/>
        <v>0</v>
      </c>
      <c r="AT1580" s="12">
        <v>6</v>
      </c>
      <c r="AU1580" s="11">
        <f t="shared" si="1591"/>
        <v>300</v>
      </c>
      <c r="AW1580" s="11">
        <f t="shared" si="1592"/>
        <v>0</v>
      </c>
      <c r="AY1580" s="11">
        <f t="shared" si="1593"/>
        <v>0</v>
      </c>
      <c r="BA1580" s="11">
        <f t="shared" si="1594"/>
        <v>0</v>
      </c>
      <c r="BB1580" s="12">
        <v>1</v>
      </c>
      <c r="BC1580" s="11">
        <f t="shared" si="1595"/>
        <v>40</v>
      </c>
      <c r="BE1580" s="11">
        <f t="shared" si="1596"/>
        <v>0</v>
      </c>
      <c r="BG1580" s="11">
        <f t="shared" si="1597"/>
        <v>0</v>
      </c>
      <c r="BN1580" s="8">
        <f t="shared" si="1573"/>
        <v>10859</v>
      </c>
      <c r="BO1580" s="8">
        <f t="shared" si="1574"/>
        <v>124710</v>
      </c>
      <c r="BP1580" s="8">
        <f t="shared" si="1578"/>
        <v>984</v>
      </c>
      <c r="BQ1580" s="12">
        <f t="shared" si="1579"/>
        <v>28685</v>
      </c>
    </row>
    <row r="1581" spans="1:69">
      <c r="A1581" s="28">
        <v>1968</v>
      </c>
      <c r="B1581" s="27" t="s">
        <v>75</v>
      </c>
      <c r="C1581" s="24">
        <f t="shared" si="1577"/>
        <v>1568</v>
      </c>
      <c r="D1581" s="7" t="e">
        <f t="shared" ca="1" si="1553"/>
        <v>#N/A</v>
      </c>
      <c r="E1581" s="26">
        <f t="array" aca="1" ref="E1581" ca="1">AVERAGE(IF(INDIRECT(DatCol&amp;"$"&amp;TEXT(C1581,"###")):INDIRECT(DatCol&amp;"$"&amp;TEXT(C1581+57,"###"))&gt;0,INDIRECT(DatCol&amp;"$"&amp;TEXT(C1581,"###")):INDIRECT(DatCol&amp;"$"&amp;TEXT(C1581+57,"###"))))</f>
        <v>306.38235294117646</v>
      </c>
      <c r="F1581" s="26" t="str">
        <f t="shared" si="1572"/>
        <v>I</v>
      </c>
      <c r="G1581" s="8"/>
      <c r="H1581" s="8">
        <v>206</v>
      </c>
      <c r="I1581" s="8">
        <v>128</v>
      </c>
      <c r="J1581" s="8">
        <v>500</v>
      </c>
      <c r="K1581" s="9">
        <f t="shared" si="1576"/>
        <v>706</v>
      </c>
      <c r="M1581" s="11">
        <f t="shared" si="1580"/>
        <v>0</v>
      </c>
      <c r="N1581" s="12">
        <v>278</v>
      </c>
      <c r="O1581" s="11">
        <f t="shared" si="1581"/>
        <v>13900</v>
      </c>
      <c r="P1581" s="12">
        <v>690</v>
      </c>
      <c r="Q1581" s="11">
        <f t="shared" si="1582"/>
        <v>41400</v>
      </c>
      <c r="X1581" s="12">
        <v>230</v>
      </c>
      <c r="Y1581" s="11">
        <f t="shared" si="1583"/>
        <v>13800</v>
      </c>
      <c r="AG1581" s="11">
        <f t="shared" si="1584"/>
        <v>0</v>
      </c>
      <c r="AH1581" s="12">
        <v>21</v>
      </c>
      <c r="AI1581" s="11">
        <f t="shared" si="1585"/>
        <v>1365</v>
      </c>
      <c r="AJ1581" s="12">
        <v>37000</v>
      </c>
      <c r="AK1581" s="13">
        <f t="shared" si="1586"/>
        <v>333000</v>
      </c>
      <c r="AL1581" s="12">
        <v>1050</v>
      </c>
      <c r="AM1581" s="13">
        <f t="shared" si="1587"/>
        <v>9450</v>
      </c>
      <c r="AO1581" s="11">
        <f t="shared" si="1588"/>
        <v>0</v>
      </c>
      <c r="AQ1581" s="11">
        <f t="shared" si="1589"/>
        <v>0</v>
      </c>
      <c r="AS1581" s="11">
        <f t="shared" si="1590"/>
        <v>0</v>
      </c>
      <c r="AU1581" s="11">
        <f t="shared" si="1591"/>
        <v>0</v>
      </c>
      <c r="AW1581" s="11">
        <f t="shared" si="1592"/>
        <v>0</v>
      </c>
      <c r="AY1581" s="11">
        <f t="shared" si="1593"/>
        <v>0</v>
      </c>
      <c r="BA1581" s="11">
        <f t="shared" si="1594"/>
        <v>0</v>
      </c>
      <c r="BC1581" s="11">
        <f t="shared" si="1595"/>
        <v>0</v>
      </c>
      <c r="BE1581" s="11">
        <f t="shared" si="1596"/>
        <v>0</v>
      </c>
      <c r="BG1581" s="11">
        <f t="shared" si="1597"/>
        <v>0</v>
      </c>
      <c r="BN1581" s="8">
        <f t="shared" si="1573"/>
        <v>37920</v>
      </c>
      <c r="BO1581" s="8">
        <f t="shared" si="1574"/>
        <v>388200</v>
      </c>
      <c r="BP1581" s="8">
        <f t="shared" si="1578"/>
        <v>1579</v>
      </c>
      <c r="BQ1581" s="12">
        <f t="shared" si="1579"/>
        <v>38515</v>
      </c>
    </row>
    <row r="1582" spans="1:69">
      <c r="A1582" s="28">
        <v>1969</v>
      </c>
      <c r="B1582" s="27" t="s">
        <v>75</v>
      </c>
      <c r="C1582" s="24">
        <f t="shared" si="1577"/>
        <v>1568</v>
      </c>
      <c r="D1582" s="7" t="e">
        <f t="shared" ca="1" si="1553"/>
        <v>#N/A</v>
      </c>
      <c r="E1582" s="26">
        <f t="array" aca="1" ref="E1582" ca="1">AVERAGE(IF(INDIRECT(DatCol&amp;"$"&amp;TEXT(C1582,"###")):INDIRECT(DatCol&amp;"$"&amp;TEXT(C1582+57,"###"))&gt;0,INDIRECT(DatCol&amp;"$"&amp;TEXT(C1582,"###")):INDIRECT(DatCol&amp;"$"&amp;TEXT(C1582+57,"###"))))</f>
        <v>306.38235294117646</v>
      </c>
      <c r="F1582" s="26" t="str">
        <f t="shared" si="1572"/>
        <v>I</v>
      </c>
      <c r="G1582" s="8"/>
      <c r="H1582" s="8">
        <v>300</v>
      </c>
      <c r="I1582" s="8">
        <v>235</v>
      </c>
      <c r="J1582" s="8">
        <v>400</v>
      </c>
      <c r="K1582" s="9">
        <f t="shared" si="1576"/>
        <v>700</v>
      </c>
      <c r="M1582" s="11">
        <f t="shared" si="1580"/>
        <v>0</v>
      </c>
      <c r="N1582" s="12">
        <v>1000</v>
      </c>
      <c r="O1582" s="11">
        <f t="shared" si="1581"/>
        <v>50000</v>
      </c>
      <c r="P1582" s="12">
        <v>275</v>
      </c>
      <c r="Q1582" s="11">
        <f t="shared" si="1582"/>
        <v>16500</v>
      </c>
      <c r="X1582" s="12">
        <v>200</v>
      </c>
      <c r="Y1582" s="11">
        <f t="shared" si="1583"/>
        <v>12000</v>
      </c>
      <c r="AG1582" s="11">
        <f t="shared" si="1584"/>
        <v>0</v>
      </c>
      <c r="AH1582" s="12">
        <v>10</v>
      </c>
      <c r="AI1582" s="11">
        <f t="shared" si="1585"/>
        <v>650</v>
      </c>
      <c r="AJ1582" s="12">
        <v>68000</v>
      </c>
      <c r="AK1582" s="13">
        <f t="shared" si="1586"/>
        <v>612000</v>
      </c>
      <c r="AL1582" s="12">
        <v>2800</v>
      </c>
      <c r="AM1582" s="13">
        <f t="shared" si="1587"/>
        <v>25200</v>
      </c>
      <c r="AO1582" s="11">
        <f t="shared" si="1588"/>
        <v>0</v>
      </c>
      <c r="AP1582" s="12">
        <v>45</v>
      </c>
      <c r="AQ1582" s="11">
        <f t="shared" si="1589"/>
        <v>3600</v>
      </c>
      <c r="AS1582" s="11">
        <f t="shared" si="1590"/>
        <v>0</v>
      </c>
      <c r="AT1582" s="12">
        <v>20</v>
      </c>
      <c r="AU1582" s="11">
        <f t="shared" si="1591"/>
        <v>1000</v>
      </c>
      <c r="AW1582" s="11">
        <f t="shared" si="1592"/>
        <v>0</v>
      </c>
      <c r="AY1582" s="11">
        <f t="shared" si="1593"/>
        <v>0</v>
      </c>
      <c r="BA1582" s="11">
        <f t="shared" si="1594"/>
        <v>0</v>
      </c>
      <c r="BC1582" s="11">
        <f t="shared" si="1595"/>
        <v>0</v>
      </c>
      <c r="BE1582" s="11">
        <f t="shared" si="1596"/>
        <v>0</v>
      </c>
      <c r="BG1582" s="11">
        <f t="shared" si="1597"/>
        <v>0</v>
      </c>
      <c r="BN1582" s="8">
        <f t="shared" si="1573"/>
        <v>68475</v>
      </c>
      <c r="BO1582" s="8">
        <f t="shared" si="1574"/>
        <v>640500</v>
      </c>
      <c r="BP1582" s="8">
        <f t="shared" si="1578"/>
        <v>4075</v>
      </c>
      <c r="BQ1582" s="12">
        <f t="shared" si="1579"/>
        <v>92450</v>
      </c>
    </row>
    <row r="1583" spans="1:69">
      <c r="A1583" s="28">
        <v>1970</v>
      </c>
      <c r="B1583" s="27" t="s">
        <v>75</v>
      </c>
      <c r="C1583" s="24">
        <f t="shared" si="1577"/>
        <v>1568</v>
      </c>
      <c r="D1583" s="7" t="e">
        <f t="shared" ca="1" si="1553"/>
        <v>#N/A</v>
      </c>
      <c r="E1583" s="26">
        <f t="array" aca="1" ref="E1583" ca="1">AVERAGE(IF(INDIRECT(DatCol&amp;"$"&amp;TEXT(C1583,"###")):INDIRECT(DatCol&amp;"$"&amp;TEXT(C1583+57,"###"))&gt;0,INDIRECT(DatCol&amp;"$"&amp;TEXT(C1583,"###")):INDIRECT(DatCol&amp;"$"&amp;TEXT(C1583+57,"###"))))</f>
        <v>306.38235294117646</v>
      </c>
      <c r="F1583" s="26" t="str">
        <f t="shared" si="1572"/>
        <v>I</v>
      </c>
      <c r="G1583" s="8"/>
      <c r="H1583" s="8">
        <v>260</v>
      </c>
      <c r="I1583" s="8">
        <v>353</v>
      </c>
      <c r="J1583" s="8">
        <v>405</v>
      </c>
      <c r="K1583" s="9">
        <f t="shared" si="1576"/>
        <v>665</v>
      </c>
      <c r="M1583" s="11">
        <f t="shared" si="1580"/>
        <v>0</v>
      </c>
      <c r="N1583" s="12">
        <v>200</v>
      </c>
      <c r="O1583" s="11">
        <f t="shared" si="1581"/>
        <v>10000</v>
      </c>
      <c r="P1583" s="12">
        <v>2700</v>
      </c>
      <c r="Q1583" s="11">
        <f t="shared" si="1582"/>
        <v>162000</v>
      </c>
      <c r="X1583" s="12">
        <v>600</v>
      </c>
      <c r="Y1583" s="11">
        <f t="shared" si="1583"/>
        <v>36000</v>
      </c>
      <c r="AG1583" s="11">
        <f t="shared" si="1584"/>
        <v>0</v>
      </c>
      <c r="AH1583" s="12">
        <v>10</v>
      </c>
      <c r="AI1583" s="11">
        <f t="shared" si="1585"/>
        <v>650</v>
      </c>
      <c r="AJ1583" s="12">
        <v>56000</v>
      </c>
      <c r="AK1583" s="13">
        <f t="shared" si="1586"/>
        <v>504000</v>
      </c>
      <c r="AL1583" s="12">
        <v>1600</v>
      </c>
      <c r="AM1583" s="13">
        <f t="shared" si="1587"/>
        <v>14400</v>
      </c>
      <c r="AO1583" s="11">
        <f t="shared" si="1588"/>
        <v>0</v>
      </c>
      <c r="AQ1583" s="11">
        <f t="shared" si="1589"/>
        <v>0</v>
      </c>
      <c r="AS1583" s="11">
        <f t="shared" si="1590"/>
        <v>0</v>
      </c>
      <c r="AT1583" s="12">
        <v>60</v>
      </c>
      <c r="AU1583" s="11">
        <f t="shared" si="1591"/>
        <v>3000</v>
      </c>
      <c r="AW1583" s="11">
        <f t="shared" si="1592"/>
        <v>0</v>
      </c>
      <c r="AY1583" s="11">
        <f t="shared" si="1593"/>
        <v>0</v>
      </c>
      <c r="BA1583" s="11">
        <f t="shared" si="1594"/>
        <v>0</v>
      </c>
      <c r="BC1583" s="11">
        <f t="shared" si="1595"/>
        <v>0</v>
      </c>
      <c r="BE1583" s="11">
        <f t="shared" si="1596"/>
        <v>0</v>
      </c>
      <c r="BG1583" s="11">
        <f t="shared" si="1597"/>
        <v>0</v>
      </c>
      <c r="BN1583" s="8">
        <f t="shared" si="1573"/>
        <v>59300</v>
      </c>
      <c r="BO1583" s="8">
        <f t="shared" si="1574"/>
        <v>702000</v>
      </c>
      <c r="BP1583" s="8">
        <f t="shared" si="1578"/>
        <v>2470</v>
      </c>
      <c r="BQ1583" s="12">
        <f t="shared" si="1579"/>
        <v>64050</v>
      </c>
    </row>
    <row r="1584" spans="1:69">
      <c r="A1584" s="28">
        <v>1971</v>
      </c>
      <c r="B1584" s="27" t="s">
        <v>75</v>
      </c>
      <c r="C1584" s="24">
        <f t="shared" si="1577"/>
        <v>1568</v>
      </c>
      <c r="D1584" s="7" t="e">
        <f t="shared" ca="1" si="1553"/>
        <v>#N/A</v>
      </c>
      <c r="E1584" s="26">
        <f t="array" aca="1" ref="E1584" ca="1">AVERAGE(IF(INDIRECT(DatCol&amp;"$"&amp;TEXT(C1584,"###")):INDIRECT(DatCol&amp;"$"&amp;TEXT(C1584+57,"###"))&gt;0,INDIRECT(DatCol&amp;"$"&amp;TEXT(C1584,"###")):INDIRECT(DatCol&amp;"$"&amp;TEXT(C1584+57,"###"))))</f>
        <v>306.38235294117646</v>
      </c>
      <c r="F1584" s="26" t="str">
        <f t="shared" si="1572"/>
        <v>I</v>
      </c>
      <c r="G1584" s="8"/>
      <c r="H1584" s="8">
        <v>400</v>
      </c>
      <c r="I1584" s="8">
        <v>308</v>
      </c>
      <c r="J1584" s="8">
        <v>700</v>
      </c>
      <c r="K1584" s="9">
        <f t="shared" si="1576"/>
        <v>1100</v>
      </c>
      <c r="L1584" s="12">
        <v>0</v>
      </c>
      <c r="M1584" s="11">
        <f t="shared" si="1580"/>
        <v>0</v>
      </c>
      <c r="N1584" s="12">
        <v>550</v>
      </c>
      <c r="O1584" s="11">
        <f t="shared" si="1581"/>
        <v>27500</v>
      </c>
      <c r="P1584" s="12">
        <v>1200</v>
      </c>
      <c r="Q1584" s="11">
        <f t="shared" si="1582"/>
        <v>72000</v>
      </c>
      <c r="X1584" s="12">
        <v>400</v>
      </c>
      <c r="Y1584" s="11">
        <f t="shared" si="1583"/>
        <v>24000</v>
      </c>
      <c r="AG1584" s="11">
        <f t="shared" si="1584"/>
        <v>0</v>
      </c>
      <c r="AH1584" s="12">
        <v>5</v>
      </c>
      <c r="AI1584" s="11">
        <f t="shared" si="1585"/>
        <v>325</v>
      </c>
      <c r="AJ1584" s="12">
        <v>60000</v>
      </c>
      <c r="AK1584" s="13">
        <f t="shared" si="1586"/>
        <v>540000</v>
      </c>
      <c r="AL1584" s="12">
        <v>2000</v>
      </c>
      <c r="AM1584" s="13">
        <f t="shared" si="1587"/>
        <v>18000</v>
      </c>
      <c r="AN1584" s="12">
        <v>75</v>
      </c>
      <c r="AO1584" s="11">
        <f t="shared" si="1588"/>
        <v>6000</v>
      </c>
      <c r="AP1584" s="12">
        <v>45</v>
      </c>
      <c r="AQ1584" s="11">
        <f t="shared" si="1589"/>
        <v>3600</v>
      </c>
      <c r="AS1584" s="11">
        <f t="shared" si="1590"/>
        <v>0</v>
      </c>
      <c r="AT1584" s="12">
        <v>30</v>
      </c>
      <c r="AU1584" s="11">
        <f t="shared" si="1591"/>
        <v>1500</v>
      </c>
      <c r="AW1584" s="11">
        <f t="shared" si="1592"/>
        <v>0</v>
      </c>
      <c r="AY1584" s="11">
        <f t="shared" si="1593"/>
        <v>0</v>
      </c>
      <c r="BA1584" s="11">
        <f t="shared" si="1594"/>
        <v>0</v>
      </c>
      <c r="BC1584" s="11">
        <f t="shared" si="1595"/>
        <v>0</v>
      </c>
      <c r="BE1584" s="11">
        <f t="shared" si="1596"/>
        <v>0</v>
      </c>
      <c r="BG1584" s="11">
        <f t="shared" si="1597"/>
        <v>0</v>
      </c>
      <c r="BN1584" s="8">
        <f t="shared" si="1573"/>
        <v>61675</v>
      </c>
      <c r="BO1584" s="8">
        <f t="shared" si="1574"/>
        <v>642000</v>
      </c>
      <c r="BP1584" s="8">
        <f t="shared" si="1578"/>
        <v>3030</v>
      </c>
      <c r="BQ1584" s="12">
        <f t="shared" si="1579"/>
        <v>74925</v>
      </c>
    </row>
    <row r="1585" spans="1:69">
      <c r="A1585" s="28">
        <v>1972</v>
      </c>
      <c r="B1585" s="27" t="s">
        <v>75</v>
      </c>
      <c r="C1585" s="24">
        <f t="shared" si="1577"/>
        <v>1568</v>
      </c>
      <c r="D1585" s="7" t="e">
        <f t="shared" ca="1" si="1553"/>
        <v>#N/A</v>
      </c>
      <c r="E1585" s="26">
        <f t="array" aca="1" ref="E1585" ca="1">AVERAGE(IF(INDIRECT(DatCol&amp;"$"&amp;TEXT(C1585,"###")):INDIRECT(DatCol&amp;"$"&amp;TEXT(C1585+57,"###"))&gt;0,INDIRECT(DatCol&amp;"$"&amp;TEXT(C1585,"###")):INDIRECT(DatCol&amp;"$"&amp;TEXT(C1585+57,"###"))))</f>
        <v>306.38235294117646</v>
      </c>
      <c r="F1585" s="26" t="str">
        <f t="shared" si="1572"/>
        <v>I</v>
      </c>
      <c r="G1585" s="8"/>
      <c r="H1585" s="8">
        <v>335</v>
      </c>
      <c r="I1585" s="8">
        <v>148</v>
      </c>
      <c r="J1585" s="8">
        <v>400</v>
      </c>
      <c r="K1585" s="9">
        <f t="shared" si="1576"/>
        <v>735</v>
      </c>
      <c r="M1585" s="11">
        <f t="shared" si="1580"/>
        <v>0</v>
      </c>
      <c r="N1585" s="12">
        <v>65</v>
      </c>
      <c r="O1585" s="11">
        <f t="shared" si="1581"/>
        <v>3250</v>
      </c>
      <c r="P1585" s="12">
        <v>500</v>
      </c>
      <c r="Q1585" s="11">
        <f t="shared" si="1582"/>
        <v>30000</v>
      </c>
      <c r="X1585" s="12">
        <v>130</v>
      </c>
      <c r="Y1585" s="11">
        <f t="shared" si="1583"/>
        <v>7800</v>
      </c>
      <c r="AG1585" s="11">
        <f t="shared" si="1584"/>
        <v>0</v>
      </c>
      <c r="AH1585" s="12">
        <v>15</v>
      </c>
      <c r="AI1585" s="11">
        <f t="shared" si="1585"/>
        <v>975</v>
      </c>
      <c r="AJ1585" s="12">
        <v>36000</v>
      </c>
      <c r="AK1585" s="13">
        <f t="shared" si="1586"/>
        <v>324000</v>
      </c>
      <c r="AL1585" s="12">
        <v>600</v>
      </c>
      <c r="AM1585" s="13">
        <f t="shared" si="1587"/>
        <v>5400</v>
      </c>
      <c r="AO1585" s="11">
        <f t="shared" si="1588"/>
        <v>0</v>
      </c>
      <c r="AP1585" s="12">
        <v>50</v>
      </c>
      <c r="AQ1585" s="11">
        <f t="shared" si="1589"/>
        <v>4000</v>
      </c>
      <c r="AR1585" s="12">
        <v>45</v>
      </c>
      <c r="AS1585" s="11">
        <f t="shared" si="1590"/>
        <v>2250</v>
      </c>
      <c r="AT1585" s="12">
        <v>35</v>
      </c>
      <c r="AU1585" s="11">
        <f t="shared" si="1591"/>
        <v>1750</v>
      </c>
      <c r="AW1585" s="11">
        <f t="shared" si="1592"/>
        <v>0</v>
      </c>
      <c r="AY1585" s="11">
        <f t="shared" si="1593"/>
        <v>0</v>
      </c>
      <c r="BA1585" s="11">
        <f t="shared" si="1594"/>
        <v>0</v>
      </c>
      <c r="BC1585" s="11">
        <f t="shared" si="1595"/>
        <v>0</v>
      </c>
      <c r="BE1585" s="11">
        <f t="shared" si="1596"/>
        <v>0</v>
      </c>
      <c r="BG1585" s="11">
        <f t="shared" si="1597"/>
        <v>0</v>
      </c>
      <c r="BN1585" s="8">
        <f t="shared" si="1573"/>
        <v>36675</v>
      </c>
      <c r="BO1585" s="8">
        <f t="shared" si="1574"/>
        <v>364050</v>
      </c>
      <c r="BP1585" s="8">
        <f t="shared" si="1578"/>
        <v>895</v>
      </c>
      <c r="BQ1585" s="12">
        <f t="shared" si="1579"/>
        <v>23175</v>
      </c>
    </row>
    <row r="1586" spans="1:69">
      <c r="A1586" s="28">
        <v>1973</v>
      </c>
      <c r="B1586" s="27" t="s">
        <v>75</v>
      </c>
      <c r="C1586" s="24">
        <f t="shared" si="1577"/>
        <v>1568</v>
      </c>
      <c r="D1586" s="7" t="e">
        <f t="shared" ca="1" si="1553"/>
        <v>#N/A</v>
      </c>
      <c r="E1586" s="26">
        <f t="array" aca="1" ref="E1586" ca="1">AVERAGE(IF(INDIRECT(DatCol&amp;"$"&amp;TEXT(C1586,"###")):INDIRECT(DatCol&amp;"$"&amp;TEXT(C1586+57,"###"))&gt;0,INDIRECT(DatCol&amp;"$"&amp;TEXT(C1586,"###")):INDIRECT(DatCol&amp;"$"&amp;TEXT(C1586+57,"###"))))</f>
        <v>306.38235294117646</v>
      </c>
      <c r="F1586" s="26" t="str">
        <f t="shared" si="1572"/>
        <v>I</v>
      </c>
      <c r="G1586" s="8"/>
      <c r="H1586" s="8">
        <v>227</v>
      </c>
      <c r="I1586" s="8">
        <v>191</v>
      </c>
      <c r="J1586" s="8">
        <v>500</v>
      </c>
      <c r="K1586" s="9">
        <f t="shared" si="1576"/>
        <v>727</v>
      </c>
      <c r="M1586" s="11">
        <f t="shared" si="1580"/>
        <v>0</v>
      </c>
      <c r="N1586" s="12">
        <v>175</v>
      </c>
      <c r="O1586" s="11">
        <f t="shared" si="1581"/>
        <v>8750</v>
      </c>
      <c r="P1586" s="12">
        <v>950</v>
      </c>
      <c r="Q1586" s="11">
        <f t="shared" si="1582"/>
        <v>57000</v>
      </c>
      <c r="X1586" s="12">
        <v>750</v>
      </c>
      <c r="Y1586" s="11">
        <f t="shared" si="1583"/>
        <v>45000</v>
      </c>
      <c r="AG1586" s="11">
        <f t="shared" si="1584"/>
        <v>0</v>
      </c>
      <c r="AH1586" s="12">
        <v>15</v>
      </c>
      <c r="AI1586" s="11">
        <f t="shared" si="1585"/>
        <v>975</v>
      </c>
      <c r="AJ1586" s="12">
        <v>42000</v>
      </c>
      <c r="AK1586" s="13">
        <f t="shared" si="1586"/>
        <v>378000</v>
      </c>
      <c r="AL1586" s="12">
        <v>1250</v>
      </c>
      <c r="AM1586" s="13">
        <f t="shared" si="1587"/>
        <v>11250</v>
      </c>
      <c r="AO1586" s="11">
        <f t="shared" si="1588"/>
        <v>0</v>
      </c>
      <c r="AQ1586" s="11">
        <f t="shared" si="1589"/>
        <v>0</v>
      </c>
      <c r="AS1586" s="11">
        <f t="shared" si="1590"/>
        <v>0</v>
      </c>
      <c r="AT1586" s="12">
        <v>25</v>
      </c>
      <c r="AU1586" s="11">
        <f t="shared" si="1591"/>
        <v>1250</v>
      </c>
      <c r="AW1586" s="11">
        <f t="shared" si="1592"/>
        <v>0</v>
      </c>
      <c r="AY1586" s="11">
        <f t="shared" si="1593"/>
        <v>0</v>
      </c>
      <c r="BA1586" s="11">
        <f t="shared" si="1594"/>
        <v>0</v>
      </c>
      <c r="BC1586" s="11">
        <f t="shared" si="1595"/>
        <v>0</v>
      </c>
      <c r="BE1586" s="11">
        <f t="shared" si="1596"/>
        <v>0</v>
      </c>
      <c r="BG1586" s="11">
        <f t="shared" si="1597"/>
        <v>0</v>
      </c>
      <c r="BN1586" s="8">
        <f t="shared" si="1573"/>
        <v>43700</v>
      </c>
      <c r="BO1586" s="8">
        <f t="shared" si="1574"/>
        <v>480000</v>
      </c>
      <c r="BP1586" s="8">
        <f t="shared" si="1578"/>
        <v>2215</v>
      </c>
      <c r="BQ1586" s="12">
        <f t="shared" si="1579"/>
        <v>67225</v>
      </c>
    </row>
    <row r="1587" spans="1:69">
      <c r="A1587" s="28">
        <v>1974</v>
      </c>
      <c r="B1587" s="27" t="s">
        <v>75</v>
      </c>
      <c r="C1587" s="24">
        <f t="shared" si="1577"/>
        <v>1568</v>
      </c>
      <c r="D1587" s="7" t="e">
        <f t="shared" ca="1" si="1553"/>
        <v>#N/A</v>
      </c>
      <c r="E1587" s="26">
        <f t="array" aca="1" ref="E1587" ca="1">AVERAGE(IF(INDIRECT(DatCol&amp;"$"&amp;TEXT(C1587,"###")):INDIRECT(DatCol&amp;"$"&amp;TEXT(C1587+57,"###"))&gt;0,INDIRECT(DatCol&amp;"$"&amp;TEXT(C1587,"###")):INDIRECT(DatCol&amp;"$"&amp;TEXT(C1587+57,"###"))))</f>
        <v>306.38235294117646</v>
      </c>
      <c r="F1587" s="26" t="str">
        <f t="shared" si="1572"/>
        <v>I</v>
      </c>
      <c r="G1587" s="8"/>
      <c r="H1587" s="8">
        <v>103</v>
      </c>
      <c r="I1587" s="8">
        <v>371</v>
      </c>
      <c r="J1587" s="8">
        <v>850</v>
      </c>
      <c r="K1587" s="9">
        <f t="shared" si="1576"/>
        <v>953</v>
      </c>
      <c r="M1587" s="11">
        <f t="shared" si="1580"/>
        <v>0</v>
      </c>
      <c r="N1587" s="12">
        <v>250</v>
      </c>
      <c r="O1587" s="11">
        <f t="shared" si="1581"/>
        <v>12500</v>
      </c>
      <c r="P1587" s="12">
        <v>650</v>
      </c>
      <c r="Q1587" s="11">
        <f t="shared" si="1582"/>
        <v>39000</v>
      </c>
      <c r="X1587" s="12">
        <v>1000</v>
      </c>
      <c r="Y1587" s="11">
        <f t="shared" si="1583"/>
        <v>60000</v>
      </c>
      <c r="AG1587" s="11">
        <f t="shared" si="1584"/>
        <v>0</v>
      </c>
      <c r="AH1587" s="12">
        <v>5</v>
      </c>
      <c r="AI1587" s="11">
        <f t="shared" si="1585"/>
        <v>325</v>
      </c>
      <c r="AJ1587" s="12">
        <v>44100</v>
      </c>
      <c r="AK1587" s="13">
        <f t="shared" si="1586"/>
        <v>396900</v>
      </c>
      <c r="AL1587" s="12">
        <v>750</v>
      </c>
      <c r="AM1587" s="13">
        <f t="shared" si="1587"/>
        <v>6750</v>
      </c>
      <c r="AO1587" s="11">
        <f t="shared" si="1588"/>
        <v>0</v>
      </c>
      <c r="AP1587" s="12">
        <v>25</v>
      </c>
      <c r="AQ1587" s="11">
        <f t="shared" si="1589"/>
        <v>2000</v>
      </c>
      <c r="AS1587" s="11">
        <f t="shared" si="1590"/>
        <v>0</v>
      </c>
      <c r="AT1587" s="12">
        <v>5</v>
      </c>
      <c r="AU1587" s="11">
        <f t="shared" si="1591"/>
        <v>250</v>
      </c>
      <c r="AW1587" s="11">
        <f t="shared" si="1592"/>
        <v>0</v>
      </c>
      <c r="AY1587" s="11">
        <f t="shared" si="1593"/>
        <v>0</v>
      </c>
      <c r="BA1587" s="11">
        <f t="shared" si="1594"/>
        <v>0</v>
      </c>
      <c r="BC1587" s="11">
        <f t="shared" si="1595"/>
        <v>0</v>
      </c>
      <c r="BE1587" s="11">
        <f t="shared" si="1596"/>
        <v>0</v>
      </c>
      <c r="BG1587" s="11">
        <f t="shared" si="1597"/>
        <v>0</v>
      </c>
      <c r="BN1587" s="8">
        <f t="shared" si="1573"/>
        <v>45750</v>
      </c>
      <c r="BO1587" s="8">
        <f t="shared" si="1574"/>
        <v>495900</v>
      </c>
      <c r="BP1587" s="8">
        <f t="shared" si="1578"/>
        <v>2035</v>
      </c>
      <c r="BQ1587" s="12">
        <f t="shared" si="1579"/>
        <v>81825</v>
      </c>
    </row>
    <row r="1588" spans="1:69">
      <c r="A1588" s="28">
        <v>1975</v>
      </c>
      <c r="B1588" s="27" t="s">
        <v>75</v>
      </c>
      <c r="C1588" s="24">
        <f t="shared" si="1577"/>
        <v>1568</v>
      </c>
      <c r="D1588" s="7" t="e">
        <f t="shared" ca="1" si="1553"/>
        <v>#N/A</v>
      </c>
      <c r="E1588" s="26">
        <f t="array" aca="1" ref="E1588" ca="1">AVERAGE(IF(INDIRECT(DatCol&amp;"$"&amp;TEXT(C1588,"###")):INDIRECT(DatCol&amp;"$"&amp;TEXT(C1588+57,"###"))&gt;0,INDIRECT(DatCol&amp;"$"&amp;TEXT(C1588,"###")):INDIRECT(DatCol&amp;"$"&amp;TEXT(C1588+57,"###"))))</f>
        <v>306.38235294117646</v>
      </c>
      <c r="F1588" s="26" t="str">
        <f t="shared" si="1572"/>
        <v>I</v>
      </c>
      <c r="G1588" s="8"/>
      <c r="H1588" s="8">
        <v>240</v>
      </c>
      <c r="I1588" s="8">
        <v>373</v>
      </c>
      <c r="J1588" s="8">
        <v>811</v>
      </c>
      <c r="K1588" s="9">
        <f t="shared" si="1576"/>
        <v>1051</v>
      </c>
      <c r="M1588" s="11">
        <f t="shared" si="1580"/>
        <v>0</v>
      </c>
      <c r="N1588" s="12">
        <v>300</v>
      </c>
      <c r="O1588" s="11">
        <f t="shared" si="1581"/>
        <v>15000</v>
      </c>
      <c r="P1588" s="12">
        <v>500</v>
      </c>
      <c r="Q1588" s="11">
        <f t="shared" si="1582"/>
        <v>30000</v>
      </c>
      <c r="X1588" s="12">
        <v>1200</v>
      </c>
      <c r="Y1588" s="11">
        <f t="shared" si="1583"/>
        <v>72000</v>
      </c>
      <c r="AG1588" s="11">
        <f t="shared" si="1584"/>
        <v>0</v>
      </c>
      <c r="AH1588" s="12">
        <v>12</v>
      </c>
      <c r="AI1588" s="11">
        <f t="shared" si="1585"/>
        <v>780</v>
      </c>
      <c r="AJ1588" s="12">
        <v>90000</v>
      </c>
      <c r="AK1588" s="13">
        <f t="shared" si="1586"/>
        <v>810000</v>
      </c>
      <c r="AL1588" s="12">
        <v>1800</v>
      </c>
      <c r="AM1588" s="13">
        <f t="shared" si="1587"/>
        <v>16200</v>
      </c>
      <c r="AO1588" s="11">
        <f t="shared" si="1588"/>
        <v>0</v>
      </c>
      <c r="AP1588" s="12">
        <v>50</v>
      </c>
      <c r="AQ1588" s="11">
        <f t="shared" si="1589"/>
        <v>4000</v>
      </c>
      <c r="AS1588" s="11">
        <f t="shared" si="1590"/>
        <v>0</v>
      </c>
      <c r="AT1588" s="12">
        <v>8</v>
      </c>
      <c r="AU1588" s="11">
        <f t="shared" si="1591"/>
        <v>400</v>
      </c>
      <c r="AW1588" s="11">
        <f t="shared" si="1592"/>
        <v>0</v>
      </c>
      <c r="AY1588" s="11">
        <f t="shared" si="1593"/>
        <v>0</v>
      </c>
      <c r="BA1588" s="11">
        <f t="shared" si="1594"/>
        <v>0</v>
      </c>
      <c r="BC1588" s="11">
        <f t="shared" si="1595"/>
        <v>0</v>
      </c>
      <c r="BE1588" s="11">
        <f t="shared" si="1596"/>
        <v>0</v>
      </c>
      <c r="BG1588" s="11">
        <f t="shared" si="1597"/>
        <v>0</v>
      </c>
      <c r="BN1588" s="8">
        <f t="shared" si="1573"/>
        <v>91700</v>
      </c>
      <c r="BO1588" s="8">
        <f t="shared" si="1574"/>
        <v>912000</v>
      </c>
      <c r="BP1588" s="8">
        <f t="shared" si="1578"/>
        <v>3370</v>
      </c>
      <c r="BQ1588" s="12">
        <f t="shared" si="1579"/>
        <v>108380</v>
      </c>
    </row>
    <row r="1589" spans="1:69">
      <c r="A1589" s="28">
        <v>1976</v>
      </c>
      <c r="B1589" s="27" t="s">
        <v>75</v>
      </c>
      <c r="C1589" s="24">
        <f t="shared" si="1577"/>
        <v>1568</v>
      </c>
      <c r="D1589" s="7" t="e">
        <f t="shared" ca="1" si="1553"/>
        <v>#N/A</v>
      </c>
      <c r="E1589" s="26">
        <f t="array" aca="1" ref="E1589" ca="1">AVERAGE(IF(INDIRECT(DatCol&amp;"$"&amp;TEXT(C1589,"###")):INDIRECT(DatCol&amp;"$"&amp;TEXT(C1589+57,"###"))&gt;0,INDIRECT(DatCol&amp;"$"&amp;TEXT(C1589,"###")):INDIRECT(DatCol&amp;"$"&amp;TEXT(C1589+57,"###"))))</f>
        <v>306.38235294117646</v>
      </c>
      <c r="F1589" s="26" t="str">
        <f t="shared" si="1572"/>
        <v>I</v>
      </c>
      <c r="G1589" s="8"/>
      <c r="H1589" s="8">
        <v>100</v>
      </c>
      <c r="I1589" s="8">
        <v>301</v>
      </c>
      <c r="J1589" s="8">
        <v>971</v>
      </c>
      <c r="K1589" s="9">
        <f t="shared" si="1576"/>
        <v>1071</v>
      </c>
      <c r="M1589" s="11">
        <f t="shared" si="1580"/>
        <v>0</v>
      </c>
      <c r="N1589" s="12">
        <v>380</v>
      </c>
      <c r="O1589" s="11">
        <f t="shared" si="1581"/>
        <v>19000</v>
      </c>
      <c r="P1589" s="12">
        <v>700</v>
      </c>
      <c r="Q1589" s="11">
        <f t="shared" si="1582"/>
        <v>42000</v>
      </c>
      <c r="X1589" s="12">
        <v>950</v>
      </c>
      <c r="Y1589" s="11">
        <f t="shared" si="1583"/>
        <v>57000</v>
      </c>
      <c r="AG1589" s="11">
        <f t="shared" si="1584"/>
        <v>0</v>
      </c>
      <c r="AH1589" s="12">
        <v>5</v>
      </c>
      <c r="AI1589" s="11">
        <f t="shared" si="1585"/>
        <v>325</v>
      </c>
      <c r="AJ1589" s="12">
        <v>65000</v>
      </c>
      <c r="AK1589" s="13">
        <f t="shared" si="1586"/>
        <v>585000</v>
      </c>
      <c r="AL1589" s="12">
        <v>1400</v>
      </c>
      <c r="AM1589" s="13">
        <f t="shared" si="1587"/>
        <v>12600</v>
      </c>
      <c r="AO1589" s="11">
        <f t="shared" si="1588"/>
        <v>0</v>
      </c>
      <c r="AP1589" s="12">
        <v>35</v>
      </c>
      <c r="AQ1589" s="11">
        <f t="shared" si="1589"/>
        <v>2800</v>
      </c>
      <c r="AS1589" s="11">
        <f t="shared" si="1590"/>
        <v>0</v>
      </c>
      <c r="AT1589" s="12">
        <v>35</v>
      </c>
      <c r="AU1589" s="11">
        <f t="shared" si="1591"/>
        <v>1750</v>
      </c>
      <c r="AW1589" s="11">
        <f t="shared" si="1592"/>
        <v>0</v>
      </c>
      <c r="AY1589" s="11">
        <f t="shared" si="1593"/>
        <v>0</v>
      </c>
      <c r="BA1589" s="11">
        <f t="shared" si="1594"/>
        <v>0</v>
      </c>
      <c r="BC1589" s="11">
        <f t="shared" si="1595"/>
        <v>0</v>
      </c>
      <c r="BE1589" s="11">
        <f t="shared" si="1596"/>
        <v>0</v>
      </c>
      <c r="BG1589" s="11">
        <f t="shared" si="1597"/>
        <v>0</v>
      </c>
      <c r="BN1589" s="8">
        <f t="shared" si="1573"/>
        <v>66650</v>
      </c>
      <c r="BO1589" s="8">
        <f t="shared" si="1574"/>
        <v>684000</v>
      </c>
      <c r="BP1589" s="8">
        <f t="shared" si="1578"/>
        <v>2805</v>
      </c>
      <c r="BQ1589" s="12">
        <f t="shared" si="1579"/>
        <v>93475</v>
      </c>
    </row>
    <row r="1590" spans="1:69">
      <c r="A1590" s="28">
        <v>1977</v>
      </c>
      <c r="B1590" s="27" t="s">
        <v>75</v>
      </c>
      <c r="C1590" s="24">
        <f t="shared" si="1577"/>
        <v>1568</v>
      </c>
      <c r="D1590" s="7" t="e">
        <f t="shared" ca="1" si="1553"/>
        <v>#N/A</v>
      </c>
      <c r="E1590" s="26">
        <f t="array" aca="1" ref="E1590" ca="1">AVERAGE(IF(INDIRECT(DatCol&amp;"$"&amp;TEXT(C1590,"###")):INDIRECT(DatCol&amp;"$"&amp;TEXT(C1590+57,"###"))&gt;0,INDIRECT(DatCol&amp;"$"&amp;TEXT(C1590,"###")):INDIRECT(DatCol&amp;"$"&amp;TEXT(C1590+57,"###"))))</f>
        <v>306.38235294117646</v>
      </c>
      <c r="F1590" s="26" t="str">
        <f t="shared" si="1572"/>
        <v>I</v>
      </c>
      <c r="G1590" s="8"/>
      <c r="H1590" s="8">
        <v>150</v>
      </c>
      <c r="I1590" s="8">
        <v>386</v>
      </c>
      <c r="J1590" s="8">
        <v>909</v>
      </c>
      <c r="K1590" s="9">
        <f t="shared" si="1576"/>
        <v>1059</v>
      </c>
      <c r="M1590" s="11">
        <f t="shared" si="1580"/>
        <v>0</v>
      </c>
      <c r="N1590" s="12">
        <v>215</v>
      </c>
      <c r="O1590" s="11">
        <f t="shared" si="1581"/>
        <v>10750</v>
      </c>
      <c r="P1590" s="12">
        <v>650</v>
      </c>
      <c r="Q1590" s="11">
        <f t="shared" si="1582"/>
        <v>39000</v>
      </c>
      <c r="X1590" s="12">
        <v>500</v>
      </c>
      <c r="Y1590" s="11">
        <f t="shared" si="1583"/>
        <v>30000</v>
      </c>
      <c r="AG1590" s="11">
        <f t="shared" si="1584"/>
        <v>0</v>
      </c>
      <c r="AH1590" s="12">
        <v>2</v>
      </c>
      <c r="AI1590" s="11">
        <f t="shared" si="1585"/>
        <v>130</v>
      </c>
      <c r="AJ1590" s="12">
        <v>56400</v>
      </c>
      <c r="AK1590" s="13">
        <f t="shared" si="1586"/>
        <v>507600</v>
      </c>
      <c r="AL1590" s="12">
        <v>1500</v>
      </c>
      <c r="AM1590" s="13">
        <f t="shared" si="1587"/>
        <v>13500</v>
      </c>
      <c r="AO1590" s="11">
        <f t="shared" si="1588"/>
        <v>0</v>
      </c>
      <c r="AP1590" s="12">
        <v>20</v>
      </c>
      <c r="AQ1590" s="11">
        <f t="shared" si="1589"/>
        <v>1600</v>
      </c>
      <c r="AS1590" s="11">
        <f t="shared" si="1590"/>
        <v>0</v>
      </c>
      <c r="AT1590" s="12">
        <v>20</v>
      </c>
      <c r="AU1590" s="11">
        <f t="shared" si="1591"/>
        <v>1000</v>
      </c>
      <c r="AW1590" s="11">
        <f t="shared" si="1592"/>
        <v>0</v>
      </c>
      <c r="AY1590" s="11">
        <f t="shared" si="1593"/>
        <v>0</v>
      </c>
      <c r="BA1590" s="11">
        <f t="shared" si="1594"/>
        <v>0</v>
      </c>
      <c r="BC1590" s="11">
        <f t="shared" si="1595"/>
        <v>0</v>
      </c>
      <c r="BE1590" s="11">
        <f t="shared" si="1596"/>
        <v>0</v>
      </c>
      <c r="BG1590" s="11">
        <f t="shared" si="1597"/>
        <v>0</v>
      </c>
      <c r="BN1590" s="8">
        <f t="shared" si="1573"/>
        <v>57550</v>
      </c>
      <c r="BO1590" s="8">
        <f t="shared" si="1574"/>
        <v>576600</v>
      </c>
      <c r="BP1590" s="8">
        <f t="shared" si="1578"/>
        <v>2257</v>
      </c>
      <c r="BQ1590" s="12">
        <f t="shared" si="1579"/>
        <v>56980</v>
      </c>
    </row>
    <row r="1591" spans="1:69">
      <c r="A1591" s="28">
        <v>1978</v>
      </c>
      <c r="B1591" s="27" t="s">
        <v>75</v>
      </c>
      <c r="C1591" s="24">
        <f t="shared" si="1577"/>
        <v>1568</v>
      </c>
      <c r="D1591" s="7" t="e">
        <f t="shared" ca="1" si="1553"/>
        <v>#N/A</v>
      </c>
      <c r="E1591" s="26">
        <f t="array" aca="1" ref="E1591" ca="1">AVERAGE(IF(INDIRECT(DatCol&amp;"$"&amp;TEXT(C1591,"###")):INDIRECT(DatCol&amp;"$"&amp;TEXT(C1591+57,"###"))&gt;0,INDIRECT(DatCol&amp;"$"&amp;TEXT(C1591,"###")):INDIRECT(DatCol&amp;"$"&amp;TEXT(C1591+57,"###"))))</f>
        <v>306.38235294117646</v>
      </c>
      <c r="F1591" s="26" t="str">
        <f t="shared" si="1572"/>
        <v>I</v>
      </c>
      <c r="G1591" s="8"/>
      <c r="H1591" s="8">
        <v>23</v>
      </c>
      <c r="I1591" s="8">
        <v>270</v>
      </c>
      <c r="J1591" s="8">
        <v>777</v>
      </c>
      <c r="K1591" s="9">
        <f t="shared" si="1576"/>
        <v>800</v>
      </c>
      <c r="M1591" s="11">
        <f t="shared" si="1580"/>
        <v>0</v>
      </c>
      <c r="N1591" s="12">
        <v>100</v>
      </c>
      <c r="O1591" s="11">
        <f t="shared" si="1581"/>
        <v>5000</v>
      </c>
      <c r="P1591" s="12">
        <v>500</v>
      </c>
      <c r="Q1591" s="11">
        <f t="shared" si="1582"/>
        <v>30000</v>
      </c>
      <c r="X1591" s="12">
        <v>350</v>
      </c>
      <c r="Y1591" s="11">
        <f t="shared" si="1583"/>
        <v>21000</v>
      </c>
      <c r="AG1591" s="11">
        <f t="shared" si="1584"/>
        <v>0</v>
      </c>
      <c r="AH1591" s="12">
        <v>5</v>
      </c>
      <c r="AI1591" s="11">
        <f t="shared" si="1585"/>
        <v>325</v>
      </c>
      <c r="AJ1591" s="12">
        <v>40000</v>
      </c>
      <c r="AK1591" s="13">
        <f t="shared" si="1586"/>
        <v>360000</v>
      </c>
      <c r="AL1591" s="12">
        <v>1200</v>
      </c>
      <c r="AM1591" s="13">
        <f t="shared" si="1587"/>
        <v>10800</v>
      </c>
      <c r="AN1591" s="12">
        <v>100</v>
      </c>
      <c r="AO1591" s="11">
        <f t="shared" si="1588"/>
        <v>8000</v>
      </c>
      <c r="AP1591" s="12">
        <v>15</v>
      </c>
      <c r="AQ1591" s="11">
        <f t="shared" si="1589"/>
        <v>1200</v>
      </c>
      <c r="AS1591" s="11">
        <f t="shared" si="1590"/>
        <v>0</v>
      </c>
      <c r="AT1591" s="12">
        <v>5</v>
      </c>
      <c r="AU1591" s="11">
        <f t="shared" si="1591"/>
        <v>250</v>
      </c>
      <c r="AW1591" s="11">
        <f t="shared" si="1592"/>
        <v>0</v>
      </c>
      <c r="AY1591" s="11">
        <f t="shared" si="1593"/>
        <v>0</v>
      </c>
      <c r="BA1591" s="11">
        <f t="shared" si="1594"/>
        <v>0</v>
      </c>
      <c r="BC1591" s="11">
        <f t="shared" si="1595"/>
        <v>0</v>
      </c>
      <c r="BE1591" s="11">
        <f t="shared" si="1596"/>
        <v>0</v>
      </c>
      <c r="BG1591" s="11">
        <f t="shared" si="1597"/>
        <v>0</v>
      </c>
      <c r="BN1591" s="8">
        <f t="shared" si="1573"/>
        <v>40950</v>
      </c>
      <c r="BO1591" s="8">
        <f t="shared" si="1574"/>
        <v>419000</v>
      </c>
      <c r="BP1591" s="8">
        <f t="shared" si="1578"/>
        <v>1675</v>
      </c>
      <c r="BQ1591" s="12">
        <f t="shared" si="1579"/>
        <v>38575</v>
      </c>
    </row>
    <row r="1592" spans="1:69">
      <c r="A1592" s="28">
        <v>1979</v>
      </c>
      <c r="B1592" s="27" t="s">
        <v>75</v>
      </c>
      <c r="C1592" s="24">
        <f t="shared" si="1577"/>
        <v>1568</v>
      </c>
      <c r="D1592" s="7" t="e">
        <f t="shared" ca="1" si="1553"/>
        <v>#N/A</v>
      </c>
      <c r="E1592" s="26">
        <f t="array" aca="1" ref="E1592" ca="1">AVERAGE(IF(INDIRECT(DatCol&amp;"$"&amp;TEXT(C1592,"###")):INDIRECT(DatCol&amp;"$"&amp;TEXT(C1592+57,"###"))&gt;0,INDIRECT(DatCol&amp;"$"&amp;TEXT(C1592,"###")):INDIRECT(DatCol&amp;"$"&amp;TEXT(C1592+57,"###"))))</f>
        <v>306.38235294117646</v>
      </c>
      <c r="F1592" s="26" t="str">
        <f t="shared" si="1572"/>
        <v>I</v>
      </c>
      <c r="G1592" s="8"/>
      <c r="H1592" s="8">
        <v>97</v>
      </c>
      <c r="I1592" s="8">
        <v>329</v>
      </c>
      <c r="J1592" s="8">
        <v>1000</v>
      </c>
      <c r="K1592" s="9">
        <f t="shared" si="1576"/>
        <v>1097</v>
      </c>
      <c r="M1592" s="11">
        <f t="shared" ref="M1592:M1607" si="1598">(L1592*50)</f>
        <v>0</v>
      </c>
      <c r="N1592" s="12">
        <v>75</v>
      </c>
      <c r="O1592" s="11">
        <f t="shared" ref="O1592:O1607" si="1599">(N1592*50)</f>
        <v>3750</v>
      </c>
      <c r="Q1592" s="11">
        <f t="shared" ref="Q1592:Q1607" si="1600">((P1592*330)/5.5)</f>
        <v>0</v>
      </c>
      <c r="X1592" s="12">
        <v>400</v>
      </c>
      <c r="Y1592" s="11">
        <f t="shared" ref="Y1592:Y1607" si="1601">((X1592*330)/5.5)</f>
        <v>24000</v>
      </c>
      <c r="AG1592" s="11">
        <f t="shared" ref="AG1592:AG1607" si="1602">(AF1592*65)</f>
        <v>0</v>
      </c>
      <c r="AH1592" s="12">
        <v>8</v>
      </c>
      <c r="AI1592" s="11">
        <f t="shared" ref="AI1592:AI1607" si="1603">(AH1592*65)</f>
        <v>520</v>
      </c>
      <c r="AJ1592" s="12">
        <v>59000</v>
      </c>
      <c r="AK1592" s="13">
        <f t="shared" ref="AK1592:AK1607" si="1604">(AJ1592*9)</f>
        <v>531000</v>
      </c>
      <c r="AL1592" s="12">
        <v>3500</v>
      </c>
      <c r="AM1592" s="13">
        <f t="shared" ref="AM1592:AM1607" si="1605">(AL1592*9)</f>
        <v>31500</v>
      </c>
      <c r="AN1592" s="12">
        <v>100</v>
      </c>
      <c r="AO1592" s="11">
        <f t="shared" ref="AO1592:AO1607" si="1606">(AN1592*80)</f>
        <v>8000</v>
      </c>
      <c r="AQ1592" s="11">
        <f t="shared" ref="AQ1592:AQ1607" si="1607">(AP1592*80)</f>
        <v>0</v>
      </c>
      <c r="AS1592" s="11">
        <f t="shared" ref="AS1592:AS1607" si="1608">(AR1592*50)</f>
        <v>0</v>
      </c>
      <c r="AT1592" s="12">
        <v>35</v>
      </c>
      <c r="AU1592" s="11">
        <f t="shared" ref="AU1592:AU1607" si="1609">(AT1592*50)</f>
        <v>1750</v>
      </c>
      <c r="AW1592" s="11">
        <f t="shared" ref="AW1592:AW1607" si="1610">(AV1592*60)</f>
        <v>0</v>
      </c>
      <c r="AY1592" s="11">
        <f t="shared" ref="AY1592:AY1607" si="1611">(AX1592*60)</f>
        <v>0</v>
      </c>
      <c r="BA1592" s="11">
        <f t="shared" ref="BA1592:BA1607" si="1612">(AZ1592*40)</f>
        <v>0</v>
      </c>
      <c r="BC1592" s="11">
        <f t="shared" ref="BC1592:BC1607" si="1613">(BB1592*40)</f>
        <v>0</v>
      </c>
      <c r="BE1592" s="11">
        <f t="shared" ref="BE1592:BE1607" si="1614">(BD1592*95)</f>
        <v>0</v>
      </c>
      <c r="BG1592" s="11">
        <f t="shared" ref="BG1592:BG1607" si="1615">(BF1592*95)</f>
        <v>0</v>
      </c>
      <c r="BN1592" s="8">
        <f t="shared" si="1573"/>
        <v>59500</v>
      </c>
      <c r="BO1592" s="8">
        <f t="shared" si="1574"/>
        <v>563000</v>
      </c>
      <c r="BP1592" s="8">
        <f t="shared" si="1578"/>
        <v>4018</v>
      </c>
      <c r="BQ1592" s="12">
        <f t="shared" si="1579"/>
        <v>61520</v>
      </c>
    </row>
    <row r="1593" spans="1:69">
      <c r="A1593" s="28">
        <v>1980</v>
      </c>
      <c r="B1593" s="27" t="s">
        <v>75</v>
      </c>
      <c r="C1593" s="24">
        <f t="shared" si="1577"/>
        <v>1568</v>
      </c>
      <c r="D1593" s="7" t="e">
        <f t="shared" ca="1" si="1553"/>
        <v>#N/A</v>
      </c>
      <c r="E1593" s="26">
        <f t="array" aca="1" ref="E1593" ca="1">AVERAGE(IF(INDIRECT(DatCol&amp;"$"&amp;TEXT(C1593,"###")):INDIRECT(DatCol&amp;"$"&amp;TEXT(C1593+57,"###"))&gt;0,INDIRECT(DatCol&amp;"$"&amp;TEXT(C1593,"###")):INDIRECT(DatCol&amp;"$"&amp;TEXT(C1593+57,"###"))))</f>
        <v>306.38235294117646</v>
      </c>
      <c r="F1593" s="26" t="str">
        <f t="shared" si="1572"/>
        <v>I</v>
      </c>
      <c r="G1593" s="8"/>
      <c r="H1593" s="8">
        <v>50</v>
      </c>
      <c r="I1593" s="8">
        <v>435</v>
      </c>
      <c r="J1593" s="8">
        <v>1300</v>
      </c>
      <c r="K1593" s="9">
        <f t="shared" si="1576"/>
        <v>1350</v>
      </c>
      <c r="M1593" s="11">
        <f t="shared" si="1598"/>
        <v>0</v>
      </c>
      <c r="N1593" s="12">
        <v>100</v>
      </c>
      <c r="O1593" s="11">
        <f t="shared" si="1599"/>
        <v>5000</v>
      </c>
      <c r="P1593" s="12">
        <v>1670</v>
      </c>
      <c r="Q1593" s="11">
        <f t="shared" si="1600"/>
        <v>100200</v>
      </c>
      <c r="X1593" s="12">
        <v>300</v>
      </c>
      <c r="Y1593" s="11">
        <f t="shared" si="1601"/>
        <v>18000</v>
      </c>
      <c r="AG1593" s="11">
        <f t="shared" si="1602"/>
        <v>0</v>
      </c>
      <c r="AH1593" s="12">
        <v>2</v>
      </c>
      <c r="AI1593" s="11">
        <f t="shared" si="1603"/>
        <v>130</v>
      </c>
      <c r="AJ1593" s="12">
        <v>96000</v>
      </c>
      <c r="AK1593" s="13">
        <f t="shared" si="1604"/>
        <v>864000</v>
      </c>
      <c r="AL1593" s="12">
        <v>4800</v>
      </c>
      <c r="AM1593" s="13">
        <f t="shared" si="1605"/>
        <v>43200</v>
      </c>
      <c r="AN1593" s="12">
        <v>75</v>
      </c>
      <c r="AO1593" s="11">
        <f t="shared" si="1606"/>
        <v>6000</v>
      </c>
      <c r="AQ1593" s="11">
        <f t="shared" si="1607"/>
        <v>0</v>
      </c>
      <c r="AR1593" s="12">
        <v>450</v>
      </c>
      <c r="AS1593" s="11">
        <f t="shared" si="1608"/>
        <v>22500</v>
      </c>
      <c r="AT1593" s="12">
        <v>200</v>
      </c>
      <c r="AU1593" s="11">
        <f t="shared" si="1609"/>
        <v>10000</v>
      </c>
      <c r="AV1593" s="12" t="s">
        <v>76</v>
      </c>
      <c r="AW1593" s="11">
        <f t="shared" si="1610"/>
        <v>0</v>
      </c>
      <c r="AY1593" s="11">
        <f t="shared" si="1611"/>
        <v>0</v>
      </c>
      <c r="BA1593" s="11">
        <f t="shared" si="1612"/>
        <v>0</v>
      </c>
      <c r="BC1593" s="11">
        <f t="shared" si="1613"/>
        <v>0</v>
      </c>
      <c r="BE1593" s="11">
        <f t="shared" si="1614"/>
        <v>0</v>
      </c>
      <c r="BG1593" s="11">
        <f t="shared" si="1615"/>
        <v>0</v>
      </c>
      <c r="BN1593" s="8">
        <f t="shared" si="1573"/>
        <v>98495</v>
      </c>
      <c r="BO1593" s="8">
        <f t="shared" si="1574"/>
        <v>1010700</v>
      </c>
      <c r="BP1593" s="8">
        <f t="shared" si="1578"/>
        <v>5402</v>
      </c>
      <c r="BQ1593" s="12">
        <f t="shared" si="1579"/>
        <v>76330</v>
      </c>
    </row>
    <row r="1594" spans="1:69">
      <c r="A1594" s="28">
        <v>1981</v>
      </c>
      <c r="B1594" s="27" t="s">
        <v>75</v>
      </c>
      <c r="C1594" s="24">
        <f t="shared" si="1577"/>
        <v>1568</v>
      </c>
      <c r="D1594" s="7" t="e">
        <f t="shared" ca="1" si="1553"/>
        <v>#N/A</v>
      </c>
      <c r="E1594" s="26">
        <f t="array" aca="1" ref="E1594" ca="1">AVERAGE(IF(INDIRECT(DatCol&amp;"$"&amp;TEXT(C1594,"###")):INDIRECT(DatCol&amp;"$"&amp;TEXT(C1594+57,"###"))&gt;0,INDIRECT(DatCol&amp;"$"&amp;TEXT(C1594,"###")):INDIRECT(DatCol&amp;"$"&amp;TEXT(C1594+57,"###"))))</f>
        <v>306.38235294117646</v>
      </c>
      <c r="F1594" s="26" t="str">
        <f t="shared" si="1572"/>
        <v>I</v>
      </c>
      <c r="G1594" s="8"/>
      <c r="H1594" s="8">
        <v>25</v>
      </c>
      <c r="I1594" s="8">
        <v>380</v>
      </c>
      <c r="J1594" s="8">
        <v>1325</v>
      </c>
      <c r="K1594" s="9">
        <f t="shared" si="1576"/>
        <v>1350</v>
      </c>
      <c r="M1594" s="11">
        <f t="shared" si="1598"/>
        <v>0</v>
      </c>
      <c r="N1594" s="12">
        <v>85</v>
      </c>
      <c r="O1594" s="11">
        <f t="shared" si="1599"/>
        <v>4250</v>
      </c>
      <c r="P1594" s="12">
        <v>1860</v>
      </c>
      <c r="Q1594" s="11">
        <f t="shared" si="1600"/>
        <v>111600</v>
      </c>
      <c r="X1594" s="12">
        <v>280</v>
      </c>
      <c r="Y1594" s="11">
        <f t="shared" si="1601"/>
        <v>16800</v>
      </c>
      <c r="AG1594" s="11">
        <f t="shared" si="1602"/>
        <v>0</v>
      </c>
      <c r="AH1594" s="12">
        <v>10</v>
      </c>
      <c r="AI1594" s="11">
        <f t="shared" si="1603"/>
        <v>650</v>
      </c>
      <c r="AJ1594" s="12">
        <v>117600</v>
      </c>
      <c r="AK1594" s="13">
        <f t="shared" si="1604"/>
        <v>1058400</v>
      </c>
      <c r="AL1594" s="12">
        <v>1800</v>
      </c>
      <c r="AM1594" s="13">
        <f t="shared" si="1605"/>
        <v>16200</v>
      </c>
      <c r="AO1594" s="11">
        <f t="shared" si="1606"/>
        <v>0</v>
      </c>
      <c r="AQ1594" s="11">
        <f t="shared" si="1607"/>
        <v>0</v>
      </c>
      <c r="AR1594" s="12">
        <v>500</v>
      </c>
      <c r="AS1594" s="11">
        <f t="shared" si="1608"/>
        <v>25000</v>
      </c>
      <c r="AT1594" s="12">
        <v>175</v>
      </c>
      <c r="AU1594" s="11">
        <f t="shared" si="1609"/>
        <v>8750</v>
      </c>
      <c r="AV1594" s="12" t="s">
        <v>77</v>
      </c>
      <c r="AW1594" s="11">
        <f t="shared" si="1610"/>
        <v>0</v>
      </c>
      <c r="AY1594" s="11">
        <f t="shared" si="1611"/>
        <v>0</v>
      </c>
      <c r="BA1594" s="11">
        <f t="shared" si="1612"/>
        <v>0</v>
      </c>
      <c r="BC1594" s="11">
        <f t="shared" si="1613"/>
        <v>0</v>
      </c>
      <c r="BE1594" s="11">
        <f t="shared" si="1614"/>
        <v>0</v>
      </c>
      <c r="BG1594" s="11">
        <f t="shared" si="1615"/>
        <v>0</v>
      </c>
      <c r="BN1594" s="8">
        <f t="shared" si="1573"/>
        <v>120240</v>
      </c>
      <c r="BO1594" s="8">
        <f t="shared" si="1574"/>
        <v>1211800</v>
      </c>
      <c r="BP1594" s="8">
        <f t="shared" si="1578"/>
        <v>2350</v>
      </c>
      <c r="BQ1594" s="12">
        <f t="shared" si="1579"/>
        <v>46650</v>
      </c>
    </row>
    <row r="1595" spans="1:69">
      <c r="A1595" s="28">
        <v>1982</v>
      </c>
      <c r="B1595" s="27" t="s">
        <v>75</v>
      </c>
      <c r="C1595" s="24">
        <f t="shared" si="1577"/>
        <v>1568</v>
      </c>
      <c r="D1595" s="7" t="e">
        <f t="shared" ca="1" si="1553"/>
        <v>#N/A</v>
      </c>
      <c r="E1595" s="26">
        <f t="array" aca="1" ref="E1595" ca="1">AVERAGE(IF(INDIRECT(DatCol&amp;"$"&amp;TEXT(C1595,"###")):INDIRECT(DatCol&amp;"$"&amp;TEXT(C1595+57,"###"))&gt;0,INDIRECT(DatCol&amp;"$"&amp;TEXT(C1595,"###")):INDIRECT(DatCol&amp;"$"&amp;TEXT(C1595+57,"###"))))</f>
        <v>306.38235294117646</v>
      </c>
      <c r="F1595" s="26" t="str">
        <f t="shared" si="1572"/>
        <v>I</v>
      </c>
      <c r="G1595" s="8"/>
      <c r="H1595" s="8">
        <v>25</v>
      </c>
      <c r="I1595" s="8">
        <v>366</v>
      </c>
      <c r="J1595" s="8">
        <v>1894</v>
      </c>
      <c r="K1595" s="9">
        <f t="shared" si="1576"/>
        <v>1919</v>
      </c>
      <c r="M1595" s="11">
        <f t="shared" si="1598"/>
        <v>0</v>
      </c>
      <c r="N1595" s="12">
        <v>75</v>
      </c>
      <c r="O1595" s="11">
        <f t="shared" si="1599"/>
        <v>3750</v>
      </c>
      <c r="P1595" s="12">
        <v>2100</v>
      </c>
      <c r="Q1595" s="11">
        <f t="shared" si="1600"/>
        <v>126000</v>
      </c>
      <c r="X1595" s="12">
        <v>490</v>
      </c>
      <c r="Y1595" s="11">
        <f t="shared" si="1601"/>
        <v>29400</v>
      </c>
      <c r="AG1595" s="11">
        <f t="shared" si="1602"/>
        <v>0</v>
      </c>
      <c r="AH1595" s="12">
        <v>0</v>
      </c>
      <c r="AI1595" s="11">
        <f t="shared" si="1603"/>
        <v>0</v>
      </c>
      <c r="AJ1595" s="12">
        <v>77975</v>
      </c>
      <c r="AK1595" s="13">
        <f t="shared" si="1604"/>
        <v>701775</v>
      </c>
      <c r="AL1595" s="12">
        <v>3500</v>
      </c>
      <c r="AM1595" s="13">
        <f t="shared" si="1605"/>
        <v>31500</v>
      </c>
      <c r="AO1595" s="11">
        <f t="shared" si="1606"/>
        <v>0</v>
      </c>
      <c r="AQ1595" s="11">
        <f t="shared" si="1607"/>
        <v>0</v>
      </c>
      <c r="AR1595" s="12">
        <v>1860</v>
      </c>
      <c r="AS1595" s="11">
        <f t="shared" si="1608"/>
        <v>93000</v>
      </c>
      <c r="AT1595" s="12">
        <v>50</v>
      </c>
      <c r="AU1595" s="11">
        <f t="shared" si="1609"/>
        <v>2500</v>
      </c>
      <c r="AV1595" s="12" t="s">
        <v>78</v>
      </c>
      <c r="AW1595" s="11">
        <f t="shared" si="1610"/>
        <v>0</v>
      </c>
      <c r="AY1595" s="11">
        <f t="shared" si="1611"/>
        <v>0</v>
      </c>
      <c r="BA1595" s="11">
        <f t="shared" si="1612"/>
        <v>0</v>
      </c>
      <c r="BC1595" s="11">
        <f t="shared" si="1613"/>
        <v>0</v>
      </c>
      <c r="BE1595" s="11">
        <f t="shared" si="1614"/>
        <v>0</v>
      </c>
      <c r="BG1595" s="11">
        <f t="shared" si="1615"/>
        <v>0</v>
      </c>
      <c r="BN1595" s="8">
        <f t="shared" si="1573"/>
        <v>82425</v>
      </c>
      <c r="BO1595" s="8">
        <f t="shared" si="1574"/>
        <v>950175</v>
      </c>
      <c r="BP1595" s="8">
        <f t="shared" si="1578"/>
        <v>4115</v>
      </c>
      <c r="BQ1595" s="12">
        <f t="shared" si="1579"/>
        <v>67150</v>
      </c>
    </row>
    <row r="1596" spans="1:69">
      <c r="A1596" s="28">
        <v>1983</v>
      </c>
      <c r="B1596" s="27" t="s">
        <v>75</v>
      </c>
      <c r="C1596" s="24">
        <f t="shared" si="1577"/>
        <v>1568</v>
      </c>
      <c r="D1596" s="7" t="e">
        <f t="shared" ca="1" si="1553"/>
        <v>#N/A</v>
      </c>
      <c r="E1596" s="26">
        <f t="array" aca="1" ref="E1596" ca="1">AVERAGE(IF(INDIRECT(DatCol&amp;"$"&amp;TEXT(C1596,"###")):INDIRECT(DatCol&amp;"$"&amp;TEXT(C1596+57,"###"))&gt;0,INDIRECT(DatCol&amp;"$"&amp;TEXT(C1596,"###")):INDIRECT(DatCol&amp;"$"&amp;TEXT(C1596+57,"###"))))</f>
        <v>306.38235294117646</v>
      </c>
      <c r="F1596" s="26" t="str">
        <f t="shared" si="1572"/>
        <v>I</v>
      </c>
      <c r="G1596" s="8"/>
      <c r="H1596" s="8">
        <v>30</v>
      </c>
      <c r="I1596" s="8">
        <v>410</v>
      </c>
      <c r="J1596" s="8">
        <v>1909</v>
      </c>
      <c r="K1596" s="9">
        <f t="shared" si="1576"/>
        <v>1939</v>
      </c>
      <c r="L1596" s="12">
        <v>0</v>
      </c>
      <c r="M1596" s="11">
        <f t="shared" si="1598"/>
        <v>0</v>
      </c>
      <c r="N1596" s="12">
        <v>110</v>
      </c>
      <c r="O1596" s="11">
        <f t="shared" si="1599"/>
        <v>5500</v>
      </c>
      <c r="P1596" s="12">
        <v>1600</v>
      </c>
      <c r="Q1596" s="11">
        <f t="shared" si="1600"/>
        <v>96000</v>
      </c>
      <c r="X1596" s="12">
        <v>1050</v>
      </c>
      <c r="Y1596" s="11">
        <f t="shared" si="1601"/>
        <v>63000</v>
      </c>
      <c r="AF1596" s="12">
        <v>0</v>
      </c>
      <c r="AG1596" s="11">
        <f t="shared" si="1602"/>
        <v>0</v>
      </c>
      <c r="AH1596" s="12">
        <v>30</v>
      </c>
      <c r="AI1596" s="11">
        <f t="shared" si="1603"/>
        <v>1950</v>
      </c>
      <c r="AJ1596" s="12">
        <v>50000</v>
      </c>
      <c r="AK1596" s="13">
        <f t="shared" si="1604"/>
        <v>450000</v>
      </c>
      <c r="AL1596" s="12">
        <v>4000</v>
      </c>
      <c r="AM1596" s="13">
        <f t="shared" si="1605"/>
        <v>36000</v>
      </c>
      <c r="AN1596" s="12">
        <v>0</v>
      </c>
      <c r="AO1596" s="11">
        <f t="shared" si="1606"/>
        <v>0</v>
      </c>
      <c r="AP1596" s="12">
        <v>5</v>
      </c>
      <c r="AQ1596" s="11">
        <f t="shared" si="1607"/>
        <v>400</v>
      </c>
      <c r="AR1596" s="12">
        <v>1000</v>
      </c>
      <c r="AS1596" s="11">
        <f t="shared" si="1608"/>
        <v>50000</v>
      </c>
      <c r="AT1596" s="12">
        <v>50</v>
      </c>
      <c r="AU1596" s="11">
        <f t="shared" si="1609"/>
        <v>2500</v>
      </c>
      <c r="AV1596" s="12">
        <v>1700</v>
      </c>
      <c r="AW1596" s="11">
        <f t="shared" si="1610"/>
        <v>102000</v>
      </c>
      <c r="AX1596" s="12">
        <v>10</v>
      </c>
      <c r="AY1596" s="11">
        <f t="shared" si="1611"/>
        <v>600</v>
      </c>
      <c r="BA1596" s="11">
        <f t="shared" si="1612"/>
        <v>0</v>
      </c>
      <c r="BC1596" s="11">
        <f t="shared" si="1613"/>
        <v>0</v>
      </c>
      <c r="BE1596" s="11">
        <f t="shared" si="1614"/>
        <v>0</v>
      </c>
      <c r="BG1596" s="11">
        <f t="shared" si="1615"/>
        <v>0</v>
      </c>
      <c r="BH1596" s="13">
        <v>1800</v>
      </c>
      <c r="BN1596" s="8">
        <f t="shared" si="1573"/>
        <v>55350</v>
      </c>
      <c r="BO1596" s="8">
        <f t="shared" si="1574"/>
        <v>761000</v>
      </c>
      <c r="BP1596" s="8">
        <f t="shared" si="1578"/>
        <v>5255</v>
      </c>
      <c r="BQ1596" s="12">
        <f t="shared" si="1579"/>
        <v>109950</v>
      </c>
    </row>
    <row r="1597" spans="1:69">
      <c r="A1597" s="28">
        <v>1984</v>
      </c>
      <c r="B1597" s="27" t="s">
        <v>75</v>
      </c>
      <c r="C1597" s="24">
        <f t="shared" si="1577"/>
        <v>1568</v>
      </c>
      <c r="D1597" s="7" t="e">
        <f t="shared" ca="1" si="1553"/>
        <v>#N/A</v>
      </c>
      <c r="E1597" s="26">
        <f t="array" aca="1" ref="E1597" ca="1">AVERAGE(IF(INDIRECT(DatCol&amp;"$"&amp;TEXT(C1597,"###")):INDIRECT(DatCol&amp;"$"&amp;TEXT(C1597+57,"###"))&gt;0,INDIRECT(DatCol&amp;"$"&amp;TEXT(C1597,"###")):INDIRECT(DatCol&amp;"$"&amp;TEXT(C1597+57,"###"))))</f>
        <v>306.38235294117646</v>
      </c>
      <c r="F1597" s="26" t="str">
        <f t="shared" si="1572"/>
        <v>I</v>
      </c>
      <c r="G1597" s="8"/>
      <c r="H1597" s="8">
        <v>19</v>
      </c>
      <c r="I1597" s="8">
        <v>477</v>
      </c>
      <c r="J1597" s="8">
        <v>1437</v>
      </c>
      <c r="K1597" s="9">
        <f t="shared" si="1576"/>
        <v>1456</v>
      </c>
      <c r="M1597" s="11">
        <f t="shared" si="1598"/>
        <v>0</v>
      </c>
      <c r="N1597" s="12">
        <v>250</v>
      </c>
      <c r="O1597" s="11">
        <f t="shared" si="1599"/>
        <v>12500</v>
      </c>
      <c r="P1597" s="12">
        <v>1570</v>
      </c>
      <c r="Q1597" s="11">
        <f t="shared" si="1600"/>
        <v>94200</v>
      </c>
      <c r="X1597" s="12">
        <v>1425</v>
      </c>
      <c r="Y1597" s="11">
        <f t="shared" si="1601"/>
        <v>85500</v>
      </c>
      <c r="AG1597" s="11">
        <f t="shared" si="1602"/>
        <v>0</v>
      </c>
      <c r="AI1597" s="11">
        <f t="shared" si="1603"/>
        <v>0</v>
      </c>
      <c r="AJ1597" s="12">
        <v>48300</v>
      </c>
      <c r="AK1597" s="13">
        <f t="shared" si="1604"/>
        <v>434700</v>
      </c>
      <c r="AL1597" s="12">
        <v>3500</v>
      </c>
      <c r="AM1597" s="13">
        <f t="shared" si="1605"/>
        <v>31500</v>
      </c>
      <c r="AO1597" s="11">
        <f t="shared" si="1606"/>
        <v>0</v>
      </c>
      <c r="AP1597" s="12">
        <v>10</v>
      </c>
      <c r="AQ1597" s="11">
        <f t="shared" si="1607"/>
        <v>800</v>
      </c>
      <c r="AR1597" s="12">
        <v>800</v>
      </c>
      <c r="AS1597" s="11">
        <f t="shared" si="1608"/>
        <v>40000</v>
      </c>
      <c r="AT1597" s="12">
        <v>50</v>
      </c>
      <c r="AU1597" s="11">
        <f t="shared" si="1609"/>
        <v>2500</v>
      </c>
      <c r="AV1597" s="12">
        <v>2000</v>
      </c>
      <c r="AW1597" s="11">
        <f t="shared" si="1610"/>
        <v>120000</v>
      </c>
      <c r="AY1597" s="11">
        <f t="shared" si="1611"/>
        <v>0</v>
      </c>
      <c r="BA1597" s="11">
        <f t="shared" si="1612"/>
        <v>0</v>
      </c>
      <c r="BC1597" s="11">
        <f t="shared" si="1613"/>
        <v>0</v>
      </c>
      <c r="BE1597" s="11">
        <f t="shared" si="1614"/>
        <v>0</v>
      </c>
      <c r="BG1597" s="11">
        <f t="shared" si="1615"/>
        <v>0</v>
      </c>
      <c r="BH1597" s="13">
        <v>800</v>
      </c>
      <c r="BN1597" s="8">
        <f t="shared" si="1573"/>
        <v>54095</v>
      </c>
      <c r="BO1597" s="8">
        <f t="shared" si="1574"/>
        <v>774400</v>
      </c>
      <c r="BP1597" s="8">
        <f t="shared" si="1578"/>
        <v>5235</v>
      </c>
      <c r="BQ1597" s="12">
        <f t="shared" si="1579"/>
        <v>132800</v>
      </c>
    </row>
    <row r="1598" spans="1:69">
      <c r="A1598" s="28">
        <v>1985</v>
      </c>
      <c r="B1598" s="27" t="s">
        <v>75</v>
      </c>
      <c r="C1598" s="24">
        <f t="shared" si="1577"/>
        <v>1568</v>
      </c>
      <c r="D1598" s="7" t="e">
        <f t="shared" ca="1" si="1553"/>
        <v>#N/A</v>
      </c>
      <c r="E1598" s="26">
        <f t="array" aca="1" ref="E1598" ca="1">AVERAGE(IF(INDIRECT(DatCol&amp;"$"&amp;TEXT(C1598,"###")):INDIRECT(DatCol&amp;"$"&amp;TEXT(C1598+57,"###"))&gt;0,INDIRECT(DatCol&amp;"$"&amp;TEXT(C1598,"###")):INDIRECT(DatCol&amp;"$"&amp;TEXT(C1598+57,"###"))))</f>
        <v>306.38235294117646</v>
      </c>
      <c r="F1598" s="26" t="str">
        <f t="shared" si="1572"/>
        <v>I</v>
      </c>
      <c r="G1598" s="8">
        <v>618</v>
      </c>
      <c r="H1598" s="8">
        <v>22</v>
      </c>
      <c r="I1598" s="8">
        <v>325</v>
      </c>
      <c r="J1598" s="8">
        <v>1317</v>
      </c>
      <c r="K1598" s="9">
        <f t="shared" si="1576"/>
        <v>1957</v>
      </c>
      <c r="M1598" s="11">
        <f t="shared" si="1598"/>
        <v>0</v>
      </c>
      <c r="N1598" s="12">
        <v>350</v>
      </c>
      <c r="O1598" s="11">
        <f t="shared" si="1599"/>
        <v>17500</v>
      </c>
      <c r="P1598" s="12">
        <v>1750</v>
      </c>
      <c r="Q1598" s="11">
        <f t="shared" si="1600"/>
        <v>105000</v>
      </c>
      <c r="X1598" s="12">
        <v>1335</v>
      </c>
      <c r="Y1598" s="11">
        <f t="shared" si="1601"/>
        <v>80100</v>
      </c>
      <c r="AG1598" s="11">
        <f t="shared" si="1602"/>
        <v>0</v>
      </c>
      <c r="AH1598" s="12">
        <v>100</v>
      </c>
      <c r="AI1598" s="11">
        <f t="shared" si="1603"/>
        <v>6500</v>
      </c>
      <c r="AJ1598" s="12">
        <v>36600</v>
      </c>
      <c r="AK1598" s="13">
        <f t="shared" si="1604"/>
        <v>329400</v>
      </c>
      <c r="AL1598" s="12">
        <v>2800</v>
      </c>
      <c r="AM1598" s="13">
        <f t="shared" si="1605"/>
        <v>25200</v>
      </c>
      <c r="AO1598" s="11">
        <f t="shared" si="1606"/>
        <v>0</v>
      </c>
      <c r="AP1598" s="12">
        <v>25</v>
      </c>
      <c r="AQ1598" s="11">
        <f t="shared" si="1607"/>
        <v>2000</v>
      </c>
      <c r="AR1598" s="12">
        <v>675</v>
      </c>
      <c r="AS1598" s="11">
        <f t="shared" si="1608"/>
        <v>33750</v>
      </c>
      <c r="AT1598" s="12">
        <v>70</v>
      </c>
      <c r="AU1598" s="11">
        <f t="shared" si="1609"/>
        <v>3500</v>
      </c>
      <c r="AW1598" s="11">
        <f t="shared" si="1610"/>
        <v>0</v>
      </c>
      <c r="AY1598" s="11">
        <f t="shared" si="1611"/>
        <v>0</v>
      </c>
      <c r="BA1598" s="11">
        <f t="shared" si="1612"/>
        <v>0</v>
      </c>
      <c r="BC1598" s="11">
        <f t="shared" si="1613"/>
        <v>0</v>
      </c>
      <c r="BE1598" s="11">
        <f t="shared" si="1614"/>
        <v>0</v>
      </c>
      <c r="BG1598" s="11">
        <f t="shared" si="1615"/>
        <v>0</v>
      </c>
      <c r="BH1598" s="13">
        <v>800</v>
      </c>
      <c r="BN1598" s="8">
        <f t="shared" si="1573"/>
        <v>40360</v>
      </c>
      <c r="BO1598" s="8">
        <f t="shared" si="1574"/>
        <v>548250</v>
      </c>
      <c r="BP1598" s="8">
        <f t="shared" si="1578"/>
        <v>4680</v>
      </c>
      <c r="BQ1598" s="12">
        <f t="shared" si="1579"/>
        <v>134800</v>
      </c>
    </row>
    <row r="1599" spans="1:69">
      <c r="A1599" s="28">
        <v>1986</v>
      </c>
      <c r="B1599" s="27" t="s">
        <v>75</v>
      </c>
      <c r="C1599" s="24">
        <f t="shared" si="1577"/>
        <v>1568</v>
      </c>
      <c r="D1599" s="7" t="e">
        <f t="shared" ca="1" si="1553"/>
        <v>#N/A</v>
      </c>
      <c r="E1599" s="26">
        <f t="array" aca="1" ref="E1599" ca="1">AVERAGE(IF(INDIRECT(DatCol&amp;"$"&amp;TEXT(C1599,"###")):INDIRECT(DatCol&amp;"$"&amp;TEXT(C1599+57,"###"))&gt;0,INDIRECT(DatCol&amp;"$"&amp;TEXT(C1599,"###")):INDIRECT(DatCol&amp;"$"&amp;TEXT(C1599+57,"###"))))</f>
        <v>306.38235294117646</v>
      </c>
      <c r="F1599" s="26" t="str">
        <f t="shared" si="1572"/>
        <v>I</v>
      </c>
      <c r="G1599" s="8">
        <v>872</v>
      </c>
      <c r="H1599" s="8">
        <v>20</v>
      </c>
      <c r="I1599" s="8">
        <v>351</v>
      </c>
      <c r="J1599" s="8">
        <v>1343</v>
      </c>
      <c r="K1599" s="9">
        <f t="shared" si="1576"/>
        <v>2235</v>
      </c>
      <c r="M1599" s="11">
        <f t="shared" si="1598"/>
        <v>0</v>
      </c>
      <c r="N1599" s="12">
        <v>500</v>
      </c>
      <c r="O1599" s="11">
        <f t="shared" si="1599"/>
        <v>25000</v>
      </c>
      <c r="P1599" s="12">
        <v>1825</v>
      </c>
      <c r="Q1599" s="11">
        <f t="shared" si="1600"/>
        <v>109500</v>
      </c>
      <c r="X1599" s="12">
        <v>1325</v>
      </c>
      <c r="Y1599" s="11">
        <f t="shared" si="1601"/>
        <v>79500</v>
      </c>
      <c r="AG1599" s="11">
        <f t="shared" si="1602"/>
        <v>0</v>
      </c>
      <c r="AH1599" s="12">
        <v>250</v>
      </c>
      <c r="AI1599" s="11">
        <f t="shared" si="1603"/>
        <v>16250</v>
      </c>
      <c r="AJ1599" s="12">
        <v>38000</v>
      </c>
      <c r="AK1599" s="13">
        <f t="shared" si="1604"/>
        <v>342000</v>
      </c>
      <c r="AL1599" s="12">
        <v>4000</v>
      </c>
      <c r="AM1599" s="13">
        <f t="shared" si="1605"/>
        <v>36000</v>
      </c>
      <c r="AO1599" s="11">
        <f t="shared" si="1606"/>
        <v>0</v>
      </c>
      <c r="AP1599" s="12">
        <v>50</v>
      </c>
      <c r="AQ1599" s="11">
        <f t="shared" si="1607"/>
        <v>4000</v>
      </c>
      <c r="AR1599" s="12">
        <v>500</v>
      </c>
      <c r="AS1599" s="11">
        <f t="shared" si="1608"/>
        <v>25000</v>
      </c>
      <c r="AT1599" s="12">
        <v>20</v>
      </c>
      <c r="AU1599" s="11">
        <f t="shared" si="1609"/>
        <v>1000</v>
      </c>
      <c r="AW1599" s="11">
        <f t="shared" si="1610"/>
        <v>0</v>
      </c>
      <c r="AY1599" s="11">
        <f t="shared" si="1611"/>
        <v>0</v>
      </c>
      <c r="BA1599" s="11">
        <f t="shared" si="1612"/>
        <v>0</v>
      </c>
      <c r="BC1599" s="11">
        <f t="shared" si="1613"/>
        <v>0</v>
      </c>
      <c r="BE1599" s="11">
        <f t="shared" si="1614"/>
        <v>0</v>
      </c>
      <c r="BG1599" s="11">
        <f t="shared" si="1615"/>
        <v>0</v>
      </c>
      <c r="BH1599" s="13">
        <v>1000</v>
      </c>
      <c r="BN1599" s="8">
        <f t="shared" si="1573"/>
        <v>41650</v>
      </c>
      <c r="BO1599" s="8">
        <f t="shared" si="1574"/>
        <v>556000</v>
      </c>
      <c r="BP1599" s="8">
        <f t="shared" si="1578"/>
        <v>6145</v>
      </c>
      <c r="BQ1599" s="12">
        <f t="shared" si="1579"/>
        <v>161750</v>
      </c>
    </row>
    <row r="1600" spans="1:69">
      <c r="A1600" s="28">
        <v>1987</v>
      </c>
      <c r="B1600" s="27" t="s">
        <v>75</v>
      </c>
      <c r="C1600" s="24">
        <f t="shared" si="1577"/>
        <v>1568</v>
      </c>
      <c r="D1600" s="7" t="e">
        <f t="shared" ca="1" si="1553"/>
        <v>#N/A</v>
      </c>
      <c r="E1600" s="26">
        <f t="array" aca="1" ref="E1600" ca="1">AVERAGE(IF(INDIRECT(DatCol&amp;"$"&amp;TEXT(C1600,"###")):INDIRECT(DatCol&amp;"$"&amp;TEXT(C1600+57,"###"))&gt;0,INDIRECT(DatCol&amp;"$"&amp;TEXT(C1600,"###")):INDIRECT(DatCol&amp;"$"&amp;TEXT(C1600+57,"###"))))</f>
        <v>306.38235294117646</v>
      </c>
      <c r="F1600" s="26" t="str">
        <f t="shared" si="1572"/>
        <v>I</v>
      </c>
      <c r="G1600" s="8">
        <v>797</v>
      </c>
      <c r="H1600" s="8">
        <v>38</v>
      </c>
      <c r="I1600" s="8">
        <v>182</v>
      </c>
      <c r="J1600" s="8">
        <v>1200</v>
      </c>
      <c r="K1600" s="9">
        <f t="shared" si="1576"/>
        <v>2035</v>
      </c>
      <c r="M1600" s="11">
        <f t="shared" si="1598"/>
        <v>0</v>
      </c>
      <c r="N1600" s="12">
        <v>500</v>
      </c>
      <c r="O1600" s="11">
        <f t="shared" si="1599"/>
        <v>25000</v>
      </c>
      <c r="P1600" s="12">
        <v>2100</v>
      </c>
      <c r="Q1600" s="11">
        <f t="shared" si="1600"/>
        <v>126000</v>
      </c>
      <c r="X1600" s="12">
        <v>1350</v>
      </c>
      <c r="Y1600" s="11">
        <f t="shared" si="1601"/>
        <v>81000</v>
      </c>
      <c r="AF1600" s="12">
        <v>0</v>
      </c>
      <c r="AG1600" s="11">
        <f t="shared" si="1602"/>
        <v>0</v>
      </c>
      <c r="AH1600" s="12">
        <v>350</v>
      </c>
      <c r="AI1600" s="11">
        <f t="shared" si="1603"/>
        <v>22750</v>
      </c>
      <c r="AJ1600" s="12">
        <v>12300</v>
      </c>
      <c r="AK1600" s="13">
        <f t="shared" si="1604"/>
        <v>110700</v>
      </c>
      <c r="AL1600" s="12">
        <v>1500</v>
      </c>
      <c r="AM1600" s="13">
        <f t="shared" si="1605"/>
        <v>13500</v>
      </c>
      <c r="AO1600" s="11">
        <f t="shared" si="1606"/>
        <v>0</v>
      </c>
      <c r="AP1600" s="12">
        <v>50</v>
      </c>
      <c r="AQ1600" s="11">
        <f t="shared" si="1607"/>
        <v>4000</v>
      </c>
      <c r="AR1600" s="12">
        <v>500</v>
      </c>
      <c r="AS1600" s="11">
        <f t="shared" si="1608"/>
        <v>25000</v>
      </c>
      <c r="AT1600" s="12">
        <v>50</v>
      </c>
      <c r="AU1600" s="11">
        <f t="shared" si="1609"/>
        <v>2500</v>
      </c>
      <c r="AW1600" s="11">
        <f t="shared" si="1610"/>
        <v>0</v>
      </c>
      <c r="AY1600" s="11">
        <f t="shared" si="1611"/>
        <v>0</v>
      </c>
      <c r="BA1600" s="11">
        <f t="shared" si="1612"/>
        <v>0</v>
      </c>
      <c r="BC1600" s="11">
        <f t="shared" si="1613"/>
        <v>0</v>
      </c>
      <c r="BE1600" s="11">
        <f t="shared" si="1614"/>
        <v>0</v>
      </c>
      <c r="BG1600" s="11">
        <f t="shared" si="1615"/>
        <v>0</v>
      </c>
      <c r="BH1600" s="13">
        <v>1000</v>
      </c>
      <c r="BN1600" s="8">
        <f t="shared" si="1573"/>
        <v>16250</v>
      </c>
      <c r="BO1600" s="8">
        <f t="shared" si="1574"/>
        <v>342700</v>
      </c>
      <c r="BP1600" s="8">
        <f t="shared" si="1578"/>
        <v>3800</v>
      </c>
      <c r="BQ1600" s="12">
        <f t="shared" si="1579"/>
        <v>148750</v>
      </c>
    </row>
    <row r="1601" spans="1:69">
      <c r="A1601" s="28">
        <v>1988</v>
      </c>
      <c r="B1601" s="27" t="s">
        <v>75</v>
      </c>
      <c r="C1601" s="24">
        <f t="shared" si="1577"/>
        <v>1568</v>
      </c>
      <c r="D1601" s="7" t="e">
        <f t="shared" ca="1" si="1553"/>
        <v>#N/A</v>
      </c>
      <c r="E1601" s="26">
        <f t="array" aca="1" ref="E1601" ca="1">AVERAGE(IF(INDIRECT(DatCol&amp;"$"&amp;TEXT(C1601,"###")):INDIRECT(DatCol&amp;"$"&amp;TEXT(C1601+57,"###"))&gt;0,INDIRECT(DatCol&amp;"$"&amp;TEXT(C1601,"###")):INDIRECT(DatCol&amp;"$"&amp;TEXT(C1601+57,"###"))))</f>
        <v>306.38235294117646</v>
      </c>
      <c r="F1601" s="26" t="str">
        <f t="shared" si="1572"/>
        <v>I</v>
      </c>
      <c r="G1601" s="8">
        <v>1047</v>
      </c>
      <c r="H1601" s="8">
        <v>30</v>
      </c>
      <c r="I1601" s="8">
        <v>264</v>
      </c>
      <c r="J1601" s="8">
        <v>1100</v>
      </c>
      <c r="K1601" s="9">
        <f t="shared" si="1576"/>
        <v>2177</v>
      </c>
      <c r="M1601" s="11">
        <f t="shared" si="1598"/>
        <v>0</v>
      </c>
      <c r="N1601" s="12">
        <v>500</v>
      </c>
      <c r="O1601" s="11">
        <f t="shared" si="1599"/>
        <v>25000</v>
      </c>
      <c r="P1601" s="12">
        <v>2075</v>
      </c>
      <c r="Q1601" s="11">
        <f t="shared" si="1600"/>
        <v>124500</v>
      </c>
      <c r="X1601" s="12">
        <v>1240</v>
      </c>
      <c r="Y1601" s="11">
        <f t="shared" si="1601"/>
        <v>74400</v>
      </c>
      <c r="AG1601" s="11">
        <f t="shared" si="1602"/>
        <v>0</v>
      </c>
      <c r="AH1601" s="12">
        <v>425</v>
      </c>
      <c r="AI1601" s="11">
        <f t="shared" si="1603"/>
        <v>27625</v>
      </c>
      <c r="AJ1601" s="12">
        <v>23000</v>
      </c>
      <c r="AK1601" s="13">
        <f t="shared" si="1604"/>
        <v>207000</v>
      </c>
      <c r="AL1601" s="12">
        <v>2500</v>
      </c>
      <c r="AM1601" s="13">
        <f t="shared" si="1605"/>
        <v>22500</v>
      </c>
      <c r="AO1601" s="11">
        <f t="shared" si="1606"/>
        <v>0</v>
      </c>
      <c r="AP1601" s="12">
        <v>50</v>
      </c>
      <c r="AQ1601" s="11">
        <f t="shared" si="1607"/>
        <v>4000</v>
      </c>
      <c r="AS1601" s="11">
        <f t="shared" si="1608"/>
        <v>0</v>
      </c>
      <c r="AT1601" s="12">
        <v>100</v>
      </c>
      <c r="AU1601" s="11">
        <f t="shared" si="1609"/>
        <v>5000</v>
      </c>
      <c r="AV1601" s="12">
        <v>725</v>
      </c>
      <c r="AW1601" s="11">
        <f t="shared" si="1610"/>
        <v>43500</v>
      </c>
      <c r="AX1601" s="12">
        <v>20</v>
      </c>
      <c r="AY1601" s="11">
        <f t="shared" si="1611"/>
        <v>1200</v>
      </c>
      <c r="BA1601" s="11">
        <f t="shared" si="1612"/>
        <v>0</v>
      </c>
      <c r="BC1601" s="11">
        <f t="shared" si="1613"/>
        <v>0</v>
      </c>
      <c r="BE1601" s="11">
        <f t="shared" si="1614"/>
        <v>0</v>
      </c>
      <c r="BG1601" s="11">
        <f t="shared" si="1615"/>
        <v>0</v>
      </c>
      <c r="BH1601" s="13">
        <v>1000</v>
      </c>
      <c r="BN1601" s="8">
        <f t="shared" si="1573"/>
        <v>27040</v>
      </c>
      <c r="BO1601" s="8">
        <f t="shared" si="1574"/>
        <v>449400</v>
      </c>
      <c r="BP1601" s="8">
        <f t="shared" si="1578"/>
        <v>4835</v>
      </c>
      <c r="BQ1601" s="12">
        <f t="shared" si="1579"/>
        <v>159725</v>
      </c>
    </row>
    <row r="1602" spans="1:69">
      <c r="A1602" s="28">
        <v>1989</v>
      </c>
      <c r="B1602" s="27" t="s">
        <v>75</v>
      </c>
      <c r="C1602" s="24">
        <f t="shared" si="1577"/>
        <v>1568</v>
      </c>
      <c r="D1602" s="7" t="e">
        <f t="shared" ref="D1602:D1665" ca="1" si="1616">IF(AND((INDIRECT(DatCol&amp;TEXT(ROW(),"###"))&gt;0),((F1602=RegionSelect)+(RegionSelect="A"))),INDIRECT(DatCol&amp;TEXT(ROW(),"###"))/E1602,NA())</f>
        <v>#N/A</v>
      </c>
      <c r="E1602" s="26">
        <f t="array" aca="1" ref="E1602" ca="1">AVERAGE(IF(INDIRECT(DatCol&amp;"$"&amp;TEXT(C1602,"###")):INDIRECT(DatCol&amp;"$"&amp;TEXT(C1602+57,"###"))&gt;0,INDIRECT(DatCol&amp;"$"&amp;TEXT(C1602,"###")):INDIRECT(DatCol&amp;"$"&amp;TEXT(C1602+57,"###"))))</f>
        <v>306.38235294117646</v>
      </c>
      <c r="F1602" s="26" t="str">
        <f t="shared" si="1572"/>
        <v>I</v>
      </c>
      <c r="G1602" s="8">
        <v>27</v>
      </c>
      <c r="H1602" s="8">
        <v>37</v>
      </c>
      <c r="I1602" s="8">
        <v>226</v>
      </c>
      <c r="J1602" s="8">
        <v>1245</v>
      </c>
      <c r="K1602" s="9">
        <f t="shared" si="1576"/>
        <v>1309</v>
      </c>
      <c r="L1602" s="12">
        <v>0</v>
      </c>
      <c r="M1602" s="11">
        <f t="shared" si="1598"/>
        <v>0</v>
      </c>
      <c r="N1602" s="12">
        <v>375</v>
      </c>
      <c r="O1602" s="11">
        <f t="shared" si="1599"/>
        <v>18750</v>
      </c>
      <c r="P1602" s="12">
        <v>1440</v>
      </c>
      <c r="Q1602" s="11">
        <f t="shared" si="1600"/>
        <v>86400</v>
      </c>
      <c r="X1602" s="12">
        <v>1350</v>
      </c>
      <c r="Y1602" s="11">
        <f t="shared" si="1601"/>
        <v>81000</v>
      </c>
      <c r="AF1602" s="12">
        <v>0</v>
      </c>
      <c r="AG1602" s="11">
        <f t="shared" si="1602"/>
        <v>0</v>
      </c>
      <c r="AH1602" s="12">
        <v>200</v>
      </c>
      <c r="AI1602" s="11">
        <f t="shared" si="1603"/>
        <v>13000</v>
      </c>
      <c r="AJ1602" s="12">
        <v>25000</v>
      </c>
      <c r="AK1602" s="13">
        <f t="shared" si="1604"/>
        <v>225000</v>
      </c>
      <c r="AL1602" s="12">
        <v>2000</v>
      </c>
      <c r="AM1602" s="13">
        <f t="shared" si="1605"/>
        <v>18000</v>
      </c>
      <c r="AN1602" s="12">
        <v>0</v>
      </c>
      <c r="AO1602" s="11">
        <f t="shared" si="1606"/>
        <v>0</v>
      </c>
      <c r="AP1602" s="12">
        <v>50</v>
      </c>
      <c r="AQ1602" s="11">
        <f t="shared" si="1607"/>
        <v>4000</v>
      </c>
      <c r="AR1602" s="12">
        <v>1000</v>
      </c>
      <c r="AS1602" s="11">
        <f t="shared" si="1608"/>
        <v>50000</v>
      </c>
      <c r="AT1602" s="12">
        <v>400</v>
      </c>
      <c r="AU1602" s="11">
        <f t="shared" si="1609"/>
        <v>20000</v>
      </c>
      <c r="AV1602" s="12">
        <v>400</v>
      </c>
      <c r="AW1602" s="11">
        <f t="shared" si="1610"/>
        <v>24000</v>
      </c>
      <c r="AY1602" s="11">
        <f t="shared" si="1611"/>
        <v>0</v>
      </c>
      <c r="BA1602" s="11">
        <f t="shared" si="1612"/>
        <v>0</v>
      </c>
      <c r="BC1602" s="11">
        <f t="shared" si="1613"/>
        <v>0</v>
      </c>
      <c r="BE1602" s="11">
        <f t="shared" si="1614"/>
        <v>0</v>
      </c>
      <c r="BG1602" s="11">
        <f t="shared" si="1615"/>
        <v>0</v>
      </c>
      <c r="BN1602" s="8">
        <f t="shared" si="1573"/>
        <v>29190</v>
      </c>
      <c r="BO1602" s="8">
        <f t="shared" si="1574"/>
        <v>466400</v>
      </c>
      <c r="BP1602" s="8">
        <f t="shared" si="1578"/>
        <v>4375</v>
      </c>
      <c r="BQ1602" s="12">
        <f t="shared" si="1579"/>
        <v>154750</v>
      </c>
    </row>
    <row r="1603" spans="1:69">
      <c r="A1603" s="28">
        <v>1990</v>
      </c>
      <c r="B1603" s="27" t="s">
        <v>75</v>
      </c>
      <c r="C1603" s="24">
        <f t="shared" si="1577"/>
        <v>1568</v>
      </c>
      <c r="D1603" s="7" t="e">
        <f t="shared" ca="1" si="1616"/>
        <v>#N/A</v>
      </c>
      <c r="E1603" s="26">
        <f t="array" aca="1" ref="E1603" ca="1">AVERAGE(IF(INDIRECT(DatCol&amp;"$"&amp;TEXT(C1603,"###")):INDIRECT(DatCol&amp;"$"&amp;TEXT(C1603+57,"###"))&gt;0,INDIRECT(DatCol&amp;"$"&amp;TEXT(C1603,"###")):INDIRECT(DatCol&amp;"$"&amp;TEXT(C1603+57,"###"))))</f>
        <v>306.38235294117646</v>
      </c>
      <c r="F1603" s="26" t="str">
        <f t="shared" si="1572"/>
        <v>I</v>
      </c>
      <c r="G1603" s="8">
        <v>76</v>
      </c>
      <c r="H1603" s="8">
        <v>24</v>
      </c>
      <c r="I1603" s="8">
        <v>235</v>
      </c>
      <c r="J1603" s="8">
        <v>1510</v>
      </c>
      <c r="K1603" s="9">
        <f t="shared" si="1576"/>
        <v>1610</v>
      </c>
      <c r="L1603" s="12">
        <v>0</v>
      </c>
      <c r="M1603" s="11">
        <f t="shared" si="1598"/>
        <v>0</v>
      </c>
      <c r="N1603" s="12">
        <v>500</v>
      </c>
      <c r="O1603" s="11">
        <f t="shared" si="1599"/>
        <v>25000</v>
      </c>
      <c r="P1603" s="12">
        <f>80+900+100+700+700</f>
        <v>2480</v>
      </c>
      <c r="Q1603" s="11">
        <f t="shared" si="1600"/>
        <v>148800</v>
      </c>
      <c r="X1603" s="12">
        <f>600+750+400</f>
        <v>1750</v>
      </c>
      <c r="Y1603" s="11">
        <f t="shared" si="1601"/>
        <v>105000</v>
      </c>
      <c r="AF1603" s="12">
        <v>0</v>
      </c>
      <c r="AG1603" s="11">
        <f t="shared" si="1602"/>
        <v>0</v>
      </c>
      <c r="AH1603" s="12">
        <v>200</v>
      </c>
      <c r="AI1603" s="11">
        <f t="shared" si="1603"/>
        <v>13000</v>
      </c>
      <c r="AJ1603" s="12">
        <v>44000</v>
      </c>
      <c r="AK1603" s="13">
        <f t="shared" si="1604"/>
        <v>396000</v>
      </c>
      <c r="AL1603" s="12">
        <v>4500</v>
      </c>
      <c r="AM1603" s="13">
        <f t="shared" si="1605"/>
        <v>40500</v>
      </c>
      <c r="AN1603" s="12">
        <v>0</v>
      </c>
      <c r="AO1603" s="11">
        <f t="shared" si="1606"/>
        <v>0</v>
      </c>
      <c r="AP1603" s="12">
        <v>50</v>
      </c>
      <c r="AQ1603" s="11">
        <f t="shared" si="1607"/>
        <v>4000</v>
      </c>
      <c r="AR1603" s="12">
        <v>2000</v>
      </c>
      <c r="AS1603" s="11">
        <f t="shared" si="1608"/>
        <v>100000</v>
      </c>
      <c r="AT1603" s="12">
        <v>600</v>
      </c>
      <c r="AU1603" s="11">
        <f t="shared" si="1609"/>
        <v>30000</v>
      </c>
      <c r="AV1603" s="12">
        <v>500</v>
      </c>
      <c r="AW1603" s="11">
        <f t="shared" si="1610"/>
        <v>30000</v>
      </c>
      <c r="AX1603" s="12">
        <v>100</v>
      </c>
      <c r="AY1603" s="11">
        <f t="shared" si="1611"/>
        <v>6000</v>
      </c>
      <c r="AZ1603" s="12">
        <v>0</v>
      </c>
      <c r="BA1603" s="11">
        <f t="shared" si="1612"/>
        <v>0</v>
      </c>
      <c r="BB1603" s="12">
        <v>0</v>
      </c>
      <c r="BC1603" s="11">
        <f t="shared" si="1613"/>
        <v>0</v>
      </c>
      <c r="BD1603" s="12">
        <v>0</v>
      </c>
      <c r="BE1603" s="11">
        <f t="shared" si="1614"/>
        <v>0</v>
      </c>
      <c r="BF1603" s="12">
        <v>0</v>
      </c>
      <c r="BG1603" s="11">
        <f t="shared" si="1615"/>
        <v>0</v>
      </c>
      <c r="BH1603" s="13">
        <v>1200</v>
      </c>
      <c r="BI1603" s="13">
        <v>500</v>
      </c>
      <c r="BN1603" s="8">
        <f t="shared" si="1573"/>
        <v>50730</v>
      </c>
      <c r="BO1603" s="8">
        <f t="shared" si="1574"/>
        <v>779800</v>
      </c>
      <c r="BP1603" s="8">
        <f t="shared" si="1578"/>
        <v>7700</v>
      </c>
      <c r="BQ1603" s="12">
        <f t="shared" si="1579"/>
        <v>223500</v>
      </c>
    </row>
    <row r="1604" spans="1:69">
      <c r="A1604" s="28">
        <v>1991</v>
      </c>
      <c r="B1604" s="27" t="s">
        <v>75</v>
      </c>
      <c r="C1604" s="24">
        <f t="shared" si="1577"/>
        <v>1568</v>
      </c>
      <c r="D1604" s="7" t="e">
        <f t="shared" ca="1" si="1616"/>
        <v>#N/A</v>
      </c>
      <c r="E1604" s="26">
        <f t="array" aca="1" ref="E1604" ca="1">AVERAGE(IF(INDIRECT(DatCol&amp;"$"&amp;TEXT(C1604,"###")):INDIRECT(DatCol&amp;"$"&amp;TEXT(C1604+57,"###"))&gt;0,INDIRECT(DatCol&amp;"$"&amp;TEXT(C1604,"###")):INDIRECT(DatCol&amp;"$"&amp;TEXT(C1604+57,"###"))))</f>
        <v>306.38235294117646</v>
      </c>
      <c r="F1604" s="26" t="str">
        <f t="shared" si="1572"/>
        <v>I</v>
      </c>
      <c r="G1604" s="8">
        <v>50</v>
      </c>
      <c r="H1604" s="8">
        <v>100</v>
      </c>
      <c r="I1604" s="8">
        <v>336</v>
      </c>
      <c r="J1604" s="8">
        <v>1300</v>
      </c>
      <c r="K1604" s="9">
        <f t="shared" si="1576"/>
        <v>1450</v>
      </c>
      <c r="L1604" s="12">
        <v>0</v>
      </c>
      <c r="M1604" s="11">
        <f t="shared" si="1598"/>
        <v>0</v>
      </c>
      <c r="N1604" s="12">
        <v>400</v>
      </c>
      <c r="O1604" s="11">
        <f t="shared" si="1599"/>
        <v>20000</v>
      </c>
      <c r="P1604" s="12">
        <f>880+700+600</f>
        <v>2180</v>
      </c>
      <c r="Q1604" s="11">
        <f t="shared" si="1600"/>
        <v>130800</v>
      </c>
      <c r="X1604" s="12">
        <f>500+600+350</f>
        <v>1450</v>
      </c>
      <c r="Y1604" s="11">
        <f t="shared" si="1601"/>
        <v>87000</v>
      </c>
      <c r="AF1604" s="12">
        <v>0</v>
      </c>
      <c r="AG1604" s="11">
        <f t="shared" si="1602"/>
        <v>0</v>
      </c>
      <c r="AH1604" s="12">
        <v>200</v>
      </c>
      <c r="AI1604" s="11">
        <f t="shared" si="1603"/>
        <v>13000</v>
      </c>
      <c r="AJ1604" s="12">
        <v>27024</v>
      </c>
      <c r="AK1604" s="13">
        <f t="shared" si="1604"/>
        <v>243216</v>
      </c>
      <c r="AL1604" s="12">
        <v>2500</v>
      </c>
      <c r="AM1604" s="13">
        <f t="shared" si="1605"/>
        <v>22500</v>
      </c>
      <c r="AN1604" s="12">
        <v>0</v>
      </c>
      <c r="AO1604" s="11">
        <f t="shared" si="1606"/>
        <v>0</v>
      </c>
      <c r="AP1604" s="12">
        <v>50</v>
      </c>
      <c r="AQ1604" s="11">
        <f t="shared" si="1607"/>
        <v>4000</v>
      </c>
      <c r="AR1604" s="12">
        <v>2000</v>
      </c>
      <c r="AS1604" s="11">
        <f t="shared" si="1608"/>
        <v>100000</v>
      </c>
      <c r="AT1604" s="12">
        <v>400</v>
      </c>
      <c r="AU1604" s="11">
        <f t="shared" si="1609"/>
        <v>20000</v>
      </c>
      <c r="AV1604" s="12">
        <v>1500</v>
      </c>
      <c r="AW1604" s="11">
        <f t="shared" si="1610"/>
        <v>90000</v>
      </c>
      <c r="AX1604" s="12">
        <v>200</v>
      </c>
      <c r="AY1604" s="11">
        <f t="shared" si="1611"/>
        <v>12000</v>
      </c>
      <c r="AZ1604" s="12">
        <v>0</v>
      </c>
      <c r="BA1604" s="11">
        <f t="shared" si="1612"/>
        <v>0</v>
      </c>
      <c r="BB1604" s="12">
        <v>0</v>
      </c>
      <c r="BC1604" s="11">
        <f t="shared" si="1613"/>
        <v>0</v>
      </c>
      <c r="BD1604" s="12">
        <v>0</v>
      </c>
      <c r="BE1604" s="11">
        <f t="shared" si="1614"/>
        <v>0</v>
      </c>
      <c r="BF1604" s="12">
        <v>0</v>
      </c>
      <c r="BG1604" s="11">
        <f t="shared" si="1615"/>
        <v>0</v>
      </c>
      <c r="BH1604" s="13">
        <v>1500</v>
      </c>
      <c r="BI1604" s="13">
        <v>1000</v>
      </c>
      <c r="BN1604" s="8">
        <f t="shared" si="1573"/>
        <v>34154</v>
      </c>
      <c r="BO1604" s="8">
        <f t="shared" si="1574"/>
        <v>651016</v>
      </c>
      <c r="BP1604" s="8">
        <f t="shared" si="1578"/>
        <v>5200</v>
      </c>
      <c r="BQ1604" s="12">
        <f t="shared" si="1579"/>
        <v>178500</v>
      </c>
    </row>
    <row r="1605" spans="1:69">
      <c r="A1605" s="28">
        <v>1992</v>
      </c>
      <c r="B1605" s="27" t="s">
        <v>75</v>
      </c>
      <c r="C1605" s="24">
        <f t="shared" si="1577"/>
        <v>1568</v>
      </c>
      <c r="D1605" s="7" t="e">
        <f t="shared" ca="1" si="1616"/>
        <v>#N/A</v>
      </c>
      <c r="E1605" s="26">
        <f t="array" aca="1" ref="E1605" ca="1">AVERAGE(IF(INDIRECT(DatCol&amp;"$"&amp;TEXT(C1605,"###")):INDIRECT(DatCol&amp;"$"&amp;TEXT(C1605+57,"###"))&gt;0,INDIRECT(DatCol&amp;"$"&amp;TEXT(C1605,"###")):INDIRECT(DatCol&amp;"$"&amp;TEXT(C1605+57,"###"))))</f>
        <v>306.38235294117646</v>
      </c>
      <c r="F1605" s="26" t="str">
        <f t="shared" si="1572"/>
        <v>I</v>
      </c>
      <c r="G1605" s="8">
        <v>100</v>
      </c>
      <c r="H1605" s="8">
        <v>50</v>
      </c>
      <c r="I1605" s="8">
        <v>380</v>
      </c>
      <c r="J1605" s="8">
        <v>1250</v>
      </c>
      <c r="K1605" s="9">
        <f t="shared" si="1576"/>
        <v>1400</v>
      </c>
      <c r="L1605" s="12">
        <v>0</v>
      </c>
      <c r="M1605" s="11">
        <f t="shared" si="1598"/>
        <v>0</v>
      </c>
      <c r="N1605" s="12">
        <v>600</v>
      </c>
      <c r="O1605" s="11">
        <f t="shared" si="1599"/>
        <v>30000</v>
      </c>
      <c r="P1605" s="12">
        <f>800+650+40</f>
        <v>1490</v>
      </c>
      <c r="Q1605" s="11">
        <f t="shared" si="1600"/>
        <v>89400</v>
      </c>
      <c r="X1605" s="12">
        <f>350+500+400</f>
        <v>1250</v>
      </c>
      <c r="Y1605" s="11">
        <f t="shared" si="1601"/>
        <v>75000</v>
      </c>
      <c r="AF1605" s="12">
        <v>0</v>
      </c>
      <c r="AG1605" s="11">
        <f t="shared" si="1602"/>
        <v>0</v>
      </c>
      <c r="AH1605" s="12">
        <v>0</v>
      </c>
      <c r="AI1605" s="11">
        <f t="shared" si="1603"/>
        <v>0</v>
      </c>
      <c r="AJ1605" s="12">
        <v>28907</v>
      </c>
      <c r="AK1605" s="13">
        <f t="shared" si="1604"/>
        <v>260163</v>
      </c>
      <c r="AL1605" s="12">
        <v>3200</v>
      </c>
      <c r="AM1605" s="13">
        <f t="shared" si="1605"/>
        <v>28800</v>
      </c>
      <c r="AN1605" s="12">
        <v>0</v>
      </c>
      <c r="AO1605" s="11">
        <f t="shared" si="1606"/>
        <v>0</v>
      </c>
      <c r="AP1605" s="12">
        <v>25</v>
      </c>
      <c r="AQ1605" s="11">
        <f t="shared" si="1607"/>
        <v>2000</v>
      </c>
      <c r="AR1605" s="12">
        <v>200</v>
      </c>
      <c r="AS1605" s="11">
        <f t="shared" si="1608"/>
        <v>10000</v>
      </c>
      <c r="AT1605" s="12">
        <v>200</v>
      </c>
      <c r="AU1605" s="11">
        <f t="shared" si="1609"/>
        <v>10000</v>
      </c>
      <c r="AV1605" s="12">
        <v>1000</v>
      </c>
      <c r="AW1605" s="11">
        <f t="shared" si="1610"/>
        <v>60000</v>
      </c>
      <c r="AX1605" s="12">
        <v>100</v>
      </c>
      <c r="AY1605" s="11">
        <f t="shared" si="1611"/>
        <v>6000</v>
      </c>
      <c r="AZ1605" s="12">
        <v>0</v>
      </c>
      <c r="BA1605" s="11">
        <f t="shared" si="1612"/>
        <v>0</v>
      </c>
      <c r="BB1605" s="12">
        <v>0</v>
      </c>
      <c r="BC1605" s="11">
        <f t="shared" si="1613"/>
        <v>0</v>
      </c>
      <c r="BD1605" s="12">
        <v>0</v>
      </c>
      <c r="BE1605" s="11">
        <f t="shared" si="1614"/>
        <v>0</v>
      </c>
      <c r="BF1605" s="12">
        <v>0</v>
      </c>
      <c r="BG1605" s="11">
        <f t="shared" si="1615"/>
        <v>0</v>
      </c>
      <c r="BH1605" s="13">
        <v>1500</v>
      </c>
      <c r="BI1605" s="13">
        <v>500</v>
      </c>
      <c r="BN1605" s="8">
        <f t="shared" si="1573"/>
        <v>32847</v>
      </c>
      <c r="BO1605" s="8">
        <f t="shared" si="1574"/>
        <v>494563</v>
      </c>
      <c r="BP1605" s="8">
        <f t="shared" si="1578"/>
        <v>5375</v>
      </c>
      <c r="BQ1605" s="12">
        <f t="shared" si="1579"/>
        <v>151800</v>
      </c>
    </row>
    <row r="1606" spans="1:69">
      <c r="A1606" s="28">
        <v>1993</v>
      </c>
      <c r="B1606" s="27" t="s">
        <v>75</v>
      </c>
      <c r="C1606" s="24">
        <f t="shared" si="1577"/>
        <v>1568</v>
      </c>
      <c r="D1606" s="7" t="e">
        <f t="shared" ca="1" si="1616"/>
        <v>#N/A</v>
      </c>
      <c r="E1606" s="26">
        <f t="array" aca="1" ref="E1606" ca="1">AVERAGE(IF(INDIRECT(DatCol&amp;"$"&amp;TEXT(C1606,"###")):INDIRECT(DatCol&amp;"$"&amp;TEXT(C1606+57,"###"))&gt;0,INDIRECT(DatCol&amp;"$"&amp;TEXT(C1606,"###")):INDIRECT(DatCol&amp;"$"&amp;TEXT(C1606+57,"###"))))</f>
        <v>306.38235294117646</v>
      </c>
      <c r="F1606" s="26" t="str">
        <f t="shared" si="1572"/>
        <v>I</v>
      </c>
      <c r="G1606" s="8">
        <v>60</v>
      </c>
      <c r="H1606" s="8">
        <v>50</v>
      </c>
      <c r="I1606" s="8">
        <v>226</v>
      </c>
      <c r="J1606" s="8">
        <v>1400</v>
      </c>
      <c r="K1606" s="9">
        <f t="shared" si="1576"/>
        <v>1510</v>
      </c>
      <c r="L1606" s="12">
        <v>0</v>
      </c>
      <c r="M1606" s="11">
        <f t="shared" si="1598"/>
        <v>0</v>
      </c>
      <c r="N1606" s="12">
        <v>200</v>
      </c>
      <c r="O1606" s="11">
        <f t="shared" si="1599"/>
        <v>10000</v>
      </c>
      <c r="P1606" s="12">
        <f>540+480+400</f>
        <v>1420</v>
      </c>
      <c r="Q1606" s="11">
        <f t="shared" si="1600"/>
        <v>85200</v>
      </c>
      <c r="X1606" s="12">
        <f>400+500+300</f>
        <v>1200</v>
      </c>
      <c r="Y1606" s="11">
        <f t="shared" si="1601"/>
        <v>72000</v>
      </c>
      <c r="AF1606" s="12">
        <v>0</v>
      </c>
      <c r="AG1606" s="11">
        <f t="shared" si="1602"/>
        <v>0</v>
      </c>
      <c r="AH1606" s="12">
        <v>50</v>
      </c>
      <c r="AI1606" s="11">
        <f t="shared" si="1603"/>
        <v>3250</v>
      </c>
      <c r="AJ1606" s="12">
        <v>12250</v>
      </c>
      <c r="AK1606" s="13">
        <f t="shared" si="1604"/>
        <v>110250</v>
      </c>
      <c r="AL1606" s="12">
        <v>1500</v>
      </c>
      <c r="AM1606" s="13">
        <f t="shared" si="1605"/>
        <v>13500</v>
      </c>
      <c r="AN1606" s="12">
        <v>0</v>
      </c>
      <c r="AO1606" s="11">
        <f t="shared" si="1606"/>
        <v>0</v>
      </c>
      <c r="AP1606" s="12">
        <v>50</v>
      </c>
      <c r="AQ1606" s="11">
        <f t="shared" si="1607"/>
        <v>4000</v>
      </c>
      <c r="AR1606" s="12">
        <v>200</v>
      </c>
      <c r="AS1606" s="11">
        <f t="shared" si="1608"/>
        <v>10000</v>
      </c>
      <c r="AT1606" s="12">
        <v>200</v>
      </c>
      <c r="AU1606" s="11">
        <f t="shared" si="1609"/>
        <v>10000</v>
      </c>
      <c r="AV1606" s="12">
        <v>400</v>
      </c>
      <c r="AW1606" s="11">
        <f t="shared" si="1610"/>
        <v>24000</v>
      </c>
      <c r="AX1606" s="12">
        <v>100</v>
      </c>
      <c r="AY1606" s="11">
        <f t="shared" si="1611"/>
        <v>6000</v>
      </c>
      <c r="AZ1606" s="12">
        <v>0</v>
      </c>
      <c r="BA1606" s="11">
        <f t="shared" si="1612"/>
        <v>0</v>
      </c>
      <c r="BB1606" s="12">
        <v>0</v>
      </c>
      <c r="BC1606" s="11">
        <f t="shared" si="1613"/>
        <v>0</v>
      </c>
      <c r="BD1606" s="12">
        <v>0</v>
      </c>
      <c r="BE1606" s="11">
        <f t="shared" si="1614"/>
        <v>0</v>
      </c>
      <c r="BF1606" s="12">
        <v>0</v>
      </c>
      <c r="BG1606" s="11">
        <f t="shared" si="1615"/>
        <v>0</v>
      </c>
      <c r="BH1606" s="13">
        <v>0</v>
      </c>
      <c r="BI1606" s="13">
        <v>100</v>
      </c>
      <c r="BN1606" s="8">
        <f t="shared" si="1573"/>
        <v>15470</v>
      </c>
      <c r="BO1606" s="8">
        <f t="shared" si="1574"/>
        <v>301450</v>
      </c>
      <c r="BP1606" s="8">
        <f t="shared" si="1578"/>
        <v>3300</v>
      </c>
      <c r="BQ1606" s="12">
        <f t="shared" si="1579"/>
        <v>118750</v>
      </c>
    </row>
    <row r="1607" spans="1:69">
      <c r="A1607" s="28">
        <v>1994</v>
      </c>
      <c r="B1607" s="27" t="s">
        <v>75</v>
      </c>
      <c r="C1607" s="24">
        <f t="shared" si="1577"/>
        <v>1568</v>
      </c>
      <c r="D1607" s="7" t="e">
        <f t="shared" ca="1" si="1616"/>
        <v>#N/A</v>
      </c>
      <c r="E1607" s="26">
        <f t="array" aca="1" ref="E1607" ca="1">AVERAGE(IF(INDIRECT(DatCol&amp;"$"&amp;TEXT(C1607,"###")):INDIRECT(DatCol&amp;"$"&amp;TEXT(C1607+57,"###"))&gt;0,INDIRECT(DatCol&amp;"$"&amp;TEXT(C1607,"###")):INDIRECT(DatCol&amp;"$"&amp;TEXT(C1607+57,"###"))))</f>
        <v>306.38235294117646</v>
      </c>
      <c r="F1607" s="26" t="str">
        <f t="shared" si="1572"/>
        <v>I</v>
      </c>
      <c r="G1607" s="8">
        <v>100</v>
      </c>
      <c r="H1607" s="8">
        <v>200</v>
      </c>
      <c r="I1607" s="8">
        <v>289</v>
      </c>
      <c r="J1607" s="8">
        <v>1400</v>
      </c>
      <c r="K1607" s="9">
        <f t="shared" si="1576"/>
        <v>1700</v>
      </c>
      <c r="L1607" s="12">
        <v>0</v>
      </c>
      <c r="M1607" s="11">
        <f t="shared" si="1598"/>
        <v>0</v>
      </c>
      <c r="N1607" s="12">
        <v>400</v>
      </c>
      <c r="O1607" s="11">
        <f t="shared" si="1599"/>
        <v>20000</v>
      </c>
      <c r="P1607" s="12">
        <f>880+700+600</f>
        <v>2180</v>
      </c>
      <c r="Q1607" s="11">
        <f t="shared" si="1600"/>
        <v>130800</v>
      </c>
      <c r="X1607" s="12">
        <f>350+600+500</f>
        <v>1450</v>
      </c>
      <c r="Y1607" s="11">
        <f t="shared" si="1601"/>
        <v>87000</v>
      </c>
      <c r="AF1607" s="12">
        <v>0</v>
      </c>
      <c r="AG1607" s="11">
        <f t="shared" si="1602"/>
        <v>0</v>
      </c>
      <c r="AH1607" s="12">
        <v>200</v>
      </c>
      <c r="AI1607" s="11">
        <f t="shared" si="1603"/>
        <v>13000</v>
      </c>
      <c r="AJ1607" s="12">
        <v>27000</v>
      </c>
      <c r="AK1607" s="13">
        <f t="shared" si="1604"/>
        <v>243000</v>
      </c>
      <c r="AL1607" s="12">
        <v>2500</v>
      </c>
      <c r="AM1607" s="13">
        <f t="shared" si="1605"/>
        <v>22500</v>
      </c>
      <c r="AN1607" s="12">
        <v>0</v>
      </c>
      <c r="AO1607" s="11">
        <f t="shared" si="1606"/>
        <v>0</v>
      </c>
      <c r="AP1607" s="12">
        <v>50</v>
      </c>
      <c r="AQ1607" s="11">
        <f t="shared" si="1607"/>
        <v>4000</v>
      </c>
      <c r="AR1607" s="12">
        <v>2000</v>
      </c>
      <c r="AS1607" s="11">
        <f t="shared" si="1608"/>
        <v>100000</v>
      </c>
      <c r="AT1607" s="12">
        <v>400</v>
      </c>
      <c r="AU1607" s="11">
        <f t="shared" si="1609"/>
        <v>20000</v>
      </c>
      <c r="AV1607" s="12">
        <v>1500</v>
      </c>
      <c r="AW1607" s="11">
        <f t="shared" si="1610"/>
        <v>90000</v>
      </c>
      <c r="AX1607" s="12">
        <v>200</v>
      </c>
      <c r="AY1607" s="11">
        <f t="shared" si="1611"/>
        <v>12000</v>
      </c>
      <c r="AZ1607" s="12">
        <v>0</v>
      </c>
      <c r="BA1607" s="11">
        <f t="shared" si="1612"/>
        <v>0</v>
      </c>
      <c r="BB1607" s="12">
        <v>0</v>
      </c>
      <c r="BC1607" s="11">
        <f t="shared" si="1613"/>
        <v>0</v>
      </c>
      <c r="BD1607" s="12">
        <v>0</v>
      </c>
      <c r="BE1607" s="11">
        <f t="shared" si="1614"/>
        <v>0</v>
      </c>
      <c r="BF1607" s="12">
        <v>0</v>
      </c>
      <c r="BG1607" s="11">
        <f t="shared" si="1615"/>
        <v>0</v>
      </c>
      <c r="BH1607" s="13">
        <v>1500</v>
      </c>
      <c r="BI1607" s="13">
        <v>1000</v>
      </c>
      <c r="BN1607" s="8">
        <f t="shared" si="1573"/>
        <v>34130</v>
      </c>
      <c r="BO1607" s="8">
        <f t="shared" si="1574"/>
        <v>650800</v>
      </c>
      <c r="BP1607" s="8">
        <f t="shared" si="1578"/>
        <v>5200</v>
      </c>
      <c r="BQ1607" s="12">
        <f t="shared" si="1579"/>
        <v>178500</v>
      </c>
    </row>
    <row r="1608" spans="1:69">
      <c r="A1608" s="28">
        <v>1995</v>
      </c>
      <c r="B1608" s="27" t="s">
        <v>75</v>
      </c>
      <c r="C1608" s="24">
        <f t="shared" si="1577"/>
        <v>1568</v>
      </c>
      <c r="D1608" s="7" t="e">
        <f t="shared" ca="1" si="1616"/>
        <v>#N/A</v>
      </c>
      <c r="E1608" s="26">
        <f t="array" aca="1" ref="E1608" ca="1">AVERAGE(IF(INDIRECT(DatCol&amp;"$"&amp;TEXT(C1608,"###")):INDIRECT(DatCol&amp;"$"&amp;TEXT(C1608+57,"###"))&gt;0,INDIRECT(DatCol&amp;"$"&amp;TEXT(C1608,"###")):INDIRECT(DatCol&amp;"$"&amp;TEXT(C1608+57,"###"))))</f>
        <v>306.38235294117646</v>
      </c>
      <c r="F1608" s="26" t="str">
        <f t="shared" si="1572"/>
        <v>I</v>
      </c>
      <c r="G1608" s="9">
        <v>110</v>
      </c>
      <c r="H1608" s="9">
        <v>250</v>
      </c>
      <c r="I1608" s="9">
        <v>290</v>
      </c>
      <c r="J1608" s="9">
        <v>1800</v>
      </c>
      <c r="K1608" s="9">
        <f t="shared" si="1576"/>
        <v>2160</v>
      </c>
      <c r="L1608" s="10">
        <v>0</v>
      </c>
      <c r="M1608" s="11">
        <f t="shared" ref="M1608:M1638" si="1617">(L1608*50)</f>
        <v>0</v>
      </c>
      <c r="N1608" s="10">
        <v>500</v>
      </c>
      <c r="O1608" s="11">
        <f t="shared" ref="O1608:O1638" si="1618">(N1608*50)</f>
        <v>25000</v>
      </c>
      <c r="P1608" s="10">
        <f>200+200+400+500+350</f>
        <v>1650</v>
      </c>
      <c r="Q1608" s="11">
        <f t="shared" ref="Q1608:Q1638" si="1619">((P1608*330)/5.5)</f>
        <v>99000</v>
      </c>
      <c r="X1608" s="10">
        <f>100+200+100+50</f>
        <v>450</v>
      </c>
      <c r="Y1608" s="11">
        <f t="shared" ref="Y1608:Y1638" si="1620">((X1608*330)/5.5)</f>
        <v>27000</v>
      </c>
      <c r="AF1608" s="10">
        <v>0</v>
      </c>
      <c r="AG1608" s="11">
        <f t="shared" ref="AG1608:AG1638" si="1621">(AF1608*65)</f>
        <v>0</v>
      </c>
      <c r="AH1608" s="10">
        <v>0</v>
      </c>
      <c r="AI1608" s="11">
        <f t="shared" ref="AI1608:AI1638" si="1622">(AH1608*65)</f>
        <v>0</v>
      </c>
      <c r="AJ1608" s="10">
        <v>1500</v>
      </c>
      <c r="AK1608" s="13">
        <f t="shared" ref="AK1608:AK1638" si="1623">(AJ1608*9)</f>
        <v>13500</v>
      </c>
      <c r="AL1608" s="10">
        <v>400</v>
      </c>
      <c r="AM1608" s="13">
        <f t="shared" ref="AM1608:AM1638" si="1624">(AL1608*9)</f>
        <v>3600</v>
      </c>
      <c r="AN1608" s="10">
        <v>0</v>
      </c>
      <c r="AO1608" s="11">
        <f t="shared" ref="AO1608:AO1638" si="1625">(AN1608*80)</f>
        <v>0</v>
      </c>
      <c r="AP1608" s="10">
        <v>6</v>
      </c>
      <c r="AQ1608" s="11">
        <f t="shared" ref="AQ1608:AQ1638" si="1626">(AP1608*80)</f>
        <v>480</v>
      </c>
      <c r="AR1608" s="10">
        <v>0</v>
      </c>
      <c r="AS1608" s="11">
        <f t="shared" ref="AS1608:AS1638" si="1627">(AR1608*50)</f>
        <v>0</v>
      </c>
      <c r="AT1608" s="10">
        <v>30</v>
      </c>
      <c r="AU1608" s="11">
        <f t="shared" ref="AU1608:AU1638" si="1628">(AT1608*50)</f>
        <v>1500</v>
      </c>
      <c r="AV1608" s="10">
        <v>300</v>
      </c>
      <c r="AW1608" s="11">
        <f t="shared" ref="AW1608:AW1638" si="1629">(AV1608*60)</f>
        <v>18000</v>
      </c>
      <c r="AX1608" s="10">
        <v>0</v>
      </c>
      <c r="AY1608" s="11">
        <f t="shared" ref="AY1608:AY1638" si="1630">(AX1608*60)</f>
        <v>0</v>
      </c>
      <c r="AZ1608" s="10">
        <v>0</v>
      </c>
      <c r="BA1608" s="11">
        <f t="shared" ref="BA1608:BA1638" si="1631">(AZ1608*40)</f>
        <v>0</v>
      </c>
      <c r="BB1608" s="10">
        <v>0</v>
      </c>
      <c r="BC1608" s="11">
        <f t="shared" ref="BC1608:BC1638" si="1632">(BB1608*40)</f>
        <v>0</v>
      </c>
      <c r="BD1608" s="10">
        <v>0</v>
      </c>
      <c r="BE1608" s="11">
        <f t="shared" ref="BE1608:BE1638" si="1633">(BD1608*95)</f>
        <v>0</v>
      </c>
      <c r="BF1608" s="10">
        <v>0</v>
      </c>
      <c r="BG1608" s="11">
        <f t="shared" ref="BG1608:BG1638" si="1634">(BF1608*95)</f>
        <v>0</v>
      </c>
      <c r="BH1608" s="11">
        <v>500</v>
      </c>
      <c r="BI1608" s="11">
        <v>100</v>
      </c>
      <c r="BN1608" s="8">
        <f t="shared" si="1573"/>
        <v>3900</v>
      </c>
      <c r="BO1608" s="8">
        <f t="shared" si="1574"/>
        <v>157500</v>
      </c>
      <c r="BP1608" s="8">
        <f t="shared" si="1578"/>
        <v>1386</v>
      </c>
      <c r="BQ1608" s="12">
        <f t="shared" si="1579"/>
        <v>57580</v>
      </c>
    </row>
    <row r="1609" spans="1:69">
      <c r="A1609" s="28">
        <v>1996</v>
      </c>
      <c r="B1609" s="27" t="s">
        <v>75</v>
      </c>
      <c r="C1609" s="24">
        <f t="shared" si="1577"/>
        <v>1568</v>
      </c>
      <c r="D1609" s="7" t="e">
        <f t="shared" ca="1" si="1616"/>
        <v>#N/A</v>
      </c>
      <c r="E1609" s="26">
        <f t="array" aca="1" ref="E1609" ca="1">AVERAGE(IF(INDIRECT(DatCol&amp;"$"&amp;TEXT(C1609,"###")):INDIRECT(DatCol&amp;"$"&amp;TEXT(C1609+57,"###"))&gt;0,INDIRECT(DatCol&amp;"$"&amp;TEXT(C1609,"###")):INDIRECT(DatCol&amp;"$"&amp;TEXT(C1609+57,"###"))))</f>
        <v>306.38235294117646</v>
      </c>
      <c r="F1609" s="26" t="str">
        <f t="shared" si="1572"/>
        <v>I</v>
      </c>
      <c r="G1609" s="9">
        <v>130</v>
      </c>
      <c r="H1609" s="9">
        <v>250</v>
      </c>
      <c r="I1609" s="9">
        <v>260</v>
      </c>
      <c r="J1609" s="9">
        <v>1200</v>
      </c>
      <c r="K1609" s="9">
        <f t="shared" si="1576"/>
        <v>1580</v>
      </c>
      <c r="L1609" s="10">
        <v>0</v>
      </c>
      <c r="M1609" s="11">
        <f t="shared" si="1617"/>
        <v>0</v>
      </c>
      <c r="N1609" s="10">
        <v>600</v>
      </c>
      <c r="O1609" s="11">
        <f t="shared" si="1618"/>
        <v>30000</v>
      </c>
      <c r="P1609" s="10">
        <f>200+250+500+400</f>
        <v>1350</v>
      </c>
      <c r="Q1609" s="11">
        <f t="shared" si="1619"/>
        <v>81000</v>
      </c>
      <c r="X1609" s="10">
        <f>100+200+150+50</f>
        <v>500</v>
      </c>
      <c r="Y1609" s="11">
        <f t="shared" si="1620"/>
        <v>30000</v>
      </c>
      <c r="AF1609" s="10">
        <v>0</v>
      </c>
      <c r="AG1609" s="11">
        <f t="shared" si="1621"/>
        <v>0</v>
      </c>
      <c r="AH1609" s="10">
        <v>0</v>
      </c>
      <c r="AI1609" s="11">
        <f t="shared" si="1622"/>
        <v>0</v>
      </c>
      <c r="AJ1609" s="10">
        <v>10000</v>
      </c>
      <c r="AK1609" s="13">
        <f t="shared" si="1623"/>
        <v>90000</v>
      </c>
      <c r="AL1609" s="10">
        <v>300</v>
      </c>
      <c r="AM1609" s="13">
        <f t="shared" si="1624"/>
        <v>2700</v>
      </c>
      <c r="AN1609" s="10">
        <v>0</v>
      </c>
      <c r="AO1609" s="11">
        <f t="shared" si="1625"/>
        <v>0</v>
      </c>
      <c r="AP1609" s="10">
        <v>10</v>
      </c>
      <c r="AQ1609" s="11">
        <f t="shared" si="1626"/>
        <v>800</v>
      </c>
      <c r="AR1609" s="10">
        <v>0</v>
      </c>
      <c r="AS1609" s="11">
        <f t="shared" si="1627"/>
        <v>0</v>
      </c>
      <c r="AT1609" s="10">
        <v>0</v>
      </c>
      <c r="AU1609" s="11">
        <f t="shared" si="1628"/>
        <v>0</v>
      </c>
      <c r="AV1609" s="10">
        <v>5000</v>
      </c>
      <c r="AW1609" s="11">
        <f t="shared" si="1629"/>
        <v>300000</v>
      </c>
      <c r="AX1609" s="10">
        <v>10</v>
      </c>
      <c r="AY1609" s="11">
        <f t="shared" si="1630"/>
        <v>600</v>
      </c>
      <c r="AZ1609" s="10">
        <v>0</v>
      </c>
      <c r="BA1609" s="11">
        <f t="shared" si="1631"/>
        <v>0</v>
      </c>
      <c r="BB1609" s="10">
        <v>0</v>
      </c>
      <c r="BC1609" s="11">
        <f t="shared" si="1632"/>
        <v>0</v>
      </c>
      <c r="BD1609" s="10">
        <v>0</v>
      </c>
      <c r="BE1609" s="11">
        <f t="shared" si="1633"/>
        <v>0</v>
      </c>
      <c r="BF1609" s="10">
        <v>0</v>
      </c>
      <c r="BG1609" s="11">
        <f t="shared" si="1634"/>
        <v>0</v>
      </c>
      <c r="BH1609" s="11">
        <v>0</v>
      </c>
      <c r="BI1609" s="11">
        <v>150</v>
      </c>
      <c r="BN1609" s="8">
        <f t="shared" si="1573"/>
        <v>16850</v>
      </c>
      <c r="BO1609" s="8">
        <f t="shared" si="1574"/>
        <v>501000</v>
      </c>
      <c r="BP1609" s="8">
        <f t="shared" si="1578"/>
        <v>1420</v>
      </c>
      <c r="BQ1609" s="12">
        <f t="shared" si="1579"/>
        <v>64100</v>
      </c>
    </row>
    <row r="1610" spans="1:69">
      <c r="A1610" s="28">
        <v>1997</v>
      </c>
      <c r="B1610" s="27" t="s">
        <v>75</v>
      </c>
      <c r="C1610" s="24">
        <f t="shared" si="1577"/>
        <v>1568</v>
      </c>
      <c r="D1610" s="7" t="e">
        <f t="shared" ca="1" si="1616"/>
        <v>#N/A</v>
      </c>
      <c r="E1610" s="26">
        <f t="array" aca="1" ref="E1610" ca="1">AVERAGE(IF(INDIRECT(DatCol&amp;"$"&amp;TEXT(C1610,"###")):INDIRECT(DatCol&amp;"$"&amp;TEXT(C1610+57,"###"))&gt;0,INDIRECT(DatCol&amp;"$"&amp;TEXT(C1610,"###")):INDIRECT(DatCol&amp;"$"&amp;TEXT(C1610+57,"###"))))</f>
        <v>306.38235294117646</v>
      </c>
      <c r="F1610" s="26" t="str">
        <f t="shared" si="1572"/>
        <v>I</v>
      </c>
      <c r="G1610" s="9">
        <v>84</v>
      </c>
      <c r="H1610" s="9">
        <v>250</v>
      </c>
      <c r="I1610" s="9">
        <v>239</v>
      </c>
      <c r="J1610" s="9">
        <v>1400</v>
      </c>
      <c r="K1610" s="9">
        <f t="shared" si="1576"/>
        <v>1734</v>
      </c>
      <c r="L1610" s="10">
        <v>0</v>
      </c>
      <c r="M1610" s="11">
        <f t="shared" si="1617"/>
        <v>0</v>
      </c>
      <c r="N1610" s="10">
        <v>500</v>
      </c>
      <c r="O1610" s="11">
        <f t="shared" si="1618"/>
        <v>25000</v>
      </c>
      <c r="P1610" s="10">
        <f>400+500+400</f>
        <v>1300</v>
      </c>
      <c r="Q1610" s="11">
        <f t="shared" si="1619"/>
        <v>78000</v>
      </c>
      <c r="X1610" s="10">
        <f>200+150+150+75</f>
        <v>575</v>
      </c>
      <c r="Y1610" s="11">
        <f t="shared" si="1620"/>
        <v>34500</v>
      </c>
      <c r="AF1610" s="10">
        <v>0</v>
      </c>
      <c r="AG1610" s="11">
        <f t="shared" si="1621"/>
        <v>0</v>
      </c>
      <c r="AH1610" s="10">
        <v>0</v>
      </c>
      <c r="AI1610" s="11">
        <f t="shared" si="1622"/>
        <v>0</v>
      </c>
      <c r="AJ1610" s="10">
        <v>4100</v>
      </c>
      <c r="AK1610" s="13">
        <f t="shared" si="1623"/>
        <v>36900</v>
      </c>
      <c r="AL1610" s="10">
        <v>500</v>
      </c>
      <c r="AM1610" s="13">
        <f t="shared" si="1624"/>
        <v>4500</v>
      </c>
      <c r="AN1610" s="10">
        <v>0</v>
      </c>
      <c r="AO1610" s="11">
        <f t="shared" si="1625"/>
        <v>0</v>
      </c>
      <c r="AP1610" s="10">
        <v>10</v>
      </c>
      <c r="AQ1610" s="11">
        <f t="shared" si="1626"/>
        <v>800</v>
      </c>
      <c r="AR1610" s="10">
        <v>0</v>
      </c>
      <c r="AS1610" s="11">
        <f t="shared" si="1627"/>
        <v>0</v>
      </c>
      <c r="AT1610" s="10">
        <v>20</v>
      </c>
      <c r="AU1610" s="11">
        <f t="shared" si="1628"/>
        <v>1000</v>
      </c>
      <c r="AV1610" s="10">
        <v>10000</v>
      </c>
      <c r="AW1610" s="11">
        <f t="shared" si="1629"/>
        <v>600000</v>
      </c>
      <c r="AX1610" s="10">
        <v>10</v>
      </c>
      <c r="AY1610" s="11">
        <f t="shared" si="1630"/>
        <v>600</v>
      </c>
      <c r="AZ1610" s="10">
        <v>0</v>
      </c>
      <c r="BA1610" s="11">
        <f t="shared" si="1631"/>
        <v>0</v>
      </c>
      <c r="BB1610" s="10">
        <v>0</v>
      </c>
      <c r="BC1610" s="11">
        <f t="shared" si="1632"/>
        <v>0</v>
      </c>
      <c r="BD1610" s="10">
        <v>0</v>
      </c>
      <c r="BE1610" s="11">
        <f t="shared" si="1633"/>
        <v>0</v>
      </c>
      <c r="BF1610" s="10">
        <v>0</v>
      </c>
      <c r="BG1610" s="11">
        <f t="shared" si="1634"/>
        <v>0</v>
      </c>
      <c r="BH1610" s="11">
        <v>0</v>
      </c>
      <c r="BI1610" s="11">
        <v>150</v>
      </c>
      <c r="BN1610" s="8">
        <f t="shared" si="1573"/>
        <v>15975</v>
      </c>
      <c r="BO1610" s="8">
        <f t="shared" si="1574"/>
        <v>749400</v>
      </c>
      <c r="BP1610" s="8">
        <f t="shared" si="1578"/>
        <v>1615</v>
      </c>
      <c r="BQ1610" s="12">
        <f t="shared" si="1579"/>
        <v>66400</v>
      </c>
    </row>
    <row r="1611" spans="1:69">
      <c r="A1611" s="28">
        <v>1998</v>
      </c>
      <c r="B1611" s="27" t="s">
        <v>75</v>
      </c>
      <c r="C1611" s="24">
        <f t="shared" si="1577"/>
        <v>1568</v>
      </c>
      <c r="D1611" s="7" t="e">
        <f t="shared" ca="1" si="1616"/>
        <v>#N/A</v>
      </c>
      <c r="E1611" s="26">
        <f t="array" aca="1" ref="E1611" ca="1">AVERAGE(IF(INDIRECT(DatCol&amp;"$"&amp;TEXT(C1611,"###")):INDIRECT(DatCol&amp;"$"&amp;TEXT(C1611+57,"###"))&gt;0,INDIRECT(DatCol&amp;"$"&amp;TEXT(C1611,"###")):INDIRECT(DatCol&amp;"$"&amp;TEXT(C1611+57,"###"))))</f>
        <v>306.38235294117646</v>
      </c>
      <c r="F1611" s="26" t="str">
        <f t="shared" si="1572"/>
        <v>I</v>
      </c>
      <c r="G1611" s="9">
        <v>44</v>
      </c>
      <c r="H1611" s="9">
        <v>100</v>
      </c>
      <c r="I1611" s="9">
        <v>239</v>
      </c>
      <c r="J1611" s="9">
        <v>1700</v>
      </c>
      <c r="K1611" s="9">
        <f t="shared" si="1576"/>
        <v>1844</v>
      </c>
      <c r="L1611" s="10">
        <v>0</v>
      </c>
      <c r="M1611" s="11">
        <v>0</v>
      </c>
      <c r="N1611" s="10">
        <f>O1611/50</f>
        <v>40</v>
      </c>
      <c r="O1611" s="11">
        <v>2000</v>
      </c>
      <c r="P1611" s="10">
        <f>Q1611/60</f>
        <v>416.66666666666669</v>
      </c>
      <c r="Q1611" s="11">
        <v>25000</v>
      </c>
      <c r="R1611" s="10">
        <f>S1611/60</f>
        <v>150</v>
      </c>
      <c r="S1611" s="11">
        <v>9000</v>
      </c>
      <c r="T1611" s="10">
        <f>U1611/60</f>
        <v>25</v>
      </c>
      <c r="U1611" s="11">
        <v>1500</v>
      </c>
      <c r="V1611" s="10">
        <v>0</v>
      </c>
      <c r="W1611" s="11">
        <v>0</v>
      </c>
      <c r="X1611" s="10">
        <f>Y1611/60</f>
        <v>10</v>
      </c>
      <c r="Y1611" s="11">
        <v>600</v>
      </c>
      <c r="Z1611" s="10">
        <v>10</v>
      </c>
      <c r="AA1611" s="11">
        <v>600</v>
      </c>
      <c r="AB1611" s="10">
        <v>5</v>
      </c>
      <c r="AC1611" s="11">
        <v>300</v>
      </c>
      <c r="AD1611" s="10">
        <f>AE1611/60</f>
        <v>3.3333333333333335</v>
      </c>
      <c r="AE1611" s="11">
        <v>200</v>
      </c>
      <c r="AF1611" s="10">
        <v>0</v>
      </c>
      <c r="AG1611" s="11">
        <v>0</v>
      </c>
      <c r="AH1611" s="10">
        <v>0</v>
      </c>
      <c r="AI1611" s="11">
        <v>0</v>
      </c>
      <c r="AJ1611" s="10">
        <v>3333</v>
      </c>
      <c r="AK1611" s="13">
        <f t="shared" si="1623"/>
        <v>29997</v>
      </c>
      <c r="AL1611" s="10">
        <f>AM1611/9</f>
        <v>77.777777777777771</v>
      </c>
      <c r="AM1611" s="13">
        <v>700</v>
      </c>
      <c r="AN1611" s="10">
        <v>0</v>
      </c>
      <c r="AO1611" s="11">
        <v>0</v>
      </c>
      <c r="AP1611" s="10">
        <v>0</v>
      </c>
      <c r="AQ1611" s="11">
        <v>0</v>
      </c>
      <c r="AR1611" s="10">
        <v>0</v>
      </c>
      <c r="AS1611" s="11">
        <v>0</v>
      </c>
      <c r="AT1611" s="10">
        <v>0</v>
      </c>
      <c r="AU1611" s="11">
        <v>0</v>
      </c>
      <c r="AV1611" s="10">
        <f>AW1611/40</f>
        <v>250</v>
      </c>
      <c r="AW1611" s="11">
        <v>10000</v>
      </c>
      <c r="AX1611" s="10">
        <v>0</v>
      </c>
      <c r="AY1611" s="11">
        <v>0</v>
      </c>
      <c r="AZ1611" s="10">
        <v>0</v>
      </c>
      <c r="BA1611" s="11">
        <v>0</v>
      </c>
      <c r="BB1611" s="10">
        <v>0</v>
      </c>
      <c r="BC1611" s="11">
        <v>0</v>
      </c>
      <c r="BD1611" s="10">
        <v>0</v>
      </c>
      <c r="BE1611" s="11">
        <v>0</v>
      </c>
      <c r="BF1611" s="10">
        <v>0</v>
      </c>
      <c r="BG1611" s="11">
        <v>0</v>
      </c>
      <c r="BH1611" s="11">
        <v>0</v>
      </c>
      <c r="BI1611" s="11">
        <v>800</v>
      </c>
      <c r="BN1611" s="8">
        <f t="shared" si="1573"/>
        <v>4203</v>
      </c>
      <c r="BO1611" s="8">
        <f t="shared" si="1574"/>
        <v>76997</v>
      </c>
      <c r="BP1611" s="8">
        <f t="shared" si="1578"/>
        <v>146.11111111111109</v>
      </c>
      <c r="BQ1611" s="12">
        <f t="shared" si="1579"/>
        <v>4400</v>
      </c>
    </row>
    <row r="1612" spans="1:69">
      <c r="A1612" s="28">
        <v>1999</v>
      </c>
      <c r="B1612" s="27" t="s">
        <v>75</v>
      </c>
      <c r="C1612" s="24">
        <f t="shared" si="1577"/>
        <v>1568</v>
      </c>
      <c r="D1612" s="7" t="e">
        <f t="shared" ca="1" si="1616"/>
        <v>#N/A</v>
      </c>
      <c r="E1612" s="26">
        <f t="array" aca="1" ref="E1612" ca="1">AVERAGE(IF(INDIRECT(DatCol&amp;"$"&amp;TEXT(C1612,"###")):INDIRECT(DatCol&amp;"$"&amp;TEXT(C1612+57,"###"))&gt;0,INDIRECT(DatCol&amp;"$"&amp;TEXT(C1612,"###")):INDIRECT(DatCol&amp;"$"&amp;TEXT(C1612+57,"###"))))</f>
        <v>306.38235294117646</v>
      </c>
      <c r="F1612" s="26" t="str">
        <f t="shared" si="1572"/>
        <v>I</v>
      </c>
      <c r="G1612" s="9">
        <v>45</v>
      </c>
      <c r="H1612" s="9">
        <v>150</v>
      </c>
      <c r="I1612" s="9">
        <v>134</v>
      </c>
      <c r="J1612" s="9">
        <v>1650</v>
      </c>
      <c r="K1612" s="9">
        <f t="shared" si="1576"/>
        <v>1845</v>
      </c>
      <c r="L1612" s="10">
        <v>0</v>
      </c>
      <c r="M1612" s="11">
        <v>0</v>
      </c>
      <c r="N1612" s="10">
        <f>O1612/50</f>
        <v>3</v>
      </c>
      <c r="O1612" s="11">
        <v>150</v>
      </c>
      <c r="P1612" s="10">
        <f>Q1612/60</f>
        <v>3.6666666666666665</v>
      </c>
      <c r="Q1612" s="11">
        <v>220</v>
      </c>
      <c r="R1612" s="10">
        <f>S1612/60</f>
        <v>8.3333333333333339</v>
      </c>
      <c r="S1612" s="11">
        <v>500</v>
      </c>
      <c r="T1612" s="10">
        <f>U1612/60</f>
        <v>7.5</v>
      </c>
      <c r="U1612" s="11">
        <v>450</v>
      </c>
      <c r="V1612" s="10">
        <f>W1612/60</f>
        <v>1.6666666666666667</v>
      </c>
      <c r="W1612" s="11">
        <v>100</v>
      </c>
      <c r="X1612" s="10">
        <f>Y1612/60</f>
        <v>2</v>
      </c>
      <c r="Y1612" s="11">
        <v>120</v>
      </c>
      <c r="Z1612" s="10">
        <f>AA1612/60</f>
        <v>1.6666666666666667</v>
      </c>
      <c r="AA1612" s="11">
        <v>100</v>
      </c>
      <c r="AB1612" s="10">
        <f>AC1612/60</f>
        <v>1.6666666666666667</v>
      </c>
      <c r="AC1612" s="11">
        <v>100</v>
      </c>
      <c r="AD1612" s="10">
        <f>AE1612/60</f>
        <v>0.83333333333333337</v>
      </c>
      <c r="AE1612" s="11">
        <v>50</v>
      </c>
      <c r="AF1612" s="10">
        <v>0</v>
      </c>
      <c r="AG1612" s="11">
        <v>0</v>
      </c>
      <c r="AH1612" s="10">
        <f>AI1612/50</f>
        <v>0.1</v>
      </c>
      <c r="AI1612" s="11">
        <v>5</v>
      </c>
      <c r="AJ1612" s="10">
        <v>14000</v>
      </c>
      <c r="AK1612" s="13">
        <f t="shared" si="1623"/>
        <v>126000</v>
      </c>
      <c r="AL1612" s="10">
        <f>AM1612/9</f>
        <v>444.44444444444446</v>
      </c>
      <c r="AM1612" s="13">
        <v>4000</v>
      </c>
      <c r="AN1612" s="10">
        <v>0</v>
      </c>
      <c r="AO1612" s="11">
        <v>0</v>
      </c>
      <c r="AP1612" s="10">
        <v>0</v>
      </c>
      <c r="AQ1612" s="11">
        <v>0</v>
      </c>
      <c r="AR1612" s="10">
        <v>0</v>
      </c>
      <c r="AS1612" s="11">
        <v>0</v>
      </c>
      <c r="AT1612" s="10">
        <f>AU1612/55</f>
        <v>1.8181818181818181</v>
      </c>
      <c r="AU1612" s="11">
        <v>100</v>
      </c>
      <c r="AV1612" s="10">
        <f>AW1612/40</f>
        <v>137.5</v>
      </c>
      <c r="AW1612" s="11">
        <v>5500</v>
      </c>
      <c r="AX1612" s="10">
        <f>AY1612/40</f>
        <v>2.5</v>
      </c>
      <c r="AY1612" s="11">
        <v>100</v>
      </c>
      <c r="AZ1612" s="10">
        <v>0</v>
      </c>
      <c r="BA1612" s="11">
        <v>0</v>
      </c>
      <c r="BB1612" s="10">
        <v>0</v>
      </c>
      <c r="BC1612" s="11">
        <v>0</v>
      </c>
      <c r="BD1612" s="10">
        <v>0</v>
      </c>
      <c r="BE1612" s="11">
        <v>0</v>
      </c>
      <c r="BF1612" s="10">
        <v>0</v>
      </c>
      <c r="BG1612" s="11">
        <v>0</v>
      </c>
      <c r="BH1612" s="11">
        <v>0</v>
      </c>
      <c r="BI1612" s="11">
        <v>150</v>
      </c>
      <c r="BN1612" s="8">
        <f t="shared" si="1573"/>
        <v>14164.833333333334</v>
      </c>
      <c r="BO1612" s="8">
        <f t="shared" si="1574"/>
        <v>133090</v>
      </c>
      <c r="BP1612" s="8">
        <f t="shared" si="1578"/>
        <v>458.02929292929292</v>
      </c>
      <c r="BQ1612" s="12">
        <f t="shared" si="1579"/>
        <v>4725</v>
      </c>
    </row>
    <row r="1613" spans="1:69">
      <c r="A1613" s="28">
        <v>2000</v>
      </c>
      <c r="B1613" s="27" t="s">
        <v>75</v>
      </c>
      <c r="C1613" s="24">
        <f t="shared" si="1577"/>
        <v>1568</v>
      </c>
      <c r="D1613" s="7" t="e">
        <f t="shared" ca="1" si="1616"/>
        <v>#N/A</v>
      </c>
      <c r="E1613" s="26">
        <f t="array" aca="1" ref="E1613" ca="1">AVERAGE(IF(INDIRECT(DatCol&amp;"$"&amp;TEXT(C1613,"###")):INDIRECT(DatCol&amp;"$"&amp;TEXT(C1613+57,"###"))&gt;0,INDIRECT(DatCol&amp;"$"&amp;TEXT(C1613,"###")):INDIRECT(DatCol&amp;"$"&amp;TEXT(C1613+57,"###"))))</f>
        <v>306.38235294117646</v>
      </c>
      <c r="F1613" s="26" t="str">
        <f t="shared" si="1572"/>
        <v>I</v>
      </c>
      <c r="G1613" s="9">
        <v>54</v>
      </c>
      <c r="H1613" s="9">
        <v>200</v>
      </c>
      <c r="I1613" s="9">
        <v>117</v>
      </c>
      <c r="J1613" s="9">
        <v>1736</v>
      </c>
      <c r="K1613" s="9">
        <f t="shared" si="1576"/>
        <v>1990</v>
      </c>
      <c r="L1613" s="10">
        <v>0</v>
      </c>
      <c r="M1613" s="11">
        <v>0</v>
      </c>
      <c r="N1613" s="10">
        <f>O1613/50</f>
        <v>4</v>
      </c>
      <c r="O1613" s="11">
        <v>200</v>
      </c>
      <c r="P1613" s="10">
        <f>Q1613/49.5</f>
        <v>4.0404040404040407</v>
      </c>
      <c r="Q1613" s="11">
        <v>200</v>
      </c>
      <c r="R1613" s="10">
        <f>S1613/49.5</f>
        <v>10.1010101010101</v>
      </c>
      <c r="S1613" s="11">
        <v>500</v>
      </c>
      <c r="T1613" s="10">
        <f>U1613/56</f>
        <v>7.1428571428571432</v>
      </c>
      <c r="U1613" s="11">
        <v>400</v>
      </c>
      <c r="V1613" s="10">
        <f>W1613/57.5</f>
        <v>1.7391304347826086</v>
      </c>
      <c r="W1613" s="11">
        <v>100</v>
      </c>
      <c r="X1613" s="10">
        <f>Y1613/49.5</f>
        <v>2.4242424242424243</v>
      </c>
      <c r="Y1613" s="11">
        <v>120</v>
      </c>
      <c r="Z1613" s="10">
        <f>AA1613/49.5</f>
        <v>2.0202020202020203</v>
      </c>
      <c r="AA1613" s="11">
        <v>100</v>
      </c>
      <c r="AB1613" s="10">
        <f>AC1613/56</f>
        <v>1.7857142857142858</v>
      </c>
      <c r="AC1613" s="11">
        <v>100</v>
      </c>
      <c r="AD1613" s="10">
        <f>AE1613/49.5</f>
        <v>1.5151515151515151</v>
      </c>
      <c r="AE1613" s="11">
        <v>75</v>
      </c>
      <c r="AF1613" s="10">
        <v>0</v>
      </c>
      <c r="AG1613" s="11">
        <v>0</v>
      </c>
      <c r="AH1613" s="10">
        <f>AI1613/47.5</f>
        <v>0.21052631578947367</v>
      </c>
      <c r="AI1613" s="11">
        <v>10</v>
      </c>
      <c r="AJ1613" s="10">
        <v>12500</v>
      </c>
      <c r="AK1613" s="13">
        <f t="shared" si="1623"/>
        <v>112500</v>
      </c>
      <c r="AL1613" s="10">
        <f>AM1613/9</f>
        <v>111.11111111111111</v>
      </c>
      <c r="AM1613" s="13">
        <v>1000</v>
      </c>
      <c r="AN1613" s="10">
        <v>0</v>
      </c>
      <c r="AO1613" s="11">
        <v>0</v>
      </c>
      <c r="AP1613" s="10">
        <v>0</v>
      </c>
      <c r="AQ1613" s="11">
        <v>0</v>
      </c>
      <c r="AR1613" s="10">
        <v>0</v>
      </c>
      <c r="AS1613" s="11">
        <v>0</v>
      </c>
      <c r="AT1613" s="10">
        <f>AU1613/55</f>
        <v>3.6363636363636362</v>
      </c>
      <c r="AU1613" s="11">
        <v>200</v>
      </c>
      <c r="AV1613" s="10">
        <f>AW1613/40</f>
        <v>125</v>
      </c>
      <c r="AW1613" s="11">
        <v>5000</v>
      </c>
      <c r="AX1613" s="10">
        <v>2.5</v>
      </c>
      <c r="AY1613" s="11">
        <v>100</v>
      </c>
      <c r="AZ1613" s="10">
        <v>0</v>
      </c>
      <c r="BA1613" s="11">
        <v>0</v>
      </c>
      <c r="BB1613" s="10">
        <v>0</v>
      </c>
      <c r="BC1613" s="11">
        <v>0</v>
      </c>
      <c r="BD1613" s="10">
        <v>0</v>
      </c>
      <c r="BE1613" s="11">
        <v>0</v>
      </c>
      <c r="BF1613" s="10">
        <v>0</v>
      </c>
      <c r="BG1613" s="11">
        <v>0</v>
      </c>
      <c r="BH1613" s="11">
        <v>0</v>
      </c>
      <c r="BI1613" s="11">
        <v>150</v>
      </c>
      <c r="BN1613" s="8">
        <f t="shared" si="1573"/>
        <v>12655.768711964363</v>
      </c>
      <c r="BO1613" s="8">
        <f t="shared" si="1574"/>
        <v>119020</v>
      </c>
      <c r="BP1613" s="8">
        <f t="shared" si="1578"/>
        <v>129.20331130857448</v>
      </c>
      <c r="BQ1613" s="12">
        <f t="shared" si="1579"/>
        <v>1905</v>
      </c>
    </row>
    <row r="1614" spans="1:69">
      <c r="A1614" s="28">
        <v>2001</v>
      </c>
      <c r="B1614" s="27" t="s">
        <v>75</v>
      </c>
      <c r="C1614" s="24">
        <f t="shared" si="1577"/>
        <v>1568</v>
      </c>
      <c r="D1614" s="7" t="e">
        <f t="shared" ca="1" si="1616"/>
        <v>#N/A</v>
      </c>
      <c r="E1614" s="26">
        <f t="array" aca="1" ref="E1614" ca="1">AVERAGE(IF(INDIRECT(DatCol&amp;"$"&amp;TEXT(C1614,"###")):INDIRECT(DatCol&amp;"$"&amp;TEXT(C1614+57,"###"))&gt;0,INDIRECT(DatCol&amp;"$"&amp;TEXT(C1614,"###")):INDIRECT(DatCol&amp;"$"&amp;TEXT(C1614+57,"###"))))</f>
        <v>306.38235294117646</v>
      </c>
      <c r="F1614" s="26" t="str">
        <f t="shared" si="1572"/>
        <v>I</v>
      </c>
      <c r="H1614" s="9">
        <v>76</v>
      </c>
      <c r="I1614" s="9">
        <v>197</v>
      </c>
      <c r="J1614" s="9">
        <v>1700</v>
      </c>
      <c r="K1614" s="9">
        <f t="shared" si="1576"/>
        <v>1776</v>
      </c>
      <c r="AJ1614" s="10">
        <v>14500</v>
      </c>
      <c r="AK1614" s="13">
        <f t="shared" si="1623"/>
        <v>130500</v>
      </c>
      <c r="AM1614" s="13"/>
      <c r="BN1614" s="8">
        <f t="shared" si="1573"/>
        <v>14500</v>
      </c>
      <c r="BO1614" s="8">
        <f t="shared" si="1574"/>
        <v>130500</v>
      </c>
      <c r="BP1614" s="8">
        <f t="shared" si="1578"/>
        <v>0</v>
      </c>
      <c r="BQ1614" s="12">
        <f t="shared" si="1579"/>
        <v>0</v>
      </c>
    </row>
    <row r="1615" spans="1:69">
      <c r="A1615" s="28">
        <v>2002</v>
      </c>
      <c r="B1615" s="27" t="s">
        <v>75</v>
      </c>
      <c r="C1615" s="24">
        <f t="shared" si="1577"/>
        <v>1568</v>
      </c>
      <c r="D1615" s="7" t="e">
        <f t="shared" ca="1" si="1616"/>
        <v>#N/A</v>
      </c>
      <c r="E1615" s="26">
        <f t="array" aca="1" ref="E1615" ca="1">AVERAGE(IF(INDIRECT(DatCol&amp;"$"&amp;TEXT(C1615,"###")):INDIRECT(DatCol&amp;"$"&amp;TEXT(C1615+57,"###"))&gt;0,INDIRECT(DatCol&amp;"$"&amp;TEXT(C1615,"###")):INDIRECT(DatCol&amp;"$"&amp;TEXT(C1615+57,"###"))))</f>
        <v>306.38235294117646</v>
      </c>
      <c r="F1615" s="26" t="str">
        <f t="shared" si="1572"/>
        <v>I</v>
      </c>
      <c r="H1615" s="9">
        <v>38</v>
      </c>
      <c r="I1615" s="9">
        <v>195</v>
      </c>
      <c r="J1615" s="9">
        <v>1626</v>
      </c>
      <c r="K1615" s="9">
        <f t="shared" si="1576"/>
        <v>1664</v>
      </c>
      <c r="AJ1615" s="10">
        <v>13900</v>
      </c>
      <c r="AK1615" s="13">
        <f t="shared" si="1623"/>
        <v>125100</v>
      </c>
      <c r="AM1615" s="13"/>
      <c r="BN1615" s="8">
        <f t="shared" si="1573"/>
        <v>13900</v>
      </c>
      <c r="BO1615" s="8">
        <f t="shared" si="1574"/>
        <v>125100</v>
      </c>
      <c r="BP1615" s="8">
        <f t="shared" si="1578"/>
        <v>0</v>
      </c>
      <c r="BQ1615" s="12">
        <f t="shared" si="1579"/>
        <v>0</v>
      </c>
    </row>
    <row r="1616" spans="1:69">
      <c r="A1616" s="28">
        <v>2003</v>
      </c>
      <c r="B1616" s="27" t="s">
        <v>75</v>
      </c>
      <c r="C1616" s="24">
        <f t="shared" si="1577"/>
        <v>1568</v>
      </c>
      <c r="D1616" s="7" t="e">
        <f t="shared" ca="1" si="1616"/>
        <v>#N/A</v>
      </c>
      <c r="E1616" s="26">
        <f t="array" aca="1" ref="E1616" ca="1">AVERAGE(IF(INDIRECT(DatCol&amp;"$"&amp;TEXT(C1616,"###")):INDIRECT(DatCol&amp;"$"&amp;TEXT(C1616+57,"###"))&gt;0,INDIRECT(DatCol&amp;"$"&amp;TEXT(C1616,"###")):INDIRECT(DatCol&amp;"$"&amp;TEXT(C1616+57,"###"))))</f>
        <v>306.38235294117646</v>
      </c>
      <c r="F1616" s="26" t="str">
        <f t="shared" si="1572"/>
        <v>I</v>
      </c>
      <c r="H1616" s="9">
        <v>76</v>
      </c>
      <c r="I1616" s="9">
        <v>157</v>
      </c>
      <c r="J1616" s="9">
        <v>1665</v>
      </c>
      <c r="K1616" s="9">
        <f t="shared" si="1576"/>
        <v>1741</v>
      </c>
      <c r="AJ1616" s="10">
        <v>15600</v>
      </c>
      <c r="AK1616" s="13">
        <f t="shared" si="1623"/>
        <v>140400</v>
      </c>
      <c r="AM1616" s="13"/>
      <c r="BN1616" s="8">
        <f t="shared" si="1573"/>
        <v>15600</v>
      </c>
      <c r="BO1616" s="8">
        <f t="shared" si="1574"/>
        <v>140400</v>
      </c>
      <c r="BP1616" s="8">
        <f t="shared" si="1578"/>
        <v>0</v>
      </c>
      <c r="BQ1616" s="12">
        <f t="shared" si="1579"/>
        <v>0</v>
      </c>
    </row>
    <row r="1617" spans="1:69">
      <c r="A1617" s="28">
        <v>2004</v>
      </c>
      <c r="B1617" s="27" t="s">
        <v>75</v>
      </c>
      <c r="C1617" s="24">
        <f t="shared" si="1577"/>
        <v>1568</v>
      </c>
      <c r="D1617" s="7" t="e">
        <f t="shared" ca="1" si="1616"/>
        <v>#N/A</v>
      </c>
      <c r="E1617" s="26">
        <f t="array" aca="1" ref="E1617" ca="1">AVERAGE(IF(INDIRECT(DatCol&amp;"$"&amp;TEXT(C1617,"###")):INDIRECT(DatCol&amp;"$"&amp;TEXT(C1617+57,"###"))&gt;0,INDIRECT(DatCol&amp;"$"&amp;TEXT(C1617,"###")):INDIRECT(DatCol&amp;"$"&amp;TEXT(C1617+57,"###"))))</f>
        <v>306.38235294117646</v>
      </c>
      <c r="F1617" s="26" t="str">
        <f t="shared" si="1572"/>
        <v>I</v>
      </c>
      <c r="H1617" s="9">
        <v>48</v>
      </c>
      <c r="I1617" s="9">
        <v>150</v>
      </c>
      <c r="J1617" s="9">
        <v>1756</v>
      </c>
      <c r="K1617" s="9">
        <f t="shared" si="1576"/>
        <v>1804</v>
      </c>
      <c r="AJ1617" s="10">
        <v>32500</v>
      </c>
      <c r="AK1617" s="13">
        <f t="shared" si="1623"/>
        <v>292500</v>
      </c>
      <c r="AM1617" s="13"/>
      <c r="BN1617" s="8">
        <f t="shared" si="1573"/>
        <v>32500</v>
      </c>
      <c r="BO1617" s="8">
        <f t="shared" si="1574"/>
        <v>292500</v>
      </c>
      <c r="BP1617" s="8">
        <f t="shared" si="1578"/>
        <v>0</v>
      </c>
      <c r="BQ1617" s="12">
        <f t="shared" si="1579"/>
        <v>0</v>
      </c>
    </row>
    <row r="1618" spans="1:69">
      <c r="A1618" s="28">
        <v>2005</v>
      </c>
      <c r="B1618" s="27" t="s">
        <v>75</v>
      </c>
      <c r="C1618" s="24">
        <f t="shared" si="1577"/>
        <v>1568</v>
      </c>
      <c r="D1618" s="7" t="e">
        <f t="shared" ca="1" si="1616"/>
        <v>#N/A</v>
      </c>
      <c r="E1618" s="26">
        <f t="array" aca="1" ref="E1618" ca="1">AVERAGE(IF(INDIRECT(DatCol&amp;"$"&amp;TEXT(C1618,"###")):INDIRECT(DatCol&amp;"$"&amp;TEXT(C1618+57,"###"))&gt;0,INDIRECT(DatCol&amp;"$"&amp;TEXT(C1618,"###")):INDIRECT(DatCol&amp;"$"&amp;TEXT(C1618+57,"###"))))</f>
        <v>306.38235294117646</v>
      </c>
      <c r="F1618" s="26" t="str">
        <f t="shared" si="1572"/>
        <v>I</v>
      </c>
      <c r="H1618" s="9">
        <v>46</v>
      </c>
      <c r="I1618" s="9">
        <v>179</v>
      </c>
      <c r="J1618" s="9">
        <v>1565</v>
      </c>
      <c r="K1618" s="9">
        <f t="shared" si="1576"/>
        <v>1611</v>
      </c>
      <c r="AJ1618" s="10">
        <v>5500</v>
      </c>
      <c r="AK1618" s="13">
        <f t="shared" si="1623"/>
        <v>49500</v>
      </c>
      <c r="AM1618" s="13"/>
      <c r="BN1618" s="8">
        <f t="shared" si="1573"/>
        <v>5500</v>
      </c>
      <c r="BO1618" s="8">
        <f t="shared" si="1574"/>
        <v>49500</v>
      </c>
      <c r="BP1618" s="8">
        <f t="shared" si="1578"/>
        <v>0</v>
      </c>
      <c r="BQ1618" s="12">
        <f t="shared" si="1579"/>
        <v>0</v>
      </c>
    </row>
    <row r="1619" spans="1:69">
      <c r="A1619" s="28">
        <v>2006</v>
      </c>
      <c r="B1619" s="27" t="s">
        <v>75</v>
      </c>
      <c r="C1619" s="24">
        <f t="shared" si="1577"/>
        <v>1568</v>
      </c>
      <c r="D1619" s="7" t="e">
        <f t="shared" ca="1" si="1616"/>
        <v>#N/A</v>
      </c>
      <c r="E1619" s="26">
        <f t="array" aca="1" ref="E1619" ca="1">AVERAGE(IF(INDIRECT(DatCol&amp;"$"&amp;TEXT(C1619,"###")):INDIRECT(DatCol&amp;"$"&amp;TEXT(C1619+57,"###"))&gt;0,INDIRECT(DatCol&amp;"$"&amp;TEXT(C1619,"###")):INDIRECT(DatCol&amp;"$"&amp;TEXT(C1619+57,"###"))))</f>
        <v>306.38235294117646</v>
      </c>
      <c r="F1619" s="26" t="str">
        <f t="shared" ref="F1619:F1688" si="1635">VLOOKUP(B1619,town_region,2,FALSE)</f>
        <v>I</v>
      </c>
      <c r="H1619" s="9">
        <v>36</v>
      </c>
      <c r="I1619" s="9">
        <v>147</v>
      </c>
      <c r="J1619" s="9">
        <v>1604</v>
      </c>
      <c r="K1619" s="9">
        <f t="shared" si="1576"/>
        <v>1640</v>
      </c>
      <c r="AJ1619" s="10">
        <v>3800</v>
      </c>
      <c r="AK1619" s="13">
        <f t="shared" si="1623"/>
        <v>34200</v>
      </c>
      <c r="AM1619" s="13"/>
      <c r="BN1619" s="8">
        <f t="shared" si="1573"/>
        <v>3800</v>
      </c>
      <c r="BO1619" s="8">
        <f t="shared" si="1574"/>
        <v>34200</v>
      </c>
      <c r="BP1619" s="8">
        <f t="shared" si="1578"/>
        <v>0</v>
      </c>
      <c r="BQ1619" s="12">
        <f t="shared" si="1579"/>
        <v>0</v>
      </c>
    </row>
    <row r="1620" spans="1:69">
      <c r="A1620" s="28">
        <v>2007</v>
      </c>
      <c r="B1620" s="27" t="s">
        <v>75</v>
      </c>
      <c r="C1620" s="24">
        <f t="shared" si="1577"/>
        <v>1568</v>
      </c>
      <c r="D1620" s="7" t="e">
        <f t="shared" ca="1" si="1616"/>
        <v>#N/A</v>
      </c>
      <c r="E1620" s="26">
        <f t="array" aca="1" ref="E1620" ca="1">AVERAGE(IF(INDIRECT(DatCol&amp;"$"&amp;TEXT(C1620,"###")):INDIRECT(DatCol&amp;"$"&amp;TEXT(C1620+57,"###"))&gt;0,INDIRECT(DatCol&amp;"$"&amp;TEXT(C1620,"###")):INDIRECT(DatCol&amp;"$"&amp;TEXT(C1620+57,"###"))))</f>
        <v>306.38235294117646</v>
      </c>
      <c r="F1620" s="26" t="str">
        <f t="shared" si="1635"/>
        <v>I</v>
      </c>
      <c r="H1620" s="9">
        <v>40</v>
      </c>
      <c r="I1620" s="9">
        <v>157</v>
      </c>
      <c r="J1620" s="9">
        <v>1720</v>
      </c>
      <c r="K1620" s="9">
        <f t="shared" si="1576"/>
        <v>1760</v>
      </c>
      <c r="AJ1620" s="10">
        <v>16800</v>
      </c>
      <c r="AK1620" s="13">
        <f t="shared" si="1623"/>
        <v>151200</v>
      </c>
      <c r="AM1620" s="13"/>
      <c r="BN1620" s="8">
        <f t="shared" si="1573"/>
        <v>16800</v>
      </c>
      <c r="BO1620" s="8">
        <f t="shared" si="1574"/>
        <v>151200</v>
      </c>
      <c r="BP1620" s="8">
        <f t="shared" si="1578"/>
        <v>0</v>
      </c>
      <c r="BQ1620" s="12">
        <f t="shared" si="1579"/>
        <v>0</v>
      </c>
    </row>
    <row r="1621" spans="1:69">
      <c r="A1621" s="28">
        <v>2008</v>
      </c>
      <c r="B1621" s="27" t="s">
        <v>75</v>
      </c>
      <c r="C1621" s="24">
        <f t="shared" si="1577"/>
        <v>1568</v>
      </c>
      <c r="D1621" s="7" t="e">
        <f t="shared" ca="1" si="1616"/>
        <v>#N/A</v>
      </c>
      <c r="E1621" s="26">
        <f t="array" aca="1" ref="E1621" ca="1">AVERAGE(IF(INDIRECT(DatCol&amp;"$"&amp;TEXT(C1621,"###")):INDIRECT(DatCol&amp;"$"&amp;TEXT(C1621+57,"###"))&gt;0,INDIRECT(DatCol&amp;"$"&amp;TEXT(C1621,"###")):INDIRECT(DatCol&amp;"$"&amp;TEXT(C1621+57,"###"))))</f>
        <v>306.38235294117646</v>
      </c>
      <c r="F1621" s="26" t="str">
        <f t="shared" si="1635"/>
        <v>I</v>
      </c>
      <c r="K1621" s="9">
        <f t="shared" si="1576"/>
        <v>0</v>
      </c>
      <c r="AK1621" s="13"/>
      <c r="AM1621" s="13"/>
      <c r="BN1621" s="8">
        <f t="shared" si="1573"/>
        <v>0</v>
      </c>
      <c r="BO1621" s="8">
        <f t="shared" si="1574"/>
        <v>0</v>
      </c>
      <c r="BP1621" s="8">
        <f t="shared" si="1578"/>
        <v>0</v>
      </c>
      <c r="BQ1621" s="12">
        <f t="shared" si="1579"/>
        <v>0</v>
      </c>
    </row>
    <row r="1622" spans="1:69">
      <c r="A1622" s="28">
        <v>2009</v>
      </c>
      <c r="B1622" s="27" t="s">
        <v>75</v>
      </c>
      <c r="C1622" s="24">
        <f t="shared" si="1577"/>
        <v>1568</v>
      </c>
      <c r="D1622" s="7" t="e">
        <f t="shared" ca="1" si="1616"/>
        <v>#N/A</v>
      </c>
      <c r="E1622" s="26">
        <f t="array" aca="1" ref="E1622" ca="1">AVERAGE(IF(INDIRECT(DatCol&amp;"$"&amp;TEXT(C1622,"###")):INDIRECT(DatCol&amp;"$"&amp;TEXT(C1622+57,"###"))&gt;0,INDIRECT(DatCol&amp;"$"&amp;TEXT(C1622,"###")):INDIRECT(DatCol&amp;"$"&amp;TEXT(C1622+57,"###"))))</f>
        <v>306.38235294117646</v>
      </c>
      <c r="F1622" s="26" t="str">
        <f t="shared" si="1635"/>
        <v>I</v>
      </c>
      <c r="K1622" s="9">
        <f t="shared" si="1576"/>
        <v>0</v>
      </c>
      <c r="AK1622" s="13"/>
      <c r="AM1622" s="13"/>
      <c r="BN1622" s="8">
        <f t="shared" si="1573"/>
        <v>0</v>
      </c>
      <c r="BO1622" s="8">
        <f t="shared" si="1574"/>
        <v>0</v>
      </c>
      <c r="BP1622" s="8">
        <f t="shared" si="1578"/>
        <v>0</v>
      </c>
      <c r="BQ1622" s="12">
        <f t="shared" si="1579"/>
        <v>0</v>
      </c>
    </row>
    <row r="1623" spans="1:69">
      <c r="A1623" s="28">
        <v>2010</v>
      </c>
      <c r="B1623" s="27" t="s">
        <v>75</v>
      </c>
      <c r="C1623" s="24">
        <f t="shared" si="1577"/>
        <v>1568</v>
      </c>
      <c r="D1623" s="7" t="e">
        <f t="shared" ca="1" si="1616"/>
        <v>#N/A</v>
      </c>
      <c r="E1623" s="26">
        <f t="array" aca="1" ref="E1623" ca="1">AVERAGE(IF(INDIRECT(DatCol&amp;"$"&amp;TEXT(C1623,"###")):INDIRECT(DatCol&amp;"$"&amp;TEXT(C1623+57,"###"))&gt;0,INDIRECT(DatCol&amp;"$"&amp;TEXT(C1623,"###")):INDIRECT(DatCol&amp;"$"&amp;TEXT(C1623+57,"###"))))</f>
        <v>306.38235294117646</v>
      </c>
      <c r="F1623" s="26" t="str">
        <f t="shared" ref="F1623:F1625" si="1636">VLOOKUP(B1623,town_region,2,FALSE)</f>
        <v>I</v>
      </c>
      <c r="AK1623" s="13"/>
      <c r="AM1623" s="13"/>
      <c r="BN1623" s="8"/>
      <c r="BO1623" s="8"/>
      <c r="BP1623" s="8"/>
      <c r="BQ1623" s="12"/>
    </row>
    <row r="1624" spans="1:69">
      <c r="A1624" s="28">
        <v>2011</v>
      </c>
      <c r="B1624" s="27" t="s">
        <v>75</v>
      </c>
      <c r="C1624" s="24">
        <f t="shared" si="1577"/>
        <v>1568</v>
      </c>
      <c r="D1624" s="7" t="e">
        <f t="shared" ca="1" si="1616"/>
        <v>#N/A</v>
      </c>
      <c r="E1624" s="26">
        <f t="array" aca="1" ref="E1624" ca="1">AVERAGE(IF(INDIRECT(DatCol&amp;"$"&amp;TEXT(C1624,"###")):INDIRECT(DatCol&amp;"$"&amp;TEXT(C1624+57,"###"))&gt;0,INDIRECT(DatCol&amp;"$"&amp;TEXT(C1624,"###")):INDIRECT(DatCol&amp;"$"&amp;TEXT(C1624+57,"###"))))</f>
        <v>306.38235294117646</v>
      </c>
      <c r="F1624" s="26" t="str">
        <f t="shared" si="1636"/>
        <v>I</v>
      </c>
      <c r="AK1624" s="13"/>
      <c r="AM1624" s="13"/>
      <c r="BN1624" s="8"/>
      <c r="BO1624" s="8"/>
      <c r="BP1624" s="8"/>
      <c r="BQ1624" s="12"/>
    </row>
    <row r="1625" spans="1:69">
      <c r="A1625" s="28">
        <v>2012</v>
      </c>
      <c r="B1625" s="27" t="s">
        <v>75</v>
      </c>
      <c r="C1625" s="24">
        <f t="shared" si="1577"/>
        <v>1568</v>
      </c>
      <c r="D1625" s="7" t="e">
        <f t="shared" ca="1" si="1616"/>
        <v>#N/A</v>
      </c>
      <c r="E1625" s="26">
        <f t="array" aca="1" ref="E1625" ca="1">AVERAGE(IF(INDIRECT(DatCol&amp;"$"&amp;TEXT(C1625,"###")):INDIRECT(DatCol&amp;"$"&amp;TEXT(C1625+57,"###"))&gt;0,INDIRECT(DatCol&amp;"$"&amp;TEXT(C1625,"###")):INDIRECT(DatCol&amp;"$"&amp;TEXT(C1625+57,"###"))))</f>
        <v>306.38235294117646</v>
      </c>
      <c r="F1625" s="26" t="str">
        <f t="shared" si="1636"/>
        <v>I</v>
      </c>
      <c r="AK1625" s="13"/>
      <c r="AM1625" s="13"/>
      <c r="BN1625" s="8"/>
      <c r="BO1625" s="8"/>
      <c r="BP1625" s="8"/>
      <c r="BQ1625" s="12"/>
    </row>
    <row r="1626" spans="1:69">
      <c r="A1626" s="28">
        <v>1955</v>
      </c>
      <c r="B1626" s="27" t="s">
        <v>79</v>
      </c>
      <c r="C1626" s="24">
        <f>ROW()</f>
        <v>1626</v>
      </c>
      <c r="D1626" s="7" t="e">
        <f t="shared" ca="1" si="1616"/>
        <v>#N/A</v>
      </c>
      <c r="E1626" s="26">
        <f t="array" aca="1" ref="E1626" ca="1">AVERAGE(IF(INDIRECT(DatCol&amp;"$"&amp;TEXT(C1626,"###")):INDIRECT(DatCol&amp;"$"&amp;TEXT(C1626+57,"###"))&gt;0,INDIRECT(DatCol&amp;"$"&amp;TEXT(C1626,"###")):INDIRECT(DatCol&amp;"$"&amp;TEXT(C1626+57,"###"))))</f>
        <v>7</v>
      </c>
      <c r="F1626" s="26" t="str">
        <f t="shared" si="1635"/>
        <v>B</v>
      </c>
      <c r="G1626" s="8"/>
      <c r="K1626" s="9">
        <f t="shared" si="1576"/>
        <v>0</v>
      </c>
      <c r="M1626" s="11">
        <f t="shared" si="1617"/>
        <v>0</v>
      </c>
      <c r="O1626" s="11">
        <f t="shared" si="1618"/>
        <v>0</v>
      </c>
      <c r="Q1626" s="11">
        <f t="shared" si="1619"/>
        <v>0</v>
      </c>
      <c r="Y1626" s="11">
        <f t="shared" si="1620"/>
        <v>0</v>
      </c>
      <c r="AG1626" s="11">
        <f t="shared" si="1621"/>
        <v>0</v>
      </c>
      <c r="AI1626" s="11">
        <f t="shared" si="1622"/>
        <v>0</v>
      </c>
      <c r="AK1626" s="13">
        <f t="shared" si="1623"/>
        <v>0</v>
      </c>
      <c r="AM1626" s="13">
        <f t="shared" si="1624"/>
        <v>0</v>
      </c>
      <c r="AO1626" s="11">
        <f t="shared" si="1625"/>
        <v>0</v>
      </c>
      <c r="AQ1626" s="11">
        <f t="shared" si="1626"/>
        <v>0</v>
      </c>
      <c r="AS1626" s="11">
        <f t="shared" si="1627"/>
        <v>0</v>
      </c>
      <c r="AU1626" s="11">
        <f t="shared" si="1628"/>
        <v>0</v>
      </c>
      <c r="AW1626" s="11">
        <f t="shared" si="1629"/>
        <v>0</v>
      </c>
      <c r="AY1626" s="11">
        <f t="shared" si="1630"/>
        <v>0</v>
      </c>
      <c r="BA1626" s="11">
        <f t="shared" si="1631"/>
        <v>0</v>
      </c>
      <c r="BC1626" s="11">
        <f t="shared" si="1632"/>
        <v>0</v>
      </c>
      <c r="BE1626" s="11">
        <f t="shared" si="1633"/>
        <v>0</v>
      </c>
      <c r="BG1626" s="11">
        <f t="shared" si="1634"/>
        <v>0</v>
      </c>
      <c r="BN1626" s="8">
        <f t="shared" si="1573"/>
        <v>0</v>
      </c>
      <c r="BO1626" s="8">
        <f t="shared" si="1574"/>
        <v>0</v>
      </c>
      <c r="BP1626" s="8">
        <f t="shared" si="1578"/>
        <v>0</v>
      </c>
      <c r="BQ1626" s="12">
        <f t="shared" si="1579"/>
        <v>0</v>
      </c>
    </row>
    <row r="1627" spans="1:69">
      <c r="A1627" s="28">
        <v>1956</v>
      </c>
      <c r="B1627" s="27" t="s">
        <v>79</v>
      </c>
      <c r="C1627" s="24">
        <f t="shared" ref="C1627:C1683" si="1637">C1626</f>
        <v>1626</v>
      </c>
      <c r="D1627" s="7" t="e">
        <f t="shared" ca="1" si="1616"/>
        <v>#N/A</v>
      </c>
      <c r="E1627" s="26">
        <f t="array" aca="1" ref="E1627" ca="1">AVERAGE(IF(INDIRECT(DatCol&amp;"$"&amp;TEXT(C1627,"###")):INDIRECT(DatCol&amp;"$"&amp;TEXT(C1627+57,"###"))&gt;0,INDIRECT(DatCol&amp;"$"&amp;TEXT(C1627,"###")):INDIRECT(DatCol&amp;"$"&amp;TEXT(C1627+57,"###"))))</f>
        <v>7</v>
      </c>
      <c r="F1627" s="26" t="str">
        <f t="shared" si="1635"/>
        <v>B</v>
      </c>
      <c r="G1627" s="8"/>
      <c r="K1627" s="9">
        <f t="shared" si="1576"/>
        <v>0</v>
      </c>
      <c r="M1627" s="11">
        <f t="shared" si="1617"/>
        <v>0</v>
      </c>
      <c r="O1627" s="11">
        <f t="shared" si="1618"/>
        <v>0</v>
      </c>
      <c r="Q1627" s="11">
        <f t="shared" si="1619"/>
        <v>0</v>
      </c>
      <c r="Y1627" s="11">
        <f t="shared" si="1620"/>
        <v>0</v>
      </c>
      <c r="AG1627" s="11">
        <f t="shared" si="1621"/>
        <v>0</v>
      </c>
      <c r="AI1627" s="11">
        <f t="shared" si="1622"/>
        <v>0</v>
      </c>
      <c r="AK1627" s="13">
        <f t="shared" si="1623"/>
        <v>0</v>
      </c>
      <c r="AM1627" s="13">
        <f t="shared" si="1624"/>
        <v>0</v>
      </c>
      <c r="AO1627" s="11">
        <f t="shared" si="1625"/>
        <v>0</v>
      </c>
      <c r="AQ1627" s="11">
        <f t="shared" si="1626"/>
        <v>0</v>
      </c>
      <c r="AS1627" s="11">
        <f t="shared" si="1627"/>
        <v>0</v>
      </c>
      <c r="AU1627" s="11">
        <f t="shared" si="1628"/>
        <v>0</v>
      </c>
      <c r="AW1627" s="11">
        <f t="shared" si="1629"/>
        <v>0</v>
      </c>
      <c r="AY1627" s="11">
        <f t="shared" si="1630"/>
        <v>0</v>
      </c>
      <c r="BA1627" s="11">
        <f t="shared" si="1631"/>
        <v>0</v>
      </c>
      <c r="BC1627" s="11">
        <f t="shared" si="1632"/>
        <v>0</v>
      </c>
      <c r="BE1627" s="11">
        <f t="shared" si="1633"/>
        <v>0</v>
      </c>
      <c r="BG1627" s="11">
        <f t="shared" si="1634"/>
        <v>0</v>
      </c>
      <c r="BN1627" s="8">
        <f t="shared" si="1573"/>
        <v>0</v>
      </c>
      <c r="BO1627" s="8">
        <f t="shared" si="1574"/>
        <v>0</v>
      </c>
      <c r="BP1627" s="8">
        <f t="shared" si="1578"/>
        <v>0</v>
      </c>
      <c r="BQ1627" s="12">
        <f t="shared" si="1579"/>
        <v>0</v>
      </c>
    </row>
    <row r="1628" spans="1:69">
      <c r="A1628" s="28">
        <v>1957</v>
      </c>
      <c r="B1628" s="27" t="s">
        <v>79</v>
      </c>
      <c r="C1628" s="24">
        <f t="shared" si="1637"/>
        <v>1626</v>
      </c>
      <c r="D1628" s="7" t="e">
        <f t="shared" ca="1" si="1616"/>
        <v>#N/A</v>
      </c>
      <c r="E1628" s="26">
        <f t="array" aca="1" ref="E1628" ca="1">AVERAGE(IF(INDIRECT(DatCol&amp;"$"&amp;TEXT(C1628,"###")):INDIRECT(DatCol&amp;"$"&amp;TEXT(C1628+57,"###"))&gt;0,INDIRECT(DatCol&amp;"$"&amp;TEXT(C1628,"###")):INDIRECT(DatCol&amp;"$"&amp;TEXT(C1628+57,"###"))))</f>
        <v>7</v>
      </c>
      <c r="F1628" s="26" t="str">
        <f t="shared" si="1635"/>
        <v>B</v>
      </c>
      <c r="G1628" s="8"/>
      <c r="K1628" s="9">
        <f t="shared" si="1576"/>
        <v>0</v>
      </c>
      <c r="M1628" s="11">
        <f t="shared" si="1617"/>
        <v>0</v>
      </c>
      <c r="O1628" s="11">
        <f t="shared" si="1618"/>
        <v>0</v>
      </c>
      <c r="Q1628" s="11">
        <f t="shared" si="1619"/>
        <v>0</v>
      </c>
      <c r="Y1628" s="11">
        <f t="shared" si="1620"/>
        <v>0</v>
      </c>
      <c r="AG1628" s="11">
        <f t="shared" si="1621"/>
        <v>0</v>
      </c>
      <c r="AI1628" s="11">
        <f t="shared" si="1622"/>
        <v>0</v>
      </c>
      <c r="AK1628" s="13">
        <f t="shared" si="1623"/>
        <v>0</v>
      </c>
      <c r="AM1628" s="13">
        <f t="shared" si="1624"/>
        <v>0</v>
      </c>
      <c r="AO1628" s="11">
        <f t="shared" si="1625"/>
        <v>0</v>
      </c>
      <c r="AQ1628" s="11">
        <f t="shared" si="1626"/>
        <v>0</v>
      </c>
      <c r="AS1628" s="11">
        <f t="shared" si="1627"/>
        <v>0</v>
      </c>
      <c r="AU1628" s="11">
        <f t="shared" si="1628"/>
        <v>0</v>
      </c>
      <c r="AW1628" s="11">
        <f t="shared" si="1629"/>
        <v>0</v>
      </c>
      <c r="AY1628" s="11">
        <f t="shared" si="1630"/>
        <v>0</v>
      </c>
      <c r="BA1628" s="11">
        <f t="shared" si="1631"/>
        <v>0</v>
      </c>
      <c r="BC1628" s="11">
        <f t="shared" si="1632"/>
        <v>0</v>
      </c>
      <c r="BE1628" s="11">
        <f t="shared" si="1633"/>
        <v>0</v>
      </c>
      <c r="BG1628" s="11">
        <f t="shared" si="1634"/>
        <v>0</v>
      </c>
      <c r="BN1628" s="8">
        <f t="shared" si="1573"/>
        <v>0</v>
      </c>
      <c r="BO1628" s="8">
        <f t="shared" si="1574"/>
        <v>0</v>
      </c>
      <c r="BP1628" s="8">
        <f t="shared" si="1578"/>
        <v>0</v>
      </c>
      <c r="BQ1628" s="12">
        <f t="shared" si="1579"/>
        <v>0</v>
      </c>
    </row>
    <row r="1629" spans="1:69">
      <c r="A1629" s="28">
        <v>1958</v>
      </c>
      <c r="B1629" s="27" t="s">
        <v>79</v>
      </c>
      <c r="C1629" s="24">
        <f t="shared" si="1637"/>
        <v>1626</v>
      </c>
      <c r="D1629" s="7" t="e">
        <f t="shared" ca="1" si="1616"/>
        <v>#N/A</v>
      </c>
      <c r="E1629" s="26">
        <f t="array" aca="1" ref="E1629" ca="1">AVERAGE(IF(INDIRECT(DatCol&amp;"$"&amp;TEXT(C1629,"###")):INDIRECT(DatCol&amp;"$"&amp;TEXT(C1629+57,"###"))&gt;0,INDIRECT(DatCol&amp;"$"&amp;TEXT(C1629,"###")):INDIRECT(DatCol&amp;"$"&amp;TEXT(C1629+57,"###"))))</f>
        <v>7</v>
      </c>
      <c r="F1629" s="26" t="str">
        <f t="shared" si="1635"/>
        <v>B</v>
      </c>
      <c r="G1629" s="8"/>
      <c r="K1629" s="9">
        <f t="shared" si="1576"/>
        <v>0</v>
      </c>
      <c r="M1629" s="11">
        <f t="shared" si="1617"/>
        <v>0</v>
      </c>
      <c r="O1629" s="11">
        <f t="shared" si="1618"/>
        <v>0</v>
      </c>
      <c r="Q1629" s="11">
        <f t="shared" si="1619"/>
        <v>0</v>
      </c>
      <c r="Y1629" s="11">
        <f t="shared" si="1620"/>
        <v>0</v>
      </c>
      <c r="AG1629" s="11">
        <f t="shared" si="1621"/>
        <v>0</v>
      </c>
      <c r="AI1629" s="11">
        <f t="shared" si="1622"/>
        <v>0</v>
      </c>
      <c r="AK1629" s="13">
        <f t="shared" si="1623"/>
        <v>0</v>
      </c>
      <c r="AM1629" s="13">
        <f t="shared" si="1624"/>
        <v>0</v>
      </c>
      <c r="AO1629" s="11">
        <f t="shared" si="1625"/>
        <v>0</v>
      </c>
      <c r="AQ1629" s="11">
        <f t="shared" si="1626"/>
        <v>0</v>
      </c>
      <c r="AS1629" s="11">
        <f t="shared" si="1627"/>
        <v>0</v>
      </c>
      <c r="AU1629" s="11">
        <f t="shared" si="1628"/>
        <v>0</v>
      </c>
      <c r="AW1629" s="11">
        <f t="shared" si="1629"/>
        <v>0</v>
      </c>
      <c r="AY1629" s="11">
        <f t="shared" si="1630"/>
        <v>0</v>
      </c>
      <c r="BA1629" s="11">
        <f t="shared" si="1631"/>
        <v>0</v>
      </c>
      <c r="BC1629" s="11">
        <f t="shared" si="1632"/>
        <v>0</v>
      </c>
      <c r="BE1629" s="11">
        <f t="shared" si="1633"/>
        <v>0</v>
      </c>
      <c r="BG1629" s="11">
        <f t="shared" si="1634"/>
        <v>0</v>
      </c>
      <c r="BN1629" s="8">
        <f t="shared" ref="BN1629:BN1693" si="1638">(L1629+P1629+R1629+T1629+V1629+X1629+Z1629+AB1629+AD1629+AF1629+AJ1629+AN1629+AR1629+AV1629+AZ1629+BD1629)</f>
        <v>0</v>
      </c>
      <c r="BO1629" s="8">
        <f t="shared" si="1574"/>
        <v>0</v>
      </c>
      <c r="BP1629" s="8">
        <f t="shared" si="1578"/>
        <v>0</v>
      </c>
      <c r="BQ1629" s="12">
        <f t="shared" si="1579"/>
        <v>0</v>
      </c>
    </row>
    <row r="1630" spans="1:69">
      <c r="A1630" s="28">
        <v>1959</v>
      </c>
      <c r="B1630" s="27" t="s">
        <v>79</v>
      </c>
      <c r="C1630" s="24">
        <f t="shared" si="1637"/>
        <v>1626</v>
      </c>
      <c r="D1630" s="7" t="e">
        <f t="shared" ca="1" si="1616"/>
        <v>#N/A</v>
      </c>
      <c r="E1630" s="26">
        <f t="array" aca="1" ref="E1630" ca="1">AVERAGE(IF(INDIRECT(DatCol&amp;"$"&amp;TEXT(C1630,"###")):INDIRECT(DatCol&amp;"$"&amp;TEXT(C1630+57,"###"))&gt;0,INDIRECT(DatCol&amp;"$"&amp;TEXT(C1630,"###")):INDIRECT(DatCol&amp;"$"&amp;TEXT(C1630+57,"###"))))</f>
        <v>7</v>
      </c>
      <c r="F1630" s="26" t="str">
        <f t="shared" si="1635"/>
        <v>B</v>
      </c>
      <c r="G1630" s="8"/>
      <c r="K1630" s="9">
        <f t="shared" si="1576"/>
        <v>0</v>
      </c>
      <c r="M1630" s="11">
        <f t="shared" si="1617"/>
        <v>0</v>
      </c>
      <c r="O1630" s="11">
        <f t="shared" si="1618"/>
        <v>0</v>
      </c>
      <c r="Q1630" s="11">
        <f t="shared" si="1619"/>
        <v>0</v>
      </c>
      <c r="Y1630" s="11">
        <f t="shared" si="1620"/>
        <v>0</v>
      </c>
      <c r="AG1630" s="11">
        <f t="shared" si="1621"/>
        <v>0</v>
      </c>
      <c r="AI1630" s="11">
        <f t="shared" si="1622"/>
        <v>0</v>
      </c>
      <c r="AK1630" s="13">
        <f t="shared" si="1623"/>
        <v>0</v>
      </c>
      <c r="AM1630" s="13">
        <f t="shared" si="1624"/>
        <v>0</v>
      </c>
      <c r="AO1630" s="11">
        <f t="shared" si="1625"/>
        <v>0</v>
      </c>
      <c r="AQ1630" s="11">
        <f t="shared" si="1626"/>
        <v>0</v>
      </c>
      <c r="AS1630" s="11">
        <f t="shared" si="1627"/>
        <v>0</v>
      </c>
      <c r="AU1630" s="11">
        <f t="shared" si="1628"/>
        <v>0</v>
      </c>
      <c r="AW1630" s="11">
        <f t="shared" si="1629"/>
        <v>0</v>
      </c>
      <c r="AY1630" s="11">
        <f t="shared" si="1630"/>
        <v>0</v>
      </c>
      <c r="BA1630" s="11">
        <f t="shared" si="1631"/>
        <v>0</v>
      </c>
      <c r="BC1630" s="11">
        <f t="shared" si="1632"/>
        <v>0</v>
      </c>
      <c r="BE1630" s="11">
        <f t="shared" si="1633"/>
        <v>0</v>
      </c>
      <c r="BG1630" s="11">
        <f t="shared" si="1634"/>
        <v>0</v>
      </c>
      <c r="BN1630" s="8">
        <f t="shared" si="1638"/>
        <v>0</v>
      </c>
      <c r="BO1630" s="8">
        <f t="shared" ref="BO1630:BO1694" si="1639">(M1630+Q1630+S1630+U1630+W1630+Y1630+AA1630+AC1630+AG1630+AK1630+AO1630+AS1630+AW1630+BA1630+BE1630)</f>
        <v>0</v>
      </c>
      <c r="BP1630" s="8">
        <f t="shared" si="1578"/>
        <v>0</v>
      </c>
      <c r="BQ1630" s="12">
        <f t="shared" si="1579"/>
        <v>0</v>
      </c>
    </row>
    <row r="1631" spans="1:69">
      <c r="A1631" s="28">
        <v>1960</v>
      </c>
      <c r="B1631" s="27" t="s">
        <v>79</v>
      </c>
      <c r="C1631" s="24">
        <f t="shared" si="1637"/>
        <v>1626</v>
      </c>
      <c r="D1631" s="7" t="e">
        <f t="shared" ca="1" si="1616"/>
        <v>#N/A</v>
      </c>
      <c r="E1631" s="26">
        <f t="array" aca="1" ref="E1631" ca="1">AVERAGE(IF(INDIRECT(DatCol&amp;"$"&amp;TEXT(C1631,"###")):INDIRECT(DatCol&amp;"$"&amp;TEXT(C1631+57,"###"))&gt;0,INDIRECT(DatCol&amp;"$"&amp;TEXT(C1631,"###")):INDIRECT(DatCol&amp;"$"&amp;TEXT(C1631+57,"###"))))</f>
        <v>7</v>
      </c>
      <c r="F1631" s="26" t="str">
        <f t="shared" si="1635"/>
        <v>B</v>
      </c>
      <c r="G1631" s="8"/>
      <c r="K1631" s="9">
        <f t="shared" ref="K1631:K1695" si="1640">G1631+H1631+J1631</f>
        <v>0</v>
      </c>
      <c r="M1631" s="11">
        <f t="shared" si="1617"/>
        <v>0</v>
      </c>
      <c r="O1631" s="11">
        <f t="shared" si="1618"/>
        <v>0</v>
      </c>
      <c r="Q1631" s="11">
        <f t="shared" si="1619"/>
        <v>0</v>
      </c>
      <c r="Y1631" s="11">
        <f t="shared" si="1620"/>
        <v>0</v>
      </c>
      <c r="AG1631" s="11">
        <f t="shared" si="1621"/>
        <v>0</v>
      </c>
      <c r="AI1631" s="11">
        <f t="shared" si="1622"/>
        <v>0</v>
      </c>
      <c r="AK1631" s="13">
        <f t="shared" si="1623"/>
        <v>0</v>
      </c>
      <c r="AM1631" s="13">
        <f t="shared" si="1624"/>
        <v>0</v>
      </c>
      <c r="AO1631" s="11">
        <f t="shared" si="1625"/>
        <v>0</v>
      </c>
      <c r="AQ1631" s="11">
        <f t="shared" si="1626"/>
        <v>0</v>
      </c>
      <c r="AS1631" s="11">
        <f t="shared" si="1627"/>
        <v>0</v>
      </c>
      <c r="AU1631" s="11">
        <f t="shared" si="1628"/>
        <v>0</v>
      </c>
      <c r="AW1631" s="11">
        <f t="shared" si="1629"/>
        <v>0</v>
      </c>
      <c r="AY1631" s="11">
        <f t="shared" si="1630"/>
        <v>0</v>
      </c>
      <c r="BA1631" s="11">
        <f t="shared" si="1631"/>
        <v>0</v>
      </c>
      <c r="BC1631" s="11">
        <f t="shared" si="1632"/>
        <v>0</v>
      </c>
      <c r="BE1631" s="11">
        <f t="shared" si="1633"/>
        <v>0</v>
      </c>
      <c r="BG1631" s="11">
        <f t="shared" si="1634"/>
        <v>0</v>
      </c>
      <c r="BN1631" s="8">
        <f t="shared" si="1638"/>
        <v>0</v>
      </c>
      <c r="BO1631" s="8">
        <f t="shared" si="1639"/>
        <v>0</v>
      </c>
      <c r="BP1631" s="8">
        <f t="shared" si="1578"/>
        <v>0</v>
      </c>
      <c r="BQ1631" s="12">
        <f t="shared" si="1579"/>
        <v>0</v>
      </c>
    </row>
    <row r="1632" spans="1:69">
      <c r="A1632" s="28">
        <v>1961</v>
      </c>
      <c r="B1632" s="27" t="s">
        <v>79</v>
      </c>
      <c r="C1632" s="24">
        <f t="shared" si="1637"/>
        <v>1626</v>
      </c>
      <c r="D1632" s="7" t="e">
        <f t="shared" ca="1" si="1616"/>
        <v>#N/A</v>
      </c>
      <c r="E1632" s="26">
        <f t="array" aca="1" ref="E1632" ca="1">AVERAGE(IF(INDIRECT(DatCol&amp;"$"&amp;TEXT(C1632,"###")):INDIRECT(DatCol&amp;"$"&amp;TEXT(C1632+57,"###"))&gt;0,INDIRECT(DatCol&amp;"$"&amp;TEXT(C1632,"###")):INDIRECT(DatCol&amp;"$"&amp;TEXT(C1632+57,"###"))))</f>
        <v>7</v>
      </c>
      <c r="F1632" s="26" t="str">
        <f t="shared" si="1635"/>
        <v>B</v>
      </c>
      <c r="G1632" s="8"/>
      <c r="K1632" s="9">
        <f t="shared" si="1640"/>
        <v>0</v>
      </c>
      <c r="M1632" s="11">
        <f t="shared" si="1617"/>
        <v>0</v>
      </c>
      <c r="O1632" s="11">
        <f t="shared" si="1618"/>
        <v>0</v>
      </c>
      <c r="Q1632" s="11">
        <f t="shared" si="1619"/>
        <v>0</v>
      </c>
      <c r="Y1632" s="11">
        <f t="shared" si="1620"/>
        <v>0</v>
      </c>
      <c r="AG1632" s="11">
        <f t="shared" si="1621"/>
        <v>0</v>
      </c>
      <c r="AI1632" s="11">
        <f t="shared" si="1622"/>
        <v>0</v>
      </c>
      <c r="AK1632" s="13">
        <f t="shared" si="1623"/>
        <v>0</v>
      </c>
      <c r="AM1632" s="13">
        <f t="shared" si="1624"/>
        <v>0</v>
      </c>
      <c r="AO1632" s="11">
        <f t="shared" si="1625"/>
        <v>0</v>
      </c>
      <c r="AQ1632" s="11">
        <f t="shared" si="1626"/>
        <v>0</v>
      </c>
      <c r="AS1632" s="11">
        <f t="shared" si="1627"/>
        <v>0</v>
      </c>
      <c r="AU1632" s="11">
        <f t="shared" si="1628"/>
        <v>0</v>
      </c>
      <c r="AW1632" s="11">
        <f t="shared" si="1629"/>
        <v>0</v>
      </c>
      <c r="AY1632" s="11">
        <f t="shared" si="1630"/>
        <v>0</v>
      </c>
      <c r="BA1632" s="11">
        <f t="shared" si="1631"/>
        <v>0</v>
      </c>
      <c r="BC1632" s="11">
        <f t="shared" si="1632"/>
        <v>0</v>
      </c>
      <c r="BE1632" s="11">
        <f t="shared" si="1633"/>
        <v>0</v>
      </c>
      <c r="BG1632" s="11">
        <f t="shared" si="1634"/>
        <v>0</v>
      </c>
      <c r="BN1632" s="8">
        <f t="shared" si="1638"/>
        <v>0</v>
      </c>
      <c r="BO1632" s="8">
        <f t="shared" si="1639"/>
        <v>0</v>
      </c>
      <c r="BP1632" s="8">
        <f t="shared" si="1578"/>
        <v>0</v>
      </c>
      <c r="BQ1632" s="12">
        <f t="shared" si="1579"/>
        <v>0</v>
      </c>
    </row>
    <row r="1633" spans="1:69">
      <c r="A1633" s="28">
        <v>1962</v>
      </c>
      <c r="B1633" s="27" t="s">
        <v>79</v>
      </c>
      <c r="C1633" s="24">
        <f t="shared" si="1637"/>
        <v>1626</v>
      </c>
      <c r="D1633" s="7" t="e">
        <f t="shared" ca="1" si="1616"/>
        <v>#N/A</v>
      </c>
      <c r="E1633" s="26">
        <f t="array" aca="1" ref="E1633" ca="1">AVERAGE(IF(INDIRECT(DatCol&amp;"$"&amp;TEXT(C1633,"###")):INDIRECT(DatCol&amp;"$"&amp;TEXT(C1633+57,"###"))&gt;0,INDIRECT(DatCol&amp;"$"&amp;TEXT(C1633,"###")):INDIRECT(DatCol&amp;"$"&amp;TEXT(C1633+57,"###"))))</f>
        <v>7</v>
      </c>
      <c r="F1633" s="26" t="str">
        <f t="shared" si="1635"/>
        <v>B</v>
      </c>
      <c r="G1633" s="8"/>
      <c r="K1633" s="9">
        <f t="shared" si="1640"/>
        <v>0</v>
      </c>
      <c r="M1633" s="11">
        <f t="shared" si="1617"/>
        <v>0</v>
      </c>
      <c r="O1633" s="11">
        <f t="shared" si="1618"/>
        <v>0</v>
      </c>
      <c r="Q1633" s="11">
        <f t="shared" si="1619"/>
        <v>0</v>
      </c>
      <c r="Y1633" s="11">
        <f t="shared" si="1620"/>
        <v>0</v>
      </c>
      <c r="AG1633" s="11">
        <f t="shared" si="1621"/>
        <v>0</v>
      </c>
      <c r="AI1633" s="11">
        <f t="shared" si="1622"/>
        <v>0</v>
      </c>
      <c r="AK1633" s="13">
        <f t="shared" si="1623"/>
        <v>0</v>
      </c>
      <c r="AM1633" s="13">
        <f t="shared" si="1624"/>
        <v>0</v>
      </c>
      <c r="AO1633" s="11">
        <f t="shared" si="1625"/>
        <v>0</v>
      </c>
      <c r="AQ1633" s="11">
        <f t="shared" si="1626"/>
        <v>0</v>
      </c>
      <c r="AS1633" s="11">
        <f t="shared" si="1627"/>
        <v>0</v>
      </c>
      <c r="AU1633" s="11">
        <f t="shared" si="1628"/>
        <v>0</v>
      </c>
      <c r="AW1633" s="11">
        <f t="shared" si="1629"/>
        <v>0</v>
      </c>
      <c r="AY1633" s="11">
        <f t="shared" si="1630"/>
        <v>0</v>
      </c>
      <c r="BA1633" s="11">
        <f t="shared" si="1631"/>
        <v>0</v>
      </c>
      <c r="BC1633" s="11">
        <f t="shared" si="1632"/>
        <v>0</v>
      </c>
      <c r="BE1633" s="11">
        <f t="shared" si="1633"/>
        <v>0</v>
      </c>
      <c r="BG1633" s="11">
        <f t="shared" si="1634"/>
        <v>0</v>
      </c>
      <c r="BN1633" s="8">
        <f t="shared" si="1638"/>
        <v>0</v>
      </c>
      <c r="BO1633" s="8">
        <f t="shared" si="1639"/>
        <v>0</v>
      </c>
      <c r="BP1633" s="8">
        <f t="shared" si="1578"/>
        <v>0</v>
      </c>
      <c r="BQ1633" s="12">
        <f t="shared" si="1579"/>
        <v>0</v>
      </c>
    </row>
    <row r="1634" spans="1:69">
      <c r="A1634" s="28">
        <v>1963</v>
      </c>
      <c r="B1634" s="27" t="s">
        <v>79</v>
      </c>
      <c r="C1634" s="24">
        <f t="shared" si="1637"/>
        <v>1626</v>
      </c>
      <c r="D1634" s="7" t="e">
        <f t="shared" ca="1" si="1616"/>
        <v>#N/A</v>
      </c>
      <c r="E1634" s="26">
        <f t="array" aca="1" ref="E1634" ca="1">AVERAGE(IF(INDIRECT(DatCol&amp;"$"&amp;TEXT(C1634,"###")):INDIRECT(DatCol&amp;"$"&amp;TEXT(C1634+57,"###"))&gt;0,INDIRECT(DatCol&amp;"$"&amp;TEXT(C1634,"###")):INDIRECT(DatCol&amp;"$"&amp;TEXT(C1634+57,"###"))))</f>
        <v>7</v>
      </c>
      <c r="F1634" s="26" t="str">
        <f t="shared" si="1635"/>
        <v>B</v>
      </c>
      <c r="G1634" s="8"/>
      <c r="K1634" s="9">
        <f t="shared" si="1640"/>
        <v>0</v>
      </c>
      <c r="M1634" s="11">
        <f t="shared" si="1617"/>
        <v>0</v>
      </c>
      <c r="O1634" s="11">
        <f t="shared" si="1618"/>
        <v>0</v>
      </c>
      <c r="Q1634" s="11">
        <f t="shared" si="1619"/>
        <v>0</v>
      </c>
      <c r="Y1634" s="11">
        <f t="shared" si="1620"/>
        <v>0</v>
      </c>
      <c r="AG1634" s="11">
        <f t="shared" si="1621"/>
        <v>0</v>
      </c>
      <c r="AI1634" s="11">
        <f t="shared" si="1622"/>
        <v>0</v>
      </c>
      <c r="AK1634" s="13">
        <f t="shared" si="1623"/>
        <v>0</v>
      </c>
      <c r="AM1634" s="13">
        <f t="shared" si="1624"/>
        <v>0</v>
      </c>
      <c r="AO1634" s="11">
        <f t="shared" si="1625"/>
        <v>0</v>
      </c>
      <c r="AQ1634" s="11">
        <f t="shared" si="1626"/>
        <v>0</v>
      </c>
      <c r="AS1634" s="11">
        <f t="shared" si="1627"/>
        <v>0</v>
      </c>
      <c r="AU1634" s="11">
        <f t="shared" si="1628"/>
        <v>0</v>
      </c>
      <c r="AW1634" s="11">
        <f t="shared" si="1629"/>
        <v>0</v>
      </c>
      <c r="AY1634" s="11">
        <f t="shared" si="1630"/>
        <v>0</v>
      </c>
      <c r="BA1634" s="11">
        <f t="shared" si="1631"/>
        <v>0</v>
      </c>
      <c r="BC1634" s="11">
        <f t="shared" si="1632"/>
        <v>0</v>
      </c>
      <c r="BE1634" s="11">
        <f t="shared" si="1633"/>
        <v>0</v>
      </c>
      <c r="BG1634" s="11">
        <f t="shared" si="1634"/>
        <v>0</v>
      </c>
      <c r="BN1634" s="8">
        <f t="shared" si="1638"/>
        <v>0</v>
      </c>
      <c r="BO1634" s="8">
        <f t="shared" si="1639"/>
        <v>0</v>
      </c>
      <c r="BP1634" s="8">
        <f t="shared" si="1578"/>
        <v>0</v>
      </c>
      <c r="BQ1634" s="12">
        <f t="shared" si="1579"/>
        <v>0</v>
      </c>
    </row>
    <row r="1635" spans="1:69">
      <c r="A1635" s="28">
        <v>1964</v>
      </c>
      <c r="B1635" s="27" t="s">
        <v>79</v>
      </c>
      <c r="C1635" s="24">
        <f t="shared" si="1637"/>
        <v>1626</v>
      </c>
      <c r="D1635" s="7" t="e">
        <f t="shared" ca="1" si="1616"/>
        <v>#N/A</v>
      </c>
      <c r="E1635" s="26">
        <f t="array" aca="1" ref="E1635" ca="1">AVERAGE(IF(INDIRECT(DatCol&amp;"$"&amp;TEXT(C1635,"###")):INDIRECT(DatCol&amp;"$"&amp;TEXT(C1635+57,"###"))&gt;0,INDIRECT(DatCol&amp;"$"&amp;TEXT(C1635,"###")):INDIRECT(DatCol&amp;"$"&amp;TEXT(C1635+57,"###"))))</f>
        <v>7</v>
      </c>
      <c r="F1635" s="26" t="str">
        <f t="shared" si="1635"/>
        <v>B</v>
      </c>
      <c r="G1635" s="8"/>
      <c r="K1635" s="9">
        <f t="shared" si="1640"/>
        <v>0</v>
      </c>
      <c r="M1635" s="11">
        <f t="shared" si="1617"/>
        <v>0</v>
      </c>
      <c r="O1635" s="11">
        <f t="shared" si="1618"/>
        <v>0</v>
      </c>
      <c r="Q1635" s="11">
        <f t="shared" si="1619"/>
        <v>0</v>
      </c>
      <c r="Y1635" s="11">
        <f t="shared" si="1620"/>
        <v>0</v>
      </c>
      <c r="AG1635" s="11">
        <f t="shared" si="1621"/>
        <v>0</v>
      </c>
      <c r="AI1635" s="11">
        <f t="shared" si="1622"/>
        <v>0</v>
      </c>
      <c r="AK1635" s="13">
        <f t="shared" si="1623"/>
        <v>0</v>
      </c>
      <c r="AM1635" s="13">
        <f t="shared" si="1624"/>
        <v>0</v>
      </c>
      <c r="AO1635" s="11">
        <f t="shared" si="1625"/>
        <v>0</v>
      </c>
      <c r="AQ1635" s="11">
        <f t="shared" si="1626"/>
        <v>0</v>
      </c>
      <c r="AS1635" s="11">
        <f t="shared" si="1627"/>
        <v>0</v>
      </c>
      <c r="AU1635" s="11">
        <f t="shared" si="1628"/>
        <v>0</v>
      </c>
      <c r="AW1635" s="11">
        <f t="shared" si="1629"/>
        <v>0</v>
      </c>
      <c r="AY1635" s="11">
        <f t="shared" si="1630"/>
        <v>0</v>
      </c>
      <c r="BA1635" s="11">
        <f t="shared" si="1631"/>
        <v>0</v>
      </c>
      <c r="BC1635" s="11">
        <f t="shared" si="1632"/>
        <v>0</v>
      </c>
      <c r="BE1635" s="11">
        <f t="shared" si="1633"/>
        <v>0</v>
      </c>
      <c r="BG1635" s="11">
        <f t="shared" si="1634"/>
        <v>0</v>
      </c>
      <c r="BN1635" s="8">
        <f t="shared" si="1638"/>
        <v>0</v>
      </c>
      <c r="BO1635" s="8">
        <f t="shared" si="1639"/>
        <v>0</v>
      </c>
      <c r="BP1635" s="8">
        <f t="shared" si="1578"/>
        <v>0</v>
      </c>
      <c r="BQ1635" s="12">
        <f t="shared" si="1579"/>
        <v>0</v>
      </c>
    </row>
    <row r="1636" spans="1:69">
      <c r="A1636" s="28">
        <v>1965</v>
      </c>
      <c r="B1636" s="27" t="s">
        <v>79</v>
      </c>
      <c r="C1636" s="24">
        <f t="shared" si="1637"/>
        <v>1626</v>
      </c>
      <c r="D1636" s="7" t="e">
        <f t="shared" ca="1" si="1616"/>
        <v>#N/A</v>
      </c>
      <c r="E1636" s="26">
        <f t="array" aca="1" ref="E1636" ca="1">AVERAGE(IF(INDIRECT(DatCol&amp;"$"&amp;TEXT(C1636,"###")):INDIRECT(DatCol&amp;"$"&amp;TEXT(C1636+57,"###"))&gt;0,INDIRECT(DatCol&amp;"$"&amp;TEXT(C1636,"###")):INDIRECT(DatCol&amp;"$"&amp;TEXT(C1636+57,"###"))))</f>
        <v>7</v>
      </c>
      <c r="F1636" s="26" t="str">
        <f t="shared" si="1635"/>
        <v>B</v>
      </c>
      <c r="G1636" s="8"/>
      <c r="K1636" s="9">
        <f t="shared" si="1640"/>
        <v>0</v>
      </c>
      <c r="M1636" s="11">
        <f t="shared" si="1617"/>
        <v>0</v>
      </c>
      <c r="O1636" s="11">
        <f t="shared" si="1618"/>
        <v>0</v>
      </c>
      <c r="Q1636" s="11">
        <f t="shared" si="1619"/>
        <v>0</v>
      </c>
      <c r="Y1636" s="11">
        <f t="shared" si="1620"/>
        <v>0</v>
      </c>
      <c r="AG1636" s="11">
        <f t="shared" si="1621"/>
        <v>0</v>
      </c>
      <c r="AI1636" s="11">
        <f t="shared" si="1622"/>
        <v>0</v>
      </c>
      <c r="AK1636" s="13">
        <f t="shared" si="1623"/>
        <v>0</v>
      </c>
      <c r="AM1636" s="13">
        <f t="shared" si="1624"/>
        <v>0</v>
      </c>
      <c r="AO1636" s="11">
        <f t="shared" si="1625"/>
        <v>0</v>
      </c>
      <c r="AQ1636" s="11">
        <f t="shared" si="1626"/>
        <v>0</v>
      </c>
      <c r="AS1636" s="11">
        <f t="shared" si="1627"/>
        <v>0</v>
      </c>
      <c r="AU1636" s="11">
        <f t="shared" si="1628"/>
        <v>0</v>
      </c>
      <c r="AW1636" s="11">
        <f t="shared" si="1629"/>
        <v>0</v>
      </c>
      <c r="AY1636" s="11">
        <f t="shared" si="1630"/>
        <v>0</v>
      </c>
      <c r="BA1636" s="11">
        <f t="shared" si="1631"/>
        <v>0</v>
      </c>
      <c r="BC1636" s="11">
        <f t="shared" si="1632"/>
        <v>0</v>
      </c>
      <c r="BE1636" s="11">
        <f t="shared" si="1633"/>
        <v>0</v>
      </c>
      <c r="BG1636" s="11">
        <f t="shared" si="1634"/>
        <v>0</v>
      </c>
      <c r="BN1636" s="8">
        <f t="shared" si="1638"/>
        <v>0</v>
      </c>
      <c r="BO1636" s="8">
        <f t="shared" si="1639"/>
        <v>0</v>
      </c>
      <c r="BP1636" s="8">
        <f t="shared" si="1578"/>
        <v>0</v>
      </c>
      <c r="BQ1636" s="12">
        <f t="shared" si="1579"/>
        <v>0</v>
      </c>
    </row>
    <row r="1637" spans="1:69">
      <c r="A1637" s="28">
        <v>1966</v>
      </c>
      <c r="B1637" s="27" t="s">
        <v>79</v>
      </c>
      <c r="C1637" s="24">
        <f t="shared" si="1637"/>
        <v>1626</v>
      </c>
      <c r="D1637" s="7" t="e">
        <f t="shared" ca="1" si="1616"/>
        <v>#N/A</v>
      </c>
      <c r="E1637" s="26">
        <f t="array" aca="1" ref="E1637" ca="1">AVERAGE(IF(INDIRECT(DatCol&amp;"$"&amp;TEXT(C1637,"###")):INDIRECT(DatCol&amp;"$"&amp;TEXT(C1637+57,"###"))&gt;0,INDIRECT(DatCol&amp;"$"&amp;TEXT(C1637,"###")):INDIRECT(DatCol&amp;"$"&amp;TEXT(C1637+57,"###"))))</f>
        <v>7</v>
      </c>
      <c r="F1637" s="26" t="str">
        <f t="shared" si="1635"/>
        <v>B</v>
      </c>
      <c r="G1637" s="8"/>
      <c r="K1637" s="9">
        <f t="shared" si="1640"/>
        <v>0</v>
      </c>
      <c r="M1637" s="11">
        <f t="shared" si="1617"/>
        <v>0</v>
      </c>
      <c r="O1637" s="11">
        <f t="shared" si="1618"/>
        <v>0</v>
      </c>
      <c r="Q1637" s="11">
        <f t="shared" si="1619"/>
        <v>0</v>
      </c>
      <c r="Y1637" s="11">
        <f t="shared" si="1620"/>
        <v>0</v>
      </c>
      <c r="AG1637" s="11">
        <f t="shared" si="1621"/>
        <v>0</v>
      </c>
      <c r="AI1637" s="11">
        <f t="shared" si="1622"/>
        <v>0</v>
      </c>
      <c r="AK1637" s="13">
        <f t="shared" si="1623"/>
        <v>0</v>
      </c>
      <c r="AM1637" s="13">
        <f t="shared" si="1624"/>
        <v>0</v>
      </c>
      <c r="AO1637" s="11">
        <f t="shared" si="1625"/>
        <v>0</v>
      </c>
      <c r="AQ1637" s="11">
        <f t="shared" si="1626"/>
        <v>0</v>
      </c>
      <c r="AS1637" s="11">
        <f t="shared" si="1627"/>
        <v>0</v>
      </c>
      <c r="AU1637" s="11">
        <f t="shared" si="1628"/>
        <v>0</v>
      </c>
      <c r="AW1637" s="11">
        <f t="shared" si="1629"/>
        <v>0</v>
      </c>
      <c r="AY1637" s="11">
        <f t="shared" si="1630"/>
        <v>0</v>
      </c>
      <c r="BA1637" s="11">
        <f t="shared" si="1631"/>
        <v>0</v>
      </c>
      <c r="BC1637" s="11">
        <f t="shared" si="1632"/>
        <v>0</v>
      </c>
      <c r="BE1637" s="11">
        <f t="shared" si="1633"/>
        <v>0</v>
      </c>
      <c r="BG1637" s="11">
        <f t="shared" si="1634"/>
        <v>0</v>
      </c>
      <c r="BN1637" s="8">
        <f t="shared" si="1638"/>
        <v>0</v>
      </c>
      <c r="BO1637" s="8">
        <f t="shared" si="1639"/>
        <v>0</v>
      </c>
      <c r="BP1637" s="8">
        <f t="shared" si="1578"/>
        <v>0</v>
      </c>
      <c r="BQ1637" s="12">
        <f t="shared" si="1579"/>
        <v>0</v>
      </c>
    </row>
    <row r="1638" spans="1:69">
      <c r="A1638" s="28">
        <v>1967</v>
      </c>
      <c r="B1638" s="27" t="s">
        <v>79</v>
      </c>
      <c r="C1638" s="24">
        <f t="shared" si="1637"/>
        <v>1626</v>
      </c>
      <c r="D1638" s="7" t="e">
        <f t="shared" ca="1" si="1616"/>
        <v>#N/A</v>
      </c>
      <c r="E1638" s="26">
        <f t="array" aca="1" ref="E1638" ca="1">AVERAGE(IF(INDIRECT(DatCol&amp;"$"&amp;TEXT(C1638,"###")):INDIRECT(DatCol&amp;"$"&amp;TEXT(C1638+57,"###"))&gt;0,INDIRECT(DatCol&amp;"$"&amp;TEXT(C1638,"###")):INDIRECT(DatCol&amp;"$"&amp;TEXT(C1638+57,"###"))))</f>
        <v>7</v>
      </c>
      <c r="F1638" s="26" t="str">
        <f t="shared" si="1635"/>
        <v>B</v>
      </c>
      <c r="G1638" s="8"/>
      <c r="K1638" s="9">
        <f t="shared" si="1640"/>
        <v>0</v>
      </c>
      <c r="M1638" s="11">
        <f t="shared" si="1617"/>
        <v>0</v>
      </c>
      <c r="O1638" s="11">
        <f t="shared" si="1618"/>
        <v>0</v>
      </c>
      <c r="Q1638" s="11">
        <f t="shared" si="1619"/>
        <v>0</v>
      </c>
      <c r="Y1638" s="11">
        <f t="shared" si="1620"/>
        <v>0</v>
      </c>
      <c r="AG1638" s="11">
        <f t="shared" si="1621"/>
        <v>0</v>
      </c>
      <c r="AI1638" s="11">
        <f t="shared" si="1622"/>
        <v>0</v>
      </c>
      <c r="AK1638" s="13">
        <f t="shared" si="1623"/>
        <v>0</v>
      </c>
      <c r="AM1638" s="13">
        <f t="shared" si="1624"/>
        <v>0</v>
      </c>
      <c r="AO1638" s="11">
        <f t="shared" si="1625"/>
        <v>0</v>
      </c>
      <c r="AQ1638" s="11">
        <f t="shared" si="1626"/>
        <v>0</v>
      </c>
      <c r="AS1638" s="11">
        <f t="shared" si="1627"/>
        <v>0</v>
      </c>
      <c r="AU1638" s="11">
        <f t="shared" si="1628"/>
        <v>0</v>
      </c>
      <c r="AW1638" s="11">
        <f t="shared" si="1629"/>
        <v>0</v>
      </c>
      <c r="AY1638" s="11">
        <f t="shared" si="1630"/>
        <v>0</v>
      </c>
      <c r="BA1638" s="11">
        <f t="shared" si="1631"/>
        <v>0</v>
      </c>
      <c r="BC1638" s="11">
        <f t="shared" si="1632"/>
        <v>0</v>
      </c>
      <c r="BE1638" s="11">
        <f t="shared" si="1633"/>
        <v>0</v>
      </c>
      <c r="BG1638" s="11">
        <f t="shared" si="1634"/>
        <v>0</v>
      </c>
      <c r="BN1638" s="8">
        <f t="shared" si="1638"/>
        <v>0</v>
      </c>
      <c r="BO1638" s="8">
        <f t="shared" si="1639"/>
        <v>0</v>
      </c>
      <c r="BP1638" s="8">
        <f t="shared" si="1578"/>
        <v>0</v>
      </c>
      <c r="BQ1638" s="12">
        <f t="shared" si="1579"/>
        <v>0</v>
      </c>
    </row>
    <row r="1639" spans="1:69">
      <c r="A1639" s="28">
        <v>1968</v>
      </c>
      <c r="B1639" s="27" t="s">
        <v>79</v>
      </c>
      <c r="C1639" s="24">
        <f t="shared" si="1637"/>
        <v>1626</v>
      </c>
      <c r="D1639" s="7" t="e">
        <f t="shared" ca="1" si="1616"/>
        <v>#N/A</v>
      </c>
      <c r="E1639" s="26">
        <f t="array" aca="1" ref="E1639" ca="1">AVERAGE(IF(INDIRECT(DatCol&amp;"$"&amp;TEXT(C1639,"###")):INDIRECT(DatCol&amp;"$"&amp;TEXT(C1639+57,"###"))&gt;0,INDIRECT(DatCol&amp;"$"&amp;TEXT(C1639,"###")):INDIRECT(DatCol&amp;"$"&amp;TEXT(C1639+57,"###"))))</f>
        <v>7</v>
      </c>
      <c r="F1639" s="26" t="str">
        <f t="shared" si="1635"/>
        <v>B</v>
      </c>
      <c r="G1639" s="8"/>
      <c r="K1639" s="9">
        <f t="shared" si="1640"/>
        <v>0</v>
      </c>
      <c r="M1639" s="11">
        <f t="shared" ref="M1639:M1654" si="1641">(L1639*50)</f>
        <v>0</v>
      </c>
      <c r="O1639" s="11">
        <f t="shared" ref="O1639:O1654" si="1642">(N1639*50)</f>
        <v>0</v>
      </c>
      <c r="Q1639" s="11">
        <f t="shared" ref="Q1639:Q1654" si="1643">((P1639*330)/5.5)</f>
        <v>0</v>
      </c>
      <c r="Y1639" s="11">
        <f t="shared" ref="Y1639:Y1654" si="1644">((X1639*330)/5.5)</f>
        <v>0</v>
      </c>
      <c r="AG1639" s="11">
        <f t="shared" ref="AG1639:AG1654" si="1645">(AF1639*65)</f>
        <v>0</v>
      </c>
      <c r="AI1639" s="11">
        <f t="shared" ref="AI1639:AI1654" si="1646">(AH1639*65)</f>
        <v>0</v>
      </c>
      <c r="AK1639" s="13">
        <f t="shared" ref="AK1639:AK1654" si="1647">(AJ1639*9)</f>
        <v>0</v>
      </c>
      <c r="AM1639" s="13">
        <f t="shared" ref="AM1639:AM1654" si="1648">(AL1639*9)</f>
        <v>0</v>
      </c>
      <c r="AO1639" s="11">
        <f t="shared" ref="AO1639:AO1654" si="1649">(AN1639*80)</f>
        <v>0</v>
      </c>
      <c r="AQ1639" s="11">
        <f t="shared" ref="AQ1639:AQ1654" si="1650">(AP1639*80)</f>
        <v>0</v>
      </c>
      <c r="AS1639" s="11">
        <f t="shared" ref="AS1639:AS1654" si="1651">(AR1639*50)</f>
        <v>0</v>
      </c>
      <c r="AU1639" s="11">
        <f t="shared" ref="AU1639:AU1654" si="1652">(AT1639*50)</f>
        <v>0</v>
      </c>
      <c r="AW1639" s="11">
        <f t="shared" ref="AW1639:AW1654" si="1653">(AV1639*60)</f>
        <v>0</v>
      </c>
      <c r="AY1639" s="11">
        <f t="shared" ref="AY1639:AY1654" si="1654">(AX1639*60)</f>
        <v>0</v>
      </c>
      <c r="BA1639" s="11">
        <f t="shared" ref="BA1639:BA1654" si="1655">(AZ1639*40)</f>
        <v>0</v>
      </c>
      <c r="BC1639" s="11">
        <f t="shared" ref="BC1639:BC1654" si="1656">(BB1639*40)</f>
        <v>0</v>
      </c>
      <c r="BE1639" s="11">
        <f t="shared" ref="BE1639:BE1654" si="1657">(BD1639*95)</f>
        <v>0</v>
      </c>
      <c r="BG1639" s="11">
        <f t="shared" ref="BG1639:BG1654" si="1658">(BF1639*95)</f>
        <v>0</v>
      </c>
      <c r="BN1639" s="8">
        <f t="shared" si="1638"/>
        <v>0</v>
      </c>
      <c r="BO1639" s="8">
        <f t="shared" si="1639"/>
        <v>0</v>
      </c>
      <c r="BP1639" s="8">
        <f t="shared" si="1578"/>
        <v>0</v>
      </c>
      <c r="BQ1639" s="12">
        <f t="shared" si="1579"/>
        <v>0</v>
      </c>
    </row>
    <row r="1640" spans="1:69">
      <c r="A1640" s="28">
        <v>1969</v>
      </c>
      <c r="B1640" s="27" t="s">
        <v>79</v>
      </c>
      <c r="C1640" s="24">
        <f t="shared" si="1637"/>
        <v>1626</v>
      </c>
      <c r="D1640" s="7" t="e">
        <f t="shared" ca="1" si="1616"/>
        <v>#N/A</v>
      </c>
      <c r="E1640" s="26">
        <f t="array" aca="1" ref="E1640" ca="1">AVERAGE(IF(INDIRECT(DatCol&amp;"$"&amp;TEXT(C1640,"###")):INDIRECT(DatCol&amp;"$"&amp;TEXT(C1640+57,"###"))&gt;0,INDIRECT(DatCol&amp;"$"&amp;TEXT(C1640,"###")):INDIRECT(DatCol&amp;"$"&amp;TEXT(C1640+57,"###"))))</f>
        <v>7</v>
      </c>
      <c r="F1640" s="26" t="str">
        <f t="shared" si="1635"/>
        <v>B</v>
      </c>
      <c r="G1640" s="8"/>
      <c r="K1640" s="9">
        <f t="shared" si="1640"/>
        <v>0</v>
      </c>
      <c r="M1640" s="11">
        <f t="shared" si="1641"/>
        <v>0</v>
      </c>
      <c r="O1640" s="11">
        <f t="shared" si="1642"/>
        <v>0</v>
      </c>
      <c r="Q1640" s="11">
        <f t="shared" si="1643"/>
        <v>0</v>
      </c>
      <c r="Y1640" s="11">
        <f t="shared" si="1644"/>
        <v>0</v>
      </c>
      <c r="AG1640" s="11">
        <f t="shared" si="1645"/>
        <v>0</v>
      </c>
      <c r="AI1640" s="11">
        <f t="shared" si="1646"/>
        <v>0</v>
      </c>
      <c r="AK1640" s="13">
        <f t="shared" si="1647"/>
        <v>0</v>
      </c>
      <c r="AM1640" s="13">
        <f t="shared" si="1648"/>
        <v>0</v>
      </c>
      <c r="AO1640" s="11">
        <f t="shared" si="1649"/>
        <v>0</v>
      </c>
      <c r="AQ1640" s="11">
        <f t="shared" si="1650"/>
        <v>0</v>
      </c>
      <c r="AS1640" s="11">
        <f t="shared" si="1651"/>
        <v>0</v>
      </c>
      <c r="AU1640" s="11">
        <f t="shared" si="1652"/>
        <v>0</v>
      </c>
      <c r="AW1640" s="11">
        <f t="shared" si="1653"/>
        <v>0</v>
      </c>
      <c r="AY1640" s="11">
        <f t="shared" si="1654"/>
        <v>0</v>
      </c>
      <c r="BA1640" s="11">
        <f t="shared" si="1655"/>
        <v>0</v>
      </c>
      <c r="BC1640" s="11">
        <f t="shared" si="1656"/>
        <v>0</v>
      </c>
      <c r="BE1640" s="11">
        <f t="shared" si="1657"/>
        <v>0</v>
      </c>
      <c r="BG1640" s="11">
        <f t="shared" si="1658"/>
        <v>0</v>
      </c>
      <c r="BN1640" s="8">
        <f t="shared" si="1638"/>
        <v>0</v>
      </c>
      <c r="BO1640" s="8">
        <f t="shared" si="1639"/>
        <v>0</v>
      </c>
      <c r="BP1640" s="8">
        <f t="shared" ref="BP1640:BP1704" si="1659">(N1640+X1640+Z1640+AB1640+AD1640+AH1640+AL1640+AP1640+AT1640+AX1640+BB1640+BF1640)</f>
        <v>0</v>
      </c>
      <c r="BQ1640" s="12">
        <f t="shared" ref="BQ1640:BQ1704" si="1660">(O1640+Y1640+AA1640+AC1640+AE1640+AI1640+AM1640+AQ1640+AU1640+AY1640+BC1640+BG1640)</f>
        <v>0</v>
      </c>
    </row>
    <row r="1641" spans="1:69">
      <c r="A1641" s="28">
        <v>1970</v>
      </c>
      <c r="B1641" s="27" t="s">
        <v>79</v>
      </c>
      <c r="C1641" s="24">
        <f t="shared" si="1637"/>
        <v>1626</v>
      </c>
      <c r="D1641" s="7" t="e">
        <f t="shared" ca="1" si="1616"/>
        <v>#N/A</v>
      </c>
      <c r="E1641" s="26">
        <f t="array" aca="1" ref="E1641" ca="1">AVERAGE(IF(INDIRECT(DatCol&amp;"$"&amp;TEXT(C1641,"###")):INDIRECT(DatCol&amp;"$"&amp;TEXT(C1641+57,"###"))&gt;0,INDIRECT(DatCol&amp;"$"&amp;TEXT(C1641,"###")):INDIRECT(DatCol&amp;"$"&amp;TEXT(C1641+57,"###"))))</f>
        <v>7</v>
      </c>
      <c r="F1641" s="26" t="str">
        <f t="shared" si="1635"/>
        <v>B</v>
      </c>
      <c r="G1641" s="8"/>
      <c r="K1641" s="9">
        <f t="shared" si="1640"/>
        <v>0</v>
      </c>
      <c r="M1641" s="11">
        <f t="shared" si="1641"/>
        <v>0</v>
      </c>
      <c r="O1641" s="11">
        <f t="shared" si="1642"/>
        <v>0</v>
      </c>
      <c r="Q1641" s="11">
        <f t="shared" si="1643"/>
        <v>0</v>
      </c>
      <c r="Y1641" s="11">
        <f t="shared" si="1644"/>
        <v>0</v>
      </c>
      <c r="AG1641" s="11">
        <f t="shared" si="1645"/>
        <v>0</v>
      </c>
      <c r="AI1641" s="11">
        <f t="shared" si="1646"/>
        <v>0</v>
      </c>
      <c r="AK1641" s="13">
        <f t="shared" si="1647"/>
        <v>0</v>
      </c>
      <c r="AM1641" s="13">
        <f t="shared" si="1648"/>
        <v>0</v>
      </c>
      <c r="AO1641" s="11">
        <f t="shared" si="1649"/>
        <v>0</v>
      </c>
      <c r="AQ1641" s="11">
        <f t="shared" si="1650"/>
        <v>0</v>
      </c>
      <c r="AS1641" s="11">
        <f t="shared" si="1651"/>
        <v>0</v>
      </c>
      <c r="AU1641" s="11">
        <f t="shared" si="1652"/>
        <v>0</v>
      </c>
      <c r="AW1641" s="11">
        <f t="shared" si="1653"/>
        <v>0</v>
      </c>
      <c r="AY1641" s="11">
        <f t="shared" si="1654"/>
        <v>0</v>
      </c>
      <c r="BA1641" s="11">
        <f t="shared" si="1655"/>
        <v>0</v>
      </c>
      <c r="BC1641" s="11">
        <f t="shared" si="1656"/>
        <v>0</v>
      </c>
      <c r="BE1641" s="11">
        <f t="shared" si="1657"/>
        <v>0</v>
      </c>
      <c r="BG1641" s="11">
        <f t="shared" si="1658"/>
        <v>0</v>
      </c>
      <c r="BN1641" s="8">
        <f t="shared" si="1638"/>
        <v>0</v>
      </c>
      <c r="BO1641" s="8">
        <f t="shared" si="1639"/>
        <v>0</v>
      </c>
      <c r="BP1641" s="8">
        <f t="shared" si="1659"/>
        <v>0</v>
      </c>
      <c r="BQ1641" s="12">
        <f t="shared" si="1660"/>
        <v>0</v>
      </c>
    </row>
    <row r="1642" spans="1:69">
      <c r="A1642" s="28">
        <v>1971</v>
      </c>
      <c r="B1642" s="27" t="s">
        <v>79</v>
      </c>
      <c r="C1642" s="24">
        <f t="shared" si="1637"/>
        <v>1626</v>
      </c>
      <c r="D1642" s="7" t="e">
        <f t="shared" ca="1" si="1616"/>
        <v>#N/A</v>
      </c>
      <c r="E1642" s="26">
        <f t="array" aca="1" ref="E1642" ca="1">AVERAGE(IF(INDIRECT(DatCol&amp;"$"&amp;TEXT(C1642,"###")):INDIRECT(DatCol&amp;"$"&amp;TEXT(C1642+57,"###"))&gt;0,INDIRECT(DatCol&amp;"$"&amp;TEXT(C1642,"###")):INDIRECT(DatCol&amp;"$"&amp;TEXT(C1642+57,"###"))))</f>
        <v>7</v>
      </c>
      <c r="F1642" s="26" t="str">
        <f t="shared" si="1635"/>
        <v>B</v>
      </c>
      <c r="G1642" s="8"/>
      <c r="K1642" s="9">
        <f t="shared" si="1640"/>
        <v>0</v>
      </c>
      <c r="M1642" s="11">
        <f t="shared" si="1641"/>
        <v>0</v>
      </c>
      <c r="O1642" s="11">
        <f t="shared" si="1642"/>
        <v>0</v>
      </c>
      <c r="Q1642" s="11">
        <f t="shared" si="1643"/>
        <v>0</v>
      </c>
      <c r="Y1642" s="11">
        <f t="shared" si="1644"/>
        <v>0</v>
      </c>
      <c r="AG1642" s="11">
        <f t="shared" si="1645"/>
        <v>0</v>
      </c>
      <c r="AI1642" s="11">
        <f t="shared" si="1646"/>
        <v>0</v>
      </c>
      <c r="AK1642" s="13">
        <f t="shared" si="1647"/>
        <v>0</v>
      </c>
      <c r="AM1642" s="13">
        <f t="shared" si="1648"/>
        <v>0</v>
      </c>
      <c r="AO1642" s="11">
        <f t="shared" si="1649"/>
        <v>0</v>
      </c>
      <c r="AQ1642" s="11">
        <f t="shared" si="1650"/>
        <v>0</v>
      </c>
      <c r="AS1642" s="11">
        <f t="shared" si="1651"/>
        <v>0</v>
      </c>
      <c r="AU1642" s="11">
        <f t="shared" si="1652"/>
        <v>0</v>
      </c>
      <c r="AW1642" s="11">
        <f t="shared" si="1653"/>
        <v>0</v>
      </c>
      <c r="AY1642" s="11">
        <f t="shared" si="1654"/>
        <v>0</v>
      </c>
      <c r="BA1642" s="11">
        <f t="shared" si="1655"/>
        <v>0</v>
      </c>
      <c r="BC1642" s="11">
        <f t="shared" si="1656"/>
        <v>0</v>
      </c>
      <c r="BE1642" s="11">
        <f t="shared" si="1657"/>
        <v>0</v>
      </c>
      <c r="BG1642" s="11">
        <f t="shared" si="1658"/>
        <v>0</v>
      </c>
      <c r="BN1642" s="8">
        <f t="shared" si="1638"/>
        <v>0</v>
      </c>
      <c r="BO1642" s="8">
        <f t="shared" si="1639"/>
        <v>0</v>
      </c>
      <c r="BP1642" s="8">
        <f t="shared" si="1659"/>
        <v>0</v>
      </c>
      <c r="BQ1642" s="12">
        <f t="shared" si="1660"/>
        <v>0</v>
      </c>
    </row>
    <row r="1643" spans="1:69">
      <c r="A1643" s="28">
        <v>1972</v>
      </c>
      <c r="B1643" s="27" t="s">
        <v>79</v>
      </c>
      <c r="C1643" s="24">
        <f t="shared" si="1637"/>
        <v>1626</v>
      </c>
      <c r="D1643" s="7" t="e">
        <f t="shared" ca="1" si="1616"/>
        <v>#N/A</v>
      </c>
      <c r="E1643" s="26">
        <f t="array" aca="1" ref="E1643" ca="1">AVERAGE(IF(INDIRECT(DatCol&amp;"$"&amp;TEXT(C1643,"###")):INDIRECT(DatCol&amp;"$"&amp;TEXT(C1643+57,"###"))&gt;0,INDIRECT(DatCol&amp;"$"&amp;TEXT(C1643,"###")):INDIRECT(DatCol&amp;"$"&amp;TEXT(C1643+57,"###"))))</f>
        <v>7</v>
      </c>
      <c r="F1643" s="26" t="str">
        <f t="shared" si="1635"/>
        <v>B</v>
      </c>
      <c r="G1643" s="8"/>
      <c r="K1643" s="9">
        <f t="shared" si="1640"/>
        <v>0</v>
      </c>
      <c r="M1643" s="11">
        <f t="shared" si="1641"/>
        <v>0</v>
      </c>
      <c r="O1643" s="11">
        <f t="shared" si="1642"/>
        <v>0</v>
      </c>
      <c r="Q1643" s="11">
        <f t="shared" si="1643"/>
        <v>0</v>
      </c>
      <c r="Y1643" s="11">
        <f t="shared" si="1644"/>
        <v>0</v>
      </c>
      <c r="AG1643" s="11">
        <f t="shared" si="1645"/>
        <v>0</v>
      </c>
      <c r="AI1643" s="11">
        <f t="shared" si="1646"/>
        <v>0</v>
      </c>
      <c r="AK1643" s="13">
        <f t="shared" si="1647"/>
        <v>0</v>
      </c>
      <c r="AM1643" s="13">
        <f t="shared" si="1648"/>
        <v>0</v>
      </c>
      <c r="AO1643" s="11">
        <f t="shared" si="1649"/>
        <v>0</v>
      </c>
      <c r="AQ1643" s="11">
        <f t="shared" si="1650"/>
        <v>0</v>
      </c>
      <c r="AS1643" s="11">
        <f t="shared" si="1651"/>
        <v>0</v>
      </c>
      <c r="AU1643" s="11">
        <f t="shared" si="1652"/>
        <v>0</v>
      </c>
      <c r="AW1643" s="11">
        <f t="shared" si="1653"/>
        <v>0</v>
      </c>
      <c r="AY1643" s="11">
        <f t="shared" si="1654"/>
        <v>0</v>
      </c>
      <c r="BA1643" s="11">
        <f t="shared" si="1655"/>
        <v>0</v>
      </c>
      <c r="BC1643" s="11">
        <f t="shared" si="1656"/>
        <v>0</v>
      </c>
      <c r="BE1643" s="11">
        <f t="shared" si="1657"/>
        <v>0</v>
      </c>
      <c r="BG1643" s="11">
        <f t="shared" si="1658"/>
        <v>0</v>
      </c>
      <c r="BN1643" s="8">
        <f t="shared" si="1638"/>
        <v>0</v>
      </c>
      <c r="BO1643" s="8">
        <f t="shared" si="1639"/>
        <v>0</v>
      </c>
      <c r="BP1643" s="8">
        <f t="shared" si="1659"/>
        <v>0</v>
      </c>
      <c r="BQ1643" s="12">
        <f t="shared" si="1660"/>
        <v>0</v>
      </c>
    </row>
    <row r="1644" spans="1:69">
      <c r="A1644" s="28">
        <v>1973</v>
      </c>
      <c r="B1644" s="27" t="s">
        <v>79</v>
      </c>
      <c r="C1644" s="24">
        <f t="shared" si="1637"/>
        <v>1626</v>
      </c>
      <c r="D1644" s="7" t="e">
        <f t="shared" ca="1" si="1616"/>
        <v>#N/A</v>
      </c>
      <c r="E1644" s="26">
        <f t="array" aca="1" ref="E1644" ca="1">AVERAGE(IF(INDIRECT(DatCol&amp;"$"&amp;TEXT(C1644,"###")):INDIRECT(DatCol&amp;"$"&amp;TEXT(C1644+57,"###"))&gt;0,INDIRECT(DatCol&amp;"$"&amp;TEXT(C1644,"###")):INDIRECT(DatCol&amp;"$"&amp;TEXT(C1644+57,"###"))))</f>
        <v>7</v>
      </c>
      <c r="F1644" s="26" t="str">
        <f t="shared" si="1635"/>
        <v>B</v>
      </c>
      <c r="G1644" s="8"/>
      <c r="K1644" s="9">
        <f t="shared" si="1640"/>
        <v>0</v>
      </c>
      <c r="M1644" s="11">
        <f t="shared" si="1641"/>
        <v>0</v>
      </c>
      <c r="O1644" s="11">
        <f t="shared" si="1642"/>
        <v>0</v>
      </c>
      <c r="Q1644" s="11">
        <f t="shared" si="1643"/>
        <v>0</v>
      </c>
      <c r="Y1644" s="11">
        <f t="shared" si="1644"/>
        <v>0</v>
      </c>
      <c r="AG1644" s="11">
        <f t="shared" si="1645"/>
        <v>0</v>
      </c>
      <c r="AI1644" s="11">
        <f t="shared" si="1646"/>
        <v>0</v>
      </c>
      <c r="AK1644" s="13">
        <f t="shared" si="1647"/>
        <v>0</v>
      </c>
      <c r="AM1644" s="13">
        <f t="shared" si="1648"/>
        <v>0</v>
      </c>
      <c r="AO1644" s="11">
        <f t="shared" si="1649"/>
        <v>0</v>
      </c>
      <c r="AQ1644" s="11">
        <f t="shared" si="1650"/>
        <v>0</v>
      </c>
      <c r="AS1644" s="11">
        <f t="shared" si="1651"/>
        <v>0</v>
      </c>
      <c r="AU1644" s="11">
        <f t="shared" si="1652"/>
        <v>0</v>
      </c>
      <c r="AW1644" s="11">
        <f t="shared" si="1653"/>
        <v>0</v>
      </c>
      <c r="AY1644" s="11">
        <f t="shared" si="1654"/>
        <v>0</v>
      </c>
      <c r="BA1644" s="11">
        <f t="shared" si="1655"/>
        <v>0</v>
      </c>
      <c r="BC1644" s="11">
        <f t="shared" si="1656"/>
        <v>0</v>
      </c>
      <c r="BE1644" s="11">
        <f t="shared" si="1657"/>
        <v>0</v>
      </c>
      <c r="BG1644" s="11">
        <f t="shared" si="1658"/>
        <v>0</v>
      </c>
      <c r="BN1644" s="8">
        <f t="shared" si="1638"/>
        <v>0</v>
      </c>
      <c r="BO1644" s="8">
        <f t="shared" si="1639"/>
        <v>0</v>
      </c>
      <c r="BP1644" s="8">
        <f t="shared" si="1659"/>
        <v>0</v>
      </c>
      <c r="BQ1644" s="12">
        <f t="shared" si="1660"/>
        <v>0</v>
      </c>
    </row>
    <row r="1645" spans="1:69">
      <c r="A1645" s="28">
        <v>1974</v>
      </c>
      <c r="B1645" s="27" t="s">
        <v>79</v>
      </c>
      <c r="C1645" s="24">
        <f t="shared" si="1637"/>
        <v>1626</v>
      </c>
      <c r="D1645" s="7" t="e">
        <f t="shared" ca="1" si="1616"/>
        <v>#N/A</v>
      </c>
      <c r="E1645" s="26">
        <f t="array" aca="1" ref="E1645" ca="1">AVERAGE(IF(INDIRECT(DatCol&amp;"$"&amp;TEXT(C1645,"###")):INDIRECT(DatCol&amp;"$"&amp;TEXT(C1645+57,"###"))&gt;0,INDIRECT(DatCol&amp;"$"&amp;TEXT(C1645,"###")):INDIRECT(DatCol&amp;"$"&amp;TEXT(C1645+57,"###"))))</f>
        <v>7</v>
      </c>
      <c r="F1645" s="26" t="str">
        <f t="shared" si="1635"/>
        <v>B</v>
      </c>
      <c r="G1645" s="8"/>
      <c r="K1645" s="9">
        <f t="shared" si="1640"/>
        <v>0</v>
      </c>
      <c r="M1645" s="11">
        <f t="shared" si="1641"/>
        <v>0</v>
      </c>
      <c r="O1645" s="11">
        <f t="shared" si="1642"/>
        <v>0</v>
      </c>
      <c r="Q1645" s="11">
        <f t="shared" si="1643"/>
        <v>0</v>
      </c>
      <c r="Y1645" s="11">
        <f t="shared" si="1644"/>
        <v>0</v>
      </c>
      <c r="AG1645" s="11">
        <f t="shared" si="1645"/>
        <v>0</v>
      </c>
      <c r="AI1645" s="11">
        <f t="shared" si="1646"/>
        <v>0</v>
      </c>
      <c r="AK1645" s="13">
        <f t="shared" si="1647"/>
        <v>0</v>
      </c>
      <c r="AM1645" s="13">
        <f t="shared" si="1648"/>
        <v>0</v>
      </c>
      <c r="AO1645" s="11">
        <f t="shared" si="1649"/>
        <v>0</v>
      </c>
      <c r="AQ1645" s="11">
        <f t="shared" si="1650"/>
        <v>0</v>
      </c>
      <c r="AS1645" s="11">
        <f t="shared" si="1651"/>
        <v>0</v>
      </c>
      <c r="AU1645" s="11">
        <f t="shared" si="1652"/>
        <v>0</v>
      </c>
      <c r="AW1645" s="11">
        <f t="shared" si="1653"/>
        <v>0</v>
      </c>
      <c r="AY1645" s="11">
        <f t="shared" si="1654"/>
        <v>0</v>
      </c>
      <c r="BA1645" s="11">
        <f t="shared" si="1655"/>
        <v>0</v>
      </c>
      <c r="BC1645" s="11">
        <f t="shared" si="1656"/>
        <v>0</v>
      </c>
      <c r="BE1645" s="11">
        <f t="shared" si="1657"/>
        <v>0</v>
      </c>
      <c r="BG1645" s="11">
        <f t="shared" si="1658"/>
        <v>0</v>
      </c>
      <c r="BN1645" s="8">
        <f t="shared" si="1638"/>
        <v>0</v>
      </c>
      <c r="BO1645" s="8">
        <f t="shared" si="1639"/>
        <v>0</v>
      </c>
      <c r="BP1645" s="8">
        <f t="shared" si="1659"/>
        <v>0</v>
      </c>
      <c r="BQ1645" s="12">
        <f t="shared" si="1660"/>
        <v>0</v>
      </c>
    </row>
    <row r="1646" spans="1:69">
      <c r="A1646" s="28">
        <v>1975</v>
      </c>
      <c r="B1646" s="27" t="s">
        <v>79</v>
      </c>
      <c r="C1646" s="24">
        <f t="shared" si="1637"/>
        <v>1626</v>
      </c>
      <c r="D1646" s="7" t="e">
        <f t="shared" ca="1" si="1616"/>
        <v>#N/A</v>
      </c>
      <c r="E1646" s="26">
        <f t="array" aca="1" ref="E1646" ca="1">AVERAGE(IF(INDIRECT(DatCol&amp;"$"&amp;TEXT(C1646,"###")):INDIRECT(DatCol&amp;"$"&amp;TEXT(C1646+57,"###"))&gt;0,INDIRECT(DatCol&amp;"$"&amp;TEXT(C1646,"###")):INDIRECT(DatCol&amp;"$"&amp;TEXT(C1646+57,"###"))))</f>
        <v>7</v>
      </c>
      <c r="F1646" s="26" t="str">
        <f t="shared" si="1635"/>
        <v>B</v>
      </c>
      <c r="G1646" s="8"/>
      <c r="K1646" s="9">
        <f t="shared" si="1640"/>
        <v>0</v>
      </c>
      <c r="M1646" s="11">
        <f t="shared" si="1641"/>
        <v>0</v>
      </c>
      <c r="O1646" s="11">
        <f t="shared" si="1642"/>
        <v>0</v>
      </c>
      <c r="Q1646" s="11">
        <f t="shared" si="1643"/>
        <v>0</v>
      </c>
      <c r="Y1646" s="11">
        <f t="shared" si="1644"/>
        <v>0</v>
      </c>
      <c r="AG1646" s="11">
        <f t="shared" si="1645"/>
        <v>0</v>
      </c>
      <c r="AI1646" s="11">
        <f t="shared" si="1646"/>
        <v>0</v>
      </c>
      <c r="AK1646" s="13">
        <f t="shared" si="1647"/>
        <v>0</v>
      </c>
      <c r="AM1646" s="13">
        <f t="shared" si="1648"/>
        <v>0</v>
      </c>
      <c r="AO1646" s="11">
        <f t="shared" si="1649"/>
        <v>0</v>
      </c>
      <c r="AQ1646" s="11">
        <f t="shared" si="1650"/>
        <v>0</v>
      </c>
      <c r="AS1646" s="11">
        <f t="shared" si="1651"/>
        <v>0</v>
      </c>
      <c r="AU1646" s="11">
        <f t="shared" si="1652"/>
        <v>0</v>
      </c>
      <c r="AW1646" s="11">
        <f t="shared" si="1653"/>
        <v>0</v>
      </c>
      <c r="AY1646" s="11">
        <f t="shared" si="1654"/>
        <v>0</v>
      </c>
      <c r="BA1646" s="11">
        <f t="shared" si="1655"/>
        <v>0</v>
      </c>
      <c r="BC1646" s="11">
        <f t="shared" si="1656"/>
        <v>0</v>
      </c>
      <c r="BE1646" s="11">
        <f t="shared" si="1657"/>
        <v>0</v>
      </c>
      <c r="BG1646" s="11">
        <f t="shared" si="1658"/>
        <v>0</v>
      </c>
      <c r="BN1646" s="8">
        <f t="shared" si="1638"/>
        <v>0</v>
      </c>
      <c r="BO1646" s="8">
        <f t="shared" si="1639"/>
        <v>0</v>
      </c>
      <c r="BP1646" s="8">
        <f t="shared" si="1659"/>
        <v>0</v>
      </c>
      <c r="BQ1646" s="12">
        <f t="shared" si="1660"/>
        <v>0</v>
      </c>
    </row>
    <row r="1647" spans="1:69">
      <c r="A1647" s="28">
        <v>1976</v>
      </c>
      <c r="B1647" s="27" t="s">
        <v>79</v>
      </c>
      <c r="C1647" s="24">
        <f t="shared" si="1637"/>
        <v>1626</v>
      </c>
      <c r="D1647" s="7" t="e">
        <f t="shared" ca="1" si="1616"/>
        <v>#N/A</v>
      </c>
      <c r="E1647" s="26">
        <f t="array" aca="1" ref="E1647" ca="1">AVERAGE(IF(INDIRECT(DatCol&amp;"$"&amp;TEXT(C1647,"###")):INDIRECT(DatCol&amp;"$"&amp;TEXT(C1647+57,"###"))&gt;0,INDIRECT(DatCol&amp;"$"&amp;TEXT(C1647,"###")):INDIRECT(DatCol&amp;"$"&amp;TEXT(C1647+57,"###"))))</f>
        <v>7</v>
      </c>
      <c r="F1647" s="26" t="str">
        <f t="shared" si="1635"/>
        <v>B</v>
      </c>
      <c r="G1647" s="8"/>
      <c r="K1647" s="9">
        <f t="shared" si="1640"/>
        <v>0</v>
      </c>
      <c r="M1647" s="11">
        <f t="shared" si="1641"/>
        <v>0</v>
      </c>
      <c r="O1647" s="11">
        <f t="shared" si="1642"/>
        <v>0</v>
      </c>
      <c r="Q1647" s="11">
        <f t="shared" si="1643"/>
        <v>0</v>
      </c>
      <c r="Y1647" s="11">
        <f t="shared" si="1644"/>
        <v>0</v>
      </c>
      <c r="AG1647" s="11">
        <f t="shared" si="1645"/>
        <v>0</v>
      </c>
      <c r="AI1647" s="11">
        <f t="shared" si="1646"/>
        <v>0</v>
      </c>
      <c r="AK1647" s="13">
        <f t="shared" si="1647"/>
        <v>0</v>
      </c>
      <c r="AM1647" s="13">
        <f t="shared" si="1648"/>
        <v>0</v>
      </c>
      <c r="AO1647" s="11">
        <f t="shared" si="1649"/>
        <v>0</v>
      </c>
      <c r="AQ1647" s="11">
        <f t="shared" si="1650"/>
        <v>0</v>
      </c>
      <c r="AS1647" s="11">
        <f t="shared" si="1651"/>
        <v>0</v>
      </c>
      <c r="AU1647" s="11">
        <f t="shared" si="1652"/>
        <v>0</v>
      </c>
      <c r="AW1647" s="11">
        <f t="shared" si="1653"/>
        <v>0</v>
      </c>
      <c r="AY1647" s="11">
        <f t="shared" si="1654"/>
        <v>0</v>
      </c>
      <c r="BA1647" s="11">
        <f t="shared" si="1655"/>
        <v>0</v>
      </c>
      <c r="BC1647" s="11">
        <f t="shared" si="1656"/>
        <v>0</v>
      </c>
      <c r="BE1647" s="11">
        <f t="shared" si="1657"/>
        <v>0</v>
      </c>
      <c r="BG1647" s="11">
        <f t="shared" si="1658"/>
        <v>0</v>
      </c>
      <c r="BN1647" s="8">
        <f t="shared" si="1638"/>
        <v>0</v>
      </c>
      <c r="BO1647" s="8">
        <f t="shared" si="1639"/>
        <v>0</v>
      </c>
      <c r="BP1647" s="8">
        <f t="shared" si="1659"/>
        <v>0</v>
      </c>
      <c r="BQ1647" s="12">
        <f t="shared" si="1660"/>
        <v>0</v>
      </c>
    </row>
    <row r="1648" spans="1:69">
      <c r="A1648" s="28">
        <v>1977</v>
      </c>
      <c r="B1648" s="27" t="s">
        <v>79</v>
      </c>
      <c r="C1648" s="24">
        <f t="shared" si="1637"/>
        <v>1626</v>
      </c>
      <c r="D1648" s="7" t="e">
        <f t="shared" ca="1" si="1616"/>
        <v>#N/A</v>
      </c>
      <c r="E1648" s="26">
        <f t="array" aca="1" ref="E1648" ca="1">AVERAGE(IF(INDIRECT(DatCol&amp;"$"&amp;TEXT(C1648,"###")):INDIRECT(DatCol&amp;"$"&amp;TEXT(C1648+57,"###"))&gt;0,INDIRECT(DatCol&amp;"$"&amp;TEXT(C1648,"###")):INDIRECT(DatCol&amp;"$"&amp;TEXT(C1648+57,"###"))))</f>
        <v>7</v>
      </c>
      <c r="F1648" s="26" t="str">
        <f t="shared" si="1635"/>
        <v>B</v>
      </c>
      <c r="G1648" s="8"/>
      <c r="K1648" s="9">
        <f t="shared" si="1640"/>
        <v>0</v>
      </c>
      <c r="M1648" s="11">
        <f t="shared" si="1641"/>
        <v>0</v>
      </c>
      <c r="O1648" s="11">
        <f t="shared" si="1642"/>
        <v>0</v>
      </c>
      <c r="Q1648" s="11">
        <f t="shared" si="1643"/>
        <v>0</v>
      </c>
      <c r="Y1648" s="11">
        <f t="shared" si="1644"/>
        <v>0</v>
      </c>
      <c r="AG1648" s="11">
        <f t="shared" si="1645"/>
        <v>0</v>
      </c>
      <c r="AI1648" s="11">
        <f t="shared" si="1646"/>
        <v>0</v>
      </c>
      <c r="AK1648" s="13">
        <f t="shared" si="1647"/>
        <v>0</v>
      </c>
      <c r="AM1648" s="13">
        <f t="shared" si="1648"/>
        <v>0</v>
      </c>
      <c r="AO1648" s="11">
        <f t="shared" si="1649"/>
        <v>0</v>
      </c>
      <c r="AQ1648" s="11">
        <f t="shared" si="1650"/>
        <v>0</v>
      </c>
      <c r="AS1648" s="11">
        <f t="shared" si="1651"/>
        <v>0</v>
      </c>
      <c r="AU1648" s="11">
        <f t="shared" si="1652"/>
        <v>0</v>
      </c>
      <c r="AW1648" s="11">
        <f t="shared" si="1653"/>
        <v>0</v>
      </c>
      <c r="AY1648" s="11">
        <f t="shared" si="1654"/>
        <v>0</v>
      </c>
      <c r="BA1648" s="11">
        <f t="shared" si="1655"/>
        <v>0</v>
      </c>
      <c r="BC1648" s="11">
        <f t="shared" si="1656"/>
        <v>0</v>
      </c>
      <c r="BE1648" s="11">
        <f t="shared" si="1657"/>
        <v>0</v>
      </c>
      <c r="BG1648" s="11">
        <f t="shared" si="1658"/>
        <v>0</v>
      </c>
      <c r="BN1648" s="8">
        <f t="shared" si="1638"/>
        <v>0</v>
      </c>
      <c r="BO1648" s="8">
        <f t="shared" si="1639"/>
        <v>0</v>
      </c>
      <c r="BP1648" s="8">
        <f t="shared" si="1659"/>
        <v>0</v>
      </c>
      <c r="BQ1648" s="12">
        <f t="shared" si="1660"/>
        <v>0</v>
      </c>
    </row>
    <row r="1649" spans="1:69">
      <c r="A1649" s="28">
        <v>1978</v>
      </c>
      <c r="B1649" s="27" t="s">
        <v>79</v>
      </c>
      <c r="C1649" s="24">
        <f t="shared" si="1637"/>
        <v>1626</v>
      </c>
      <c r="D1649" s="7" t="e">
        <f t="shared" ca="1" si="1616"/>
        <v>#N/A</v>
      </c>
      <c r="E1649" s="26">
        <f t="array" aca="1" ref="E1649" ca="1">AVERAGE(IF(INDIRECT(DatCol&amp;"$"&amp;TEXT(C1649,"###")):INDIRECT(DatCol&amp;"$"&amp;TEXT(C1649+57,"###"))&gt;0,INDIRECT(DatCol&amp;"$"&amp;TEXT(C1649,"###")):INDIRECT(DatCol&amp;"$"&amp;TEXT(C1649+57,"###"))))</f>
        <v>7</v>
      </c>
      <c r="F1649" s="26" t="str">
        <f t="shared" si="1635"/>
        <v>B</v>
      </c>
      <c r="G1649" s="8"/>
      <c r="K1649" s="9">
        <f t="shared" si="1640"/>
        <v>0</v>
      </c>
      <c r="M1649" s="11">
        <f t="shared" si="1641"/>
        <v>0</v>
      </c>
      <c r="O1649" s="11">
        <f t="shared" si="1642"/>
        <v>0</v>
      </c>
      <c r="Q1649" s="11">
        <f t="shared" si="1643"/>
        <v>0</v>
      </c>
      <c r="Y1649" s="11">
        <f t="shared" si="1644"/>
        <v>0</v>
      </c>
      <c r="AG1649" s="11">
        <f t="shared" si="1645"/>
        <v>0</v>
      </c>
      <c r="AI1649" s="11">
        <f t="shared" si="1646"/>
        <v>0</v>
      </c>
      <c r="AK1649" s="13">
        <f t="shared" si="1647"/>
        <v>0</v>
      </c>
      <c r="AM1649" s="13">
        <f t="shared" si="1648"/>
        <v>0</v>
      </c>
      <c r="AO1649" s="11">
        <f t="shared" si="1649"/>
        <v>0</v>
      </c>
      <c r="AQ1649" s="11">
        <f t="shared" si="1650"/>
        <v>0</v>
      </c>
      <c r="AS1649" s="11">
        <f t="shared" si="1651"/>
        <v>0</v>
      </c>
      <c r="AU1649" s="11">
        <f t="shared" si="1652"/>
        <v>0</v>
      </c>
      <c r="AW1649" s="11">
        <f t="shared" si="1653"/>
        <v>0</v>
      </c>
      <c r="AY1649" s="11">
        <f t="shared" si="1654"/>
        <v>0</v>
      </c>
      <c r="BA1649" s="11">
        <f t="shared" si="1655"/>
        <v>0</v>
      </c>
      <c r="BC1649" s="11">
        <f t="shared" si="1656"/>
        <v>0</v>
      </c>
      <c r="BE1649" s="11">
        <f t="shared" si="1657"/>
        <v>0</v>
      </c>
      <c r="BG1649" s="11">
        <f t="shared" si="1658"/>
        <v>0</v>
      </c>
      <c r="BN1649" s="8">
        <f t="shared" si="1638"/>
        <v>0</v>
      </c>
      <c r="BO1649" s="8">
        <f t="shared" si="1639"/>
        <v>0</v>
      </c>
      <c r="BP1649" s="8">
        <f t="shared" si="1659"/>
        <v>0</v>
      </c>
      <c r="BQ1649" s="12">
        <f t="shared" si="1660"/>
        <v>0</v>
      </c>
    </row>
    <row r="1650" spans="1:69">
      <c r="A1650" s="28">
        <v>1979</v>
      </c>
      <c r="B1650" s="27" t="s">
        <v>79</v>
      </c>
      <c r="C1650" s="24">
        <f t="shared" si="1637"/>
        <v>1626</v>
      </c>
      <c r="D1650" s="7" t="e">
        <f t="shared" ca="1" si="1616"/>
        <v>#N/A</v>
      </c>
      <c r="E1650" s="26">
        <f t="array" aca="1" ref="E1650" ca="1">AVERAGE(IF(INDIRECT(DatCol&amp;"$"&amp;TEXT(C1650,"###")):INDIRECT(DatCol&amp;"$"&amp;TEXT(C1650+57,"###"))&gt;0,INDIRECT(DatCol&amp;"$"&amp;TEXT(C1650,"###")):INDIRECT(DatCol&amp;"$"&amp;TEXT(C1650+57,"###"))))</f>
        <v>7</v>
      </c>
      <c r="F1650" s="26" t="str">
        <f t="shared" si="1635"/>
        <v>B</v>
      </c>
      <c r="G1650" s="8"/>
      <c r="K1650" s="9">
        <f t="shared" si="1640"/>
        <v>0</v>
      </c>
      <c r="M1650" s="11">
        <f t="shared" si="1641"/>
        <v>0</v>
      </c>
      <c r="O1650" s="11">
        <f t="shared" si="1642"/>
        <v>0</v>
      </c>
      <c r="Q1650" s="11">
        <f t="shared" si="1643"/>
        <v>0</v>
      </c>
      <c r="Y1650" s="11">
        <f t="shared" si="1644"/>
        <v>0</v>
      </c>
      <c r="AG1650" s="11">
        <f t="shared" si="1645"/>
        <v>0</v>
      </c>
      <c r="AI1650" s="11">
        <f t="shared" si="1646"/>
        <v>0</v>
      </c>
      <c r="AK1650" s="13">
        <f t="shared" si="1647"/>
        <v>0</v>
      </c>
      <c r="AM1650" s="13">
        <f t="shared" si="1648"/>
        <v>0</v>
      </c>
      <c r="AO1650" s="11">
        <f t="shared" si="1649"/>
        <v>0</v>
      </c>
      <c r="AQ1650" s="11">
        <f t="shared" si="1650"/>
        <v>0</v>
      </c>
      <c r="AS1650" s="11">
        <f t="shared" si="1651"/>
        <v>0</v>
      </c>
      <c r="AU1650" s="11">
        <f t="shared" si="1652"/>
        <v>0</v>
      </c>
      <c r="AW1650" s="11">
        <f t="shared" si="1653"/>
        <v>0</v>
      </c>
      <c r="AY1650" s="11">
        <f t="shared" si="1654"/>
        <v>0</v>
      </c>
      <c r="BA1650" s="11">
        <f t="shared" si="1655"/>
        <v>0</v>
      </c>
      <c r="BC1650" s="11">
        <f t="shared" si="1656"/>
        <v>0</v>
      </c>
      <c r="BE1650" s="11">
        <f t="shared" si="1657"/>
        <v>0</v>
      </c>
      <c r="BG1650" s="11">
        <f t="shared" si="1658"/>
        <v>0</v>
      </c>
      <c r="BN1650" s="8">
        <f t="shared" si="1638"/>
        <v>0</v>
      </c>
      <c r="BO1650" s="8">
        <f t="shared" si="1639"/>
        <v>0</v>
      </c>
      <c r="BP1650" s="8">
        <f t="shared" si="1659"/>
        <v>0</v>
      </c>
      <c r="BQ1650" s="12">
        <f t="shared" si="1660"/>
        <v>0</v>
      </c>
    </row>
    <row r="1651" spans="1:69">
      <c r="A1651" s="28">
        <v>1980</v>
      </c>
      <c r="B1651" s="27" t="s">
        <v>79</v>
      </c>
      <c r="C1651" s="24">
        <f t="shared" si="1637"/>
        <v>1626</v>
      </c>
      <c r="D1651" s="7" t="e">
        <f t="shared" ca="1" si="1616"/>
        <v>#N/A</v>
      </c>
      <c r="E1651" s="26">
        <f t="array" aca="1" ref="E1651" ca="1">AVERAGE(IF(INDIRECT(DatCol&amp;"$"&amp;TEXT(C1651,"###")):INDIRECT(DatCol&amp;"$"&amp;TEXT(C1651+57,"###"))&gt;0,INDIRECT(DatCol&amp;"$"&amp;TEXT(C1651,"###")):INDIRECT(DatCol&amp;"$"&amp;TEXT(C1651+57,"###"))))</f>
        <v>7</v>
      </c>
      <c r="F1651" s="26" t="str">
        <f t="shared" si="1635"/>
        <v>B</v>
      </c>
      <c r="G1651" s="8"/>
      <c r="K1651" s="9">
        <f t="shared" si="1640"/>
        <v>0</v>
      </c>
      <c r="M1651" s="11">
        <f t="shared" si="1641"/>
        <v>0</v>
      </c>
      <c r="O1651" s="11">
        <f t="shared" si="1642"/>
        <v>0</v>
      </c>
      <c r="Q1651" s="11">
        <f t="shared" si="1643"/>
        <v>0</v>
      </c>
      <c r="Y1651" s="11">
        <f t="shared" si="1644"/>
        <v>0</v>
      </c>
      <c r="AG1651" s="11">
        <f t="shared" si="1645"/>
        <v>0</v>
      </c>
      <c r="AI1651" s="11">
        <f t="shared" si="1646"/>
        <v>0</v>
      </c>
      <c r="AK1651" s="13">
        <f t="shared" si="1647"/>
        <v>0</v>
      </c>
      <c r="AM1651" s="13">
        <f t="shared" si="1648"/>
        <v>0</v>
      </c>
      <c r="AO1651" s="11">
        <f t="shared" si="1649"/>
        <v>0</v>
      </c>
      <c r="AQ1651" s="11">
        <f t="shared" si="1650"/>
        <v>0</v>
      </c>
      <c r="AS1651" s="11">
        <f t="shared" si="1651"/>
        <v>0</v>
      </c>
      <c r="AU1651" s="11">
        <f t="shared" si="1652"/>
        <v>0</v>
      </c>
      <c r="AW1651" s="11">
        <f t="shared" si="1653"/>
        <v>0</v>
      </c>
      <c r="AY1651" s="11">
        <f t="shared" si="1654"/>
        <v>0</v>
      </c>
      <c r="BA1651" s="11">
        <f t="shared" si="1655"/>
        <v>0</v>
      </c>
      <c r="BC1651" s="11">
        <f t="shared" si="1656"/>
        <v>0</v>
      </c>
      <c r="BE1651" s="11">
        <f t="shared" si="1657"/>
        <v>0</v>
      </c>
      <c r="BG1651" s="11">
        <f t="shared" si="1658"/>
        <v>0</v>
      </c>
      <c r="BN1651" s="8">
        <f t="shared" si="1638"/>
        <v>0</v>
      </c>
      <c r="BO1651" s="8">
        <f t="shared" si="1639"/>
        <v>0</v>
      </c>
      <c r="BP1651" s="8">
        <f t="shared" si="1659"/>
        <v>0</v>
      </c>
      <c r="BQ1651" s="12">
        <f t="shared" si="1660"/>
        <v>0</v>
      </c>
    </row>
    <row r="1652" spans="1:69">
      <c r="A1652" s="28">
        <v>1981</v>
      </c>
      <c r="B1652" s="27" t="s">
        <v>79</v>
      </c>
      <c r="C1652" s="24">
        <f t="shared" si="1637"/>
        <v>1626</v>
      </c>
      <c r="D1652" s="7" t="e">
        <f t="shared" ca="1" si="1616"/>
        <v>#N/A</v>
      </c>
      <c r="E1652" s="26">
        <f t="array" aca="1" ref="E1652" ca="1">AVERAGE(IF(INDIRECT(DatCol&amp;"$"&amp;TEXT(C1652,"###")):INDIRECT(DatCol&amp;"$"&amp;TEXT(C1652+57,"###"))&gt;0,INDIRECT(DatCol&amp;"$"&amp;TEXT(C1652,"###")):INDIRECT(DatCol&amp;"$"&amp;TEXT(C1652+57,"###"))))</f>
        <v>7</v>
      </c>
      <c r="F1652" s="26" t="str">
        <f t="shared" si="1635"/>
        <v>B</v>
      </c>
      <c r="G1652" s="8"/>
      <c r="K1652" s="9">
        <f t="shared" si="1640"/>
        <v>0</v>
      </c>
      <c r="M1652" s="11">
        <f t="shared" si="1641"/>
        <v>0</v>
      </c>
      <c r="O1652" s="11">
        <f t="shared" si="1642"/>
        <v>0</v>
      </c>
      <c r="Q1652" s="11">
        <f t="shared" si="1643"/>
        <v>0</v>
      </c>
      <c r="Y1652" s="11">
        <f t="shared" si="1644"/>
        <v>0</v>
      </c>
      <c r="AG1652" s="11">
        <f t="shared" si="1645"/>
        <v>0</v>
      </c>
      <c r="AI1652" s="11">
        <f t="shared" si="1646"/>
        <v>0</v>
      </c>
      <c r="AK1652" s="13">
        <f t="shared" si="1647"/>
        <v>0</v>
      </c>
      <c r="AM1652" s="13">
        <f t="shared" si="1648"/>
        <v>0</v>
      </c>
      <c r="AO1652" s="11">
        <f t="shared" si="1649"/>
        <v>0</v>
      </c>
      <c r="AQ1652" s="11">
        <f t="shared" si="1650"/>
        <v>0</v>
      </c>
      <c r="AS1652" s="11">
        <f t="shared" si="1651"/>
        <v>0</v>
      </c>
      <c r="AU1652" s="11">
        <f t="shared" si="1652"/>
        <v>0</v>
      </c>
      <c r="AW1652" s="11">
        <f t="shared" si="1653"/>
        <v>0</v>
      </c>
      <c r="AY1652" s="11">
        <f t="shared" si="1654"/>
        <v>0</v>
      </c>
      <c r="BA1652" s="11">
        <f t="shared" si="1655"/>
        <v>0</v>
      </c>
      <c r="BC1652" s="11">
        <f t="shared" si="1656"/>
        <v>0</v>
      </c>
      <c r="BE1652" s="11">
        <f t="shared" si="1657"/>
        <v>0</v>
      </c>
      <c r="BG1652" s="11">
        <f t="shared" si="1658"/>
        <v>0</v>
      </c>
      <c r="BN1652" s="8">
        <f t="shared" si="1638"/>
        <v>0</v>
      </c>
      <c r="BO1652" s="8">
        <f t="shared" si="1639"/>
        <v>0</v>
      </c>
      <c r="BP1652" s="8">
        <f t="shared" si="1659"/>
        <v>0</v>
      </c>
      <c r="BQ1652" s="12">
        <f t="shared" si="1660"/>
        <v>0</v>
      </c>
    </row>
    <row r="1653" spans="1:69">
      <c r="A1653" s="28">
        <v>1982</v>
      </c>
      <c r="B1653" s="27" t="s">
        <v>79</v>
      </c>
      <c r="C1653" s="24">
        <f t="shared" si="1637"/>
        <v>1626</v>
      </c>
      <c r="D1653" s="7" t="e">
        <f t="shared" ca="1" si="1616"/>
        <v>#N/A</v>
      </c>
      <c r="E1653" s="26">
        <f t="array" aca="1" ref="E1653" ca="1">AVERAGE(IF(INDIRECT(DatCol&amp;"$"&amp;TEXT(C1653,"###")):INDIRECT(DatCol&amp;"$"&amp;TEXT(C1653+57,"###"))&gt;0,INDIRECT(DatCol&amp;"$"&amp;TEXT(C1653,"###")):INDIRECT(DatCol&amp;"$"&amp;TEXT(C1653+57,"###"))))</f>
        <v>7</v>
      </c>
      <c r="F1653" s="26" t="str">
        <f t="shared" si="1635"/>
        <v>B</v>
      </c>
      <c r="G1653" s="8"/>
      <c r="I1653" s="9">
        <v>8</v>
      </c>
      <c r="K1653" s="9">
        <f t="shared" si="1640"/>
        <v>0</v>
      </c>
      <c r="M1653" s="11">
        <f t="shared" si="1641"/>
        <v>0</v>
      </c>
      <c r="O1653" s="11">
        <f t="shared" si="1642"/>
        <v>0</v>
      </c>
      <c r="P1653" s="10">
        <f>103+347+238</f>
        <v>688</v>
      </c>
      <c r="Q1653" s="11">
        <f t="shared" si="1643"/>
        <v>41280</v>
      </c>
      <c r="Y1653" s="11">
        <f t="shared" si="1644"/>
        <v>0</v>
      </c>
      <c r="AG1653" s="11">
        <f t="shared" si="1645"/>
        <v>0</v>
      </c>
      <c r="AI1653" s="11">
        <f t="shared" si="1646"/>
        <v>0</v>
      </c>
      <c r="AK1653" s="13">
        <f t="shared" si="1647"/>
        <v>0</v>
      </c>
      <c r="AM1653" s="13">
        <f t="shared" si="1648"/>
        <v>0</v>
      </c>
      <c r="AO1653" s="11">
        <f t="shared" si="1649"/>
        <v>0</v>
      </c>
      <c r="AQ1653" s="11">
        <f t="shared" si="1650"/>
        <v>0</v>
      </c>
      <c r="AS1653" s="11">
        <f t="shared" si="1651"/>
        <v>0</v>
      </c>
      <c r="AU1653" s="11">
        <f t="shared" si="1652"/>
        <v>0</v>
      </c>
      <c r="AW1653" s="11">
        <f t="shared" si="1653"/>
        <v>0</v>
      </c>
      <c r="AY1653" s="11">
        <f t="shared" si="1654"/>
        <v>0</v>
      </c>
      <c r="BA1653" s="11">
        <f t="shared" si="1655"/>
        <v>0</v>
      </c>
      <c r="BC1653" s="11">
        <f t="shared" si="1656"/>
        <v>0</v>
      </c>
      <c r="BE1653" s="11">
        <f t="shared" si="1657"/>
        <v>0</v>
      </c>
      <c r="BG1653" s="11">
        <f t="shared" si="1658"/>
        <v>0</v>
      </c>
      <c r="BN1653" s="8">
        <f t="shared" si="1638"/>
        <v>688</v>
      </c>
      <c r="BO1653" s="8">
        <f t="shared" si="1639"/>
        <v>41280</v>
      </c>
      <c r="BP1653" s="8">
        <f t="shared" si="1659"/>
        <v>0</v>
      </c>
      <c r="BQ1653" s="12">
        <f t="shared" si="1660"/>
        <v>0</v>
      </c>
    </row>
    <row r="1654" spans="1:69">
      <c r="A1654" s="28">
        <v>1983</v>
      </c>
      <c r="B1654" s="27" t="s">
        <v>79</v>
      </c>
      <c r="C1654" s="24">
        <f t="shared" si="1637"/>
        <v>1626</v>
      </c>
      <c r="D1654" s="7" t="e">
        <f t="shared" ca="1" si="1616"/>
        <v>#N/A</v>
      </c>
      <c r="E1654" s="26">
        <f t="array" aca="1" ref="E1654" ca="1">AVERAGE(IF(INDIRECT(DatCol&amp;"$"&amp;TEXT(C1654,"###")):INDIRECT(DatCol&amp;"$"&amp;TEXT(C1654+57,"###"))&gt;0,INDIRECT(DatCol&amp;"$"&amp;TEXT(C1654,"###")):INDIRECT(DatCol&amp;"$"&amp;TEXT(C1654+57,"###"))))</f>
        <v>7</v>
      </c>
      <c r="F1654" s="26" t="str">
        <f t="shared" si="1635"/>
        <v>B</v>
      </c>
      <c r="G1654" s="8"/>
      <c r="H1654" s="8">
        <v>0</v>
      </c>
      <c r="I1654" s="8">
        <v>4</v>
      </c>
      <c r="J1654" s="8">
        <v>6</v>
      </c>
      <c r="K1654" s="9">
        <f t="shared" si="1640"/>
        <v>6</v>
      </c>
      <c r="M1654" s="11">
        <f t="shared" si="1641"/>
        <v>0</v>
      </c>
      <c r="O1654" s="11">
        <f t="shared" si="1642"/>
        <v>0</v>
      </c>
      <c r="P1654" s="12">
        <v>22376</v>
      </c>
      <c r="Q1654" s="11">
        <f t="shared" si="1643"/>
        <v>1342560</v>
      </c>
      <c r="Y1654" s="11">
        <f t="shared" si="1644"/>
        <v>0</v>
      </c>
      <c r="AG1654" s="11">
        <f t="shared" si="1645"/>
        <v>0</v>
      </c>
      <c r="AI1654" s="11">
        <f t="shared" si="1646"/>
        <v>0</v>
      </c>
      <c r="AK1654" s="13">
        <f t="shared" si="1647"/>
        <v>0</v>
      </c>
      <c r="AM1654" s="13">
        <f t="shared" si="1648"/>
        <v>0</v>
      </c>
      <c r="AO1654" s="11">
        <f t="shared" si="1649"/>
        <v>0</v>
      </c>
      <c r="AQ1654" s="11">
        <f t="shared" si="1650"/>
        <v>0</v>
      </c>
      <c r="AS1654" s="11">
        <f t="shared" si="1651"/>
        <v>0</v>
      </c>
      <c r="AU1654" s="11">
        <f t="shared" si="1652"/>
        <v>0</v>
      </c>
      <c r="AW1654" s="11">
        <f t="shared" si="1653"/>
        <v>0</v>
      </c>
      <c r="AY1654" s="11">
        <f t="shared" si="1654"/>
        <v>0</v>
      </c>
      <c r="BA1654" s="11">
        <f t="shared" si="1655"/>
        <v>0</v>
      </c>
      <c r="BC1654" s="11">
        <f t="shared" si="1656"/>
        <v>0</v>
      </c>
      <c r="BE1654" s="11">
        <f t="shared" si="1657"/>
        <v>0</v>
      </c>
      <c r="BG1654" s="11">
        <f t="shared" si="1658"/>
        <v>0</v>
      </c>
      <c r="BN1654" s="8">
        <f t="shared" si="1638"/>
        <v>22376</v>
      </c>
      <c r="BO1654" s="8">
        <f t="shared" si="1639"/>
        <v>1342560</v>
      </c>
      <c r="BP1654" s="8">
        <f t="shared" si="1659"/>
        <v>0</v>
      </c>
      <c r="BQ1654" s="12">
        <f t="shared" si="1660"/>
        <v>0</v>
      </c>
    </row>
    <row r="1655" spans="1:69">
      <c r="A1655" s="28">
        <v>1984</v>
      </c>
      <c r="B1655" s="27" t="s">
        <v>79</v>
      </c>
      <c r="C1655" s="24">
        <f t="shared" si="1637"/>
        <v>1626</v>
      </c>
      <c r="D1655" s="7" t="e">
        <f t="shared" ca="1" si="1616"/>
        <v>#N/A</v>
      </c>
      <c r="E1655" s="26">
        <f t="array" aca="1" ref="E1655" ca="1">AVERAGE(IF(INDIRECT(DatCol&amp;"$"&amp;TEXT(C1655,"###")):INDIRECT(DatCol&amp;"$"&amp;TEXT(C1655+57,"###"))&gt;0,INDIRECT(DatCol&amp;"$"&amp;TEXT(C1655,"###")):INDIRECT(DatCol&amp;"$"&amp;TEXT(C1655+57,"###"))))</f>
        <v>7</v>
      </c>
      <c r="F1655" s="26" t="str">
        <f t="shared" si="1635"/>
        <v>B</v>
      </c>
      <c r="G1655" s="8"/>
      <c r="K1655" s="9">
        <f t="shared" si="1640"/>
        <v>0</v>
      </c>
      <c r="M1655" s="11">
        <f t="shared" ref="M1655:M1685" si="1661">(L1655*50)</f>
        <v>0</v>
      </c>
      <c r="O1655" s="11">
        <f t="shared" ref="O1655:O1685" si="1662">(N1655*50)</f>
        <v>0</v>
      </c>
      <c r="P1655" s="12">
        <v>2249</v>
      </c>
      <c r="Q1655" s="11">
        <f t="shared" ref="Q1655:Q1685" si="1663">((P1655*330)/5.5)</f>
        <v>134940</v>
      </c>
      <c r="Y1655" s="11">
        <f t="shared" ref="Y1655:Y1685" si="1664">((X1655*330)/5.5)</f>
        <v>0</v>
      </c>
      <c r="AG1655" s="11">
        <f t="shared" ref="AG1655:AG1685" si="1665">(AF1655*65)</f>
        <v>0</v>
      </c>
      <c r="AI1655" s="11">
        <f t="shared" ref="AI1655:AI1685" si="1666">(AH1655*65)</f>
        <v>0</v>
      </c>
      <c r="AK1655" s="13">
        <f t="shared" ref="AK1655:AK1685" si="1667">(AJ1655*9)</f>
        <v>0</v>
      </c>
      <c r="AM1655" s="13">
        <f t="shared" ref="AM1655:AM1685" si="1668">(AL1655*9)</f>
        <v>0</v>
      </c>
      <c r="AO1655" s="11">
        <f t="shared" ref="AO1655:AO1685" si="1669">(AN1655*80)</f>
        <v>0</v>
      </c>
      <c r="AQ1655" s="11">
        <f t="shared" ref="AQ1655:AQ1685" si="1670">(AP1655*80)</f>
        <v>0</v>
      </c>
      <c r="AS1655" s="11">
        <f t="shared" ref="AS1655:AS1685" si="1671">(AR1655*50)</f>
        <v>0</v>
      </c>
      <c r="AU1655" s="11">
        <f t="shared" ref="AU1655:AU1685" si="1672">(AT1655*50)</f>
        <v>0</v>
      </c>
      <c r="AW1655" s="11">
        <f t="shared" ref="AW1655:AW1685" si="1673">(AV1655*60)</f>
        <v>0</v>
      </c>
      <c r="AY1655" s="11">
        <f t="shared" ref="AY1655:AY1685" si="1674">(AX1655*60)</f>
        <v>0</v>
      </c>
      <c r="BA1655" s="11">
        <f t="shared" ref="BA1655:BA1685" si="1675">(AZ1655*40)</f>
        <v>0</v>
      </c>
      <c r="BC1655" s="11">
        <f t="shared" ref="BC1655:BC1685" si="1676">(BB1655*40)</f>
        <v>0</v>
      </c>
      <c r="BE1655" s="11">
        <f t="shared" ref="BE1655:BE1685" si="1677">(BD1655*95)</f>
        <v>0</v>
      </c>
      <c r="BG1655" s="11">
        <f t="shared" ref="BG1655:BG1685" si="1678">(BF1655*95)</f>
        <v>0</v>
      </c>
      <c r="BN1655" s="8">
        <f t="shared" si="1638"/>
        <v>2249</v>
      </c>
      <c r="BO1655" s="8">
        <f t="shared" si="1639"/>
        <v>134940</v>
      </c>
      <c r="BP1655" s="8">
        <f t="shared" si="1659"/>
        <v>0</v>
      </c>
      <c r="BQ1655" s="12">
        <f t="shared" si="1660"/>
        <v>0</v>
      </c>
    </row>
    <row r="1656" spans="1:69">
      <c r="A1656" s="28">
        <v>1985</v>
      </c>
      <c r="B1656" s="27" t="s">
        <v>79</v>
      </c>
      <c r="C1656" s="24">
        <f t="shared" si="1637"/>
        <v>1626</v>
      </c>
      <c r="D1656" s="7" t="e">
        <f t="shared" ca="1" si="1616"/>
        <v>#N/A</v>
      </c>
      <c r="E1656" s="26">
        <f t="array" aca="1" ref="E1656" ca="1">AVERAGE(IF(INDIRECT(DatCol&amp;"$"&amp;TEXT(C1656,"###")):INDIRECT(DatCol&amp;"$"&amp;TEXT(C1656+57,"###"))&gt;0,INDIRECT(DatCol&amp;"$"&amp;TEXT(C1656,"###")):INDIRECT(DatCol&amp;"$"&amp;TEXT(C1656+57,"###"))))</f>
        <v>7</v>
      </c>
      <c r="F1656" s="26" t="str">
        <f t="shared" si="1635"/>
        <v>B</v>
      </c>
      <c r="G1656" s="8"/>
      <c r="H1656" s="8">
        <v>0</v>
      </c>
      <c r="I1656" s="8">
        <v>6</v>
      </c>
      <c r="J1656" s="8">
        <v>0</v>
      </c>
      <c r="K1656" s="9">
        <f t="shared" si="1640"/>
        <v>0</v>
      </c>
      <c r="M1656" s="11">
        <f t="shared" si="1661"/>
        <v>0</v>
      </c>
      <c r="O1656" s="11">
        <f t="shared" si="1662"/>
        <v>0</v>
      </c>
      <c r="P1656" s="12">
        <v>705</v>
      </c>
      <c r="Q1656" s="11">
        <f t="shared" si="1663"/>
        <v>42300</v>
      </c>
      <c r="Y1656" s="11">
        <f t="shared" si="1664"/>
        <v>0</v>
      </c>
      <c r="AG1656" s="11">
        <f t="shared" si="1665"/>
        <v>0</v>
      </c>
      <c r="AI1656" s="11">
        <f t="shared" si="1666"/>
        <v>0</v>
      </c>
      <c r="AK1656" s="13">
        <f t="shared" si="1667"/>
        <v>0</v>
      </c>
      <c r="AM1656" s="13">
        <f t="shared" si="1668"/>
        <v>0</v>
      </c>
      <c r="AO1656" s="11">
        <f t="shared" si="1669"/>
        <v>0</v>
      </c>
      <c r="AQ1656" s="11">
        <f t="shared" si="1670"/>
        <v>0</v>
      </c>
      <c r="AS1656" s="11">
        <f t="shared" si="1671"/>
        <v>0</v>
      </c>
      <c r="AU1656" s="11">
        <f t="shared" si="1672"/>
        <v>0</v>
      </c>
      <c r="AW1656" s="11">
        <f t="shared" si="1673"/>
        <v>0</v>
      </c>
      <c r="AY1656" s="11">
        <f t="shared" si="1674"/>
        <v>0</v>
      </c>
      <c r="BA1656" s="11">
        <f t="shared" si="1675"/>
        <v>0</v>
      </c>
      <c r="BC1656" s="11">
        <f t="shared" si="1676"/>
        <v>0</v>
      </c>
      <c r="BE1656" s="11">
        <f t="shared" si="1677"/>
        <v>0</v>
      </c>
      <c r="BG1656" s="11">
        <f t="shared" si="1678"/>
        <v>0</v>
      </c>
      <c r="BN1656" s="8">
        <f t="shared" si="1638"/>
        <v>705</v>
      </c>
      <c r="BO1656" s="8">
        <f t="shared" si="1639"/>
        <v>42300</v>
      </c>
      <c r="BP1656" s="8">
        <f t="shared" si="1659"/>
        <v>0</v>
      </c>
      <c r="BQ1656" s="12">
        <f t="shared" si="1660"/>
        <v>0</v>
      </c>
    </row>
    <row r="1657" spans="1:69">
      <c r="A1657" s="28">
        <v>1986</v>
      </c>
      <c r="B1657" s="27" t="s">
        <v>79</v>
      </c>
      <c r="C1657" s="24">
        <f t="shared" si="1637"/>
        <v>1626</v>
      </c>
      <c r="D1657" s="7" t="e">
        <f t="shared" ca="1" si="1616"/>
        <v>#N/A</v>
      </c>
      <c r="E1657" s="26">
        <f t="array" aca="1" ref="E1657" ca="1">AVERAGE(IF(INDIRECT(DatCol&amp;"$"&amp;TEXT(C1657,"###")):INDIRECT(DatCol&amp;"$"&amp;TEXT(C1657+57,"###"))&gt;0,INDIRECT(DatCol&amp;"$"&amp;TEXT(C1657,"###")):INDIRECT(DatCol&amp;"$"&amp;TEXT(C1657+57,"###"))))</f>
        <v>7</v>
      </c>
      <c r="F1657" s="26" t="str">
        <f t="shared" si="1635"/>
        <v>B</v>
      </c>
      <c r="G1657" s="8"/>
      <c r="I1657" s="9">
        <v>15</v>
      </c>
      <c r="K1657" s="9">
        <f t="shared" si="1640"/>
        <v>0</v>
      </c>
      <c r="M1657" s="11">
        <f t="shared" si="1661"/>
        <v>0</v>
      </c>
      <c r="O1657" s="11">
        <f t="shared" si="1662"/>
        <v>0</v>
      </c>
      <c r="P1657" s="10">
        <v>24395</v>
      </c>
      <c r="Q1657" s="11">
        <f t="shared" si="1663"/>
        <v>1463700</v>
      </c>
      <c r="AG1657" s="11">
        <f t="shared" si="1665"/>
        <v>0</v>
      </c>
      <c r="AI1657" s="11">
        <f t="shared" si="1666"/>
        <v>0</v>
      </c>
      <c r="AK1657" s="13">
        <f t="shared" si="1667"/>
        <v>0</v>
      </c>
      <c r="AM1657" s="13">
        <f t="shared" si="1668"/>
        <v>0</v>
      </c>
      <c r="AO1657" s="11">
        <f t="shared" si="1669"/>
        <v>0</v>
      </c>
      <c r="AQ1657" s="11">
        <f t="shared" si="1670"/>
        <v>0</v>
      </c>
      <c r="AS1657" s="11">
        <f t="shared" si="1671"/>
        <v>0</v>
      </c>
      <c r="AU1657" s="11">
        <f t="shared" si="1672"/>
        <v>0</v>
      </c>
      <c r="AW1657" s="11">
        <f t="shared" si="1673"/>
        <v>0</v>
      </c>
      <c r="AY1657" s="11">
        <f t="shared" si="1674"/>
        <v>0</v>
      </c>
      <c r="BA1657" s="11">
        <f t="shared" si="1675"/>
        <v>0</v>
      </c>
      <c r="BC1657" s="11">
        <f t="shared" si="1676"/>
        <v>0</v>
      </c>
      <c r="BE1657" s="11">
        <f t="shared" si="1677"/>
        <v>0</v>
      </c>
      <c r="BG1657" s="11">
        <f t="shared" si="1678"/>
        <v>0</v>
      </c>
      <c r="BN1657" s="8">
        <f t="shared" si="1638"/>
        <v>24395</v>
      </c>
      <c r="BO1657" s="8">
        <f t="shared" si="1639"/>
        <v>1463700</v>
      </c>
      <c r="BP1657" s="8">
        <f t="shared" si="1659"/>
        <v>0</v>
      </c>
      <c r="BQ1657" s="12">
        <f t="shared" si="1660"/>
        <v>0</v>
      </c>
    </row>
    <row r="1658" spans="1:69">
      <c r="A1658" s="28">
        <v>1987</v>
      </c>
      <c r="B1658" s="27" t="s">
        <v>79</v>
      </c>
      <c r="C1658" s="24">
        <f t="shared" si="1637"/>
        <v>1626</v>
      </c>
      <c r="D1658" s="7" t="e">
        <f t="shared" ca="1" si="1616"/>
        <v>#N/A</v>
      </c>
      <c r="E1658" s="26">
        <f t="array" aca="1" ref="E1658" ca="1">AVERAGE(IF(INDIRECT(DatCol&amp;"$"&amp;TEXT(C1658,"###")):INDIRECT(DatCol&amp;"$"&amp;TEXT(C1658+57,"###"))&gt;0,INDIRECT(DatCol&amp;"$"&amp;TEXT(C1658,"###")):INDIRECT(DatCol&amp;"$"&amp;TEXT(C1658+57,"###"))))</f>
        <v>7</v>
      </c>
      <c r="F1658" s="26" t="str">
        <f t="shared" si="1635"/>
        <v>B</v>
      </c>
      <c r="G1658" s="8"/>
      <c r="H1658" s="8">
        <v>0</v>
      </c>
      <c r="I1658" s="8">
        <v>15</v>
      </c>
      <c r="J1658" s="8">
        <v>0</v>
      </c>
      <c r="K1658" s="9">
        <f t="shared" si="1640"/>
        <v>0</v>
      </c>
      <c r="M1658" s="11">
        <f t="shared" si="1661"/>
        <v>0</v>
      </c>
      <c r="O1658" s="11">
        <f t="shared" si="1662"/>
        <v>0</v>
      </c>
      <c r="P1658" s="12">
        <v>28700</v>
      </c>
      <c r="Q1658" s="11">
        <f t="shared" si="1663"/>
        <v>1722000</v>
      </c>
      <c r="Y1658" s="11">
        <f t="shared" si="1664"/>
        <v>0</v>
      </c>
      <c r="AG1658" s="11">
        <f t="shared" si="1665"/>
        <v>0</v>
      </c>
      <c r="AI1658" s="11">
        <f t="shared" si="1666"/>
        <v>0</v>
      </c>
      <c r="AK1658" s="13">
        <f t="shared" si="1667"/>
        <v>0</v>
      </c>
      <c r="AM1658" s="13">
        <f t="shared" si="1668"/>
        <v>0</v>
      </c>
      <c r="AO1658" s="11">
        <f t="shared" si="1669"/>
        <v>0</v>
      </c>
      <c r="AQ1658" s="11">
        <f t="shared" si="1670"/>
        <v>0</v>
      </c>
      <c r="AS1658" s="11">
        <f t="shared" si="1671"/>
        <v>0</v>
      </c>
      <c r="AU1658" s="11">
        <f t="shared" si="1672"/>
        <v>0</v>
      </c>
      <c r="AW1658" s="11">
        <f t="shared" si="1673"/>
        <v>0</v>
      </c>
      <c r="AY1658" s="11">
        <f t="shared" si="1674"/>
        <v>0</v>
      </c>
      <c r="BA1658" s="11">
        <f t="shared" si="1675"/>
        <v>0</v>
      </c>
      <c r="BC1658" s="11">
        <f t="shared" si="1676"/>
        <v>0</v>
      </c>
      <c r="BE1658" s="11">
        <f t="shared" si="1677"/>
        <v>0</v>
      </c>
      <c r="BG1658" s="11">
        <f t="shared" si="1678"/>
        <v>0</v>
      </c>
      <c r="BN1658" s="8">
        <f t="shared" si="1638"/>
        <v>28700</v>
      </c>
      <c r="BO1658" s="8">
        <f t="shared" si="1639"/>
        <v>1722000</v>
      </c>
      <c r="BP1658" s="8">
        <f t="shared" si="1659"/>
        <v>0</v>
      </c>
      <c r="BQ1658" s="12">
        <f t="shared" si="1660"/>
        <v>0</v>
      </c>
    </row>
    <row r="1659" spans="1:69">
      <c r="A1659" s="28">
        <v>1988</v>
      </c>
      <c r="B1659" s="27" t="s">
        <v>79</v>
      </c>
      <c r="C1659" s="24">
        <f t="shared" si="1637"/>
        <v>1626</v>
      </c>
      <c r="D1659" s="7" t="e">
        <f t="shared" ca="1" si="1616"/>
        <v>#N/A</v>
      </c>
      <c r="E1659" s="26">
        <f t="array" aca="1" ref="E1659" ca="1">AVERAGE(IF(INDIRECT(DatCol&amp;"$"&amp;TEXT(C1659,"###")):INDIRECT(DatCol&amp;"$"&amp;TEXT(C1659+57,"###"))&gt;0,INDIRECT(DatCol&amp;"$"&amp;TEXT(C1659,"###")):INDIRECT(DatCol&amp;"$"&amp;TEXT(C1659+57,"###"))))</f>
        <v>7</v>
      </c>
      <c r="F1659" s="26" t="str">
        <f t="shared" si="1635"/>
        <v>B</v>
      </c>
      <c r="G1659" s="8"/>
      <c r="H1659" s="8">
        <v>0</v>
      </c>
      <c r="I1659" s="8">
        <v>6</v>
      </c>
      <c r="J1659" s="8">
        <v>1</v>
      </c>
      <c r="K1659" s="9">
        <f t="shared" si="1640"/>
        <v>1</v>
      </c>
      <c r="M1659" s="11">
        <f t="shared" si="1661"/>
        <v>0</v>
      </c>
      <c r="O1659" s="11">
        <f t="shared" si="1662"/>
        <v>0</v>
      </c>
      <c r="P1659" s="12">
        <f>2083+3802+64</f>
        <v>5949</v>
      </c>
      <c r="Q1659" s="11">
        <f t="shared" si="1663"/>
        <v>356940</v>
      </c>
      <c r="Y1659" s="11">
        <f t="shared" si="1664"/>
        <v>0</v>
      </c>
      <c r="AG1659" s="11">
        <f t="shared" si="1665"/>
        <v>0</v>
      </c>
      <c r="AI1659" s="11">
        <f t="shared" si="1666"/>
        <v>0</v>
      </c>
      <c r="AK1659" s="13">
        <f t="shared" si="1667"/>
        <v>0</v>
      </c>
      <c r="AM1659" s="13">
        <f t="shared" si="1668"/>
        <v>0</v>
      </c>
      <c r="AO1659" s="11">
        <f t="shared" si="1669"/>
        <v>0</v>
      </c>
      <c r="AQ1659" s="11">
        <f t="shared" si="1670"/>
        <v>0</v>
      </c>
      <c r="AS1659" s="11">
        <f t="shared" si="1671"/>
        <v>0</v>
      </c>
      <c r="AU1659" s="11">
        <f t="shared" si="1672"/>
        <v>0</v>
      </c>
      <c r="AW1659" s="11">
        <f t="shared" si="1673"/>
        <v>0</v>
      </c>
      <c r="AY1659" s="11">
        <f t="shared" si="1674"/>
        <v>0</v>
      </c>
      <c r="BA1659" s="11">
        <f t="shared" si="1675"/>
        <v>0</v>
      </c>
      <c r="BC1659" s="11">
        <f t="shared" si="1676"/>
        <v>0</v>
      </c>
      <c r="BE1659" s="11">
        <f t="shared" si="1677"/>
        <v>0</v>
      </c>
      <c r="BG1659" s="11">
        <f t="shared" si="1678"/>
        <v>0</v>
      </c>
      <c r="BN1659" s="8">
        <f t="shared" si="1638"/>
        <v>5949</v>
      </c>
      <c r="BO1659" s="8">
        <f t="shared" si="1639"/>
        <v>356940</v>
      </c>
      <c r="BP1659" s="8">
        <f t="shared" si="1659"/>
        <v>0</v>
      </c>
      <c r="BQ1659" s="12">
        <f t="shared" si="1660"/>
        <v>0</v>
      </c>
    </row>
    <row r="1660" spans="1:69">
      <c r="A1660" s="28">
        <v>1989</v>
      </c>
      <c r="B1660" s="27" t="s">
        <v>79</v>
      </c>
      <c r="C1660" s="24">
        <f t="shared" si="1637"/>
        <v>1626</v>
      </c>
      <c r="D1660" s="7">
        <f t="shared" ca="1" si="1616"/>
        <v>1</v>
      </c>
      <c r="E1660" s="26">
        <f t="array" aca="1" ref="E1660" ca="1">AVERAGE(IF(INDIRECT(DatCol&amp;"$"&amp;TEXT(C1660,"###")):INDIRECT(DatCol&amp;"$"&amp;TEXT(C1660+57,"###"))&gt;0,INDIRECT(DatCol&amp;"$"&amp;TEXT(C1660,"###")):INDIRECT(DatCol&amp;"$"&amp;TEXT(C1660+57,"###"))))</f>
        <v>7</v>
      </c>
      <c r="F1660" s="26" t="str">
        <f t="shared" si="1635"/>
        <v>B</v>
      </c>
      <c r="G1660" s="8"/>
      <c r="H1660" s="8">
        <v>0</v>
      </c>
      <c r="I1660" s="8">
        <v>17</v>
      </c>
      <c r="J1660" s="8">
        <v>0</v>
      </c>
      <c r="K1660" s="9">
        <f t="shared" si="1640"/>
        <v>0</v>
      </c>
      <c r="M1660" s="11">
        <f t="shared" si="1661"/>
        <v>0</v>
      </c>
      <c r="N1660" s="10">
        <v>7</v>
      </c>
      <c r="O1660" s="11">
        <f t="shared" si="1662"/>
        <v>350</v>
      </c>
      <c r="P1660" s="12">
        <f>3004+1932.5+630.5</f>
        <v>5567</v>
      </c>
      <c r="Q1660" s="11">
        <f t="shared" si="1663"/>
        <v>334020</v>
      </c>
      <c r="Y1660" s="11">
        <f t="shared" si="1664"/>
        <v>0</v>
      </c>
      <c r="AG1660" s="11">
        <f t="shared" si="1665"/>
        <v>0</v>
      </c>
      <c r="AI1660" s="11">
        <f t="shared" si="1666"/>
        <v>0</v>
      </c>
      <c r="AK1660" s="13">
        <f t="shared" si="1667"/>
        <v>0</v>
      </c>
      <c r="AM1660" s="13">
        <f t="shared" si="1668"/>
        <v>0</v>
      </c>
      <c r="AO1660" s="11">
        <f t="shared" si="1669"/>
        <v>0</v>
      </c>
      <c r="AQ1660" s="11">
        <f t="shared" si="1670"/>
        <v>0</v>
      </c>
      <c r="AS1660" s="11">
        <f t="shared" si="1671"/>
        <v>0</v>
      </c>
      <c r="AU1660" s="11">
        <f t="shared" si="1672"/>
        <v>0</v>
      </c>
      <c r="AW1660" s="11">
        <f t="shared" si="1673"/>
        <v>0</v>
      </c>
      <c r="AY1660" s="11">
        <f t="shared" si="1674"/>
        <v>0</v>
      </c>
      <c r="BA1660" s="11">
        <f t="shared" si="1675"/>
        <v>0</v>
      </c>
      <c r="BC1660" s="11">
        <f t="shared" si="1676"/>
        <v>0</v>
      </c>
      <c r="BE1660" s="11">
        <f t="shared" si="1677"/>
        <v>0</v>
      </c>
      <c r="BG1660" s="11">
        <f t="shared" si="1678"/>
        <v>0</v>
      </c>
      <c r="BN1660" s="8">
        <f t="shared" si="1638"/>
        <v>5567</v>
      </c>
      <c r="BO1660" s="8">
        <f t="shared" si="1639"/>
        <v>334020</v>
      </c>
      <c r="BP1660" s="8">
        <f t="shared" si="1659"/>
        <v>7</v>
      </c>
      <c r="BQ1660" s="12">
        <f t="shared" si="1660"/>
        <v>350</v>
      </c>
    </row>
    <row r="1661" spans="1:69">
      <c r="A1661" s="28">
        <v>1990</v>
      </c>
      <c r="B1661" s="27" t="s">
        <v>79</v>
      </c>
      <c r="C1661" s="24">
        <f t="shared" si="1637"/>
        <v>1626</v>
      </c>
      <c r="D1661" s="7" t="e">
        <f t="shared" ca="1" si="1616"/>
        <v>#N/A</v>
      </c>
      <c r="E1661" s="26">
        <f t="array" aca="1" ref="E1661" ca="1">AVERAGE(IF(INDIRECT(DatCol&amp;"$"&amp;TEXT(C1661,"###")):INDIRECT(DatCol&amp;"$"&amp;TEXT(C1661+57,"###"))&gt;0,INDIRECT(DatCol&amp;"$"&amp;TEXT(C1661,"###")):INDIRECT(DatCol&amp;"$"&amp;TEXT(C1661+57,"###"))))</f>
        <v>7</v>
      </c>
      <c r="F1661" s="26" t="str">
        <f t="shared" si="1635"/>
        <v>B</v>
      </c>
      <c r="G1661" s="8"/>
      <c r="H1661" s="8">
        <v>0</v>
      </c>
      <c r="I1661" s="8">
        <v>5</v>
      </c>
      <c r="J1661" s="8">
        <v>0</v>
      </c>
      <c r="K1661" s="9">
        <f t="shared" si="1640"/>
        <v>0</v>
      </c>
      <c r="M1661" s="11">
        <f t="shared" si="1661"/>
        <v>0</v>
      </c>
      <c r="O1661" s="11">
        <f t="shared" si="1662"/>
        <v>0</v>
      </c>
      <c r="P1661" s="12">
        <f>782.4+630.05+822.7</f>
        <v>2235.1499999999996</v>
      </c>
      <c r="Q1661" s="11">
        <f t="shared" si="1663"/>
        <v>134108.99999999997</v>
      </c>
      <c r="Y1661" s="11">
        <f t="shared" si="1664"/>
        <v>0</v>
      </c>
      <c r="AG1661" s="11">
        <f t="shared" si="1665"/>
        <v>0</v>
      </c>
      <c r="AI1661" s="11">
        <f t="shared" si="1666"/>
        <v>0</v>
      </c>
      <c r="AK1661" s="13">
        <f t="shared" si="1667"/>
        <v>0</v>
      </c>
      <c r="AM1661" s="13">
        <f t="shared" si="1668"/>
        <v>0</v>
      </c>
      <c r="AO1661" s="11">
        <f t="shared" si="1669"/>
        <v>0</v>
      </c>
      <c r="AQ1661" s="11">
        <f t="shared" si="1670"/>
        <v>0</v>
      </c>
      <c r="AS1661" s="11">
        <f t="shared" si="1671"/>
        <v>0</v>
      </c>
      <c r="AU1661" s="11">
        <f t="shared" si="1672"/>
        <v>0</v>
      </c>
      <c r="AW1661" s="11">
        <f t="shared" si="1673"/>
        <v>0</v>
      </c>
      <c r="AY1661" s="11">
        <f t="shared" si="1674"/>
        <v>0</v>
      </c>
      <c r="BA1661" s="11">
        <f t="shared" si="1675"/>
        <v>0</v>
      </c>
      <c r="BC1661" s="11">
        <f t="shared" si="1676"/>
        <v>0</v>
      </c>
      <c r="BE1661" s="11">
        <f t="shared" si="1677"/>
        <v>0</v>
      </c>
      <c r="BG1661" s="11">
        <f t="shared" si="1678"/>
        <v>0</v>
      </c>
      <c r="BN1661" s="8">
        <f t="shared" si="1638"/>
        <v>2235.1499999999996</v>
      </c>
      <c r="BO1661" s="8">
        <f t="shared" si="1639"/>
        <v>134108.99999999997</v>
      </c>
      <c r="BP1661" s="8">
        <f t="shared" si="1659"/>
        <v>0</v>
      </c>
      <c r="BQ1661" s="12">
        <f t="shared" si="1660"/>
        <v>0</v>
      </c>
    </row>
    <row r="1662" spans="1:69">
      <c r="A1662" s="28">
        <v>1991</v>
      </c>
      <c r="B1662" s="27" t="s">
        <v>79</v>
      </c>
      <c r="C1662" s="24">
        <f t="shared" si="1637"/>
        <v>1626</v>
      </c>
      <c r="D1662" s="7" t="e">
        <f t="shared" ca="1" si="1616"/>
        <v>#N/A</v>
      </c>
      <c r="E1662" s="26">
        <f t="array" aca="1" ref="E1662" ca="1">AVERAGE(IF(INDIRECT(DatCol&amp;"$"&amp;TEXT(C1662,"###")):INDIRECT(DatCol&amp;"$"&amp;TEXT(C1662+57,"###"))&gt;0,INDIRECT(DatCol&amp;"$"&amp;TEXT(C1662,"###")):INDIRECT(DatCol&amp;"$"&amp;TEXT(C1662+57,"###"))))</f>
        <v>7</v>
      </c>
      <c r="F1662" s="26" t="str">
        <f t="shared" si="1635"/>
        <v>B</v>
      </c>
      <c r="G1662" s="8"/>
      <c r="H1662" s="8">
        <v>0</v>
      </c>
      <c r="I1662" s="8">
        <v>1</v>
      </c>
      <c r="J1662" s="8">
        <v>0</v>
      </c>
      <c r="K1662" s="9">
        <f t="shared" si="1640"/>
        <v>0</v>
      </c>
      <c r="M1662" s="11">
        <f t="shared" si="1661"/>
        <v>0</v>
      </c>
      <c r="O1662" s="11">
        <f t="shared" si="1662"/>
        <v>0</v>
      </c>
      <c r="P1662" s="12">
        <f>288+385+267</f>
        <v>940</v>
      </c>
      <c r="Q1662" s="11">
        <f t="shared" si="1663"/>
        <v>56400</v>
      </c>
      <c r="Y1662" s="11">
        <f t="shared" si="1664"/>
        <v>0</v>
      </c>
      <c r="AG1662" s="11">
        <f t="shared" si="1665"/>
        <v>0</v>
      </c>
      <c r="AI1662" s="11">
        <f t="shared" si="1666"/>
        <v>0</v>
      </c>
      <c r="AK1662" s="13">
        <f t="shared" si="1667"/>
        <v>0</v>
      </c>
      <c r="AM1662" s="13">
        <f t="shared" si="1668"/>
        <v>0</v>
      </c>
      <c r="AO1662" s="11">
        <f t="shared" si="1669"/>
        <v>0</v>
      </c>
      <c r="AQ1662" s="11">
        <f t="shared" si="1670"/>
        <v>0</v>
      </c>
      <c r="AS1662" s="11">
        <f t="shared" si="1671"/>
        <v>0</v>
      </c>
      <c r="AU1662" s="11">
        <f t="shared" si="1672"/>
        <v>0</v>
      </c>
      <c r="AW1662" s="11">
        <f t="shared" si="1673"/>
        <v>0</v>
      </c>
      <c r="AY1662" s="11">
        <f t="shared" si="1674"/>
        <v>0</v>
      </c>
      <c r="BA1662" s="11">
        <f t="shared" si="1675"/>
        <v>0</v>
      </c>
      <c r="BC1662" s="11">
        <f t="shared" si="1676"/>
        <v>0</v>
      </c>
      <c r="BE1662" s="11">
        <f t="shared" si="1677"/>
        <v>0</v>
      </c>
      <c r="BG1662" s="11">
        <f t="shared" si="1678"/>
        <v>0</v>
      </c>
      <c r="BN1662" s="8">
        <f t="shared" si="1638"/>
        <v>940</v>
      </c>
      <c r="BO1662" s="8">
        <f t="shared" si="1639"/>
        <v>56400</v>
      </c>
      <c r="BP1662" s="8">
        <f t="shared" si="1659"/>
        <v>0</v>
      </c>
      <c r="BQ1662" s="12">
        <f t="shared" si="1660"/>
        <v>0</v>
      </c>
    </row>
    <row r="1663" spans="1:69">
      <c r="A1663" s="28">
        <v>1992</v>
      </c>
      <c r="B1663" s="27" t="s">
        <v>79</v>
      </c>
      <c r="C1663" s="24">
        <f t="shared" si="1637"/>
        <v>1626</v>
      </c>
      <c r="D1663" s="7" t="e">
        <f t="shared" ca="1" si="1616"/>
        <v>#N/A</v>
      </c>
      <c r="E1663" s="26">
        <f t="array" aca="1" ref="E1663" ca="1">AVERAGE(IF(INDIRECT(DatCol&amp;"$"&amp;TEXT(C1663,"###")):INDIRECT(DatCol&amp;"$"&amp;TEXT(C1663+57,"###"))&gt;0,INDIRECT(DatCol&amp;"$"&amp;TEXT(C1663,"###")):INDIRECT(DatCol&amp;"$"&amp;TEXT(C1663+57,"###"))))</f>
        <v>7</v>
      </c>
      <c r="F1663" s="26" t="str">
        <f t="shared" si="1635"/>
        <v>B</v>
      </c>
      <c r="G1663" s="8"/>
      <c r="H1663" s="8">
        <v>0</v>
      </c>
      <c r="I1663" s="8">
        <v>33</v>
      </c>
      <c r="J1663" s="8">
        <v>0</v>
      </c>
      <c r="K1663" s="9">
        <f t="shared" si="1640"/>
        <v>0</v>
      </c>
      <c r="M1663" s="11">
        <f t="shared" si="1661"/>
        <v>0</v>
      </c>
      <c r="O1663" s="11">
        <f t="shared" si="1662"/>
        <v>0</v>
      </c>
      <c r="P1663" s="12">
        <f>234+231</f>
        <v>465</v>
      </c>
      <c r="Q1663" s="11">
        <f t="shared" si="1663"/>
        <v>27900</v>
      </c>
      <c r="X1663" s="12">
        <v>0</v>
      </c>
      <c r="Y1663" s="11">
        <f t="shared" si="1664"/>
        <v>0</v>
      </c>
      <c r="AG1663" s="11">
        <f t="shared" si="1665"/>
        <v>0</v>
      </c>
      <c r="AI1663" s="11">
        <f t="shared" si="1666"/>
        <v>0</v>
      </c>
      <c r="AK1663" s="13">
        <f t="shared" si="1667"/>
        <v>0</v>
      </c>
      <c r="AM1663" s="13">
        <f t="shared" si="1668"/>
        <v>0</v>
      </c>
      <c r="AO1663" s="11">
        <f t="shared" si="1669"/>
        <v>0</v>
      </c>
      <c r="AQ1663" s="11">
        <f t="shared" si="1670"/>
        <v>0</v>
      </c>
      <c r="AS1663" s="11">
        <f t="shared" si="1671"/>
        <v>0</v>
      </c>
      <c r="AU1663" s="11">
        <f t="shared" si="1672"/>
        <v>0</v>
      </c>
      <c r="AW1663" s="11">
        <f t="shared" si="1673"/>
        <v>0</v>
      </c>
      <c r="AY1663" s="11">
        <f t="shared" si="1674"/>
        <v>0</v>
      </c>
      <c r="BA1663" s="11">
        <f t="shared" si="1675"/>
        <v>0</v>
      </c>
      <c r="BC1663" s="11">
        <f t="shared" si="1676"/>
        <v>0</v>
      </c>
      <c r="BE1663" s="11">
        <f t="shared" si="1677"/>
        <v>0</v>
      </c>
      <c r="BG1663" s="11">
        <f t="shared" si="1678"/>
        <v>0</v>
      </c>
      <c r="BN1663" s="8">
        <f t="shared" si="1638"/>
        <v>465</v>
      </c>
      <c r="BO1663" s="8">
        <f t="shared" si="1639"/>
        <v>27900</v>
      </c>
      <c r="BP1663" s="8">
        <f t="shared" si="1659"/>
        <v>0</v>
      </c>
      <c r="BQ1663" s="12">
        <f t="shared" si="1660"/>
        <v>0</v>
      </c>
    </row>
    <row r="1664" spans="1:69">
      <c r="A1664" s="28">
        <v>1993</v>
      </c>
      <c r="B1664" s="27" t="s">
        <v>79</v>
      </c>
      <c r="C1664" s="24">
        <f t="shared" si="1637"/>
        <v>1626</v>
      </c>
      <c r="D1664" s="7" t="e">
        <f t="shared" ca="1" si="1616"/>
        <v>#N/A</v>
      </c>
      <c r="E1664" s="26">
        <f t="array" aca="1" ref="E1664" ca="1">AVERAGE(IF(INDIRECT(DatCol&amp;"$"&amp;TEXT(C1664,"###")):INDIRECT(DatCol&amp;"$"&amp;TEXT(C1664+57,"###"))&gt;0,INDIRECT(DatCol&amp;"$"&amp;TEXT(C1664,"###")):INDIRECT(DatCol&amp;"$"&amp;TEXT(C1664+57,"###"))))</f>
        <v>7</v>
      </c>
      <c r="F1664" s="26" t="str">
        <f t="shared" si="1635"/>
        <v>B</v>
      </c>
      <c r="G1664" s="8"/>
      <c r="H1664" s="8">
        <v>0</v>
      </c>
      <c r="I1664" s="8">
        <v>19</v>
      </c>
      <c r="J1664" s="8">
        <v>20</v>
      </c>
      <c r="K1664" s="9">
        <f t="shared" si="1640"/>
        <v>20</v>
      </c>
      <c r="M1664" s="11">
        <f t="shared" si="1661"/>
        <v>0</v>
      </c>
      <c r="O1664" s="11">
        <f t="shared" si="1662"/>
        <v>0</v>
      </c>
      <c r="P1664" s="12">
        <f>513+387.5</f>
        <v>900.5</v>
      </c>
      <c r="Q1664" s="11">
        <f t="shared" si="1663"/>
        <v>54030</v>
      </c>
      <c r="X1664" s="12">
        <v>30</v>
      </c>
      <c r="Y1664" s="11">
        <f t="shared" si="1664"/>
        <v>1800</v>
      </c>
      <c r="AG1664" s="11">
        <f t="shared" si="1665"/>
        <v>0</v>
      </c>
      <c r="AI1664" s="11">
        <f t="shared" si="1666"/>
        <v>0</v>
      </c>
      <c r="AK1664" s="13">
        <f t="shared" si="1667"/>
        <v>0</v>
      </c>
      <c r="AM1664" s="13">
        <f t="shared" si="1668"/>
        <v>0</v>
      </c>
      <c r="AO1664" s="11">
        <f t="shared" si="1669"/>
        <v>0</v>
      </c>
      <c r="AQ1664" s="11">
        <f t="shared" si="1670"/>
        <v>0</v>
      </c>
      <c r="AS1664" s="11">
        <f t="shared" si="1671"/>
        <v>0</v>
      </c>
      <c r="AU1664" s="11">
        <f t="shared" si="1672"/>
        <v>0</v>
      </c>
      <c r="AW1664" s="11">
        <f t="shared" si="1673"/>
        <v>0</v>
      </c>
      <c r="AY1664" s="11">
        <f t="shared" si="1674"/>
        <v>0</v>
      </c>
      <c r="BA1664" s="11">
        <f t="shared" si="1675"/>
        <v>0</v>
      </c>
      <c r="BC1664" s="11">
        <f t="shared" si="1676"/>
        <v>0</v>
      </c>
      <c r="BE1664" s="11">
        <f t="shared" si="1677"/>
        <v>0</v>
      </c>
      <c r="BG1664" s="11">
        <f t="shared" si="1678"/>
        <v>0</v>
      </c>
      <c r="BN1664" s="8">
        <f t="shared" si="1638"/>
        <v>930.5</v>
      </c>
      <c r="BO1664" s="8">
        <f t="shared" si="1639"/>
        <v>55830</v>
      </c>
      <c r="BP1664" s="8">
        <f t="shared" si="1659"/>
        <v>30</v>
      </c>
      <c r="BQ1664" s="12">
        <f t="shared" si="1660"/>
        <v>1800</v>
      </c>
    </row>
    <row r="1665" spans="1:69">
      <c r="A1665" s="28">
        <v>1994</v>
      </c>
      <c r="B1665" s="27" t="s">
        <v>79</v>
      </c>
      <c r="C1665" s="24">
        <f t="shared" si="1637"/>
        <v>1626</v>
      </c>
      <c r="D1665" s="7" t="e">
        <f t="shared" ca="1" si="1616"/>
        <v>#N/A</v>
      </c>
      <c r="E1665" s="26">
        <f t="array" aca="1" ref="E1665" ca="1">AVERAGE(IF(INDIRECT(DatCol&amp;"$"&amp;TEXT(C1665,"###")):INDIRECT(DatCol&amp;"$"&amp;TEXT(C1665+57,"###"))&gt;0,INDIRECT(DatCol&amp;"$"&amp;TEXT(C1665,"###")):INDIRECT(DatCol&amp;"$"&amp;TEXT(C1665+57,"###"))))</f>
        <v>7</v>
      </c>
      <c r="F1665" s="26" t="str">
        <f t="shared" si="1635"/>
        <v>B</v>
      </c>
      <c r="G1665" s="8"/>
      <c r="H1665" s="8">
        <v>0</v>
      </c>
      <c r="I1665" s="8">
        <v>24</v>
      </c>
      <c r="J1665" s="8">
        <v>45</v>
      </c>
      <c r="K1665" s="9">
        <f t="shared" si="1640"/>
        <v>45</v>
      </c>
      <c r="M1665" s="11">
        <f t="shared" si="1661"/>
        <v>0</v>
      </c>
      <c r="O1665" s="11">
        <f t="shared" si="1662"/>
        <v>0</v>
      </c>
      <c r="P1665" s="12">
        <f>1034.6+308.61</f>
        <v>1343.21</v>
      </c>
      <c r="Q1665" s="11">
        <f t="shared" si="1663"/>
        <v>80592.599999999991</v>
      </c>
      <c r="X1665" s="10">
        <v>37</v>
      </c>
      <c r="Y1665" s="11">
        <f t="shared" si="1664"/>
        <v>2220</v>
      </c>
      <c r="AG1665" s="11">
        <f t="shared" si="1665"/>
        <v>0</v>
      </c>
      <c r="AI1665" s="11">
        <f t="shared" si="1666"/>
        <v>0</v>
      </c>
      <c r="AK1665" s="13">
        <f t="shared" si="1667"/>
        <v>0</v>
      </c>
      <c r="AM1665" s="13">
        <f t="shared" si="1668"/>
        <v>0</v>
      </c>
      <c r="AO1665" s="11">
        <f t="shared" si="1669"/>
        <v>0</v>
      </c>
      <c r="AQ1665" s="11">
        <f t="shared" si="1670"/>
        <v>0</v>
      </c>
      <c r="AS1665" s="11">
        <f t="shared" si="1671"/>
        <v>0</v>
      </c>
      <c r="AU1665" s="11">
        <f t="shared" si="1672"/>
        <v>0</v>
      </c>
      <c r="AW1665" s="11">
        <f t="shared" si="1673"/>
        <v>0</v>
      </c>
      <c r="AY1665" s="11">
        <f t="shared" si="1674"/>
        <v>0</v>
      </c>
      <c r="BA1665" s="11">
        <f t="shared" si="1675"/>
        <v>0</v>
      </c>
      <c r="BC1665" s="11">
        <f t="shared" si="1676"/>
        <v>0</v>
      </c>
      <c r="BE1665" s="11">
        <f t="shared" si="1677"/>
        <v>0</v>
      </c>
      <c r="BG1665" s="11">
        <f t="shared" si="1678"/>
        <v>0</v>
      </c>
      <c r="BN1665" s="8">
        <f t="shared" si="1638"/>
        <v>1380.21</v>
      </c>
      <c r="BO1665" s="8">
        <f t="shared" si="1639"/>
        <v>82812.599999999991</v>
      </c>
      <c r="BP1665" s="8">
        <f t="shared" si="1659"/>
        <v>37</v>
      </c>
      <c r="BQ1665" s="12">
        <f t="shared" si="1660"/>
        <v>2220</v>
      </c>
    </row>
    <row r="1666" spans="1:69">
      <c r="A1666" s="28">
        <v>1995</v>
      </c>
      <c r="B1666" s="27" t="s">
        <v>79</v>
      </c>
      <c r="C1666" s="24">
        <f t="shared" si="1637"/>
        <v>1626</v>
      </c>
      <c r="D1666" s="7" t="e">
        <f t="shared" ref="D1666:D1729" ca="1" si="1679">IF(AND((INDIRECT(DatCol&amp;TEXT(ROW(),"###"))&gt;0),((F1666=RegionSelect)+(RegionSelect="A"))),INDIRECT(DatCol&amp;TEXT(ROW(),"###"))/E1666,NA())</f>
        <v>#N/A</v>
      </c>
      <c r="E1666" s="26">
        <f t="array" aca="1" ref="E1666" ca="1">AVERAGE(IF(INDIRECT(DatCol&amp;"$"&amp;TEXT(C1666,"###")):INDIRECT(DatCol&amp;"$"&amp;TEXT(C1666+57,"###"))&gt;0,INDIRECT(DatCol&amp;"$"&amp;TEXT(C1666,"###")):INDIRECT(DatCol&amp;"$"&amp;TEXT(C1666+57,"###"))))</f>
        <v>7</v>
      </c>
      <c r="F1666" s="26" t="str">
        <f t="shared" si="1635"/>
        <v>B</v>
      </c>
      <c r="H1666" s="9">
        <v>0</v>
      </c>
      <c r="I1666" s="9">
        <v>26</v>
      </c>
      <c r="J1666" s="9">
        <v>67</v>
      </c>
      <c r="K1666" s="9">
        <f t="shared" si="1640"/>
        <v>67</v>
      </c>
      <c r="L1666" s="10">
        <v>0</v>
      </c>
      <c r="M1666" s="11">
        <f t="shared" si="1661"/>
        <v>0</v>
      </c>
      <c r="N1666" s="10">
        <v>0</v>
      </c>
      <c r="O1666" s="11">
        <f t="shared" si="1662"/>
        <v>0</v>
      </c>
      <c r="P1666" s="10">
        <f>550.5+524.5+1293.6+397.15</f>
        <v>2765.75</v>
      </c>
      <c r="Q1666" s="11">
        <f t="shared" si="1663"/>
        <v>165945</v>
      </c>
      <c r="X1666" s="10">
        <f>20+31</f>
        <v>51</v>
      </c>
      <c r="Y1666" s="11">
        <f t="shared" si="1664"/>
        <v>3060</v>
      </c>
      <c r="AG1666" s="11">
        <f t="shared" si="1665"/>
        <v>0</v>
      </c>
      <c r="AI1666" s="11">
        <f t="shared" si="1666"/>
        <v>0</v>
      </c>
      <c r="AK1666" s="13">
        <f t="shared" si="1667"/>
        <v>0</v>
      </c>
      <c r="AL1666" s="10">
        <v>0.25</v>
      </c>
      <c r="AM1666" s="13">
        <f t="shared" si="1668"/>
        <v>2.25</v>
      </c>
      <c r="AO1666" s="11">
        <f t="shared" si="1669"/>
        <v>0</v>
      </c>
      <c r="AQ1666" s="11">
        <f t="shared" si="1670"/>
        <v>0</v>
      </c>
      <c r="AS1666" s="11">
        <f t="shared" si="1671"/>
        <v>0</v>
      </c>
      <c r="AU1666" s="11">
        <f t="shared" si="1672"/>
        <v>0</v>
      </c>
      <c r="AW1666" s="11">
        <f t="shared" si="1673"/>
        <v>0</v>
      </c>
      <c r="AY1666" s="11">
        <f t="shared" si="1674"/>
        <v>0</v>
      </c>
      <c r="BA1666" s="11">
        <f t="shared" si="1675"/>
        <v>0</v>
      </c>
      <c r="BC1666" s="11">
        <f t="shared" si="1676"/>
        <v>0</v>
      </c>
      <c r="BE1666" s="11">
        <f t="shared" si="1677"/>
        <v>0</v>
      </c>
      <c r="BG1666" s="11">
        <f t="shared" si="1678"/>
        <v>0</v>
      </c>
      <c r="BN1666" s="8">
        <f t="shared" si="1638"/>
        <v>2816.75</v>
      </c>
      <c r="BO1666" s="8">
        <f t="shared" si="1639"/>
        <v>169005</v>
      </c>
      <c r="BP1666" s="8">
        <f t="shared" si="1659"/>
        <v>51.25</v>
      </c>
      <c r="BQ1666" s="12">
        <f t="shared" si="1660"/>
        <v>3062.25</v>
      </c>
    </row>
    <row r="1667" spans="1:69">
      <c r="A1667" s="28">
        <v>1996</v>
      </c>
      <c r="B1667" s="27" t="s">
        <v>79</v>
      </c>
      <c r="C1667" s="24">
        <f t="shared" si="1637"/>
        <v>1626</v>
      </c>
      <c r="D1667" s="7" t="e">
        <f t="shared" ca="1" si="1679"/>
        <v>#N/A</v>
      </c>
      <c r="E1667" s="26">
        <f t="array" aca="1" ref="E1667" ca="1">AVERAGE(IF(INDIRECT(DatCol&amp;"$"&amp;TEXT(C1667,"###")):INDIRECT(DatCol&amp;"$"&amp;TEXT(C1667+57,"###"))&gt;0,INDIRECT(DatCol&amp;"$"&amp;TEXT(C1667,"###")):INDIRECT(DatCol&amp;"$"&amp;TEXT(C1667+57,"###"))))</f>
        <v>7</v>
      </c>
      <c r="F1667" s="26" t="str">
        <f t="shared" si="1635"/>
        <v>B</v>
      </c>
      <c r="H1667" s="9">
        <v>1</v>
      </c>
      <c r="I1667" s="9">
        <v>76</v>
      </c>
      <c r="J1667" s="9">
        <v>126</v>
      </c>
      <c r="K1667" s="9">
        <f t="shared" si="1640"/>
        <v>127</v>
      </c>
      <c r="L1667" s="10">
        <v>0</v>
      </c>
      <c r="M1667" s="11">
        <f t="shared" si="1661"/>
        <v>0</v>
      </c>
      <c r="N1667" s="10">
        <v>0</v>
      </c>
      <c r="O1667" s="11">
        <f t="shared" si="1662"/>
        <v>0</v>
      </c>
      <c r="P1667" s="10">
        <f>5623.5+3780</f>
        <v>9403.5</v>
      </c>
      <c r="Q1667" s="11">
        <f t="shared" si="1663"/>
        <v>564210</v>
      </c>
      <c r="X1667" s="10">
        <v>76.5</v>
      </c>
      <c r="Y1667" s="11">
        <f t="shared" si="1664"/>
        <v>4590</v>
      </c>
      <c r="AG1667" s="11">
        <f t="shared" si="1665"/>
        <v>0</v>
      </c>
      <c r="AI1667" s="11">
        <f t="shared" si="1666"/>
        <v>0</v>
      </c>
      <c r="AK1667" s="13">
        <f t="shared" si="1667"/>
        <v>0</v>
      </c>
      <c r="AL1667" s="10">
        <v>0</v>
      </c>
      <c r="AM1667" s="13">
        <f t="shared" si="1668"/>
        <v>0</v>
      </c>
      <c r="AO1667" s="11">
        <f t="shared" si="1669"/>
        <v>0</v>
      </c>
      <c r="AQ1667" s="11">
        <f t="shared" si="1670"/>
        <v>0</v>
      </c>
      <c r="AS1667" s="11">
        <f t="shared" si="1671"/>
        <v>0</v>
      </c>
      <c r="AU1667" s="11">
        <f t="shared" si="1672"/>
        <v>0</v>
      </c>
      <c r="AW1667" s="11">
        <f t="shared" si="1673"/>
        <v>0</v>
      </c>
      <c r="AY1667" s="11">
        <f t="shared" si="1674"/>
        <v>0</v>
      </c>
      <c r="BA1667" s="11">
        <f t="shared" si="1675"/>
        <v>0</v>
      </c>
      <c r="BC1667" s="11">
        <f t="shared" si="1676"/>
        <v>0</v>
      </c>
      <c r="BE1667" s="11">
        <f t="shared" si="1677"/>
        <v>0</v>
      </c>
      <c r="BG1667" s="11">
        <f t="shared" si="1678"/>
        <v>0</v>
      </c>
      <c r="BN1667" s="8">
        <f t="shared" si="1638"/>
        <v>9480</v>
      </c>
      <c r="BO1667" s="8">
        <f t="shared" si="1639"/>
        <v>568800</v>
      </c>
      <c r="BP1667" s="8">
        <f t="shared" si="1659"/>
        <v>76.5</v>
      </c>
      <c r="BQ1667" s="12">
        <f t="shared" si="1660"/>
        <v>4590</v>
      </c>
    </row>
    <row r="1668" spans="1:69">
      <c r="A1668" s="28">
        <v>1997</v>
      </c>
      <c r="B1668" s="27" t="s">
        <v>79</v>
      </c>
      <c r="C1668" s="24">
        <f t="shared" si="1637"/>
        <v>1626</v>
      </c>
      <c r="D1668" s="7" t="e">
        <f t="shared" ca="1" si="1679"/>
        <v>#N/A</v>
      </c>
      <c r="E1668" s="26">
        <f t="array" aca="1" ref="E1668" ca="1">AVERAGE(IF(INDIRECT(DatCol&amp;"$"&amp;TEXT(C1668,"###")):INDIRECT(DatCol&amp;"$"&amp;TEXT(C1668+57,"###"))&gt;0,INDIRECT(DatCol&amp;"$"&amp;TEXT(C1668,"###")):INDIRECT(DatCol&amp;"$"&amp;TEXT(C1668+57,"###"))))</f>
        <v>7</v>
      </c>
      <c r="F1668" s="26" t="str">
        <f t="shared" si="1635"/>
        <v>B</v>
      </c>
      <c r="H1668" s="9">
        <v>0</v>
      </c>
      <c r="I1668" s="9">
        <v>40</v>
      </c>
      <c r="J1668" s="9">
        <v>132</v>
      </c>
      <c r="K1668" s="9">
        <f t="shared" si="1640"/>
        <v>132</v>
      </c>
      <c r="L1668" s="10">
        <v>0</v>
      </c>
      <c r="M1668" s="11">
        <f t="shared" si="1661"/>
        <v>0</v>
      </c>
      <c r="N1668" s="10">
        <v>0</v>
      </c>
      <c r="O1668" s="11">
        <f t="shared" si="1662"/>
        <v>0</v>
      </c>
      <c r="P1668" s="10">
        <f>1503+500+1125.75+2345.5+1519.65</f>
        <v>6993.9</v>
      </c>
      <c r="Q1668" s="11">
        <f t="shared" si="1663"/>
        <v>419634</v>
      </c>
      <c r="X1668" s="10">
        <v>200</v>
      </c>
      <c r="Y1668" s="11">
        <f t="shared" si="1664"/>
        <v>12000</v>
      </c>
      <c r="AG1668" s="11">
        <f t="shared" si="1665"/>
        <v>0</v>
      </c>
      <c r="AI1668" s="11">
        <f t="shared" si="1666"/>
        <v>0</v>
      </c>
      <c r="AK1668" s="13">
        <f t="shared" si="1667"/>
        <v>0</v>
      </c>
      <c r="AL1668" s="10">
        <v>0</v>
      </c>
      <c r="AM1668" s="13">
        <f t="shared" si="1668"/>
        <v>0</v>
      </c>
      <c r="AO1668" s="11">
        <f t="shared" si="1669"/>
        <v>0</v>
      </c>
      <c r="AQ1668" s="11">
        <f t="shared" si="1670"/>
        <v>0</v>
      </c>
      <c r="AS1668" s="11">
        <f t="shared" si="1671"/>
        <v>0</v>
      </c>
      <c r="AU1668" s="11">
        <f t="shared" si="1672"/>
        <v>0</v>
      </c>
      <c r="AW1668" s="11">
        <f t="shared" si="1673"/>
        <v>0</v>
      </c>
      <c r="AY1668" s="11">
        <f t="shared" si="1674"/>
        <v>0</v>
      </c>
      <c r="BA1668" s="11">
        <f t="shared" si="1675"/>
        <v>0</v>
      </c>
      <c r="BC1668" s="11">
        <f t="shared" si="1676"/>
        <v>0</v>
      </c>
      <c r="BE1668" s="11">
        <f t="shared" si="1677"/>
        <v>0</v>
      </c>
      <c r="BG1668" s="11">
        <f t="shared" si="1678"/>
        <v>0</v>
      </c>
      <c r="BN1668" s="8">
        <f t="shared" si="1638"/>
        <v>7193.9</v>
      </c>
      <c r="BO1668" s="8">
        <f t="shared" si="1639"/>
        <v>431634</v>
      </c>
      <c r="BP1668" s="8">
        <f t="shared" si="1659"/>
        <v>200</v>
      </c>
      <c r="BQ1668" s="12">
        <f t="shared" si="1660"/>
        <v>12000</v>
      </c>
    </row>
    <row r="1669" spans="1:69">
      <c r="A1669" s="28">
        <v>1998</v>
      </c>
      <c r="B1669" s="27" t="s">
        <v>79</v>
      </c>
      <c r="C1669" s="24">
        <f t="shared" si="1637"/>
        <v>1626</v>
      </c>
      <c r="D1669" s="7" t="e">
        <f t="shared" ca="1" si="1679"/>
        <v>#N/A</v>
      </c>
      <c r="E1669" s="26">
        <f t="array" aca="1" ref="E1669" ca="1">AVERAGE(IF(INDIRECT(DatCol&amp;"$"&amp;TEXT(C1669,"###")):INDIRECT(DatCol&amp;"$"&amp;TEXT(C1669+57,"###"))&gt;0,INDIRECT(DatCol&amp;"$"&amp;TEXT(C1669,"###")):INDIRECT(DatCol&amp;"$"&amp;TEXT(C1669+57,"###"))))</f>
        <v>7</v>
      </c>
      <c r="F1669" s="26" t="str">
        <f t="shared" si="1635"/>
        <v>B</v>
      </c>
      <c r="G1669" s="9">
        <v>60</v>
      </c>
      <c r="H1669" s="9">
        <v>0</v>
      </c>
      <c r="I1669" s="9">
        <v>28</v>
      </c>
      <c r="J1669" s="9">
        <v>118</v>
      </c>
      <c r="K1669" s="9">
        <f t="shared" si="1640"/>
        <v>178</v>
      </c>
      <c r="L1669" s="10">
        <v>0</v>
      </c>
      <c r="M1669" s="11">
        <v>0</v>
      </c>
      <c r="N1669" s="10">
        <v>0</v>
      </c>
      <c r="O1669" s="11">
        <v>0</v>
      </c>
      <c r="P1669" s="10">
        <f>Q1669/60</f>
        <v>2554.6666666666665</v>
      </c>
      <c r="Q1669" s="11">
        <v>153280</v>
      </c>
      <c r="R1669" s="10">
        <f>S1669/60</f>
        <v>4844</v>
      </c>
      <c r="S1669" s="11">
        <v>290640</v>
      </c>
      <c r="T1669" s="10">
        <v>0</v>
      </c>
      <c r="U1669" s="11">
        <v>0</v>
      </c>
      <c r="V1669" s="10">
        <v>0</v>
      </c>
      <c r="W1669" s="11">
        <v>0</v>
      </c>
      <c r="X1669" s="10">
        <f>Y1669/60</f>
        <v>294.93333333333334</v>
      </c>
      <c r="Y1669" s="11">
        <v>17696</v>
      </c>
      <c r="Z1669" s="10">
        <f>AA1669/60</f>
        <v>73.733333333333334</v>
      </c>
      <c r="AA1669" s="11">
        <v>4424</v>
      </c>
      <c r="AB1669" s="10">
        <v>0</v>
      </c>
      <c r="AC1669" s="11">
        <v>0</v>
      </c>
      <c r="AD1669" s="10">
        <v>0</v>
      </c>
      <c r="AE1669" s="11">
        <v>0</v>
      </c>
      <c r="AF1669" s="10">
        <v>0</v>
      </c>
      <c r="AG1669" s="11">
        <v>0</v>
      </c>
      <c r="AI1669" s="11">
        <v>0</v>
      </c>
      <c r="AJ1669" s="10">
        <v>0</v>
      </c>
      <c r="AK1669" s="13">
        <v>0</v>
      </c>
      <c r="AL1669" s="10">
        <v>0</v>
      </c>
      <c r="AM1669" s="13">
        <v>0</v>
      </c>
      <c r="AN1669" s="10">
        <v>0</v>
      </c>
      <c r="AO1669" s="11">
        <v>0</v>
      </c>
      <c r="AP1669" s="10">
        <v>0</v>
      </c>
      <c r="AQ1669" s="11">
        <v>0</v>
      </c>
      <c r="AR1669" s="10">
        <v>0</v>
      </c>
      <c r="AS1669" s="11">
        <v>0</v>
      </c>
      <c r="AT1669" s="10">
        <v>0</v>
      </c>
      <c r="AU1669" s="11">
        <v>0</v>
      </c>
      <c r="AV1669" s="10">
        <v>0</v>
      </c>
      <c r="AW1669" s="11">
        <v>0</v>
      </c>
      <c r="AX1669" s="10">
        <v>0</v>
      </c>
      <c r="AY1669" s="11">
        <v>0</v>
      </c>
      <c r="AZ1669" s="10">
        <v>0</v>
      </c>
      <c r="BA1669" s="11">
        <v>0</v>
      </c>
      <c r="BB1669" s="10">
        <v>0</v>
      </c>
      <c r="BC1669" s="11">
        <v>0</v>
      </c>
      <c r="BD1669" s="10">
        <v>0</v>
      </c>
      <c r="BE1669" s="11">
        <v>0</v>
      </c>
      <c r="BF1669" s="10">
        <v>0</v>
      </c>
      <c r="BG1669" s="11">
        <v>0</v>
      </c>
      <c r="BN1669" s="8">
        <f t="shared" si="1638"/>
        <v>7767.333333333333</v>
      </c>
      <c r="BO1669" s="8">
        <f t="shared" si="1639"/>
        <v>466040</v>
      </c>
      <c r="BP1669" s="8">
        <f t="shared" si="1659"/>
        <v>368.66666666666669</v>
      </c>
      <c r="BQ1669" s="12">
        <f t="shared" si="1660"/>
        <v>22120</v>
      </c>
    </row>
    <row r="1670" spans="1:69">
      <c r="A1670" s="28">
        <v>1999</v>
      </c>
      <c r="B1670" s="27" t="s">
        <v>79</v>
      </c>
      <c r="C1670" s="24">
        <f t="shared" si="1637"/>
        <v>1626</v>
      </c>
      <c r="D1670" s="7" t="e">
        <f t="shared" ca="1" si="1679"/>
        <v>#N/A</v>
      </c>
      <c r="E1670" s="26">
        <f t="array" aca="1" ref="E1670" ca="1">AVERAGE(IF(INDIRECT(DatCol&amp;"$"&amp;TEXT(C1670,"###")):INDIRECT(DatCol&amp;"$"&amp;TEXT(C1670+57,"###"))&gt;0,INDIRECT(DatCol&amp;"$"&amp;TEXT(C1670,"###")):INDIRECT(DatCol&amp;"$"&amp;TEXT(C1670+57,"###"))))</f>
        <v>7</v>
      </c>
      <c r="F1670" s="26" t="str">
        <f t="shared" si="1635"/>
        <v>B</v>
      </c>
      <c r="G1670" s="9">
        <v>83</v>
      </c>
      <c r="H1670" s="9">
        <v>4</v>
      </c>
      <c r="I1670" s="9">
        <v>22</v>
      </c>
      <c r="J1670" s="9">
        <v>158</v>
      </c>
      <c r="K1670" s="9">
        <f t="shared" si="1640"/>
        <v>245</v>
      </c>
      <c r="L1670" s="10">
        <v>0</v>
      </c>
      <c r="M1670" s="11">
        <v>0</v>
      </c>
      <c r="N1670" s="10">
        <v>0</v>
      </c>
      <c r="O1670" s="11">
        <v>0</v>
      </c>
      <c r="P1670" s="10">
        <v>0</v>
      </c>
      <c r="Q1670" s="11">
        <v>0</v>
      </c>
      <c r="R1670" s="10">
        <f>S1670/60</f>
        <v>4608.7</v>
      </c>
      <c r="S1670" s="11">
        <v>276522</v>
      </c>
      <c r="T1670" s="10">
        <v>0</v>
      </c>
      <c r="U1670" s="11">
        <v>0</v>
      </c>
      <c r="V1670" s="10">
        <f>W1670/60</f>
        <v>666.43333333333328</v>
      </c>
      <c r="W1670" s="11">
        <v>39986</v>
      </c>
      <c r="X1670" s="10">
        <f>Y1670/60</f>
        <v>203.6</v>
      </c>
      <c r="Y1670" s="11">
        <v>12216</v>
      </c>
      <c r="Z1670" s="10">
        <f>AA1670/60</f>
        <v>109.6</v>
      </c>
      <c r="AA1670" s="11">
        <v>6576</v>
      </c>
      <c r="AK1670" s="13"/>
      <c r="AM1670" s="13"/>
      <c r="BN1670" s="8">
        <f t="shared" si="1638"/>
        <v>5588.3333333333339</v>
      </c>
      <c r="BO1670" s="8">
        <f t="shared" si="1639"/>
        <v>335300</v>
      </c>
      <c r="BP1670" s="8">
        <f t="shared" si="1659"/>
        <v>313.2</v>
      </c>
      <c r="BQ1670" s="12">
        <f t="shared" si="1660"/>
        <v>18792</v>
      </c>
    </row>
    <row r="1671" spans="1:69">
      <c r="A1671" s="28">
        <v>2000</v>
      </c>
      <c r="B1671" s="27" t="s">
        <v>79</v>
      </c>
      <c r="C1671" s="24">
        <f t="shared" si="1637"/>
        <v>1626</v>
      </c>
      <c r="D1671" s="7" t="e">
        <f t="shared" ca="1" si="1679"/>
        <v>#N/A</v>
      </c>
      <c r="E1671" s="26">
        <f t="array" aca="1" ref="E1671" ca="1">AVERAGE(IF(INDIRECT(DatCol&amp;"$"&amp;TEXT(C1671,"###")):INDIRECT(DatCol&amp;"$"&amp;TEXT(C1671+57,"###"))&gt;0,INDIRECT(DatCol&amp;"$"&amp;TEXT(C1671,"###")):INDIRECT(DatCol&amp;"$"&amp;TEXT(C1671+57,"###"))))</f>
        <v>7</v>
      </c>
      <c r="F1671" s="26" t="str">
        <f t="shared" si="1635"/>
        <v>B</v>
      </c>
      <c r="G1671" s="9">
        <v>74</v>
      </c>
      <c r="H1671" s="9">
        <v>2</v>
      </c>
      <c r="I1671" s="9">
        <v>26</v>
      </c>
      <c r="J1671" s="9">
        <v>133</v>
      </c>
      <c r="K1671" s="9">
        <f t="shared" si="1640"/>
        <v>209</v>
      </c>
      <c r="L1671" s="10">
        <v>0</v>
      </c>
      <c r="M1671" s="11">
        <v>0</v>
      </c>
      <c r="N1671" s="10">
        <v>0</v>
      </c>
      <c r="O1671" s="11">
        <v>0</v>
      </c>
      <c r="P1671" s="10">
        <v>0</v>
      </c>
      <c r="Q1671" s="11">
        <v>0</v>
      </c>
      <c r="R1671" s="10">
        <f>S1671/49.5</f>
        <v>2448.7272727272725</v>
      </c>
      <c r="S1671" s="11">
        <v>121212</v>
      </c>
      <c r="T1671" s="10">
        <f>U1671/57.5</f>
        <v>1515.0260869565218</v>
      </c>
      <c r="U1671" s="11">
        <v>87114</v>
      </c>
      <c r="V1671" s="10">
        <f>W1671/49.5</f>
        <v>1682.909090909091</v>
      </c>
      <c r="W1671" s="11">
        <v>83304</v>
      </c>
      <c r="X1671" s="10">
        <v>0</v>
      </c>
      <c r="Y1671" s="11">
        <v>0</v>
      </c>
      <c r="Z1671" s="10">
        <f>AA1671/49.5</f>
        <v>98.909090909090907</v>
      </c>
      <c r="AA1671" s="11">
        <v>4896</v>
      </c>
      <c r="AB1671" s="10">
        <f>AC1671/57.5</f>
        <v>42.573913043478264</v>
      </c>
      <c r="AC1671" s="11">
        <v>2448</v>
      </c>
      <c r="AD1671" s="10">
        <f>AE1671/49.5</f>
        <v>49.454545454545453</v>
      </c>
      <c r="AE1671" s="11">
        <v>2448</v>
      </c>
      <c r="AF1671" s="10">
        <v>0</v>
      </c>
      <c r="AG1671" s="11">
        <v>0</v>
      </c>
      <c r="AH1671" s="10">
        <v>0</v>
      </c>
      <c r="AI1671" s="11">
        <v>0</v>
      </c>
      <c r="AJ1671" s="10">
        <v>0</v>
      </c>
      <c r="AK1671" s="11">
        <v>0</v>
      </c>
      <c r="AL1671" s="10">
        <v>0</v>
      </c>
      <c r="AM1671" s="11">
        <v>0</v>
      </c>
      <c r="AN1671" s="10">
        <v>0</v>
      </c>
      <c r="AO1671" s="11">
        <v>0</v>
      </c>
      <c r="AP1671" s="10">
        <v>0</v>
      </c>
      <c r="AQ1671" s="11">
        <v>0</v>
      </c>
      <c r="AR1671" s="10">
        <v>0</v>
      </c>
      <c r="AS1671" s="11">
        <v>0</v>
      </c>
      <c r="AT1671" s="10">
        <v>0</v>
      </c>
      <c r="AU1671" s="11">
        <v>0</v>
      </c>
      <c r="AV1671" s="10">
        <v>0</v>
      </c>
      <c r="AW1671" s="11">
        <v>0</v>
      </c>
      <c r="AX1671" s="10">
        <v>0</v>
      </c>
      <c r="AY1671" s="11">
        <v>0</v>
      </c>
      <c r="AZ1671" s="10">
        <v>0</v>
      </c>
      <c r="BA1671" s="11">
        <v>0</v>
      </c>
      <c r="BB1671" s="10">
        <v>0</v>
      </c>
      <c r="BC1671" s="11">
        <v>0</v>
      </c>
      <c r="BD1671" s="10">
        <v>0</v>
      </c>
      <c r="BE1671" s="11">
        <v>0</v>
      </c>
      <c r="BF1671" s="10">
        <v>0</v>
      </c>
      <c r="BN1671" s="8">
        <f t="shared" si="1638"/>
        <v>5837.5999999999995</v>
      </c>
      <c r="BO1671" s="8">
        <f t="shared" si="1639"/>
        <v>298974</v>
      </c>
      <c r="BP1671" s="8">
        <f t="shared" si="1659"/>
        <v>190.9375494071146</v>
      </c>
      <c r="BQ1671" s="12">
        <f t="shared" si="1660"/>
        <v>9792</v>
      </c>
    </row>
    <row r="1672" spans="1:69">
      <c r="A1672" s="28">
        <v>2001</v>
      </c>
      <c r="B1672" s="27" t="s">
        <v>79</v>
      </c>
      <c r="C1672" s="24">
        <f t="shared" si="1637"/>
        <v>1626</v>
      </c>
      <c r="D1672" s="7" t="e">
        <f t="shared" ca="1" si="1679"/>
        <v>#N/A</v>
      </c>
      <c r="E1672" s="26">
        <f t="array" aca="1" ref="E1672" ca="1">AVERAGE(IF(INDIRECT(DatCol&amp;"$"&amp;TEXT(C1672,"###")):INDIRECT(DatCol&amp;"$"&amp;TEXT(C1672+57,"###"))&gt;0,INDIRECT(DatCol&amp;"$"&amp;TEXT(C1672,"###")):INDIRECT(DatCol&amp;"$"&amp;TEXT(C1672+57,"###"))))</f>
        <v>7</v>
      </c>
      <c r="F1672" s="26" t="str">
        <f t="shared" si="1635"/>
        <v>B</v>
      </c>
      <c r="H1672" s="9">
        <v>1</v>
      </c>
      <c r="I1672" s="9">
        <v>25</v>
      </c>
      <c r="J1672" s="9">
        <v>234</v>
      </c>
      <c r="K1672" s="9">
        <f t="shared" si="1640"/>
        <v>235</v>
      </c>
      <c r="L1672" s="10">
        <v>0</v>
      </c>
      <c r="M1672" s="11">
        <v>0</v>
      </c>
      <c r="N1672" s="10">
        <v>0</v>
      </c>
      <c r="O1672" s="11">
        <v>0</v>
      </c>
      <c r="P1672" s="10">
        <v>0</v>
      </c>
      <c r="Q1672" s="11">
        <v>0</v>
      </c>
      <c r="R1672" s="10">
        <f t="shared" ref="R1672:R1677" si="1680">S1672/75</f>
        <v>2118.88</v>
      </c>
      <c r="S1672" s="11">
        <v>158916</v>
      </c>
      <c r="T1672" s="10">
        <f t="shared" ref="T1672:T1677" si="1681">U1672/75</f>
        <v>1134.8533333333332</v>
      </c>
      <c r="U1672" s="11">
        <v>85114</v>
      </c>
      <c r="V1672" s="10">
        <f t="shared" ref="V1672:V1677" si="1682">W1672/75</f>
        <v>977.12</v>
      </c>
      <c r="W1672" s="11">
        <v>73284</v>
      </c>
      <c r="X1672" s="10">
        <v>0</v>
      </c>
      <c r="Y1672" s="11">
        <v>0</v>
      </c>
      <c r="Z1672" s="10">
        <f t="shared" ref="Z1672:Z1677" si="1683">AA1672/75</f>
        <v>106.56</v>
      </c>
      <c r="AA1672" s="11">
        <v>7992</v>
      </c>
      <c r="AB1672" s="10">
        <f t="shared" ref="AB1672:AB1677" si="1684">AC1672/75</f>
        <v>53.28</v>
      </c>
      <c r="AC1672" s="11">
        <v>3996</v>
      </c>
      <c r="AD1672" s="10">
        <f t="shared" ref="AD1672:AD1677" si="1685">AE1672/75</f>
        <v>53.28</v>
      </c>
      <c r="AE1672" s="11">
        <v>3996</v>
      </c>
      <c r="AF1672" s="10">
        <v>0</v>
      </c>
      <c r="AG1672" s="11">
        <v>0</v>
      </c>
      <c r="AH1672" s="10">
        <v>0</v>
      </c>
      <c r="AI1672" s="11">
        <v>0</v>
      </c>
      <c r="AJ1672" s="10">
        <v>0</v>
      </c>
      <c r="AK1672" s="11">
        <v>0</v>
      </c>
      <c r="AL1672" s="10">
        <v>0</v>
      </c>
      <c r="AM1672" s="11">
        <v>0</v>
      </c>
      <c r="AN1672" s="10">
        <v>0</v>
      </c>
      <c r="AO1672" s="11">
        <v>0</v>
      </c>
      <c r="AP1672" s="10">
        <v>0</v>
      </c>
      <c r="AQ1672" s="11">
        <v>0</v>
      </c>
      <c r="AR1672" s="10">
        <v>0</v>
      </c>
      <c r="AS1672" s="11">
        <v>0</v>
      </c>
      <c r="AT1672" s="10">
        <v>0</v>
      </c>
      <c r="AU1672" s="11">
        <v>0</v>
      </c>
      <c r="AV1672" s="10">
        <v>0</v>
      </c>
      <c r="AW1672" s="11">
        <v>0</v>
      </c>
      <c r="AX1672" s="10">
        <v>0</v>
      </c>
      <c r="AY1672" s="11">
        <v>0</v>
      </c>
      <c r="AZ1672" s="10">
        <v>0</v>
      </c>
      <c r="BA1672" s="11">
        <v>0</v>
      </c>
      <c r="BB1672" s="10">
        <v>0</v>
      </c>
      <c r="BC1672" s="11">
        <v>0</v>
      </c>
      <c r="BD1672" s="10">
        <v>0</v>
      </c>
      <c r="BE1672" s="11">
        <v>0</v>
      </c>
      <c r="BF1672" s="10">
        <v>0</v>
      </c>
      <c r="BN1672" s="8">
        <f t="shared" si="1638"/>
        <v>4443.9733333333334</v>
      </c>
      <c r="BO1672" s="8">
        <f t="shared" si="1639"/>
        <v>329302</v>
      </c>
      <c r="BP1672" s="8">
        <f t="shared" si="1659"/>
        <v>213.12</v>
      </c>
      <c r="BQ1672" s="12">
        <f t="shared" si="1660"/>
        <v>15984</v>
      </c>
    </row>
    <row r="1673" spans="1:69">
      <c r="A1673" s="28">
        <v>2002</v>
      </c>
      <c r="B1673" s="27" t="s">
        <v>79</v>
      </c>
      <c r="C1673" s="24">
        <f t="shared" si="1637"/>
        <v>1626</v>
      </c>
      <c r="D1673" s="7" t="e">
        <f t="shared" ca="1" si="1679"/>
        <v>#N/A</v>
      </c>
      <c r="E1673" s="26">
        <f t="array" aca="1" ref="E1673" ca="1">AVERAGE(IF(INDIRECT(DatCol&amp;"$"&amp;TEXT(C1673,"###")):INDIRECT(DatCol&amp;"$"&amp;TEXT(C1673+57,"###"))&gt;0,INDIRECT(DatCol&amp;"$"&amp;TEXT(C1673,"###")):INDIRECT(DatCol&amp;"$"&amp;TEXT(C1673+57,"###"))))</f>
        <v>7</v>
      </c>
      <c r="F1673" s="26" t="str">
        <f t="shared" si="1635"/>
        <v>B</v>
      </c>
      <c r="G1673" s="9">
        <v>0</v>
      </c>
      <c r="H1673" s="9">
        <v>5</v>
      </c>
      <c r="I1673" s="9">
        <v>24</v>
      </c>
      <c r="J1673" s="9">
        <v>231</v>
      </c>
      <c r="K1673" s="9">
        <f t="shared" si="1640"/>
        <v>236</v>
      </c>
      <c r="L1673" s="10">
        <v>0</v>
      </c>
      <c r="M1673" s="11">
        <v>0</v>
      </c>
      <c r="N1673" s="10">
        <v>0</v>
      </c>
      <c r="O1673" s="11">
        <v>0</v>
      </c>
      <c r="P1673" s="10">
        <v>0</v>
      </c>
      <c r="Q1673" s="11">
        <v>0</v>
      </c>
      <c r="R1673" s="10">
        <f t="shared" si="1680"/>
        <v>1324</v>
      </c>
      <c r="S1673" s="11">
        <v>99300</v>
      </c>
      <c r="T1673" s="10">
        <f t="shared" si="1681"/>
        <v>1351.2</v>
      </c>
      <c r="U1673" s="11">
        <v>101340</v>
      </c>
      <c r="V1673" s="10">
        <f t="shared" si="1682"/>
        <v>968.8</v>
      </c>
      <c r="W1673" s="11">
        <v>72660</v>
      </c>
      <c r="X1673" s="10">
        <v>0</v>
      </c>
      <c r="Y1673" s="11">
        <v>0</v>
      </c>
      <c r="Z1673" s="10">
        <f t="shared" si="1683"/>
        <v>102.4</v>
      </c>
      <c r="AA1673" s="11">
        <v>7680</v>
      </c>
      <c r="AB1673" s="10">
        <f t="shared" si="1684"/>
        <v>51.2</v>
      </c>
      <c r="AC1673" s="11">
        <v>3840</v>
      </c>
      <c r="AD1673" s="10">
        <f t="shared" si="1685"/>
        <v>51.2</v>
      </c>
      <c r="AE1673" s="11">
        <v>3840</v>
      </c>
      <c r="AF1673" s="10">
        <v>0</v>
      </c>
      <c r="AG1673" s="11">
        <v>0</v>
      </c>
      <c r="AH1673" s="10">
        <v>0</v>
      </c>
      <c r="AI1673" s="11">
        <v>0</v>
      </c>
      <c r="AJ1673" s="10">
        <v>0</v>
      </c>
      <c r="AK1673" s="11">
        <v>0</v>
      </c>
      <c r="AL1673" s="10">
        <v>0</v>
      </c>
      <c r="AM1673" s="11">
        <v>0</v>
      </c>
      <c r="AN1673" s="10">
        <v>0</v>
      </c>
      <c r="AO1673" s="11">
        <v>0</v>
      </c>
      <c r="AP1673" s="10">
        <v>0</v>
      </c>
      <c r="AQ1673" s="11">
        <v>0</v>
      </c>
      <c r="AR1673" s="10">
        <v>0</v>
      </c>
      <c r="AS1673" s="11">
        <v>0</v>
      </c>
      <c r="AT1673" s="10">
        <v>0</v>
      </c>
      <c r="AU1673" s="11">
        <v>0</v>
      </c>
      <c r="AV1673" s="10">
        <v>0</v>
      </c>
      <c r="AW1673" s="11">
        <v>0</v>
      </c>
      <c r="AX1673" s="10">
        <v>0</v>
      </c>
      <c r="AY1673" s="11">
        <v>0</v>
      </c>
      <c r="AZ1673" s="10">
        <v>0</v>
      </c>
      <c r="BA1673" s="11">
        <v>0</v>
      </c>
      <c r="BB1673" s="10">
        <v>0</v>
      </c>
      <c r="BC1673" s="11">
        <v>0</v>
      </c>
      <c r="BD1673" s="10">
        <v>0</v>
      </c>
      <c r="BE1673" s="11">
        <v>0</v>
      </c>
      <c r="BF1673" s="10">
        <v>0</v>
      </c>
      <c r="BN1673" s="8">
        <f t="shared" si="1638"/>
        <v>3848.7999999999997</v>
      </c>
      <c r="BO1673" s="8">
        <f t="shared" si="1639"/>
        <v>284820</v>
      </c>
      <c r="BP1673" s="8">
        <f t="shared" si="1659"/>
        <v>204.8</v>
      </c>
      <c r="BQ1673" s="12">
        <f t="shared" si="1660"/>
        <v>15360</v>
      </c>
    </row>
    <row r="1674" spans="1:69">
      <c r="A1674" s="28">
        <v>2003</v>
      </c>
      <c r="B1674" s="27" t="s">
        <v>79</v>
      </c>
      <c r="C1674" s="24">
        <f t="shared" si="1637"/>
        <v>1626</v>
      </c>
      <c r="D1674" s="7" t="e">
        <f t="shared" ca="1" si="1679"/>
        <v>#N/A</v>
      </c>
      <c r="E1674" s="26">
        <f t="array" aca="1" ref="E1674" ca="1">AVERAGE(IF(INDIRECT(DatCol&amp;"$"&amp;TEXT(C1674,"###")):INDIRECT(DatCol&amp;"$"&amp;TEXT(C1674+57,"###"))&gt;0,INDIRECT(DatCol&amp;"$"&amp;TEXT(C1674,"###")):INDIRECT(DatCol&amp;"$"&amp;TEXT(C1674+57,"###"))))</f>
        <v>7</v>
      </c>
      <c r="F1674" s="26" t="str">
        <f t="shared" si="1635"/>
        <v>B</v>
      </c>
      <c r="G1674" s="9">
        <v>0</v>
      </c>
      <c r="H1674" s="9">
        <v>0</v>
      </c>
      <c r="I1674" s="9">
        <v>24</v>
      </c>
      <c r="J1674" s="9">
        <v>179</v>
      </c>
      <c r="K1674" s="9">
        <f t="shared" si="1640"/>
        <v>179</v>
      </c>
      <c r="L1674" s="10">
        <v>0</v>
      </c>
      <c r="M1674" s="11">
        <v>0</v>
      </c>
      <c r="N1674" s="10">
        <v>0</v>
      </c>
      <c r="O1674" s="11">
        <v>0</v>
      </c>
      <c r="P1674" s="10">
        <v>0</v>
      </c>
      <c r="Q1674" s="11">
        <v>0</v>
      </c>
      <c r="R1674" s="10">
        <f t="shared" si="1680"/>
        <v>498.24</v>
      </c>
      <c r="S1674" s="11">
        <v>37368</v>
      </c>
      <c r="T1674" s="10">
        <f t="shared" si="1681"/>
        <v>366.64</v>
      </c>
      <c r="U1674" s="11">
        <v>27498</v>
      </c>
      <c r="V1674" s="10">
        <f t="shared" si="1682"/>
        <v>385.44</v>
      </c>
      <c r="W1674" s="11">
        <v>28908</v>
      </c>
      <c r="X1674" s="10">
        <v>0</v>
      </c>
      <c r="Y1674" s="11">
        <v>0</v>
      </c>
      <c r="Z1674" s="10">
        <f t="shared" si="1683"/>
        <v>57.6</v>
      </c>
      <c r="AA1674" s="11">
        <v>4320</v>
      </c>
      <c r="AB1674" s="10">
        <f t="shared" si="1684"/>
        <v>28.8</v>
      </c>
      <c r="AC1674" s="11">
        <v>2160</v>
      </c>
      <c r="AD1674" s="10">
        <f t="shared" si="1685"/>
        <v>28.8</v>
      </c>
      <c r="AE1674" s="11">
        <v>2160</v>
      </c>
      <c r="AF1674" s="10">
        <v>0</v>
      </c>
      <c r="AG1674" s="11">
        <v>0</v>
      </c>
      <c r="AH1674" s="10">
        <v>0</v>
      </c>
      <c r="AI1674" s="11">
        <v>0</v>
      </c>
      <c r="AJ1674" s="10">
        <v>0</v>
      </c>
      <c r="AK1674" s="11">
        <v>0</v>
      </c>
      <c r="AL1674" s="10">
        <v>0</v>
      </c>
      <c r="AM1674" s="11">
        <v>0</v>
      </c>
      <c r="AN1674" s="10">
        <v>0</v>
      </c>
      <c r="AO1674" s="11">
        <v>0</v>
      </c>
      <c r="AP1674" s="10">
        <v>0</v>
      </c>
      <c r="AQ1674" s="11">
        <v>0</v>
      </c>
      <c r="AR1674" s="10">
        <v>0</v>
      </c>
      <c r="AS1674" s="11">
        <v>0</v>
      </c>
      <c r="AT1674" s="10">
        <v>0</v>
      </c>
      <c r="AU1674" s="11">
        <v>0</v>
      </c>
      <c r="AV1674" s="10">
        <v>0</v>
      </c>
      <c r="AW1674" s="11">
        <v>0</v>
      </c>
      <c r="AX1674" s="10">
        <v>0</v>
      </c>
      <c r="AY1674" s="11">
        <v>0</v>
      </c>
      <c r="AZ1674" s="10">
        <v>0</v>
      </c>
      <c r="BA1674" s="11">
        <v>0</v>
      </c>
      <c r="BB1674" s="10">
        <v>0</v>
      </c>
      <c r="BC1674" s="11">
        <v>0</v>
      </c>
      <c r="BD1674" s="10">
        <v>0</v>
      </c>
      <c r="BE1674" s="11">
        <v>0</v>
      </c>
      <c r="BF1674" s="10">
        <v>0</v>
      </c>
      <c r="BN1674" s="8">
        <f t="shared" si="1638"/>
        <v>1365.5199999999998</v>
      </c>
      <c r="BO1674" s="8">
        <f t="shared" si="1639"/>
        <v>100254</v>
      </c>
      <c r="BP1674" s="8">
        <f t="shared" si="1659"/>
        <v>115.2</v>
      </c>
      <c r="BQ1674" s="12">
        <f t="shared" si="1660"/>
        <v>8640</v>
      </c>
    </row>
    <row r="1675" spans="1:69">
      <c r="A1675" s="28">
        <v>2004</v>
      </c>
      <c r="B1675" s="27" t="s">
        <v>79</v>
      </c>
      <c r="C1675" s="24">
        <f t="shared" si="1637"/>
        <v>1626</v>
      </c>
      <c r="D1675" s="7" t="e">
        <f t="shared" ca="1" si="1679"/>
        <v>#N/A</v>
      </c>
      <c r="E1675" s="26">
        <f t="array" aca="1" ref="E1675" ca="1">AVERAGE(IF(INDIRECT(DatCol&amp;"$"&amp;TEXT(C1675,"###")):INDIRECT(DatCol&amp;"$"&amp;TEXT(C1675+57,"###"))&gt;0,INDIRECT(DatCol&amp;"$"&amp;TEXT(C1675,"###")):INDIRECT(DatCol&amp;"$"&amp;TEXT(C1675+57,"###"))))</f>
        <v>7</v>
      </c>
      <c r="F1675" s="26" t="str">
        <f t="shared" si="1635"/>
        <v>B</v>
      </c>
      <c r="H1675" s="9">
        <v>3</v>
      </c>
      <c r="I1675" s="9">
        <v>22</v>
      </c>
      <c r="J1675" s="9">
        <v>245</v>
      </c>
      <c r="K1675" s="9">
        <f t="shared" si="1640"/>
        <v>248</v>
      </c>
      <c r="L1675" s="10">
        <v>0</v>
      </c>
      <c r="M1675" s="11">
        <v>0</v>
      </c>
      <c r="N1675" s="10">
        <v>0</v>
      </c>
      <c r="O1675" s="11">
        <v>0</v>
      </c>
      <c r="P1675" s="10">
        <v>0</v>
      </c>
      <c r="Q1675" s="11">
        <v>0</v>
      </c>
      <c r="R1675" s="10">
        <f t="shared" si="1680"/>
        <v>851.64</v>
      </c>
      <c r="S1675" s="11">
        <v>63873</v>
      </c>
      <c r="T1675" s="10">
        <f t="shared" si="1681"/>
        <v>582.62400000000002</v>
      </c>
      <c r="U1675" s="11">
        <v>43696.800000000003</v>
      </c>
      <c r="V1675" s="10">
        <f t="shared" si="1682"/>
        <v>726.78399999999999</v>
      </c>
      <c r="W1675" s="11">
        <v>54508.800000000003</v>
      </c>
      <c r="X1675" s="10">
        <v>0</v>
      </c>
      <c r="Y1675" s="11">
        <v>0</v>
      </c>
      <c r="Z1675" s="10">
        <f t="shared" si="1683"/>
        <v>182.13333333333333</v>
      </c>
      <c r="AA1675" s="11">
        <v>13660</v>
      </c>
      <c r="AB1675" s="10">
        <f t="shared" si="1684"/>
        <v>91.066666666666663</v>
      </c>
      <c r="AC1675" s="11">
        <v>6830</v>
      </c>
      <c r="AD1675" s="10">
        <f t="shared" si="1685"/>
        <v>91.066666666666663</v>
      </c>
      <c r="AE1675" s="11">
        <v>6830</v>
      </c>
      <c r="AF1675" s="10">
        <v>0</v>
      </c>
      <c r="AG1675" s="11">
        <v>0</v>
      </c>
      <c r="AH1675" s="10">
        <v>0</v>
      </c>
      <c r="AI1675" s="11">
        <v>0</v>
      </c>
      <c r="AJ1675" s="10">
        <v>0</v>
      </c>
      <c r="AK1675" s="11">
        <v>0</v>
      </c>
      <c r="AL1675" s="10">
        <v>0</v>
      </c>
      <c r="AM1675" s="11">
        <v>27</v>
      </c>
      <c r="AN1675" s="10">
        <v>0</v>
      </c>
      <c r="AO1675" s="11">
        <v>0</v>
      </c>
      <c r="AP1675" s="10">
        <v>0</v>
      </c>
      <c r="AQ1675" s="11">
        <v>0</v>
      </c>
      <c r="AR1675" s="10">
        <v>0</v>
      </c>
      <c r="AS1675" s="11">
        <v>0</v>
      </c>
      <c r="AT1675" s="10">
        <v>0</v>
      </c>
      <c r="AU1675" s="11">
        <v>0</v>
      </c>
      <c r="AV1675" s="10">
        <v>0</v>
      </c>
      <c r="AW1675" s="11">
        <v>0</v>
      </c>
      <c r="AX1675" s="10">
        <v>0</v>
      </c>
      <c r="AY1675" s="11">
        <v>0</v>
      </c>
      <c r="AZ1675" s="10">
        <v>0</v>
      </c>
      <c r="BA1675" s="11">
        <v>0</v>
      </c>
      <c r="BB1675" s="10">
        <v>0</v>
      </c>
      <c r="BC1675" s="11">
        <v>0</v>
      </c>
      <c r="BD1675" s="10">
        <v>0</v>
      </c>
      <c r="BE1675" s="11">
        <v>0</v>
      </c>
      <c r="BF1675" s="10">
        <v>0</v>
      </c>
      <c r="BG1675" s="11">
        <v>0</v>
      </c>
      <c r="BN1675" s="8">
        <f t="shared" si="1638"/>
        <v>2525.3146666666667</v>
      </c>
      <c r="BO1675" s="8">
        <f t="shared" si="1639"/>
        <v>182568.6</v>
      </c>
      <c r="BP1675" s="8">
        <f t="shared" si="1659"/>
        <v>364.26666666666665</v>
      </c>
      <c r="BQ1675" s="12">
        <f t="shared" si="1660"/>
        <v>27347</v>
      </c>
    </row>
    <row r="1676" spans="1:69">
      <c r="A1676" s="28">
        <v>2005</v>
      </c>
      <c r="B1676" s="27" t="s">
        <v>79</v>
      </c>
      <c r="C1676" s="24">
        <f t="shared" si="1637"/>
        <v>1626</v>
      </c>
      <c r="D1676" s="7" t="e">
        <f t="shared" ca="1" si="1679"/>
        <v>#N/A</v>
      </c>
      <c r="E1676" s="26">
        <f t="array" aca="1" ref="E1676" ca="1">AVERAGE(IF(INDIRECT(DatCol&amp;"$"&amp;TEXT(C1676,"###")):INDIRECT(DatCol&amp;"$"&amp;TEXT(C1676+57,"###"))&gt;0,INDIRECT(DatCol&amp;"$"&amp;TEXT(C1676,"###")):INDIRECT(DatCol&amp;"$"&amp;TEXT(C1676+57,"###"))))</f>
        <v>7</v>
      </c>
      <c r="F1676" s="26" t="str">
        <f t="shared" si="1635"/>
        <v>B</v>
      </c>
      <c r="H1676" s="9">
        <v>4</v>
      </c>
      <c r="I1676" s="9">
        <v>23</v>
      </c>
      <c r="J1676" s="9">
        <v>253</v>
      </c>
      <c r="K1676" s="9">
        <f t="shared" si="1640"/>
        <v>257</v>
      </c>
      <c r="L1676" s="10">
        <v>0</v>
      </c>
      <c r="M1676" s="11">
        <v>0</v>
      </c>
      <c r="N1676" s="10">
        <v>0</v>
      </c>
      <c r="O1676" s="11">
        <v>0</v>
      </c>
      <c r="P1676" s="10">
        <v>0</v>
      </c>
      <c r="Q1676" s="11">
        <v>0</v>
      </c>
      <c r="R1676" s="10">
        <f t="shared" si="1680"/>
        <v>931.28</v>
      </c>
      <c r="S1676" s="11">
        <v>69846</v>
      </c>
      <c r="T1676" s="10">
        <f t="shared" si="1681"/>
        <v>622.24</v>
      </c>
      <c r="U1676" s="11">
        <v>46668</v>
      </c>
      <c r="V1676" s="10">
        <f t="shared" si="1682"/>
        <v>512.04</v>
      </c>
      <c r="W1676" s="11">
        <v>38403</v>
      </c>
      <c r="X1676" s="10">
        <v>0</v>
      </c>
      <c r="Y1676" s="11">
        <v>0</v>
      </c>
      <c r="Z1676" s="10">
        <f t="shared" si="1683"/>
        <v>221.76</v>
      </c>
      <c r="AA1676" s="11">
        <v>16632</v>
      </c>
      <c r="AB1676" s="10">
        <f t="shared" si="1684"/>
        <v>90.88</v>
      </c>
      <c r="AC1676" s="11">
        <v>6816</v>
      </c>
      <c r="AD1676" s="10">
        <f t="shared" si="1685"/>
        <v>90.88</v>
      </c>
      <c r="AE1676" s="11">
        <v>6816</v>
      </c>
      <c r="AF1676" s="10">
        <v>0</v>
      </c>
      <c r="AG1676" s="11">
        <v>0</v>
      </c>
      <c r="AH1676" s="10">
        <v>0</v>
      </c>
      <c r="AI1676" s="11">
        <v>0</v>
      </c>
      <c r="AJ1676" s="10">
        <v>0</v>
      </c>
      <c r="AK1676" s="11">
        <v>0</v>
      </c>
      <c r="AL1676" s="10">
        <v>0</v>
      </c>
      <c r="AM1676" s="11">
        <v>0</v>
      </c>
      <c r="AN1676" s="10">
        <v>0</v>
      </c>
      <c r="AO1676" s="11">
        <v>0</v>
      </c>
      <c r="AP1676" s="10">
        <v>0</v>
      </c>
      <c r="AQ1676" s="11">
        <v>0</v>
      </c>
      <c r="AR1676" s="10">
        <v>0</v>
      </c>
      <c r="AS1676" s="11">
        <v>0</v>
      </c>
      <c r="AT1676" s="10">
        <v>0</v>
      </c>
      <c r="AU1676" s="11">
        <v>0</v>
      </c>
      <c r="AV1676" s="10">
        <v>0</v>
      </c>
      <c r="AW1676" s="11">
        <v>0</v>
      </c>
      <c r="AX1676" s="10">
        <v>0</v>
      </c>
      <c r="AY1676" s="11">
        <v>0</v>
      </c>
      <c r="AZ1676" s="10">
        <v>0</v>
      </c>
      <c r="BA1676" s="11">
        <v>0</v>
      </c>
      <c r="BB1676" s="10">
        <v>0</v>
      </c>
      <c r="BC1676" s="11">
        <v>0</v>
      </c>
      <c r="BD1676" s="10">
        <v>0</v>
      </c>
      <c r="BE1676" s="11">
        <v>0</v>
      </c>
      <c r="BF1676" s="10">
        <v>0</v>
      </c>
      <c r="BG1676" s="11">
        <v>0</v>
      </c>
      <c r="BN1676" s="8">
        <f t="shared" si="1638"/>
        <v>2469.08</v>
      </c>
      <c r="BO1676" s="8">
        <f t="shared" si="1639"/>
        <v>178365</v>
      </c>
      <c r="BP1676" s="8">
        <f t="shared" si="1659"/>
        <v>403.52</v>
      </c>
      <c r="BQ1676" s="12">
        <f t="shared" si="1660"/>
        <v>30264</v>
      </c>
    </row>
    <row r="1677" spans="1:69">
      <c r="A1677" s="28">
        <v>2006</v>
      </c>
      <c r="B1677" s="27" t="s">
        <v>79</v>
      </c>
      <c r="C1677" s="24">
        <f t="shared" si="1637"/>
        <v>1626</v>
      </c>
      <c r="D1677" s="7" t="e">
        <f t="shared" ca="1" si="1679"/>
        <v>#N/A</v>
      </c>
      <c r="E1677" s="26">
        <f t="array" aca="1" ref="E1677" ca="1">AVERAGE(IF(INDIRECT(DatCol&amp;"$"&amp;TEXT(C1677,"###")):INDIRECT(DatCol&amp;"$"&amp;TEXT(C1677+57,"###"))&gt;0,INDIRECT(DatCol&amp;"$"&amp;TEXT(C1677,"###")):INDIRECT(DatCol&amp;"$"&amp;TEXT(C1677+57,"###"))))</f>
        <v>7</v>
      </c>
      <c r="F1677" s="26" t="str">
        <f t="shared" si="1635"/>
        <v>B</v>
      </c>
      <c r="H1677" s="9">
        <v>1</v>
      </c>
      <c r="I1677" s="9">
        <v>13</v>
      </c>
      <c r="J1677" s="9">
        <v>217</v>
      </c>
      <c r="K1677" s="9">
        <f t="shared" si="1640"/>
        <v>218</v>
      </c>
      <c r="L1677" s="10">
        <v>0</v>
      </c>
      <c r="M1677" s="11">
        <v>0</v>
      </c>
      <c r="N1677" s="10">
        <v>0</v>
      </c>
      <c r="O1677" s="11">
        <v>0</v>
      </c>
      <c r="P1677" s="10">
        <v>0</v>
      </c>
      <c r="Q1677" s="11">
        <v>0</v>
      </c>
      <c r="R1677" s="10">
        <f t="shared" si="1680"/>
        <v>634.72</v>
      </c>
      <c r="S1677" s="11">
        <v>47604</v>
      </c>
      <c r="T1677" s="10">
        <f t="shared" si="1681"/>
        <v>317.83999999999997</v>
      </c>
      <c r="U1677" s="11">
        <v>23838</v>
      </c>
      <c r="V1677" s="10">
        <f t="shared" si="1682"/>
        <v>162.88</v>
      </c>
      <c r="W1677" s="11">
        <v>12216</v>
      </c>
      <c r="X1677" s="10">
        <v>0</v>
      </c>
      <c r="Y1677" s="11">
        <v>0</v>
      </c>
      <c r="Z1677" s="10">
        <f t="shared" si="1683"/>
        <v>73.760000000000005</v>
      </c>
      <c r="AA1677" s="11">
        <v>5532</v>
      </c>
      <c r="AB1677" s="10">
        <f t="shared" si="1684"/>
        <v>36.880000000000003</v>
      </c>
      <c r="AC1677" s="11">
        <v>2766</v>
      </c>
      <c r="AD1677" s="10">
        <f t="shared" si="1685"/>
        <v>36.880000000000003</v>
      </c>
      <c r="AE1677" s="11">
        <v>2766</v>
      </c>
      <c r="BN1677" s="8">
        <f t="shared" si="1638"/>
        <v>1262.9600000000003</v>
      </c>
      <c r="BO1677" s="8">
        <f t="shared" si="1639"/>
        <v>91956</v>
      </c>
      <c r="BP1677" s="8">
        <f t="shared" si="1659"/>
        <v>147.52000000000001</v>
      </c>
      <c r="BQ1677" s="12">
        <f t="shared" si="1660"/>
        <v>11064</v>
      </c>
    </row>
    <row r="1678" spans="1:69">
      <c r="A1678" s="28">
        <v>2007</v>
      </c>
      <c r="B1678" s="27" t="s">
        <v>79</v>
      </c>
      <c r="C1678" s="24">
        <f t="shared" si="1637"/>
        <v>1626</v>
      </c>
      <c r="D1678" s="7" t="e">
        <f t="shared" ca="1" si="1679"/>
        <v>#N/A</v>
      </c>
      <c r="E1678" s="26">
        <f t="array" aca="1" ref="E1678" ca="1">AVERAGE(IF(INDIRECT(DatCol&amp;"$"&amp;TEXT(C1678,"###")):INDIRECT(DatCol&amp;"$"&amp;TEXT(C1678+57,"###"))&gt;0,INDIRECT(DatCol&amp;"$"&amp;TEXT(C1678,"###")):INDIRECT(DatCol&amp;"$"&amp;TEXT(C1678+57,"###"))))</f>
        <v>7</v>
      </c>
      <c r="F1678" s="26" t="str">
        <f t="shared" si="1635"/>
        <v>B</v>
      </c>
      <c r="K1678" s="9">
        <f t="shared" si="1640"/>
        <v>0</v>
      </c>
      <c r="BN1678" s="8">
        <f t="shared" si="1638"/>
        <v>0</v>
      </c>
      <c r="BO1678" s="8">
        <f t="shared" si="1639"/>
        <v>0</v>
      </c>
      <c r="BP1678" s="8">
        <f t="shared" si="1659"/>
        <v>0</v>
      </c>
      <c r="BQ1678" s="12">
        <f t="shared" si="1660"/>
        <v>0</v>
      </c>
    </row>
    <row r="1679" spans="1:69">
      <c r="A1679" s="28">
        <v>2008</v>
      </c>
      <c r="B1679" s="27" t="s">
        <v>79</v>
      </c>
      <c r="C1679" s="24">
        <f t="shared" si="1637"/>
        <v>1626</v>
      </c>
      <c r="D1679" s="7" t="e">
        <f t="shared" ca="1" si="1679"/>
        <v>#N/A</v>
      </c>
      <c r="E1679" s="26">
        <f t="array" aca="1" ref="E1679" ca="1">AVERAGE(IF(INDIRECT(DatCol&amp;"$"&amp;TEXT(C1679,"###")):INDIRECT(DatCol&amp;"$"&amp;TEXT(C1679+57,"###"))&gt;0,INDIRECT(DatCol&amp;"$"&amp;TEXT(C1679,"###")):INDIRECT(DatCol&amp;"$"&amp;TEXT(C1679+57,"###"))))</f>
        <v>7</v>
      </c>
      <c r="F1679" s="26" t="str">
        <f t="shared" si="1635"/>
        <v>B</v>
      </c>
      <c r="K1679" s="9">
        <f t="shared" si="1640"/>
        <v>0</v>
      </c>
      <c r="BN1679" s="8">
        <f t="shared" si="1638"/>
        <v>0</v>
      </c>
      <c r="BO1679" s="8">
        <f t="shared" si="1639"/>
        <v>0</v>
      </c>
      <c r="BP1679" s="8">
        <f t="shared" si="1659"/>
        <v>0</v>
      </c>
      <c r="BQ1679" s="12">
        <f t="shared" si="1660"/>
        <v>0</v>
      </c>
    </row>
    <row r="1680" spans="1:69">
      <c r="A1680" s="28">
        <v>2009</v>
      </c>
      <c r="B1680" s="27" t="s">
        <v>79</v>
      </c>
      <c r="C1680" s="24">
        <f t="shared" si="1637"/>
        <v>1626</v>
      </c>
      <c r="D1680" s="7" t="e">
        <f t="shared" ca="1" si="1679"/>
        <v>#N/A</v>
      </c>
      <c r="E1680" s="26">
        <f t="array" aca="1" ref="E1680" ca="1">AVERAGE(IF(INDIRECT(DatCol&amp;"$"&amp;TEXT(C1680,"###")):INDIRECT(DatCol&amp;"$"&amp;TEXT(C1680+57,"###"))&gt;0,INDIRECT(DatCol&amp;"$"&amp;TEXT(C1680,"###")):INDIRECT(DatCol&amp;"$"&amp;TEXT(C1680+57,"###"))))</f>
        <v>7</v>
      </c>
      <c r="F1680" s="26" t="str">
        <f t="shared" si="1635"/>
        <v>B</v>
      </c>
      <c r="K1680" s="9">
        <f t="shared" si="1640"/>
        <v>0</v>
      </c>
      <c r="AK1680" s="13"/>
      <c r="AM1680" s="13"/>
      <c r="BN1680" s="8">
        <f t="shared" si="1638"/>
        <v>0</v>
      </c>
      <c r="BO1680" s="8">
        <f t="shared" si="1639"/>
        <v>0</v>
      </c>
      <c r="BP1680" s="8">
        <f t="shared" si="1659"/>
        <v>0</v>
      </c>
      <c r="BQ1680" s="12">
        <f t="shared" si="1660"/>
        <v>0</v>
      </c>
    </row>
    <row r="1681" spans="1:69">
      <c r="A1681" s="28">
        <v>2010</v>
      </c>
      <c r="B1681" s="27" t="s">
        <v>79</v>
      </c>
      <c r="C1681" s="24">
        <f t="shared" si="1637"/>
        <v>1626</v>
      </c>
      <c r="D1681" s="7" t="e">
        <f t="shared" ca="1" si="1679"/>
        <v>#N/A</v>
      </c>
      <c r="E1681" s="26">
        <f t="array" aca="1" ref="E1681" ca="1">AVERAGE(IF(INDIRECT(DatCol&amp;"$"&amp;TEXT(C1681,"###")):INDIRECT(DatCol&amp;"$"&amp;TEXT(C1681+57,"###"))&gt;0,INDIRECT(DatCol&amp;"$"&amp;TEXT(C1681,"###")):INDIRECT(DatCol&amp;"$"&amp;TEXT(C1681+57,"###"))))</f>
        <v>7</v>
      </c>
      <c r="F1681" s="26" t="str">
        <f t="shared" ref="F1681:F1683" si="1686">VLOOKUP(B1681,town_region,2,FALSE)</f>
        <v>B</v>
      </c>
      <c r="AK1681" s="13"/>
      <c r="AM1681" s="13"/>
      <c r="BN1681" s="8"/>
      <c r="BO1681" s="8"/>
      <c r="BP1681" s="8"/>
      <c r="BQ1681" s="12"/>
    </row>
    <row r="1682" spans="1:69">
      <c r="A1682" s="28">
        <v>2011</v>
      </c>
      <c r="B1682" s="27" t="s">
        <v>79</v>
      </c>
      <c r="C1682" s="24">
        <f t="shared" si="1637"/>
        <v>1626</v>
      </c>
      <c r="D1682" s="7" t="e">
        <f t="shared" ca="1" si="1679"/>
        <v>#N/A</v>
      </c>
      <c r="E1682" s="26">
        <f t="array" aca="1" ref="E1682" ca="1">AVERAGE(IF(INDIRECT(DatCol&amp;"$"&amp;TEXT(C1682,"###")):INDIRECT(DatCol&amp;"$"&amp;TEXT(C1682+57,"###"))&gt;0,INDIRECT(DatCol&amp;"$"&amp;TEXT(C1682,"###")):INDIRECT(DatCol&amp;"$"&amp;TEXT(C1682+57,"###"))))</f>
        <v>7</v>
      </c>
      <c r="F1682" s="26" t="str">
        <f t="shared" si="1686"/>
        <v>B</v>
      </c>
      <c r="AK1682" s="13"/>
      <c r="AM1682" s="13"/>
      <c r="BN1682" s="8"/>
      <c r="BO1682" s="8"/>
      <c r="BP1682" s="8"/>
      <c r="BQ1682" s="12"/>
    </row>
    <row r="1683" spans="1:69">
      <c r="A1683" s="28">
        <v>2012</v>
      </c>
      <c r="B1683" s="27" t="s">
        <v>79</v>
      </c>
      <c r="C1683" s="24">
        <f t="shared" si="1637"/>
        <v>1626</v>
      </c>
      <c r="D1683" s="7" t="e">
        <f t="shared" ca="1" si="1679"/>
        <v>#N/A</v>
      </c>
      <c r="E1683" s="26">
        <f t="array" aca="1" ref="E1683" ca="1">AVERAGE(IF(INDIRECT(DatCol&amp;"$"&amp;TEXT(C1683,"###")):INDIRECT(DatCol&amp;"$"&amp;TEXT(C1683+57,"###"))&gt;0,INDIRECT(DatCol&amp;"$"&amp;TEXT(C1683,"###")):INDIRECT(DatCol&amp;"$"&amp;TEXT(C1683+57,"###"))))</f>
        <v>7</v>
      </c>
      <c r="F1683" s="26" t="str">
        <f t="shared" si="1686"/>
        <v>B</v>
      </c>
      <c r="AK1683" s="13"/>
      <c r="AM1683" s="13"/>
      <c r="BN1683" s="8"/>
      <c r="BO1683" s="8"/>
      <c r="BP1683" s="8"/>
      <c r="BQ1683" s="12"/>
    </row>
    <row r="1684" spans="1:69">
      <c r="A1684" s="28">
        <v>1955</v>
      </c>
      <c r="B1684" s="27" t="s">
        <v>80</v>
      </c>
      <c r="C1684" s="24">
        <f>ROW()</f>
        <v>1684</v>
      </c>
      <c r="D1684" s="7" t="e">
        <f t="shared" ca="1" si="1679"/>
        <v>#N/A</v>
      </c>
      <c r="E1684" s="26">
        <f t="array" aca="1" ref="E1684" ca="1">AVERAGE(IF(INDIRECT(DatCol&amp;"$"&amp;TEXT(C1684,"###")):INDIRECT(DatCol&amp;"$"&amp;TEXT(C1684+57,"###"))&gt;0,INDIRECT(DatCol&amp;"$"&amp;TEXT(C1684,"###")):INDIRECT(DatCol&amp;"$"&amp;TEXT(C1684+57,"###"))))</f>
        <v>1196.625</v>
      </c>
      <c r="F1684" s="26" t="str">
        <f t="shared" si="1635"/>
        <v>N</v>
      </c>
      <c r="G1684" s="8"/>
      <c r="K1684" s="9">
        <f t="shared" si="1640"/>
        <v>0</v>
      </c>
      <c r="M1684" s="11">
        <f t="shared" si="1661"/>
        <v>0</v>
      </c>
      <c r="O1684" s="11">
        <f t="shared" si="1662"/>
        <v>0</v>
      </c>
      <c r="Q1684" s="11">
        <f t="shared" si="1663"/>
        <v>0</v>
      </c>
      <c r="Y1684" s="11">
        <f t="shared" si="1664"/>
        <v>0</v>
      </c>
      <c r="AG1684" s="11">
        <f t="shared" si="1665"/>
        <v>0</v>
      </c>
      <c r="AI1684" s="11">
        <f t="shared" si="1666"/>
        <v>0</v>
      </c>
      <c r="AK1684" s="13">
        <f t="shared" si="1667"/>
        <v>0</v>
      </c>
      <c r="AM1684" s="13">
        <f t="shared" si="1668"/>
        <v>0</v>
      </c>
      <c r="AO1684" s="11">
        <f t="shared" si="1669"/>
        <v>0</v>
      </c>
      <c r="AQ1684" s="11">
        <f t="shared" si="1670"/>
        <v>0</v>
      </c>
      <c r="AS1684" s="11">
        <f t="shared" si="1671"/>
        <v>0</v>
      </c>
      <c r="AU1684" s="11">
        <f t="shared" si="1672"/>
        <v>0</v>
      </c>
      <c r="AW1684" s="11">
        <f t="shared" si="1673"/>
        <v>0</v>
      </c>
      <c r="AY1684" s="11">
        <f t="shared" si="1674"/>
        <v>0</v>
      </c>
      <c r="BA1684" s="11">
        <f t="shared" si="1675"/>
        <v>0</v>
      </c>
      <c r="BC1684" s="11">
        <f t="shared" si="1676"/>
        <v>0</v>
      </c>
      <c r="BE1684" s="11">
        <f t="shared" si="1677"/>
        <v>0</v>
      </c>
      <c r="BG1684" s="11">
        <f t="shared" si="1678"/>
        <v>0</v>
      </c>
      <c r="BN1684" s="8">
        <f t="shared" si="1638"/>
        <v>0</v>
      </c>
      <c r="BO1684" s="8">
        <f t="shared" si="1639"/>
        <v>0</v>
      </c>
      <c r="BP1684" s="8">
        <f t="shared" si="1659"/>
        <v>0</v>
      </c>
      <c r="BQ1684" s="12">
        <f t="shared" si="1660"/>
        <v>0</v>
      </c>
    </row>
    <row r="1685" spans="1:69">
      <c r="A1685" s="28">
        <v>1956</v>
      </c>
      <c r="B1685" s="27" t="s">
        <v>80</v>
      </c>
      <c r="C1685" s="24">
        <f t="shared" ref="C1685:C1741" si="1687">C1684</f>
        <v>1684</v>
      </c>
      <c r="D1685" s="7" t="e">
        <f t="shared" ca="1" si="1679"/>
        <v>#N/A</v>
      </c>
      <c r="E1685" s="26">
        <f t="array" aca="1" ref="E1685" ca="1">AVERAGE(IF(INDIRECT(DatCol&amp;"$"&amp;TEXT(C1685,"###")):INDIRECT(DatCol&amp;"$"&amp;TEXT(C1685+57,"###"))&gt;0,INDIRECT(DatCol&amp;"$"&amp;TEXT(C1685,"###")):INDIRECT(DatCol&amp;"$"&amp;TEXT(C1685+57,"###"))))</f>
        <v>1196.625</v>
      </c>
      <c r="F1685" s="26" t="str">
        <f t="shared" si="1635"/>
        <v>N</v>
      </c>
      <c r="G1685" s="8"/>
      <c r="K1685" s="9">
        <f t="shared" si="1640"/>
        <v>0</v>
      </c>
      <c r="M1685" s="11">
        <f t="shared" si="1661"/>
        <v>0</v>
      </c>
      <c r="O1685" s="11">
        <f t="shared" si="1662"/>
        <v>0</v>
      </c>
      <c r="Q1685" s="11">
        <f t="shared" si="1663"/>
        <v>0</v>
      </c>
      <c r="Y1685" s="11">
        <f t="shared" si="1664"/>
        <v>0</v>
      </c>
      <c r="AG1685" s="11">
        <f t="shared" si="1665"/>
        <v>0</v>
      </c>
      <c r="AI1685" s="11">
        <f t="shared" si="1666"/>
        <v>0</v>
      </c>
      <c r="AK1685" s="13">
        <f t="shared" si="1667"/>
        <v>0</v>
      </c>
      <c r="AM1685" s="13">
        <f t="shared" si="1668"/>
        <v>0</v>
      </c>
      <c r="AO1685" s="11">
        <f t="shared" si="1669"/>
        <v>0</v>
      </c>
      <c r="AQ1685" s="11">
        <f t="shared" si="1670"/>
        <v>0</v>
      </c>
      <c r="AS1685" s="11">
        <f t="shared" si="1671"/>
        <v>0</v>
      </c>
      <c r="AU1685" s="11">
        <f t="shared" si="1672"/>
        <v>0</v>
      </c>
      <c r="AW1685" s="11">
        <f t="shared" si="1673"/>
        <v>0</v>
      </c>
      <c r="AY1685" s="11">
        <f t="shared" si="1674"/>
        <v>0</v>
      </c>
      <c r="BA1685" s="11">
        <f t="shared" si="1675"/>
        <v>0</v>
      </c>
      <c r="BC1685" s="11">
        <f t="shared" si="1676"/>
        <v>0</v>
      </c>
      <c r="BE1685" s="11">
        <f t="shared" si="1677"/>
        <v>0</v>
      </c>
      <c r="BG1685" s="11">
        <f t="shared" si="1678"/>
        <v>0</v>
      </c>
      <c r="BN1685" s="8">
        <f t="shared" si="1638"/>
        <v>0</v>
      </c>
      <c r="BO1685" s="8">
        <f t="shared" si="1639"/>
        <v>0</v>
      </c>
      <c r="BP1685" s="8">
        <f t="shared" si="1659"/>
        <v>0</v>
      </c>
      <c r="BQ1685" s="12">
        <f t="shared" si="1660"/>
        <v>0</v>
      </c>
    </row>
    <row r="1686" spans="1:69">
      <c r="A1686" s="28">
        <v>1957</v>
      </c>
      <c r="B1686" s="27" t="s">
        <v>80</v>
      </c>
      <c r="C1686" s="24">
        <f t="shared" si="1687"/>
        <v>1684</v>
      </c>
      <c r="D1686" s="7" t="e">
        <f t="shared" ca="1" si="1679"/>
        <v>#N/A</v>
      </c>
      <c r="E1686" s="26">
        <f t="array" aca="1" ref="E1686" ca="1">AVERAGE(IF(INDIRECT(DatCol&amp;"$"&amp;TEXT(C1686,"###")):INDIRECT(DatCol&amp;"$"&amp;TEXT(C1686+57,"###"))&gt;0,INDIRECT(DatCol&amp;"$"&amp;TEXT(C1686,"###")):INDIRECT(DatCol&amp;"$"&amp;TEXT(C1686+57,"###"))))</f>
        <v>1196.625</v>
      </c>
      <c r="F1686" s="26" t="str">
        <f t="shared" si="1635"/>
        <v>N</v>
      </c>
      <c r="G1686" s="8"/>
      <c r="K1686" s="9">
        <f t="shared" si="1640"/>
        <v>0</v>
      </c>
      <c r="M1686" s="11">
        <f t="shared" ref="M1686:M1701" si="1688">(L1686*50)</f>
        <v>0</v>
      </c>
      <c r="O1686" s="11">
        <f t="shared" ref="O1686:O1701" si="1689">(N1686*50)</f>
        <v>0</v>
      </c>
      <c r="Q1686" s="11">
        <f t="shared" ref="Q1686:Q1701" si="1690">((P1686*330)/5.5)</f>
        <v>0</v>
      </c>
      <c r="Y1686" s="11">
        <f t="shared" ref="Y1686:Y1701" si="1691">((X1686*330)/5.5)</f>
        <v>0</v>
      </c>
      <c r="AG1686" s="11">
        <f t="shared" ref="AG1686:AG1701" si="1692">(AF1686*65)</f>
        <v>0</v>
      </c>
      <c r="AI1686" s="11">
        <f t="shared" ref="AI1686:AI1701" si="1693">(AH1686*65)</f>
        <v>0</v>
      </c>
      <c r="AK1686" s="13">
        <f t="shared" ref="AK1686:AK1701" si="1694">(AJ1686*9)</f>
        <v>0</v>
      </c>
      <c r="AM1686" s="13">
        <f t="shared" ref="AM1686:AM1701" si="1695">(AL1686*9)</f>
        <v>0</v>
      </c>
      <c r="AO1686" s="11">
        <f t="shared" ref="AO1686:AO1701" si="1696">(AN1686*80)</f>
        <v>0</v>
      </c>
      <c r="AQ1686" s="11">
        <f t="shared" ref="AQ1686:AQ1701" si="1697">(AP1686*80)</f>
        <v>0</v>
      </c>
      <c r="AS1686" s="11">
        <f t="shared" ref="AS1686:AS1701" si="1698">(AR1686*50)</f>
        <v>0</v>
      </c>
      <c r="AU1686" s="11">
        <f t="shared" ref="AU1686:AU1701" si="1699">(AT1686*50)</f>
        <v>0</v>
      </c>
      <c r="AW1686" s="11">
        <f t="shared" ref="AW1686:AW1701" si="1700">(AV1686*60)</f>
        <v>0</v>
      </c>
      <c r="AY1686" s="11">
        <f t="shared" ref="AY1686:AY1701" si="1701">(AX1686*60)</f>
        <v>0</v>
      </c>
      <c r="BA1686" s="11">
        <f t="shared" ref="BA1686:BA1701" si="1702">(AZ1686*40)</f>
        <v>0</v>
      </c>
      <c r="BC1686" s="11">
        <f t="shared" ref="BC1686:BC1701" si="1703">(BB1686*40)</f>
        <v>0</v>
      </c>
      <c r="BE1686" s="11">
        <f t="shared" ref="BE1686:BE1701" si="1704">(BD1686*95)</f>
        <v>0</v>
      </c>
      <c r="BG1686" s="11">
        <f t="shared" ref="BG1686:BG1701" si="1705">(BF1686*95)</f>
        <v>0</v>
      </c>
      <c r="BN1686" s="8">
        <f t="shared" si="1638"/>
        <v>0</v>
      </c>
      <c r="BO1686" s="8">
        <f t="shared" si="1639"/>
        <v>0</v>
      </c>
      <c r="BP1686" s="8">
        <f t="shared" si="1659"/>
        <v>0</v>
      </c>
      <c r="BQ1686" s="12">
        <f t="shared" si="1660"/>
        <v>0</v>
      </c>
    </row>
    <row r="1687" spans="1:69">
      <c r="A1687" s="28">
        <v>1958</v>
      </c>
      <c r="B1687" s="27" t="s">
        <v>80</v>
      </c>
      <c r="C1687" s="24">
        <f t="shared" si="1687"/>
        <v>1684</v>
      </c>
      <c r="D1687" s="7" t="e">
        <f t="shared" ca="1" si="1679"/>
        <v>#N/A</v>
      </c>
      <c r="E1687" s="26">
        <f t="array" aca="1" ref="E1687" ca="1">AVERAGE(IF(INDIRECT(DatCol&amp;"$"&amp;TEXT(C1687,"###")):INDIRECT(DatCol&amp;"$"&amp;TEXT(C1687+57,"###"))&gt;0,INDIRECT(DatCol&amp;"$"&amp;TEXT(C1687,"###")):INDIRECT(DatCol&amp;"$"&amp;TEXT(C1687+57,"###"))))</f>
        <v>1196.625</v>
      </c>
      <c r="F1687" s="26" t="str">
        <f t="shared" si="1635"/>
        <v>N</v>
      </c>
      <c r="G1687" s="8"/>
      <c r="K1687" s="9">
        <f t="shared" si="1640"/>
        <v>0</v>
      </c>
      <c r="M1687" s="11">
        <f t="shared" si="1688"/>
        <v>0</v>
      </c>
      <c r="O1687" s="11">
        <f t="shared" si="1689"/>
        <v>0</v>
      </c>
      <c r="Q1687" s="11">
        <f t="shared" si="1690"/>
        <v>0</v>
      </c>
      <c r="Y1687" s="11">
        <f t="shared" si="1691"/>
        <v>0</v>
      </c>
      <c r="AG1687" s="11">
        <f t="shared" si="1692"/>
        <v>0</v>
      </c>
      <c r="AI1687" s="11">
        <f t="shared" si="1693"/>
        <v>0</v>
      </c>
      <c r="AK1687" s="13">
        <f t="shared" si="1694"/>
        <v>0</v>
      </c>
      <c r="AM1687" s="13">
        <f t="shared" si="1695"/>
        <v>0</v>
      </c>
      <c r="AO1687" s="11">
        <f t="shared" si="1696"/>
        <v>0</v>
      </c>
      <c r="AQ1687" s="11">
        <f t="shared" si="1697"/>
        <v>0</v>
      </c>
      <c r="AS1687" s="11">
        <f t="shared" si="1698"/>
        <v>0</v>
      </c>
      <c r="AU1687" s="11">
        <f t="shared" si="1699"/>
        <v>0</v>
      </c>
      <c r="AW1687" s="11">
        <f t="shared" si="1700"/>
        <v>0</v>
      </c>
      <c r="AY1687" s="11">
        <f t="shared" si="1701"/>
        <v>0</v>
      </c>
      <c r="BA1687" s="11">
        <f t="shared" si="1702"/>
        <v>0</v>
      </c>
      <c r="BC1687" s="11">
        <f t="shared" si="1703"/>
        <v>0</v>
      </c>
      <c r="BE1687" s="11">
        <f t="shared" si="1704"/>
        <v>0</v>
      </c>
      <c r="BG1687" s="11">
        <f t="shared" si="1705"/>
        <v>0</v>
      </c>
      <c r="BN1687" s="8">
        <f t="shared" si="1638"/>
        <v>0</v>
      </c>
      <c r="BO1687" s="8">
        <f t="shared" si="1639"/>
        <v>0</v>
      </c>
      <c r="BP1687" s="8">
        <f t="shared" si="1659"/>
        <v>0</v>
      </c>
      <c r="BQ1687" s="12">
        <f t="shared" si="1660"/>
        <v>0</v>
      </c>
    </row>
    <row r="1688" spans="1:69">
      <c r="A1688" s="28">
        <v>1959</v>
      </c>
      <c r="B1688" s="27" t="s">
        <v>80</v>
      </c>
      <c r="C1688" s="24">
        <f t="shared" si="1687"/>
        <v>1684</v>
      </c>
      <c r="D1688" s="7" t="e">
        <f t="shared" ca="1" si="1679"/>
        <v>#N/A</v>
      </c>
      <c r="E1688" s="26">
        <f t="array" aca="1" ref="E1688" ca="1">AVERAGE(IF(INDIRECT(DatCol&amp;"$"&amp;TEXT(C1688,"###")):INDIRECT(DatCol&amp;"$"&amp;TEXT(C1688+57,"###"))&gt;0,INDIRECT(DatCol&amp;"$"&amp;TEXT(C1688,"###")):INDIRECT(DatCol&amp;"$"&amp;TEXT(C1688+57,"###"))))</f>
        <v>1196.625</v>
      </c>
      <c r="F1688" s="26" t="str">
        <f t="shared" si="1635"/>
        <v>N</v>
      </c>
      <c r="G1688" s="8"/>
      <c r="K1688" s="9">
        <f t="shared" si="1640"/>
        <v>0</v>
      </c>
      <c r="M1688" s="11">
        <f t="shared" si="1688"/>
        <v>0</v>
      </c>
      <c r="O1688" s="11">
        <f t="shared" si="1689"/>
        <v>0</v>
      </c>
      <c r="Q1688" s="11">
        <f t="shared" si="1690"/>
        <v>0</v>
      </c>
      <c r="Y1688" s="11">
        <f t="shared" si="1691"/>
        <v>0</v>
      </c>
      <c r="AG1688" s="11">
        <f t="shared" si="1692"/>
        <v>0</v>
      </c>
      <c r="AI1688" s="11">
        <f t="shared" si="1693"/>
        <v>0</v>
      </c>
      <c r="AK1688" s="13">
        <f t="shared" si="1694"/>
        <v>0</v>
      </c>
      <c r="AM1688" s="13">
        <f t="shared" si="1695"/>
        <v>0</v>
      </c>
      <c r="AO1688" s="11">
        <f t="shared" si="1696"/>
        <v>0</v>
      </c>
      <c r="AQ1688" s="11">
        <f t="shared" si="1697"/>
        <v>0</v>
      </c>
      <c r="AS1688" s="11">
        <f t="shared" si="1698"/>
        <v>0</v>
      </c>
      <c r="AU1688" s="11">
        <f t="shared" si="1699"/>
        <v>0</v>
      </c>
      <c r="AW1688" s="11">
        <f t="shared" si="1700"/>
        <v>0</v>
      </c>
      <c r="AY1688" s="11">
        <f t="shared" si="1701"/>
        <v>0</v>
      </c>
      <c r="BA1688" s="11">
        <f t="shared" si="1702"/>
        <v>0</v>
      </c>
      <c r="BC1688" s="11">
        <f t="shared" si="1703"/>
        <v>0</v>
      </c>
      <c r="BE1688" s="11">
        <f t="shared" si="1704"/>
        <v>0</v>
      </c>
      <c r="BG1688" s="11">
        <f t="shared" si="1705"/>
        <v>0</v>
      </c>
      <c r="BN1688" s="8">
        <f t="shared" si="1638"/>
        <v>0</v>
      </c>
      <c r="BO1688" s="8">
        <f t="shared" si="1639"/>
        <v>0</v>
      </c>
      <c r="BP1688" s="8">
        <f t="shared" si="1659"/>
        <v>0</v>
      </c>
      <c r="BQ1688" s="12">
        <f t="shared" si="1660"/>
        <v>0</v>
      </c>
    </row>
    <row r="1689" spans="1:69">
      <c r="A1689" s="28">
        <v>1960</v>
      </c>
      <c r="B1689" s="27" t="s">
        <v>80</v>
      </c>
      <c r="C1689" s="24">
        <f t="shared" si="1687"/>
        <v>1684</v>
      </c>
      <c r="D1689" s="7" t="e">
        <f t="shared" ca="1" si="1679"/>
        <v>#N/A</v>
      </c>
      <c r="E1689" s="26">
        <f t="array" aca="1" ref="E1689" ca="1">AVERAGE(IF(INDIRECT(DatCol&amp;"$"&amp;TEXT(C1689,"###")):INDIRECT(DatCol&amp;"$"&amp;TEXT(C1689+57,"###"))&gt;0,INDIRECT(DatCol&amp;"$"&amp;TEXT(C1689,"###")):INDIRECT(DatCol&amp;"$"&amp;TEXT(C1689+57,"###"))))</f>
        <v>1196.625</v>
      </c>
      <c r="F1689" s="26" t="str">
        <f t="shared" ref="F1689:F1755" si="1706">VLOOKUP(B1689,town_region,2,FALSE)</f>
        <v>N</v>
      </c>
      <c r="G1689" s="8"/>
      <c r="K1689" s="9">
        <f t="shared" si="1640"/>
        <v>0</v>
      </c>
      <c r="M1689" s="11">
        <f t="shared" si="1688"/>
        <v>0</v>
      </c>
      <c r="O1689" s="11">
        <f t="shared" si="1689"/>
        <v>0</v>
      </c>
      <c r="Q1689" s="11">
        <f t="shared" si="1690"/>
        <v>0</v>
      </c>
      <c r="Y1689" s="11">
        <f t="shared" si="1691"/>
        <v>0</v>
      </c>
      <c r="AG1689" s="11">
        <f t="shared" si="1692"/>
        <v>0</v>
      </c>
      <c r="AI1689" s="11">
        <f t="shared" si="1693"/>
        <v>0</v>
      </c>
      <c r="AK1689" s="13">
        <f t="shared" si="1694"/>
        <v>0</v>
      </c>
      <c r="AM1689" s="13">
        <f t="shared" si="1695"/>
        <v>0</v>
      </c>
      <c r="AO1689" s="11">
        <f t="shared" si="1696"/>
        <v>0</v>
      </c>
      <c r="AQ1689" s="11">
        <f t="shared" si="1697"/>
        <v>0</v>
      </c>
      <c r="AS1689" s="11">
        <f t="shared" si="1698"/>
        <v>0</v>
      </c>
      <c r="AU1689" s="11">
        <f t="shared" si="1699"/>
        <v>0</v>
      </c>
      <c r="AW1689" s="11">
        <f t="shared" si="1700"/>
        <v>0</v>
      </c>
      <c r="AY1689" s="11">
        <f t="shared" si="1701"/>
        <v>0</v>
      </c>
      <c r="BA1689" s="11">
        <f t="shared" si="1702"/>
        <v>0</v>
      </c>
      <c r="BC1689" s="11">
        <f t="shared" si="1703"/>
        <v>0</v>
      </c>
      <c r="BE1689" s="11">
        <f t="shared" si="1704"/>
        <v>0</v>
      </c>
      <c r="BG1689" s="11">
        <f t="shared" si="1705"/>
        <v>0</v>
      </c>
      <c r="BN1689" s="8">
        <f t="shared" si="1638"/>
        <v>0</v>
      </c>
      <c r="BO1689" s="8">
        <f t="shared" si="1639"/>
        <v>0</v>
      </c>
      <c r="BP1689" s="8">
        <f t="shared" si="1659"/>
        <v>0</v>
      </c>
      <c r="BQ1689" s="12">
        <f t="shared" si="1660"/>
        <v>0</v>
      </c>
    </row>
    <row r="1690" spans="1:69">
      <c r="A1690" s="28">
        <v>1961</v>
      </c>
      <c r="B1690" s="27" t="s">
        <v>80</v>
      </c>
      <c r="C1690" s="24">
        <f t="shared" si="1687"/>
        <v>1684</v>
      </c>
      <c r="D1690" s="7" t="e">
        <f t="shared" ca="1" si="1679"/>
        <v>#N/A</v>
      </c>
      <c r="E1690" s="26">
        <f t="array" aca="1" ref="E1690" ca="1">AVERAGE(IF(INDIRECT(DatCol&amp;"$"&amp;TEXT(C1690,"###")):INDIRECT(DatCol&amp;"$"&amp;TEXT(C1690+57,"###"))&gt;0,INDIRECT(DatCol&amp;"$"&amp;TEXT(C1690,"###")):INDIRECT(DatCol&amp;"$"&amp;TEXT(C1690+57,"###"))))</f>
        <v>1196.625</v>
      </c>
      <c r="F1690" s="26" t="str">
        <f t="shared" si="1706"/>
        <v>N</v>
      </c>
      <c r="G1690" s="8"/>
      <c r="K1690" s="9">
        <f t="shared" si="1640"/>
        <v>0</v>
      </c>
      <c r="M1690" s="11">
        <f t="shared" si="1688"/>
        <v>0</v>
      </c>
      <c r="O1690" s="11">
        <f t="shared" si="1689"/>
        <v>0</v>
      </c>
      <c r="Q1690" s="11">
        <f t="shared" si="1690"/>
        <v>0</v>
      </c>
      <c r="Y1690" s="11">
        <f t="shared" si="1691"/>
        <v>0</v>
      </c>
      <c r="AG1690" s="11">
        <f t="shared" si="1692"/>
        <v>0</v>
      </c>
      <c r="AI1690" s="11">
        <f t="shared" si="1693"/>
        <v>0</v>
      </c>
      <c r="AK1690" s="13">
        <f t="shared" si="1694"/>
        <v>0</v>
      </c>
      <c r="AM1690" s="13">
        <f t="shared" si="1695"/>
        <v>0</v>
      </c>
      <c r="AO1690" s="11">
        <f t="shared" si="1696"/>
        <v>0</v>
      </c>
      <c r="AQ1690" s="11">
        <f t="shared" si="1697"/>
        <v>0</v>
      </c>
      <c r="AS1690" s="11">
        <f t="shared" si="1698"/>
        <v>0</v>
      </c>
      <c r="AU1690" s="11">
        <f t="shared" si="1699"/>
        <v>0</v>
      </c>
      <c r="AW1690" s="11">
        <f t="shared" si="1700"/>
        <v>0</v>
      </c>
      <c r="AY1690" s="11">
        <f t="shared" si="1701"/>
        <v>0</v>
      </c>
      <c r="BA1690" s="11">
        <f t="shared" si="1702"/>
        <v>0</v>
      </c>
      <c r="BC1690" s="11">
        <f t="shared" si="1703"/>
        <v>0</v>
      </c>
      <c r="BE1690" s="11">
        <f t="shared" si="1704"/>
        <v>0</v>
      </c>
      <c r="BG1690" s="11">
        <f t="shared" si="1705"/>
        <v>0</v>
      </c>
      <c r="BN1690" s="8">
        <f t="shared" si="1638"/>
        <v>0</v>
      </c>
      <c r="BO1690" s="8">
        <f t="shared" si="1639"/>
        <v>0</v>
      </c>
      <c r="BP1690" s="8">
        <f t="shared" si="1659"/>
        <v>0</v>
      </c>
      <c r="BQ1690" s="12">
        <f t="shared" si="1660"/>
        <v>0</v>
      </c>
    </row>
    <row r="1691" spans="1:69">
      <c r="A1691" s="28">
        <v>1962</v>
      </c>
      <c r="B1691" s="27" t="s">
        <v>80</v>
      </c>
      <c r="C1691" s="24">
        <f t="shared" si="1687"/>
        <v>1684</v>
      </c>
      <c r="D1691" s="7" t="e">
        <f t="shared" ca="1" si="1679"/>
        <v>#N/A</v>
      </c>
      <c r="E1691" s="26">
        <f t="array" aca="1" ref="E1691" ca="1">AVERAGE(IF(INDIRECT(DatCol&amp;"$"&amp;TEXT(C1691,"###")):INDIRECT(DatCol&amp;"$"&amp;TEXT(C1691+57,"###"))&gt;0,INDIRECT(DatCol&amp;"$"&amp;TEXT(C1691,"###")):INDIRECT(DatCol&amp;"$"&amp;TEXT(C1691+57,"###"))))</f>
        <v>1196.625</v>
      </c>
      <c r="F1691" s="26" t="str">
        <f t="shared" si="1706"/>
        <v>N</v>
      </c>
      <c r="G1691" s="8"/>
      <c r="K1691" s="9">
        <f t="shared" si="1640"/>
        <v>0</v>
      </c>
      <c r="M1691" s="11">
        <f t="shared" si="1688"/>
        <v>0</v>
      </c>
      <c r="O1691" s="11">
        <f t="shared" si="1689"/>
        <v>0</v>
      </c>
      <c r="Q1691" s="11">
        <f t="shared" si="1690"/>
        <v>0</v>
      </c>
      <c r="Y1691" s="11">
        <f t="shared" si="1691"/>
        <v>0</v>
      </c>
      <c r="AG1691" s="11">
        <f t="shared" si="1692"/>
        <v>0</v>
      </c>
      <c r="AI1691" s="11">
        <f t="shared" si="1693"/>
        <v>0</v>
      </c>
      <c r="AK1691" s="13">
        <f t="shared" si="1694"/>
        <v>0</v>
      </c>
      <c r="AM1691" s="13">
        <f t="shared" si="1695"/>
        <v>0</v>
      </c>
      <c r="AO1691" s="11">
        <f t="shared" si="1696"/>
        <v>0</v>
      </c>
      <c r="AQ1691" s="11">
        <f t="shared" si="1697"/>
        <v>0</v>
      </c>
      <c r="AS1691" s="11">
        <f t="shared" si="1698"/>
        <v>0</v>
      </c>
      <c r="AU1691" s="11">
        <f t="shared" si="1699"/>
        <v>0</v>
      </c>
      <c r="AW1691" s="11">
        <f t="shared" si="1700"/>
        <v>0</v>
      </c>
      <c r="AY1691" s="11">
        <f t="shared" si="1701"/>
        <v>0</v>
      </c>
      <c r="BA1691" s="11">
        <f t="shared" si="1702"/>
        <v>0</v>
      </c>
      <c r="BC1691" s="11">
        <f t="shared" si="1703"/>
        <v>0</v>
      </c>
      <c r="BE1691" s="11">
        <f t="shared" si="1704"/>
        <v>0</v>
      </c>
      <c r="BG1691" s="11">
        <f t="shared" si="1705"/>
        <v>0</v>
      </c>
      <c r="BN1691" s="8">
        <f t="shared" si="1638"/>
        <v>0</v>
      </c>
      <c r="BO1691" s="8">
        <f t="shared" si="1639"/>
        <v>0</v>
      </c>
      <c r="BP1691" s="8">
        <f t="shared" si="1659"/>
        <v>0</v>
      </c>
      <c r="BQ1691" s="12">
        <f t="shared" si="1660"/>
        <v>0</v>
      </c>
    </row>
    <row r="1692" spans="1:69">
      <c r="A1692" s="28">
        <v>1963</v>
      </c>
      <c r="B1692" s="27" t="s">
        <v>80</v>
      </c>
      <c r="C1692" s="24">
        <f t="shared" si="1687"/>
        <v>1684</v>
      </c>
      <c r="D1692" s="7" t="e">
        <f t="shared" ca="1" si="1679"/>
        <v>#N/A</v>
      </c>
      <c r="E1692" s="26">
        <f t="array" aca="1" ref="E1692" ca="1">AVERAGE(IF(INDIRECT(DatCol&amp;"$"&amp;TEXT(C1692,"###")):INDIRECT(DatCol&amp;"$"&amp;TEXT(C1692+57,"###"))&gt;0,INDIRECT(DatCol&amp;"$"&amp;TEXT(C1692,"###")):INDIRECT(DatCol&amp;"$"&amp;TEXT(C1692+57,"###"))))</f>
        <v>1196.625</v>
      </c>
      <c r="F1692" s="26" t="str">
        <f t="shared" si="1706"/>
        <v>N</v>
      </c>
      <c r="G1692" s="8"/>
      <c r="K1692" s="9">
        <f t="shared" si="1640"/>
        <v>0</v>
      </c>
      <c r="M1692" s="11">
        <f t="shared" si="1688"/>
        <v>0</v>
      </c>
      <c r="O1692" s="11">
        <f t="shared" si="1689"/>
        <v>0</v>
      </c>
      <c r="Q1692" s="11">
        <f t="shared" si="1690"/>
        <v>0</v>
      </c>
      <c r="Y1692" s="11">
        <f t="shared" si="1691"/>
        <v>0</v>
      </c>
      <c r="AG1692" s="11">
        <f t="shared" si="1692"/>
        <v>0</v>
      </c>
      <c r="AI1692" s="11">
        <f t="shared" si="1693"/>
        <v>0</v>
      </c>
      <c r="AK1692" s="13">
        <f t="shared" si="1694"/>
        <v>0</v>
      </c>
      <c r="AM1692" s="13">
        <f t="shared" si="1695"/>
        <v>0</v>
      </c>
      <c r="AO1692" s="11">
        <f t="shared" si="1696"/>
        <v>0</v>
      </c>
      <c r="AQ1692" s="11">
        <f t="shared" si="1697"/>
        <v>0</v>
      </c>
      <c r="AS1692" s="11">
        <f t="shared" si="1698"/>
        <v>0</v>
      </c>
      <c r="AU1692" s="11">
        <f t="shared" si="1699"/>
        <v>0</v>
      </c>
      <c r="AW1692" s="11">
        <f t="shared" si="1700"/>
        <v>0</v>
      </c>
      <c r="AY1692" s="11">
        <f t="shared" si="1701"/>
        <v>0</v>
      </c>
      <c r="BA1692" s="11">
        <f t="shared" si="1702"/>
        <v>0</v>
      </c>
      <c r="BC1692" s="11">
        <f t="shared" si="1703"/>
        <v>0</v>
      </c>
      <c r="BE1692" s="11">
        <f t="shared" si="1704"/>
        <v>0</v>
      </c>
      <c r="BG1692" s="11">
        <f t="shared" si="1705"/>
        <v>0</v>
      </c>
      <c r="BN1692" s="8">
        <f t="shared" si="1638"/>
        <v>0</v>
      </c>
      <c r="BO1692" s="8">
        <f t="shared" si="1639"/>
        <v>0</v>
      </c>
      <c r="BP1692" s="8">
        <f t="shared" si="1659"/>
        <v>0</v>
      </c>
      <c r="BQ1692" s="12">
        <f t="shared" si="1660"/>
        <v>0</v>
      </c>
    </row>
    <row r="1693" spans="1:69">
      <c r="A1693" s="28">
        <v>1964</v>
      </c>
      <c r="B1693" s="27" t="s">
        <v>80</v>
      </c>
      <c r="C1693" s="24">
        <f t="shared" si="1687"/>
        <v>1684</v>
      </c>
      <c r="D1693" s="7" t="e">
        <f t="shared" ca="1" si="1679"/>
        <v>#N/A</v>
      </c>
      <c r="E1693" s="26">
        <f t="array" aca="1" ref="E1693" ca="1">AVERAGE(IF(INDIRECT(DatCol&amp;"$"&amp;TEXT(C1693,"###")):INDIRECT(DatCol&amp;"$"&amp;TEXT(C1693+57,"###"))&gt;0,INDIRECT(DatCol&amp;"$"&amp;TEXT(C1693,"###")):INDIRECT(DatCol&amp;"$"&amp;TEXT(C1693+57,"###"))))</f>
        <v>1196.625</v>
      </c>
      <c r="F1693" s="26" t="str">
        <f t="shared" si="1706"/>
        <v>N</v>
      </c>
      <c r="G1693" s="8"/>
      <c r="K1693" s="9">
        <f t="shared" si="1640"/>
        <v>0</v>
      </c>
      <c r="M1693" s="11">
        <f t="shared" si="1688"/>
        <v>0</v>
      </c>
      <c r="O1693" s="11">
        <f t="shared" si="1689"/>
        <v>0</v>
      </c>
      <c r="Q1693" s="11">
        <f t="shared" si="1690"/>
        <v>0</v>
      </c>
      <c r="Y1693" s="11">
        <f t="shared" si="1691"/>
        <v>0</v>
      </c>
      <c r="AG1693" s="11">
        <f t="shared" si="1692"/>
        <v>0</v>
      </c>
      <c r="AI1693" s="11">
        <f t="shared" si="1693"/>
        <v>0</v>
      </c>
      <c r="AK1693" s="13">
        <f t="shared" si="1694"/>
        <v>0</v>
      </c>
      <c r="AM1693" s="13">
        <f t="shared" si="1695"/>
        <v>0</v>
      </c>
      <c r="AO1693" s="11">
        <f t="shared" si="1696"/>
        <v>0</v>
      </c>
      <c r="AQ1693" s="11">
        <f t="shared" si="1697"/>
        <v>0</v>
      </c>
      <c r="AS1693" s="11">
        <f t="shared" si="1698"/>
        <v>0</v>
      </c>
      <c r="AU1693" s="11">
        <f t="shared" si="1699"/>
        <v>0</v>
      </c>
      <c r="AW1693" s="11">
        <f t="shared" si="1700"/>
        <v>0</v>
      </c>
      <c r="AY1693" s="11">
        <f t="shared" si="1701"/>
        <v>0</v>
      </c>
      <c r="BA1693" s="11">
        <f t="shared" si="1702"/>
        <v>0</v>
      </c>
      <c r="BC1693" s="11">
        <f t="shared" si="1703"/>
        <v>0</v>
      </c>
      <c r="BE1693" s="11">
        <f t="shared" si="1704"/>
        <v>0</v>
      </c>
      <c r="BG1693" s="11">
        <f t="shared" si="1705"/>
        <v>0</v>
      </c>
      <c r="BN1693" s="8">
        <f t="shared" si="1638"/>
        <v>0</v>
      </c>
      <c r="BO1693" s="8">
        <f t="shared" si="1639"/>
        <v>0</v>
      </c>
      <c r="BP1693" s="8">
        <f t="shared" si="1659"/>
        <v>0</v>
      </c>
      <c r="BQ1693" s="12">
        <f t="shared" si="1660"/>
        <v>0</v>
      </c>
    </row>
    <row r="1694" spans="1:69">
      <c r="A1694" s="28">
        <v>1965</v>
      </c>
      <c r="B1694" s="27" t="s">
        <v>80</v>
      </c>
      <c r="C1694" s="24">
        <f t="shared" si="1687"/>
        <v>1684</v>
      </c>
      <c r="D1694" s="7" t="e">
        <f t="shared" ca="1" si="1679"/>
        <v>#N/A</v>
      </c>
      <c r="E1694" s="26">
        <f t="array" aca="1" ref="E1694" ca="1">AVERAGE(IF(INDIRECT(DatCol&amp;"$"&amp;TEXT(C1694,"###")):INDIRECT(DatCol&amp;"$"&amp;TEXT(C1694+57,"###"))&gt;0,INDIRECT(DatCol&amp;"$"&amp;TEXT(C1694,"###")):INDIRECT(DatCol&amp;"$"&amp;TEXT(C1694+57,"###"))))</f>
        <v>1196.625</v>
      </c>
      <c r="F1694" s="26" t="str">
        <f t="shared" si="1706"/>
        <v>N</v>
      </c>
      <c r="G1694" s="8"/>
      <c r="K1694" s="9">
        <f t="shared" si="1640"/>
        <v>0</v>
      </c>
      <c r="M1694" s="11">
        <f t="shared" si="1688"/>
        <v>0</v>
      </c>
      <c r="O1694" s="11">
        <f t="shared" si="1689"/>
        <v>0</v>
      </c>
      <c r="Q1694" s="11">
        <f t="shared" si="1690"/>
        <v>0</v>
      </c>
      <c r="Y1694" s="11">
        <f t="shared" si="1691"/>
        <v>0</v>
      </c>
      <c r="AG1694" s="11">
        <f t="shared" si="1692"/>
        <v>0</v>
      </c>
      <c r="AI1694" s="11">
        <f t="shared" si="1693"/>
        <v>0</v>
      </c>
      <c r="AK1694" s="13">
        <f t="shared" si="1694"/>
        <v>0</v>
      </c>
      <c r="AM1694" s="13">
        <f t="shared" si="1695"/>
        <v>0</v>
      </c>
      <c r="AO1694" s="11">
        <f t="shared" si="1696"/>
        <v>0</v>
      </c>
      <c r="AQ1694" s="11">
        <f t="shared" si="1697"/>
        <v>0</v>
      </c>
      <c r="AS1694" s="11">
        <f t="shared" si="1698"/>
        <v>0</v>
      </c>
      <c r="AU1694" s="11">
        <f t="shared" si="1699"/>
        <v>0</v>
      </c>
      <c r="AW1694" s="11">
        <f t="shared" si="1700"/>
        <v>0</v>
      </c>
      <c r="AY1694" s="11">
        <f t="shared" si="1701"/>
        <v>0</v>
      </c>
      <c r="BA1694" s="11">
        <f t="shared" si="1702"/>
        <v>0</v>
      </c>
      <c r="BC1694" s="11">
        <f t="shared" si="1703"/>
        <v>0</v>
      </c>
      <c r="BE1694" s="11">
        <f t="shared" si="1704"/>
        <v>0</v>
      </c>
      <c r="BG1694" s="11">
        <f t="shared" si="1705"/>
        <v>0</v>
      </c>
      <c r="BN1694" s="8">
        <f t="shared" ref="BN1694:BN1758" si="1707">(L1694+P1694+R1694+T1694+V1694+X1694+Z1694+AB1694+AD1694+AF1694+AJ1694+AN1694+AR1694+AV1694+AZ1694+BD1694)</f>
        <v>0</v>
      </c>
      <c r="BO1694" s="8">
        <f t="shared" si="1639"/>
        <v>0</v>
      </c>
      <c r="BP1694" s="8">
        <f t="shared" si="1659"/>
        <v>0</v>
      </c>
      <c r="BQ1694" s="12">
        <f t="shared" si="1660"/>
        <v>0</v>
      </c>
    </row>
    <row r="1695" spans="1:69">
      <c r="A1695" s="28">
        <v>1966</v>
      </c>
      <c r="B1695" s="27" t="s">
        <v>80</v>
      </c>
      <c r="C1695" s="24">
        <f t="shared" si="1687"/>
        <v>1684</v>
      </c>
      <c r="D1695" s="7" t="e">
        <f t="shared" ca="1" si="1679"/>
        <v>#N/A</v>
      </c>
      <c r="E1695" s="26">
        <f t="array" aca="1" ref="E1695" ca="1">AVERAGE(IF(INDIRECT(DatCol&amp;"$"&amp;TEXT(C1695,"###")):INDIRECT(DatCol&amp;"$"&amp;TEXT(C1695+57,"###"))&gt;0,INDIRECT(DatCol&amp;"$"&amp;TEXT(C1695,"###")):INDIRECT(DatCol&amp;"$"&amp;TEXT(C1695+57,"###"))))</f>
        <v>1196.625</v>
      </c>
      <c r="F1695" s="26" t="str">
        <f t="shared" si="1706"/>
        <v>N</v>
      </c>
      <c r="G1695" s="8"/>
      <c r="K1695" s="9">
        <f t="shared" si="1640"/>
        <v>0</v>
      </c>
      <c r="M1695" s="11">
        <f t="shared" si="1688"/>
        <v>0</v>
      </c>
      <c r="O1695" s="11">
        <f t="shared" si="1689"/>
        <v>0</v>
      </c>
      <c r="Q1695" s="11">
        <f t="shared" si="1690"/>
        <v>0</v>
      </c>
      <c r="Y1695" s="11">
        <f t="shared" si="1691"/>
        <v>0</v>
      </c>
      <c r="AG1695" s="11">
        <f t="shared" si="1692"/>
        <v>0</v>
      </c>
      <c r="AI1695" s="11">
        <f t="shared" si="1693"/>
        <v>0</v>
      </c>
      <c r="AK1695" s="13">
        <f t="shared" si="1694"/>
        <v>0</v>
      </c>
      <c r="AM1695" s="13">
        <f t="shared" si="1695"/>
        <v>0</v>
      </c>
      <c r="AO1695" s="11">
        <f t="shared" si="1696"/>
        <v>0</v>
      </c>
      <c r="AQ1695" s="11">
        <f t="shared" si="1697"/>
        <v>0</v>
      </c>
      <c r="AS1695" s="11">
        <f t="shared" si="1698"/>
        <v>0</v>
      </c>
      <c r="AU1695" s="11">
        <f t="shared" si="1699"/>
        <v>0</v>
      </c>
      <c r="AW1695" s="11">
        <f t="shared" si="1700"/>
        <v>0</v>
      </c>
      <c r="AY1695" s="11">
        <f t="shared" si="1701"/>
        <v>0</v>
      </c>
      <c r="BA1695" s="11">
        <f t="shared" si="1702"/>
        <v>0</v>
      </c>
      <c r="BC1695" s="11">
        <f t="shared" si="1703"/>
        <v>0</v>
      </c>
      <c r="BE1695" s="11">
        <f t="shared" si="1704"/>
        <v>0</v>
      </c>
      <c r="BG1695" s="11">
        <f t="shared" si="1705"/>
        <v>0</v>
      </c>
      <c r="BN1695" s="8">
        <f t="shared" si="1707"/>
        <v>0</v>
      </c>
      <c r="BO1695" s="8">
        <f t="shared" ref="BO1695:BO1759" si="1708">(M1695+Q1695+S1695+U1695+W1695+Y1695+AA1695+AC1695+AG1695+AK1695+AO1695+AS1695+AW1695+BA1695+BE1695)</f>
        <v>0</v>
      </c>
      <c r="BP1695" s="8">
        <f t="shared" si="1659"/>
        <v>0</v>
      </c>
      <c r="BQ1695" s="12">
        <f t="shared" si="1660"/>
        <v>0</v>
      </c>
    </row>
    <row r="1696" spans="1:69">
      <c r="A1696" s="28">
        <v>1967</v>
      </c>
      <c r="B1696" s="27" t="s">
        <v>80</v>
      </c>
      <c r="C1696" s="24">
        <f t="shared" si="1687"/>
        <v>1684</v>
      </c>
      <c r="D1696" s="7" t="e">
        <f t="shared" ca="1" si="1679"/>
        <v>#N/A</v>
      </c>
      <c r="E1696" s="26">
        <f t="array" aca="1" ref="E1696" ca="1">AVERAGE(IF(INDIRECT(DatCol&amp;"$"&amp;TEXT(C1696,"###")):INDIRECT(DatCol&amp;"$"&amp;TEXT(C1696+57,"###"))&gt;0,INDIRECT(DatCol&amp;"$"&amp;TEXT(C1696,"###")):INDIRECT(DatCol&amp;"$"&amp;TEXT(C1696+57,"###"))))</f>
        <v>1196.625</v>
      </c>
      <c r="F1696" s="26" t="str">
        <f t="shared" si="1706"/>
        <v>N</v>
      </c>
      <c r="G1696" s="8"/>
      <c r="H1696" s="8">
        <v>58</v>
      </c>
      <c r="I1696" s="8">
        <v>21</v>
      </c>
      <c r="J1696" s="8">
        <v>103</v>
      </c>
      <c r="K1696" s="9">
        <f t="shared" ref="K1696:K1760" si="1709">G1696+H1696+J1696</f>
        <v>161</v>
      </c>
      <c r="L1696" s="12">
        <v>2248</v>
      </c>
      <c r="M1696" s="11">
        <f t="shared" si="1688"/>
        <v>112400</v>
      </c>
      <c r="O1696" s="11">
        <f t="shared" si="1689"/>
        <v>0</v>
      </c>
      <c r="Q1696" s="11">
        <f t="shared" si="1690"/>
        <v>0</v>
      </c>
      <c r="Y1696" s="11">
        <f t="shared" si="1691"/>
        <v>0</v>
      </c>
      <c r="AG1696" s="11">
        <f t="shared" si="1692"/>
        <v>0</v>
      </c>
      <c r="AI1696" s="11">
        <f t="shared" si="1693"/>
        <v>0</v>
      </c>
      <c r="AK1696" s="13">
        <f t="shared" si="1694"/>
        <v>0</v>
      </c>
      <c r="AM1696" s="13">
        <f t="shared" si="1695"/>
        <v>0</v>
      </c>
      <c r="AO1696" s="11">
        <f t="shared" si="1696"/>
        <v>0</v>
      </c>
      <c r="AQ1696" s="11">
        <f t="shared" si="1697"/>
        <v>0</v>
      </c>
      <c r="AS1696" s="11">
        <f t="shared" si="1698"/>
        <v>0</v>
      </c>
      <c r="AU1696" s="11">
        <f t="shared" si="1699"/>
        <v>0</v>
      </c>
      <c r="AW1696" s="11">
        <f t="shared" si="1700"/>
        <v>0</v>
      </c>
      <c r="AY1696" s="11">
        <f t="shared" si="1701"/>
        <v>0</v>
      </c>
      <c r="BA1696" s="11">
        <f t="shared" si="1702"/>
        <v>0</v>
      </c>
      <c r="BC1696" s="11">
        <f t="shared" si="1703"/>
        <v>0</v>
      </c>
      <c r="BE1696" s="11">
        <f t="shared" si="1704"/>
        <v>0</v>
      </c>
      <c r="BG1696" s="11">
        <f t="shared" si="1705"/>
        <v>0</v>
      </c>
      <c r="BN1696" s="8">
        <f t="shared" si="1707"/>
        <v>2248</v>
      </c>
      <c r="BO1696" s="8">
        <f t="shared" si="1708"/>
        <v>112400</v>
      </c>
      <c r="BP1696" s="8">
        <f t="shared" si="1659"/>
        <v>0</v>
      </c>
      <c r="BQ1696" s="12">
        <f t="shared" si="1660"/>
        <v>0</v>
      </c>
    </row>
    <row r="1697" spans="1:69">
      <c r="A1697" s="28">
        <v>1968</v>
      </c>
      <c r="B1697" s="27" t="s">
        <v>80</v>
      </c>
      <c r="C1697" s="24">
        <f t="shared" si="1687"/>
        <v>1684</v>
      </c>
      <c r="D1697" s="7" t="e">
        <f t="shared" ca="1" si="1679"/>
        <v>#N/A</v>
      </c>
      <c r="E1697" s="26">
        <f t="array" aca="1" ref="E1697" ca="1">AVERAGE(IF(INDIRECT(DatCol&amp;"$"&amp;TEXT(C1697,"###")):INDIRECT(DatCol&amp;"$"&amp;TEXT(C1697+57,"###"))&gt;0,INDIRECT(DatCol&amp;"$"&amp;TEXT(C1697,"###")):INDIRECT(DatCol&amp;"$"&amp;TEXT(C1697+57,"###"))))</f>
        <v>1196.625</v>
      </c>
      <c r="F1697" s="26" t="str">
        <f t="shared" si="1706"/>
        <v>N</v>
      </c>
      <c r="G1697" s="8"/>
      <c r="K1697" s="9">
        <f t="shared" si="1709"/>
        <v>0</v>
      </c>
      <c r="M1697" s="11">
        <f t="shared" si="1688"/>
        <v>0</v>
      </c>
      <c r="O1697" s="11">
        <f t="shared" si="1689"/>
        <v>0</v>
      </c>
      <c r="Q1697" s="11">
        <f t="shared" si="1690"/>
        <v>0</v>
      </c>
      <c r="Y1697" s="11">
        <f t="shared" si="1691"/>
        <v>0</v>
      </c>
      <c r="AG1697" s="11">
        <f t="shared" si="1692"/>
        <v>0</v>
      </c>
      <c r="AI1697" s="11">
        <f t="shared" si="1693"/>
        <v>0</v>
      </c>
      <c r="AK1697" s="13">
        <f t="shared" si="1694"/>
        <v>0</v>
      </c>
      <c r="AM1697" s="13">
        <f t="shared" si="1695"/>
        <v>0</v>
      </c>
      <c r="AO1697" s="11">
        <f t="shared" si="1696"/>
        <v>0</v>
      </c>
      <c r="AQ1697" s="11">
        <f t="shared" si="1697"/>
        <v>0</v>
      </c>
      <c r="AS1697" s="11">
        <f t="shared" si="1698"/>
        <v>0</v>
      </c>
      <c r="AU1697" s="11">
        <f t="shared" si="1699"/>
        <v>0</v>
      </c>
      <c r="AW1697" s="11">
        <f t="shared" si="1700"/>
        <v>0</v>
      </c>
      <c r="AY1697" s="11">
        <f t="shared" si="1701"/>
        <v>0</v>
      </c>
      <c r="BA1697" s="11">
        <f t="shared" si="1702"/>
        <v>0</v>
      </c>
      <c r="BC1697" s="11">
        <f t="shared" si="1703"/>
        <v>0</v>
      </c>
      <c r="BE1697" s="11">
        <f t="shared" si="1704"/>
        <v>0</v>
      </c>
      <c r="BG1697" s="11">
        <f t="shared" si="1705"/>
        <v>0</v>
      </c>
      <c r="BN1697" s="8">
        <f t="shared" si="1707"/>
        <v>0</v>
      </c>
      <c r="BO1697" s="8">
        <f t="shared" si="1708"/>
        <v>0</v>
      </c>
      <c r="BP1697" s="8">
        <f t="shared" si="1659"/>
        <v>0</v>
      </c>
      <c r="BQ1697" s="12">
        <f t="shared" si="1660"/>
        <v>0</v>
      </c>
    </row>
    <row r="1698" spans="1:69">
      <c r="A1698" s="28">
        <v>1969</v>
      </c>
      <c r="B1698" s="27" t="s">
        <v>80</v>
      </c>
      <c r="C1698" s="24">
        <f t="shared" si="1687"/>
        <v>1684</v>
      </c>
      <c r="D1698" s="7" t="e">
        <f t="shared" ca="1" si="1679"/>
        <v>#N/A</v>
      </c>
      <c r="E1698" s="26">
        <f t="array" aca="1" ref="E1698" ca="1">AVERAGE(IF(INDIRECT(DatCol&amp;"$"&amp;TEXT(C1698,"###")):INDIRECT(DatCol&amp;"$"&amp;TEXT(C1698+57,"###"))&gt;0,INDIRECT(DatCol&amp;"$"&amp;TEXT(C1698,"###")):INDIRECT(DatCol&amp;"$"&amp;TEXT(C1698+57,"###"))))</f>
        <v>1196.625</v>
      </c>
      <c r="F1698" s="26" t="str">
        <f t="shared" si="1706"/>
        <v>N</v>
      </c>
      <c r="G1698" s="8"/>
      <c r="H1698" s="8">
        <v>37</v>
      </c>
      <c r="I1698" s="8">
        <v>12</v>
      </c>
      <c r="J1698" s="8">
        <v>127</v>
      </c>
      <c r="K1698" s="9">
        <f t="shared" si="1709"/>
        <v>164</v>
      </c>
      <c r="L1698" s="12">
        <v>300</v>
      </c>
      <c r="M1698" s="11">
        <f t="shared" si="1688"/>
        <v>15000</v>
      </c>
      <c r="N1698" s="12">
        <v>200</v>
      </c>
      <c r="O1698" s="11">
        <f t="shared" si="1689"/>
        <v>10000</v>
      </c>
      <c r="Q1698" s="11">
        <f t="shared" si="1690"/>
        <v>0</v>
      </c>
      <c r="Y1698" s="11">
        <f t="shared" si="1691"/>
        <v>0</v>
      </c>
      <c r="AG1698" s="11">
        <f t="shared" si="1692"/>
        <v>0</v>
      </c>
      <c r="AI1698" s="11">
        <f t="shared" si="1693"/>
        <v>0</v>
      </c>
      <c r="AK1698" s="13">
        <f t="shared" si="1694"/>
        <v>0</v>
      </c>
      <c r="AM1698" s="13">
        <f t="shared" si="1695"/>
        <v>0</v>
      </c>
      <c r="AO1698" s="11">
        <f t="shared" si="1696"/>
        <v>0</v>
      </c>
      <c r="AQ1698" s="11">
        <f t="shared" si="1697"/>
        <v>0</v>
      </c>
      <c r="AS1698" s="11">
        <f t="shared" si="1698"/>
        <v>0</v>
      </c>
      <c r="AU1698" s="11">
        <f t="shared" si="1699"/>
        <v>0</v>
      </c>
      <c r="AW1698" s="11">
        <f t="shared" si="1700"/>
        <v>0</v>
      </c>
      <c r="AY1698" s="11">
        <f t="shared" si="1701"/>
        <v>0</v>
      </c>
      <c r="BA1698" s="11">
        <f t="shared" si="1702"/>
        <v>0</v>
      </c>
      <c r="BC1698" s="11">
        <f t="shared" si="1703"/>
        <v>0</v>
      </c>
      <c r="BE1698" s="11">
        <f t="shared" si="1704"/>
        <v>0</v>
      </c>
      <c r="BG1698" s="11">
        <f t="shared" si="1705"/>
        <v>0</v>
      </c>
      <c r="BN1698" s="8">
        <f t="shared" si="1707"/>
        <v>300</v>
      </c>
      <c r="BO1698" s="8">
        <f t="shared" si="1708"/>
        <v>15000</v>
      </c>
      <c r="BP1698" s="8">
        <f t="shared" si="1659"/>
        <v>200</v>
      </c>
      <c r="BQ1698" s="12">
        <f t="shared" si="1660"/>
        <v>10000</v>
      </c>
    </row>
    <row r="1699" spans="1:69">
      <c r="A1699" s="28">
        <v>1970</v>
      </c>
      <c r="B1699" s="27" t="s">
        <v>80</v>
      </c>
      <c r="C1699" s="24">
        <f t="shared" si="1687"/>
        <v>1684</v>
      </c>
      <c r="D1699" s="7" t="e">
        <f t="shared" ca="1" si="1679"/>
        <v>#N/A</v>
      </c>
      <c r="E1699" s="26">
        <f t="array" aca="1" ref="E1699" ca="1">AVERAGE(IF(INDIRECT(DatCol&amp;"$"&amp;TEXT(C1699,"###")):INDIRECT(DatCol&amp;"$"&amp;TEXT(C1699+57,"###"))&gt;0,INDIRECT(DatCol&amp;"$"&amp;TEXT(C1699,"###")):INDIRECT(DatCol&amp;"$"&amp;TEXT(C1699+57,"###"))))</f>
        <v>1196.625</v>
      </c>
      <c r="F1699" s="26" t="str">
        <f t="shared" si="1706"/>
        <v>N</v>
      </c>
      <c r="G1699" s="8"/>
      <c r="K1699" s="9">
        <f t="shared" si="1709"/>
        <v>0</v>
      </c>
      <c r="M1699" s="11">
        <f t="shared" si="1688"/>
        <v>0</v>
      </c>
      <c r="O1699" s="11">
        <f t="shared" si="1689"/>
        <v>0</v>
      </c>
      <c r="Q1699" s="11">
        <f t="shared" si="1690"/>
        <v>0</v>
      </c>
      <c r="Y1699" s="11">
        <f t="shared" si="1691"/>
        <v>0</v>
      </c>
      <c r="AG1699" s="11">
        <f t="shared" si="1692"/>
        <v>0</v>
      </c>
      <c r="AI1699" s="11">
        <f t="shared" si="1693"/>
        <v>0</v>
      </c>
      <c r="AK1699" s="13">
        <f t="shared" si="1694"/>
        <v>0</v>
      </c>
      <c r="AM1699" s="13">
        <f t="shared" si="1695"/>
        <v>0</v>
      </c>
      <c r="AO1699" s="11">
        <f t="shared" si="1696"/>
        <v>0</v>
      </c>
      <c r="AQ1699" s="11">
        <f t="shared" si="1697"/>
        <v>0</v>
      </c>
      <c r="AS1699" s="11">
        <f t="shared" si="1698"/>
        <v>0</v>
      </c>
      <c r="AU1699" s="11">
        <f t="shared" si="1699"/>
        <v>0</v>
      </c>
      <c r="AW1699" s="11">
        <f t="shared" si="1700"/>
        <v>0</v>
      </c>
      <c r="AY1699" s="11">
        <f t="shared" si="1701"/>
        <v>0</v>
      </c>
      <c r="BA1699" s="11">
        <f t="shared" si="1702"/>
        <v>0</v>
      </c>
      <c r="BC1699" s="11">
        <f t="shared" si="1703"/>
        <v>0</v>
      </c>
      <c r="BE1699" s="11">
        <f t="shared" si="1704"/>
        <v>0</v>
      </c>
      <c r="BG1699" s="11">
        <f t="shared" si="1705"/>
        <v>0</v>
      </c>
      <c r="BN1699" s="8">
        <f t="shared" si="1707"/>
        <v>0</v>
      </c>
      <c r="BO1699" s="8">
        <f t="shared" si="1708"/>
        <v>0</v>
      </c>
      <c r="BP1699" s="8">
        <f t="shared" si="1659"/>
        <v>0</v>
      </c>
      <c r="BQ1699" s="12">
        <f t="shared" si="1660"/>
        <v>0</v>
      </c>
    </row>
    <row r="1700" spans="1:69">
      <c r="A1700" s="28">
        <v>1971</v>
      </c>
      <c r="B1700" s="27" t="s">
        <v>80</v>
      </c>
      <c r="C1700" s="24">
        <f t="shared" si="1687"/>
        <v>1684</v>
      </c>
      <c r="D1700" s="7" t="e">
        <f t="shared" ca="1" si="1679"/>
        <v>#N/A</v>
      </c>
      <c r="E1700" s="26">
        <f t="array" aca="1" ref="E1700" ca="1">AVERAGE(IF(INDIRECT(DatCol&amp;"$"&amp;TEXT(C1700,"###")):INDIRECT(DatCol&amp;"$"&amp;TEXT(C1700+57,"###"))&gt;0,INDIRECT(DatCol&amp;"$"&amp;TEXT(C1700,"###")):INDIRECT(DatCol&amp;"$"&amp;TEXT(C1700+57,"###"))))</f>
        <v>1196.625</v>
      </c>
      <c r="F1700" s="26" t="str">
        <f t="shared" si="1706"/>
        <v>N</v>
      </c>
      <c r="G1700" s="8"/>
      <c r="K1700" s="9">
        <f t="shared" si="1709"/>
        <v>0</v>
      </c>
      <c r="M1700" s="11">
        <f t="shared" si="1688"/>
        <v>0</v>
      </c>
      <c r="O1700" s="11">
        <f t="shared" si="1689"/>
        <v>0</v>
      </c>
      <c r="Q1700" s="11">
        <f t="shared" si="1690"/>
        <v>0</v>
      </c>
      <c r="Y1700" s="11">
        <f t="shared" si="1691"/>
        <v>0</v>
      </c>
      <c r="AG1700" s="11">
        <f t="shared" si="1692"/>
        <v>0</v>
      </c>
      <c r="AI1700" s="11">
        <f t="shared" si="1693"/>
        <v>0</v>
      </c>
      <c r="AK1700" s="13">
        <f t="shared" si="1694"/>
        <v>0</v>
      </c>
      <c r="AM1700" s="13">
        <f t="shared" si="1695"/>
        <v>0</v>
      </c>
      <c r="AO1700" s="11">
        <f t="shared" si="1696"/>
        <v>0</v>
      </c>
      <c r="AQ1700" s="11">
        <f t="shared" si="1697"/>
        <v>0</v>
      </c>
      <c r="AS1700" s="11">
        <f t="shared" si="1698"/>
        <v>0</v>
      </c>
      <c r="AU1700" s="11">
        <f t="shared" si="1699"/>
        <v>0</v>
      </c>
      <c r="AW1700" s="11">
        <f t="shared" si="1700"/>
        <v>0</v>
      </c>
      <c r="AY1700" s="11">
        <f t="shared" si="1701"/>
        <v>0</v>
      </c>
      <c r="BA1700" s="11">
        <f t="shared" si="1702"/>
        <v>0</v>
      </c>
      <c r="BC1700" s="11">
        <f t="shared" si="1703"/>
        <v>0</v>
      </c>
      <c r="BE1700" s="11">
        <f t="shared" si="1704"/>
        <v>0</v>
      </c>
      <c r="BG1700" s="11">
        <f t="shared" si="1705"/>
        <v>0</v>
      </c>
      <c r="BN1700" s="8">
        <f t="shared" si="1707"/>
        <v>0</v>
      </c>
      <c r="BO1700" s="8">
        <f t="shared" si="1708"/>
        <v>0</v>
      </c>
      <c r="BP1700" s="8">
        <f t="shared" si="1659"/>
        <v>0</v>
      </c>
      <c r="BQ1700" s="12">
        <f t="shared" si="1660"/>
        <v>0</v>
      </c>
    </row>
    <row r="1701" spans="1:69">
      <c r="A1701" s="28">
        <v>1972</v>
      </c>
      <c r="B1701" s="27" t="s">
        <v>80</v>
      </c>
      <c r="C1701" s="24">
        <f t="shared" si="1687"/>
        <v>1684</v>
      </c>
      <c r="D1701" s="7" t="e">
        <f t="shared" ca="1" si="1679"/>
        <v>#N/A</v>
      </c>
      <c r="E1701" s="26">
        <f t="array" aca="1" ref="E1701" ca="1">AVERAGE(IF(INDIRECT(DatCol&amp;"$"&amp;TEXT(C1701,"###")):INDIRECT(DatCol&amp;"$"&amp;TEXT(C1701+57,"###"))&gt;0,INDIRECT(DatCol&amp;"$"&amp;TEXT(C1701,"###")):INDIRECT(DatCol&amp;"$"&amp;TEXT(C1701+57,"###"))))</f>
        <v>1196.625</v>
      </c>
      <c r="F1701" s="26" t="str">
        <f t="shared" si="1706"/>
        <v>N</v>
      </c>
      <c r="G1701" s="8"/>
      <c r="H1701" s="8">
        <v>132</v>
      </c>
      <c r="I1701" s="8">
        <v>32</v>
      </c>
      <c r="J1701" s="8">
        <v>218</v>
      </c>
      <c r="K1701" s="9">
        <f t="shared" si="1709"/>
        <v>350</v>
      </c>
      <c r="L1701" s="12">
        <v>2287</v>
      </c>
      <c r="M1701" s="11">
        <f t="shared" si="1688"/>
        <v>114350</v>
      </c>
      <c r="N1701" s="12">
        <v>1782</v>
      </c>
      <c r="O1701" s="11">
        <f t="shared" si="1689"/>
        <v>89100</v>
      </c>
      <c r="Q1701" s="11">
        <f t="shared" si="1690"/>
        <v>0</v>
      </c>
      <c r="Y1701" s="11">
        <f t="shared" si="1691"/>
        <v>0</v>
      </c>
      <c r="AG1701" s="11">
        <f t="shared" si="1692"/>
        <v>0</v>
      </c>
      <c r="AI1701" s="11">
        <f t="shared" si="1693"/>
        <v>0</v>
      </c>
      <c r="AK1701" s="13">
        <f t="shared" si="1694"/>
        <v>0</v>
      </c>
      <c r="AM1701" s="13">
        <f t="shared" si="1695"/>
        <v>0</v>
      </c>
      <c r="AO1701" s="11">
        <f t="shared" si="1696"/>
        <v>0</v>
      </c>
      <c r="AQ1701" s="11">
        <f t="shared" si="1697"/>
        <v>0</v>
      </c>
      <c r="AS1701" s="11">
        <f t="shared" si="1698"/>
        <v>0</v>
      </c>
      <c r="AU1701" s="11">
        <f t="shared" si="1699"/>
        <v>0</v>
      </c>
      <c r="AW1701" s="11">
        <f t="shared" si="1700"/>
        <v>0</v>
      </c>
      <c r="AY1701" s="11">
        <f t="shared" si="1701"/>
        <v>0</v>
      </c>
      <c r="BA1701" s="11">
        <f t="shared" si="1702"/>
        <v>0</v>
      </c>
      <c r="BC1701" s="11">
        <f t="shared" si="1703"/>
        <v>0</v>
      </c>
      <c r="BE1701" s="11">
        <f t="shared" si="1704"/>
        <v>0</v>
      </c>
      <c r="BG1701" s="11">
        <f t="shared" si="1705"/>
        <v>0</v>
      </c>
      <c r="BN1701" s="8">
        <f t="shared" si="1707"/>
        <v>2287</v>
      </c>
      <c r="BO1701" s="8">
        <f t="shared" si="1708"/>
        <v>114350</v>
      </c>
      <c r="BP1701" s="8">
        <f t="shared" si="1659"/>
        <v>1782</v>
      </c>
      <c r="BQ1701" s="12">
        <f t="shared" si="1660"/>
        <v>89100</v>
      </c>
    </row>
    <row r="1702" spans="1:69">
      <c r="A1702" s="28">
        <v>1973</v>
      </c>
      <c r="B1702" s="27" t="s">
        <v>80</v>
      </c>
      <c r="C1702" s="24">
        <f t="shared" si="1687"/>
        <v>1684</v>
      </c>
      <c r="D1702" s="7" t="e">
        <f t="shared" ca="1" si="1679"/>
        <v>#N/A</v>
      </c>
      <c r="E1702" s="26">
        <f t="array" aca="1" ref="E1702" ca="1">AVERAGE(IF(INDIRECT(DatCol&amp;"$"&amp;TEXT(C1702,"###")):INDIRECT(DatCol&amp;"$"&amp;TEXT(C1702+57,"###"))&gt;0,INDIRECT(DatCol&amp;"$"&amp;TEXT(C1702,"###")):INDIRECT(DatCol&amp;"$"&amp;TEXT(C1702+57,"###"))))</f>
        <v>1196.625</v>
      </c>
      <c r="F1702" s="26" t="str">
        <f t="shared" si="1706"/>
        <v>N</v>
      </c>
      <c r="G1702" s="8"/>
      <c r="H1702" s="8">
        <v>183</v>
      </c>
      <c r="I1702" s="8">
        <v>25</v>
      </c>
      <c r="J1702" s="8">
        <v>208</v>
      </c>
      <c r="K1702" s="9">
        <f t="shared" si="1709"/>
        <v>391</v>
      </c>
      <c r="L1702" s="12">
        <v>2312</v>
      </c>
      <c r="M1702" s="11">
        <f t="shared" ref="M1702:M1717" si="1710">(L1702*50)</f>
        <v>115600</v>
      </c>
      <c r="N1702" s="12">
        <v>1797</v>
      </c>
      <c r="O1702" s="11">
        <f t="shared" ref="O1702:O1717" si="1711">(N1702*50)</f>
        <v>89850</v>
      </c>
      <c r="Q1702" s="11">
        <f t="shared" ref="Q1702:Q1717" si="1712">((P1702*330)/5.5)</f>
        <v>0</v>
      </c>
      <c r="Y1702" s="11">
        <f t="shared" ref="Y1702:Y1717" si="1713">((X1702*330)/5.5)</f>
        <v>0</v>
      </c>
      <c r="AG1702" s="11">
        <f t="shared" ref="AG1702:AG1717" si="1714">(AF1702*65)</f>
        <v>0</v>
      </c>
      <c r="AI1702" s="11">
        <f t="shared" ref="AI1702:AI1717" si="1715">(AH1702*65)</f>
        <v>0</v>
      </c>
      <c r="AK1702" s="13">
        <f t="shared" ref="AK1702:AK1717" si="1716">(AJ1702*9)</f>
        <v>0</v>
      </c>
      <c r="AM1702" s="13">
        <f t="shared" ref="AM1702:AM1717" si="1717">(AL1702*9)</f>
        <v>0</v>
      </c>
      <c r="AO1702" s="11">
        <f t="shared" ref="AO1702:AO1717" si="1718">(AN1702*80)</f>
        <v>0</v>
      </c>
      <c r="AQ1702" s="11">
        <f t="shared" ref="AQ1702:AQ1717" si="1719">(AP1702*80)</f>
        <v>0</v>
      </c>
      <c r="AS1702" s="11">
        <f t="shared" ref="AS1702:AS1717" si="1720">(AR1702*50)</f>
        <v>0</v>
      </c>
      <c r="AU1702" s="11">
        <f t="shared" ref="AU1702:AU1717" si="1721">(AT1702*50)</f>
        <v>0</v>
      </c>
      <c r="AW1702" s="11">
        <f t="shared" ref="AW1702:AW1717" si="1722">(AV1702*60)</f>
        <v>0</v>
      </c>
      <c r="AY1702" s="11">
        <f t="shared" ref="AY1702:AY1717" si="1723">(AX1702*60)</f>
        <v>0</v>
      </c>
      <c r="BA1702" s="11">
        <f t="shared" ref="BA1702:BA1717" si="1724">(AZ1702*40)</f>
        <v>0</v>
      </c>
      <c r="BC1702" s="11">
        <f t="shared" ref="BC1702:BC1717" si="1725">(BB1702*40)</f>
        <v>0</v>
      </c>
      <c r="BE1702" s="11">
        <f t="shared" ref="BE1702:BE1717" si="1726">(BD1702*95)</f>
        <v>0</v>
      </c>
      <c r="BG1702" s="11">
        <f t="shared" ref="BG1702:BG1717" si="1727">(BF1702*95)</f>
        <v>0</v>
      </c>
      <c r="BN1702" s="8">
        <f t="shared" si="1707"/>
        <v>2312</v>
      </c>
      <c r="BO1702" s="8">
        <f t="shared" si="1708"/>
        <v>115600</v>
      </c>
      <c r="BP1702" s="8">
        <f t="shared" si="1659"/>
        <v>1797</v>
      </c>
      <c r="BQ1702" s="12">
        <f t="shared" si="1660"/>
        <v>89850</v>
      </c>
    </row>
    <row r="1703" spans="1:69">
      <c r="A1703" s="28">
        <v>1974</v>
      </c>
      <c r="B1703" s="27" t="s">
        <v>80</v>
      </c>
      <c r="C1703" s="24">
        <f t="shared" si="1687"/>
        <v>1684</v>
      </c>
      <c r="D1703" s="7" t="e">
        <f t="shared" ca="1" si="1679"/>
        <v>#N/A</v>
      </c>
      <c r="E1703" s="26">
        <f t="array" aca="1" ref="E1703" ca="1">AVERAGE(IF(INDIRECT(DatCol&amp;"$"&amp;TEXT(C1703,"###")):INDIRECT(DatCol&amp;"$"&amp;TEXT(C1703+57,"###"))&gt;0,INDIRECT(DatCol&amp;"$"&amp;TEXT(C1703,"###")):INDIRECT(DatCol&amp;"$"&amp;TEXT(C1703+57,"###"))))</f>
        <v>1196.625</v>
      </c>
      <c r="F1703" s="26" t="str">
        <f t="shared" si="1706"/>
        <v>N</v>
      </c>
      <c r="G1703" s="8"/>
      <c r="H1703" s="8">
        <v>131</v>
      </c>
      <c r="I1703" s="8">
        <v>19</v>
      </c>
      <c r="J1703" s="8">
        <v>144</v>
      </c>
      <c r="K1703" s="9">
        <f t="shared" si="1709"/>
        <v>275</v>
      </c>
      <c r="L1703" s="12">
        <v>2400</v>
      </c>
      <c r="M1703" s="11">
        <f t="shared" si="1710"/>
        <v>120000</v>
      </c>
      <c r="N1703" s="12">
        <v>1867</v>
      </c>
      <c r="O1703" s="11">
        <f t="shared" si="1711"/>
        <v>93350</v>
      </c>
      <c r="Q1703" s="11">
        <f t="shared" si="1712"/>
        <v>0</v>
      </c>
      <c r="Y1703" s="11">
        <f t="shared" si="1713"/>
        <v>0</v>
      </c>
      <c r="AG1703" s="11">
        <f t="shared" si="1714"/>
        <v>0</v>
      </c>
      <c r="AI1703" s="11">
        <f t="shared" si="1715"/>
        <v>0</v>
      </c>
      <c r="AK1703" s="13">
        <f t="shared" si="1716"/>
        <v>0</v>
      </c>
      <c r="AM1703" s="13">
        <f t="shared" si="1717"/>
        <v>0</v>
      </c>
      <c r="AO1703" s="11">
        <f t="shared" si="1718"/>
        <v>0</v>
      </c>
      <c r="AQ1703" s="11">
        <f t="shared" si="1719"/>
        <v>0</v>
      </c>
      <c r="AS1703" s="11">
        <f t="shared" si="1720"/>
        <v>0</v>
      </c>
      <c r="AU1703" s="11">
        <f t="shared" si="1721"/>
        <v>0</v>
      </c>
      <c r="AW1703" s="11">
        <f t="shared" si="1722"/>
        <v>0</v>
      </c>
      <c r="AY1703" s="11">
        <f t="shared" si="1723"/>
        <v>0</v>
      </c>
      <c r="BA1703" s="11">
        <f t="shared" si="1724"/>
        <v>0</v>
      </c>
      <c r="BC1703" s="11">
        <f t="shared" si="1725"/>
        <v>0</v>
      </c>
      <c r="BE1703" s="11">
        <f t="shared" si="1726"/>
        <v>0</v>
      </c>
      <c r="BG1703" s="11">
        <f t="shared" si="1727"/>
        <v>0</v>
      </c>
      <c r="BN1703" s="8">
        <f t="shared" si="1707"/>
        <v>2400</v>
      </c>
      <c r="BO1703" s="8">
        <f t="shared" si="1708"/>
        <v>120000</v>
      </c>
      <c r="BP1703" s="8">
        <f t="shared" si="1659"/>
        <v>1867</v>
      </c>
      <c r="BQ1703" s="12">
        <f t="shared" si="1660"/>
        <v>93350</v>
      </c>
    </row>
    <row r="1704" spans="1:69">
      <c r="A1704" s="28">
        <v>1975</v>
      </c>
      <c r="B1704" s="27" t="s">
        <v>80</v>
      </c>
      <c r="C1704" s="24">
        <f t="shared" si="1687"/>
        <v>1684</v>
      </c>
      <c r="D1704" s="7" t="e">
        <f t="shared" ca="1" si="1679"/>
        <v>#N/A</v>
      </c>
      <c r="E1704" s="26">
        <f t="array" aca="1" ref="E1704" ca="1">AVERAGE(IF(INDIRECT(DatCol&amp;"$"&amp;TEXT(C1704,"###")):INDIRECT(DatCol&amp;"$"&amp;TEXT(C1704+57,"###"))&gt;0,INDIRECT(DatCol&amp;"$"&amp;TEXT(C1704,"###")):INDIRECT(DatCol&amp;"$"&amp;TEXT(C1704+57,"###"))))</f>
        <v>1196.625</v>
      </c>
      <c r="F1704" s="26" t="str">
        <f t="shared" si="1706"/>
        <v>N</v>
      </c>
      <c r="G1704" s="8"/>
      <c r="H1704" s="8">
        <v>221</v>
      </c>
      <c r="I1704" s="8">
        <v>39</v>
      </c>
      <c r="J1704" s="8">
        <v>187</v>
      </c>
      <c r="K1704" s="9">
        <f t="shared" si="1709"/>
        <v>408</v>
      </c>
      <c r="L1704" s="12">
        <v>4500</v>
      </c>
      <c r="M1704" s="11">
        <f t="shared" si="1710"/>
        <v>225000</v>
      </c>
      <c r="N1704" s="12">
        <v>2300</v>
      </c>
      <c r="O1704" s="11">
        <f t="shared" si="1711"/>
        <v>115000</v>
      </c>
      <c r="Q1704" s="11">
        <f t="shared" si="1712"/>
        <v>0</v>
      </c>
      <c r="Y1704" s="11">
        <f t="shared" si="1713"/>
        <v>0</v>
      </c>
      <c r="AG1704" s="11">
        <f t="shared" si="1714"/>
        <v>0</v>
      </c>
      <c r="AI1704" s="11">
        <f t="shared" si="1715"/>
        <v>0</v>
      </c>
      <c r="AK1704" s="13">
        <f t="shared" si="1716"/>
        <v>0</v>
      </c>
      <c r="AM1704" s="13">
        <f t="shared" si="1717"/>
        <v>0</v>
      </c>
      <c r="AO1704" s="11">
        <f t="shared" si="1718"/>
        <v>0</v>
      </c>
      <c r="AQ1704" s="11">
        <f t="shared" si="1719"/>
        <v>0</v>
      </c>
      <c r="AS1704" s="11">
        <f t="shared" si="1720"/>
        <v>0</v>
      </c>
      <c r="AU1704" s="11">
        <f t="shared" si="1721"/>
        <v>0</v>
      </c>
      <c r="AW1704" s="11">
        <f t="shared" si="1722"/>
        <v>0</v>
      </c>
      <c r="AY1704" s="11">
        <f t="shared" si="1723"/>
        <v>0</v>
      </c>
      <c r="BA1704" s="11">
        <f t="shared" si="1724"/>
        <v>0</v>
      </c>
      <c r="BC1704" s="11">
        <f t="shared" si="1725"/>
        <v>0</v>
      </c>
      <c r="BE1704" s="11">
        <f t="shared" si="1726"/>
        <v>0</v>
      </c>
      <c r="BG1704" s="11">
        <f t="shared" si="1727"/>
        <v>0</v>
      </c>
      <c r="BN1704" s="8">
        <f t="shared" si="1707"/>
        <v>4500</v>
      </c>
      <c r="BO1704" s="8">
        <f t="shared" si="1708"/>
        <v>225000</v>
      </c>
      <c r="BP1704" s="8">
        <f t="shared" si="1659"/>
        <v>2300</v>
      </c>
      <c r="BQ1704" s="12">
        <f t="shared" si="1660"/>
        <v>115000</v>
      </c>
    </row>
    <row r="1705" spans="1:69">
      <c r="A1705" s="28">
        <v>1976</v>
      </c>
      <c r="B1705" s="27" t="s">
        <v>80</v>
      </c>
      <c r="C1705" s="24">
        <f t="shared" si="1687"/>
        <v>1684</v>
      </c>
      <c r="D1705" s="7" t="e">
        <f t="shared" ca="1" si="1679"/>
        <v>#N/A</v>
      </c>
      <c r="E1705" s="26">
        <f t="array" aca="1" ref="E1705" ca="1">AVERAGE(IF(INDIRECT(DatCol&amp;"$"&amp;TEXT(C1705,"###")):INDIRECT(DatCol&amp;"$"&amp;TEXT(C1705+57,"###"))&gt;0,INDIRECT(DatCol&amp;"$"&amp;TEXT(C1705,"###")):INDIRECT(DatCol&amp;"$"&amp;TEXT(C1705+57,"###"))))</f>
        <v>1196.625</v>
      </c>
      <c r="F1705" s="26" t="str">
        <f t="shared" si="1706"/>
        <v>N</v>
      </c>
      <c r="G1705" s="8"/>
      <c r="H1705" s="8">
        <v>39</v>
      </c>
      <c r="I1705" s="8">
        <v>61</v>
      </c>
      <c r="J1705" s="8">
        <v>167</v>
      </c>
      <c r="K1705" s="9">
        <f t="shared" si="1709"/>
        <v>206</v>
      </c>
      <c r="L1705" s="12">
        <v>9000</v>
      </c>
      <c r="M1705" s="11">
        <f t="shared" si="1710"/>
        <v>450000</v>
      </c>
      <c r="N1705" s="12">
        <v>1800</v>
      </c>
      <c r="O1705" s="11">
        <f t="shared" si="1711"/>
        <v>90000</v>
      </c>
      <c r="Q1705" s="11">
        <f t="shared" si="1712"/>
        <v>0</v>
      </c>
      <c r="Y1705" s="11">
        <f t="shared" si="1713"/>
        <v>0</v>
      </c>
      <c r="AG1705" s="11">
        <f t="shared" si="1714"/>
        <v>0</v>
      </c>
      <c r="AI1705" s="11">
        <f t="shared" si="1715"/>
        <v>0</v>
      </c>
      <c r="AK1705" s="13">
        <f t="shared" si="1716"/>
        <v>0</v>
      </c>
      <c r="AM1705" s="13">
        <f t="shared" si="1717"/>
        <v>0</v>
      </c>
      <c r="AO1705" s="11">
        <f t="shared" si="1718"/>
        <v>0</v>
      </c>
      <c r="AQ1705" s="11">
        <f t="shared" si="1719"/>
        <v>0</v>
      </c>
      <c r="AS1705" s="11">
        <f t="shared" si="1720"/>
        <v>0</v>
      </c>
      <c r="AU1705" s="11">
        <f t="shared" si="1721"/>
        <v>0</v>
      </c>
      <c r="AW1705" s="11">
        <f t="shared" si="1722"/>
        <v>0</v>
      </c>
      <c r="AY1705" s="11">
        <f t="shared" si="1723"/>
        <v>0</v>
      </c>
      <c r="BA1705" s="11">
        <f t="shared" si="1724"/>
        <v>0</v>
      </c>
      <c r="BC1705" s="11">
        <f t="shared" si="1725"/>
        <v>0</v>
      </c>
      <c r="BE1705" s="11">
        <f t="shared" si="1726"/>
        <v>0</v>
      </c>
      <c r="BG1705" s="11">
        <f t="shared" si="1727"/>
        <v>0</v>
      </c>
      <c r="BN1705" s="8">
        <f t="shared" si="1707"/>
        <v>9000</v>
      </c>
      <c r="BO1705" s="8">
        <f t="shared" si="1708"/>
        <v>450000</v>
      </c>
      <c r="BP1705" s="8">
        <f t="shared" ref="BP1705:BP1769" si="1728">(N1705+X1705+Z1705+AB1705+AD1705+AH1705+AL1705+AP1705+AT1705+AX1705+BB1705+BF1705)</f>
        <v>1800</v>
      </c>
      <c r="BQ1705" s="12">
        <f t="shared" ref="BQ1705:BQ1769" si="1729">(O1705+Y1705+AA1705+AC1705+AE1705+AI1705+AM1705+AQ1705+AU1705+AY1705+BC1705+BG1705)</f>
        <v>90000</v>
      </c>
    </row>
    <row r="1706" spans="1:69">
      <c r="A1706" s="28">
        <v>1977</v>
      </c>
      <c r="B1706" s="27" t="s">
        <v>80</v>
      </c>
      <c r="C1706" s="24">
        <f t="shared" si="1687"/>
        <v>1684</v>
      </c>
      <c r="D1706" s="7" t="e">
        <f t="shared" ca="1" si="1679"/>
        <v>#N/A</v>
      </c>
      <c r="E1706" s="26">
        <f t="array" aca="1" ref="E1706" ca="1">AVERAGE(IF(INDIRECT(DatCol&amp;"$"&amp;TEXT(C1706,"###")):INDIRECT(DatCol&amp;"$"&amp;TEXT(C1706+57,"###"))&gt;0,INDIRECT(DatCol&amp;"$"&amp;TEXT(C1706,"###")):INDIRECT(DatCol&amp;"$"&amp;TEXT(C1706+57,"###"))))</f>
        <v>1196.625</v>
      </c>
      <c r="F1706" s="26" t="str">
        <f t="shared" si="1706"/>
        <v>N</v>
      </c>
      <c r="G1706" s="8"/>
      <c r="H1706" s="8">
        <v>45</v>
      </c>
      <c r="I1706" s="8">
        <v>42</v>
      </c>
      <c r="J1706" s="8">
        <v>140</v>
      </c>
      <c r="K1706" s="9">
        <f t="shared" si="1709"/>
        <v>185</v>
      </c>
      <c r="L1706" s="12">
        <v>7000</v>
      </c>
      <c r="M1706" s="11">
        <f t="shared" si="1710"/>
        <v>350000</v>
      </c>
      <c r="N1706" s="12">
        <v>1500</v>
      </c>
      <c r="O1706" s="11">
        <f t="shared" si="1711"/>
        <v>75000</v>
      </c>
      <c r="Q1706" s="11">
        <f t="shared" si="1712"/>
        <v>0</v>
      </c>
      <c r="Y1706" s="11">
        <f t="shared" si="1713"/>
        <v>0</v>
      </c>
      <c r="AG1706" s="11">
        <f t="shared" si="1714"/>
        <v>0</v>
      </c>
      <c r="AI1706" s="11">
        <f t="shared" si="1715"/>
        <v>0</v>
      </c>
      <c r="AK1706" s="13">
        <f t="shared" si="1716"/>
        <v>0</v>
      </c>
      <c r="AM1706" s="13">
        <f t="shared" si="1717"/>
        <v>0</v>
      </c>
      <c r="AO1706" s="11">
        <f t="shared" si="1718"/>
        <v>0</v>
      </c>
      <c r="AQ1706" s="11">
        <f t="shared" si="1719"/>
        <v>0</v>
      </c>
      <c r="AS1706" s="11">
        <f t="shared" si="1720"/>
        <v>0</v>
      </c>
      <c r="AU1706" s="11">
        <f t="shared" si="1721"/>
        <v>0</v>
      </c>
      <c r="AW1706" s="11">
        <f t="shared" si="1722"/>
        <v>0</v>
      </c>
      <c r="AY1706" s="11">
        <f t="shared" si="1723"/>
        <v>0</v>
      </c>
      <c r="BA1706" s="11">
        <f t="shared" si="1724"/>
        <v>0</v>
      </c>
      <c r="BC1706" s="11">
        <f t="shared" si="1725"/>
        <v>0</v>
      </c>
      <c r="BE1706" s="11">
        <f t="shared" si="1726"/>
        <v>0</v>
      </c>
      <c r="BG1706" s="11">
        <f t="shared" si="1727"/>
        <v>0</v>
      </c>
      <c r="BN1706" s="8">
        <f t="shared" si="1707"/>
        <v>7000</v>
      </c>
      <c r="BO1706" s="8">
        <f t="shared" si="1708"/>
        <v>350000</v>
      </c>
      <c r="BP1706" s="8">
        <f t="shared" si="1728"/>
        <v>1500</v>
      </c>
      <c r="BQ1706" s="12">
        <f t="shared" si="1729"/>
        <v>75000</v>
      </c>
    </row>
    <row r="1707" spans="1:69">
      <c r="A1707" s="28">
        <v>1978</v>
      </c>
      <c r="B1707" s="27" t="s">
        <v>80</v>
      </c>
      <c r="C1707" s="24">
        <f t="shared" si="1687"/>
        <v>1684</v>
      </c>
      <c r="D1707" s="7" t="e">
        <f t="shared" ca="1" si="1679"/>
        <v>#N/A</v>
      </c>
      <c r="E1707" s="26">
        <f t="array" aca="1" ref="E1707" ca="1">AVERAGE(IF(INDIRECT(DatCol&amp;"$"&amp;TEXT(C1707,"###")):INDIRECT(DatCol&amp;"$"&amp;TEXT(C1707+57,"###"))&gt;0,INDIRECT(DatCol&amp;"$"&amp;TEXT(C1707,"###")):INDIRECT(DatCol&amp;"$"&amp;TEXT(C1707+57,"###"))))</f>
        <v>1196.625</v>
      </c>
      <c r="F1707" s="26" t="str">
        <f t="shared" si="1706"/>
        <v>N</v>
      </c>
      <c r="G1707" s="8"/>
      <c r="H1707" s="8">
        <v>36</v>
      </c>
      <c r="I1707" s="8">
        <v>28</v>
      </c>
      <c r="J1707" s="8">
        <v>115</v>
      </c>
      <c r="K1707" s="9">
        <f t="shared" si="1709"/>
        <v>151</v>
      </c>
      <c r="L1707" s="12">
        <v>5570</v>
      </c>
      <c r="M1707" s="11">
        <f t="shared" si="1710"/>
        <v>278500</v>
      </c>
      <c r="N1707" s="12">
        <v>1480</v>
      </c>
      <c r="O1707" s="11">
        <f t="shared" si="1711"/>
        <v>74000</v>
      </c>
      <c r="Q1707" s="11">
        <f t="shared" si="1712"/>
        <v>0</v>
      </c>
      <c r="Y1707" s="11">
        <f t="shared" si="1713"/>
        <v>0</v>
      </c>
      <c r="AG1707" s="11">
        <f t="shared" si="1714"/>
        <v>0</v>
      </c>
      <c r="AI1707" s="11">
        <f t="shared" si="1715"/>
        <v>0</v>
      </c>
      <c r="AK1707" s="13">
        <f t="shared" si="1716"/>
        <v>0</v>
      </c>
      <c r="AM1707" s="13">
        <f t="shared" si="1717"/>
        <v>0</v>
      </c>
      <c r="AO1707" s="11">
        <f t="shared" si="1718"/>
        <v>0</v>
      </c>
      <c r="AQ1707" s="11">
        <f t="shared" si="1719"/>
        <v>0</v>
      </c>
      <c r="AS1707" s="11">
        <f t="shared" si="1720"/>
        <v>0</v>
      </c>
      <c r="AU1707" s="11">
        <f t="shared" si="1721"/>
        <v>0</v>
      </c>
      <c r="AW1707" s="11">
        <f t="shared" si="1722"/>
        <v>0</v>
      </c>
      <c r="AY1707" s="11">
        <f t="shared" si="1723"/>
        <v>0</v>
      </c>
      <c r="BA1707" s="11">
        <f t="shared" si="1724"/>
        <v>0</v>
      </c>
      <c r="BC1707" s="11">
        <f t="shared" si="1725"/>
        <v>0</v>
      </c>
      <c r="BE1707" s="11">
        <f t="shared" si="1726"/>
        <v>0</v>
      </c>
      <c r="BG1707" s="11">
        <f t="shared" si="1727"/>
        <v>0</v>
      </c>
      <c r="BN1707" s="8">
        <f t="shared" si="1707"/>
        <v>5570</v>
      </c>
      <c r="BO1707" s="8">
        <f t="shared" si="1708"/>
        <v>278500</v>
      </c>
      <c r="BP1707" s="8">
        <f t="shared" si="1728"/>
        <v>1480</v>
      </c>
      <c r="BQ1707" s="12">
        <f t="shared" si="1729"/>
        <v>74000</v>
      </c>
    </row>
    <row r="1708" spans="1:69">
      <c r="A1708" s="28">
        <v>1979</v>
      </c>
      <c r="B1708" s="27" t="s">
        <v>80</v>
      </c>
      <c r="C1708" s="24">
        <f t="shared" si="1687"/>
        <v>1684</v>
      </c>
      <c r="D1708" s="7" t="e">
        <f t="shared" ca="1" si="1679"/>
        <v>#N/A</v>
      </c>
      <c r="E1708" s="26">
        <f t="array" aca="1" ref="E1708" ca="1">AVERAGE(IF(INDIRECT(DatCol&amp;"$"&amp;TEXT(C1708,"###")):INDIRECT(DatCol&amp;"$"&amp;TEXT(C1708+57,"###"))&gt;0,INDIRECT(DatCol&amp;"$"&amp;TEXT(C1708,"###")):INDIRECT(DatCol&amp;"$"&amp;TEXT(C1708+57,"###"))))</f>
        <v>1196.625</v>
      </c>
      <c r="F1708" s="26" t="str">
        <f t="shared" si="1706"/>
        <v>N</v>
      </c>
      <c r="G1708" s="8"/>
      <c r="H1708" s="8">
        <v>600</v>
      </c>
      <c r="I1708" s="8">
        <v>49</v>
      </c>
      <c r="J1708" s="8">
        <v>186</v>
      </c>
      <c r="K1708" s="9">
        <f t="shared" si="1709"/>
        <v>786</v>
      </c>
      <c r="L1708" s="12">
        <v>9800</v>
      </c>
      <c r="M1708" s="11">
        <f t="shared" si="1710"/>
        <v>490000</v>
      </c>
      <c r="N1708" s="12">
        <v>1300</v>
      </c>
      <c r="O1708" s="11">
        <f t="shared" si="1711"/>
        <v>65000</v>
      </c>
      <c r="Q1708" s="11">
        <f t="shared" si="1712"/>
        <v>0</v>
      </c>
      <c r="Y1708" s="11">
        <f t="shared" si="1713"/>
        <v>0</v>
      </c>
      <c r="AG1708" s="11">
        <f t="shared" si="1714"/>
        <v>0</v>
      </c>
      <c r="AI1708" s="11">
        <f t="shared" si="1715"/>
        <v>0</v>
      </c>
      <c r="AK1708" s="13">
        <f t="shared" si="1716"/>
        <v>0</v>
      </c>
      <c r="AM1708" s="13">
        <f t="shared" si="1717"/>
        <v>0</v>
      </c>
      <c r="AO1708" s="11">
        <f t="shared" si="1718"/>
        <v>0</v>
      </c>
      <c r="AQ1708" s="11">
        <f t="shared" si="1719"/>
        <v>0</v>
      </c>
      <c r="AS1708" s="11">
        <f t="shared" si="1720"/>
        <v>0</v>
      </c>
      <c r="AU1708" s="11">
        <f t="shared" si="1721"/>
        <v>0</v>
      </c>
      <c r="AW1708" s="11">
        <f t="shared" si="1722"/>
        <v>0</v>
      </c>
      <c r="AY1708" s="11">
        <f t="shared" si="1723"/>
        <v>0</v>
      </c>
      <c r="BA1708" s="11">
        <f t="shared" si="1724"/>
        <v>0</v>
      </c>
      <c r="BC1708" s="11">
        <f t="shared" si="1725"/>
        <v>0</v>
      </c>
      <c r="BE1708" s="11">
        <f t="shared" si="1726"/>
        <v>0</v>
      </c>
      <c r="BG1708" s="11">
        <f t="shared" si="1727"/>
        <v>0</v>
      </c>
      <c r="BN1708" s="8">
        <f t="shared" si="1707"/>
        <v>9800</v>
      </c>
      <c r="BO1708" s="8">
        <f t="shared" si="1708"/>
        <v>490000</v>
      </c>
      <c r="BP1708" s="8">
        <f t="shared" si="1728"/>
        <v>1300</v>
      </c>
      <c r="BQ1708" s="12">
        <f t="shared" si="1729"/>
        <v>65000</v>
      </c>
    </row>
    <row r="1709" spans="1:69">
      <c r="A1709" s="28">
        <v>1980</v>
      </c>
      <c r="B1709" s="27" t="s">
        <v>80</v>
      </c>
      <c r="C1709" s="24">
        <f t="shared" si="1687"/>
        <v>1684</v>
      </c>
      <c r="D1709" s="7" t="e">
        <f t="shared" ca="1" si="1679"/>
        <v>#N/A</v>
      </c>
      <c r="E1709" s="26">
        <f t="array" aca="1" ref="E1709" ca="1">AVERAGE(IF(INDIRECT(DatCol&amp;"$"&amp;TEXT(C1709,"###")):INDIRECT(DatCol&amp;"$"&amp;TEXT(C1709+57,"###"))&gt;0,INDIRECT(DatCol&amp;"$"&amp;TEXT(C1709,"###")):INDIRECT(DatCol&amp;"$"&amp;TEXT(C1709+57,"###"))))</f>
        <v>1196.625</v>
      </c>
      <c r="F1709" s="26" t="str">
        <f t="shared" si="1706"/>
        <v>N</v>
      </c>
      <c r="G1709" s="8"/>
      <c r="H1709" s="8">
        <v>475</v>
      </c>
      <c r="I1709" s="8">
        <v>57</v>
      </c>
      <c r="J1709" s="8">
        <v>167</v>
      </c>
      <c r="K1709" s="9">
        <f t="shared" si="1709"/>
        <v>642</v>
      </c>
      <c r="L1709" s="12">
        <v>7100</v>
      </c>
      <c r="M1709" s="11">
        <f t="shared" si="1710"/>
        <v>355000</v>
      </c>
      <c r="N1709" s="12">
        <v>1340</v>
      </c>
      <c r="O1709" s="11">
        <f t="shared" si="1711"/>
        <v>67000</v>
      </c>
      <c r="Q1709" s="11">
        <f t="shared" si="1712"/>
        <v>0</v>
      </c>
      <c r="Y1709" s="11">
        <f t="shared" si="1713"/>
        <v>0</v>
      </c>
      <c r="AG1709" s="11">
        <f t="shared" si="1714"/>
        <v>0</v>
      </c>
      <c r="AI1709" s="11">
        <f t="shared" si="1715"/>
        <v>0</v>
      </c>
      <c r="AK1709" s="13">
        <f t="shared" si="1716"/>
        <v>0</v>
      </c>
      <c r="AM1709" s="13">
        <f t="shared" si="1717"/>
        <v>0</v>
      </c>
      <c r="AO1709" s="11">
        <f t="shared" si="1718"/>
        <v>0</v>
      </c>
      <c r="AQ1709" s="11">
        <f t="shared" si="1719"/>
        <v>0</v>
      </c>
      <c r="AS1709" s="11">
        <f t="shared" si="1720"/>
        <v>0</v>
      </c>
      <c r="AU1709" s="11">
        <f t="shared" si="1721"/>
        <v>0</v>
      </c>
      <c r="AW1709" s="11">
        <f t="shared" si="1722"/>
        <v>0</v>
      </c>
      <c r="AY1709" s="11">
        <f t="shared" si="1723"/>
        <v>0</v>
      </c>
      <c r="BA1709" s="11">
        <f t="shared" si="1724"/>
        <v>0</v>
      </c>
      <c r="BC1709" s="11">
        <f t="shared" si="1725"/>
        <v>0</v>
      </c>
      <c r="BE1709" s="11">
        <f t="shared" si="1726"/>
        <v>0</v>
      </c>
      <c r="BG1709" s="11">
        <f t="shared" si="1727"/>
        <v>0</v>
      </c>
      <c r="BN1709" s="8">
        <f t="shared" si="1707"/>
        <v>7100</v>
      </c>
      <c r="BO1709" s="8">
        <f t="shared" si="1708"/>
        <v>355000</v>
      </c>
      <c r="BP1709" s="8">
        <f t="shared" si="1728"/>
        <v>1340</v>
      </c>
      <c r="BQ1709" s="12">
        <f t="shared" si="1729"/>
        <v>67000</v>
      </c>
    </row>
    <row r="1710" spans="1:69">
      <c r="A1710" s="28">
        <v>1981</v>
      </c>
      <c r="B1710" s="27" t="s">
        <v>80</v>
      </c>
      <c r="C1710" s="24">
        <f t="shared" si="1687"/>
        <v>1684</v>
      </c>
      <c r="D1710" s="7" t="e">
        <f t="shared" ca="1" si="1679"/>
        <v>#N/A</v>
      </c>
      <c r="E1710" s="26">
        <f t="array" aca="1" ref="E1710" ca="1">AVERAGE(IF(INDIRECT(DatCol&amp;"$"&amp;TEXT(C1710,"###")):INDIRECT(DatCol&amp;"$"&amp;TEXT(C1710+57,"###"))&gt;0,INDIRECT(DatCol&amp;"$"&amp;TEXT(C1710,"###")):INDIRECT(DatCol&amp;"$"&amp;TEXT(C1710+57,"###"))))</f>
        <v>1196.625</v>
      </c>
      <c r="F1710" s="26" t="str">
        <f t="shared" si="1706"/>
        <v>N</v>
      </c>
      <c r="G1710" s="8"/>
      <c r="H1710" s="8">
        <v>223</v>
      </c>
      <c r="I1710" s="8">
        <v>43</v>
      </c>
      <c r="J1710" s="8">
        <v>140</v>
      </c>
      <c r="K1710" s="9">
        <f t="shared" si="1709"/>
        <v>363</v>
      </c>
      <c r="L1710" s="12">
        <v>5170</v>
      </c>
      <c r="M1710" s="11">
        <f t="shared" si="1710"/>
        <v>258500</v>
      </c>
      <c r="N1710" s="12">
        <v>1780</v>
      </c>
      <c r="O1710" s="11">
        <f t="shared" si="1711"/>
        <v>89000</v>
      </c>
      <c r="Q1710" s="11">
        <f t="shared" si="1712"/>
        <v>0</v>
      </c>
      <c r="Y1710" s="11">
        <f t="shared" si="1713"/>
        <v>0</v>
      </c>
      <c r="AG1710" s="11">
        <f t="shared" si="1714"/>
        <v>0</v>
      </c>
      <c r="AI1710" s="11">
        <f t="shared" si="1715"/>
        <v>0</v>
      </c>
      <c r="AK1710" s="13">
        <f t="shared" si="1716"/>
        <v>0</v>
      </c>
      <c r="AM1710" s="13">
        <f t="shared" si="1717"/>
        <v>0</v>
      </c>
      <c r="AO1710" s="11">
        <f t="shared" si="1718"/>
        <v>0</v>
      </c>
      <c r="AQ1710" s="11">
        <f t="shared" si="1719"/>
        <v>0</v>
      </c>
      <c r="AS1710" s="11">
        <f t="shared" si="1720"/>
        <v>0</v>
      </c>
      <c r="AU1710" s="11">
        <f t="shared" si="1721"/>
        <v>0</v>
      </c>
      <c r="AW1710" s="11">
        <f t="shared" si="1722"/>
        <v>0</v>
      </c>
      <c r="AY1710" s="11">
        <f t="shared" si="1723"/>
        <v>0</v>
      </c>
      <c r="BA1710" s="11">
        <f t="shared" si="1724"/>
        <v>0</v>
      </c>
      <c r="BC1710" s="11">
        <f t="shared" si="1725"/>
        <v>0</v>
      </c>
      <c r="BE1710" s="11">
        <f t="shared" si="1726"/>
        <v>0</v>
      </c>
      <c r="BG1710" s="11">
        <f t="shared" si="1727"/>
        <v>0</v>
      </c>
      <c r="BN1710" s="8">
        <f t="shared" si="1707"/>
        <v>5170</v>
      </c>
      <c r="BO1710" s="8">
        <f t="shared" si="1708"/>
        <v>258500</v>
      </c>
      <c r="BP1710" s="8">
        <f t="shared" si="1728"/>
        <v>1780</v>
      </c>
      <c r="BQ1710" s="12">
        <f t="shared" si="1729"/>
        <v>89000</v>
      </c>
    </row>
    <row r="1711" spans="1:69">
      <c r="A1711" s="28">
        <v>1982</v>
      </c>
      <c r="B1711" s="27" t="s">
        <v>80</v>
      </c>
      <c r="C1711" s="24">
        <f t="shared" si="1687"/>
        <v>1684</v>
      </c>
      <c r="D1711" s="7" t="e">
        <f t="shared" ca="1" si="1679"/>
        <v>#N/A</v>
      </c>
      <c r="E1711" s="26">
        <f t="array" aca="1" ref="E1711" ca="1">AVERAGE(IF(INDIRECT(DatCol&amp;"$"&amp;TEXT(C1711,"###")):INDIRECT(DatCol&amp;"$"&amp;TEXT(C1711+57,"###"))&gt;0,INDIRECT(DatCol&amp;"$"&amp;TEXT(C1711,"###")):INDIRECT(DatCol&amp;"$"&amp;TEXT(C1711+57,"###"))))</f>
        <v>1196.625</v>
      </c>
      <c r="F1711" s="26" t="str">
        <f t="shared" si="1706"/>
        <v>N</v>
      </c>
      <c r="G1711" s="8"/>
      <c r="H1711" s="8">
        <v>185</v>
      </c>
      <c r="I1711" s="8">
        <v>49</v>
      </c>
      <c r="J1711" s="8">
        <v>133</v>
      </c>
      <c r="K1711" s="9">
        <f t="shared" si="1709"/>
        <v>318</v>
      </c>
      <c r="L1711" s="12">
        <v>8200</v>
      </c>
      <c r="M1711" s="11">
        <f t="shared" si="1710"/>
        <v>410000</v>
      </c>
      <c r="N1711" s="12">
        <v>1752</v>
      </c>
      <c r="O1711" s="11">
        <f t="shared" si="1711"/>
        <v>87600</v>
      </c>
      <c r="Q1711" s="11">
        <f t="shared" si="1712"/>
        <v>0</v>
      </c>
      <c r="Y1711" s="11">
        <f t="shared" si="1713"/>
        <v>0</v>
      </c>
      <c r="AG1711" s="11">
        <f t="shared" si="1714"/>
        <v>0</v>
      </c>
      <c r="AI1711" s="11">
        <f t="shared" si="1715"/>
        <v>0</v>
      </c>
      <c r="AK1711" s="13">
        <f t="shared" si="1716"/>
        <v>0</v>
      </c>
      <c r="AM1711" s="13">
        <f t="shared" si="1717"/>
        <v>0</v>
      </c>
      <c r="AO1711" s="11">
        <f t="shared" si="1718"/>
        <v>0</v>
      </c>
      <c r="AQ1711" s="11">
        <f t="shared" si="1719"/>
        <v>0</v>
      </c>
      <c r="AS1711" s="11">
        <f t="shared" si="1720"/>
        <v>0</v>
      </c>
      <c r="AU1711" s="11">
        <f t="shared" si="1721"/>
        <v>0</v>
      </c>
      <c r="AW1711" s="11">
        <f t="shared" si="1722"/>
        <v>0</v>
      </c>
      <c r="AY1711" s="11">
        <f t="shared" si="1723"/>
        <v>0</v>
      </c>
      <c r="BA1711" s="11">
        <f t="shared" si="1724"/>
        <v>0</v>
      </c>
      <c r="BC1711" s="11">
        <f t="shared" si="1725"/>
        <v>0</v>
      </c>
      <c r="BE1711" s="11">
        <f t="shared" si="1726"/>
        <v>0</v>
      </c>
      <c r="BG1711" s="11">
        <f t="shared" si="1727"/>
        <v>0</v>
      </c>
      <c r="BN1711" s="8">
        <f t="shared" si="1707"/>
        <v>8200</v>
      </c>
      <c r="BO1711" s="8">
        <f t="shared" si="1708"/>
        <v>410000</v>
      </c>
      <c r="BP1711" s="8">
        <f t="shared" si="1728"/>
        <v>1752</v>
      </c>
      <c r="BQ1711" s="12">
        <f t="shared" si="1729"/>
        <v>87600</v>
      </c>
    </row>
    <row r="1712" spans="1:69">
      <c r="A1712" s="28">
        <v>1983</v>
      </c>
      <c r="B1712" s="27" t="s">
        <v>80</v>
      </c>
      <c r="C1712" s="24">
        <f t="shared" si="1687"/>
        <v>1684</v>
      </c>
      <c r="D1712" s="7" t="e">
        <f t="shared" ca="1" si="1679"/>
        <v>#N/A</v>
      </c>
      <c r="E1712" s="26">
        <f t="array" aca="1" ref="E1712" ca="1">AVERAGE(IF(INDIRECT(DatCol&amp;"$"&amp;TEXT(C1712,"###")):INDIRECT(DatCol&amp;"$"&amp;TEXT(C1712+57,"###"))&gt;0,INDIRECT(DatCol&amp;"$"&amp;TEXT(C1712,"###")):INDIRECT(DatCol&amp;"$"&amp;TEXT(C1712+57,"###"))))</f>
        <v>1196.625</v>
      </c>
      <c r="F1712" s="26" t="str">
        <f t="shared" si="1706"/>
        <v>N</v>
      </c>
      <c r="G1712" s="8"/>
      <c r="H1712" s="8">
        <v>214</v>
      </c>
      <c r="I1712" s="8">
        <v>58</v>
      </c>
      <c r="J1712" s="8">
        <v>123</v>
      </c>
      <c r="K1712" s="9">
        <f t="shared" si="1709"/>
        <v>337</v>
      </c>
      <c r="L1712" s="12">
        <v>7082</v>
      </c>
      <c r="M1712" s="11">
        <f t="shared" si="1710"/>
        <v>354100</v>
      </c>
      <c r="N1712" s="12">
        <v>1137</v>
      </c>
      <c r="O1712" s="11">
        <f t="shared" si="1711"/>
        <v>56850</v>
      </c>
      <c r="Q1712" s="11">
        <f t="shared" si="1712"/>
        <v>0</v>
      </c>
      <c r="Y1712" s="11">
        <f t="shared" si="1713"/>
        <v>0</v>
      </c>
      <c r="AG1712" s="11">
        <f t="shared" si="1714"/>
        <v>0</v>
      </c>
      <c r="AH1712" s="12">
        <v>22</v>
      </c>
      <c r="AI1712" s="11">
        <f t="shared" si="1715"/>
        <v>1430</v>
      </c>
      <c r="AK1712" s="13">
        <f t="shared" si="1716"/>
        <v>0</v>
      </c>
      <c r="AM1712" s="13">
        <f t="shared" si="1717"/>
        <v>0</v>
      </c>
      <c r="AO1712" s="11">
        <f t="shared" si="1718"/>
        <v>0</v>
      </c>
      <c r="AQ1712" s="11">
        <f t="shared" si="1719"/>
        <v>0</v>
      </c>
      <c r="AS1712" s="11">
        <f t="shared" si="1720"/>
        <v>0</v>
      </c>
      <c r="AU1712" s="11">
        <f t="shared" si="1721"/>
        <v>0</v>
      </c>
      <c r="AW1712" s="11">
        <f t="shared" si="1722"/>
        <v>0</v>
      </c>
      <c r="AY1712" s="11">
        <f t="shared" si="1723"/>
        <v>0</v>
      </c>
      <c r="BA1712" s="11">
        <f t="shared" si="1724"/>
        <v>0</v>
      </c>
      <c r="BC1712" s="11">
        <f t="shared" si="1725"/>
        <v>0</v>
      </c>
      <c r="BE1712" s="11">
        <f t="shared" si="1726"/>
        <v>0</v>
      </c>
      <c r="BG1712" s="11">
        <f t="shared" si="1727"/>
        <v>0</v>
      </c>
      <c r="BN1712" s="8">
        <f t="shared" si="1707"/>
        <v>7082</v>
      </c>
      <c r="BO1712" s="8">
        <f t="shared" si="1708"/>
        <v>354100</v>
      </c>
      <c r="BP1712" s="8">
        <f t="shared" si="1728"/>
        <v>1159</v>
      </c>
      <c r="BQ1712" s="12">
        <f t="shared" si="1729"/>
        <v>58280</v>
      </c>
    </row>
    <row r="1713" spans="1:69">
      <c r="A1713" s="28">
        <v>1984</v>
      </c>
      <c r="B1713" s="27" t="s">
        <v>80</v>
      </c>
      <c r="C1713" s="24">
        <f t="shared" si="1687"/>
        <v>1684</v>
      </c>
      <c r="D1713" s="7" t="e">
        <f t="shared" ca="1" si="1679"/>
        <v>#N/A</v>
      </c>
      <c r="E1713" s="26">
        <f t="array" aca="1" ref="E1713" ca="1">AVERAGE(IF(INDIRECT(DatCol&amp;"$"&amp;TEXT(C1713,"###")):INDIRECT(DatCol&amp;"$"&amp;TEXT(C1713+57,"###"))&gt;0,INDIRECT(DatCol&amp;"$"&amp;TEXT(C1713,"###")):INDIRECT(DatCol&amp;"$"&amp;TEXT(C1713+57,"###"))))</f>
        <v>1196.625</v>
      </c>
      <c r="F1713" s="26" t="str">
        <f t="shared" si="1706"/>
        <v>N</v>
      </c>
      <c r="G1713" s="8"/>
      <c r="H1713" s="8">
        <v>108</v>
      </c>
      <c r="I1713" s="8">
        <v>98</v>
      </c>
      <c r="J1713" s="8">
        <v>115</v>
      </c>
      <c r="K1713" s="9">
        <f t="shared" si="1709"/>
        <v>223</v>
      </c>
      <c r="L1713" s="12">
        <v>6548</v>
      </c>
      <c r="M1713" s="11">
        <f t="shared" si="1710"/>
        <v>327400</v>
      </c>
      <c r="N1713" s="12">
        <v>817</v>
      </c>
      <c r="O1713" s="11">
        <f t="shared" si="1711"/>
        <v>40850</v>
      </c>
      <c r="Q1713" s="11">
        <f t="shared" si="1712"/>
        <v>0</v>
      </c>
      <c r="Y1713" s="11">
        <f t="shared" si="1713"/>
        <v>0</v>
      </c>
      <c r="AG1713" s="11">
        <f t="shared" si="1714"/>
        <v>0</v>
      </c>
      <c r="AH1713" s="12">
        <v>50</v>
      </c>
      <c r="AI1713" s="11">
        <f t="shared" si="1715"/>
        <v>3250</v>
      </c>
      <c r="AK1713" s="13">
        <f t="shared" si="1716"/>
        <v>0</v>
      </c>
      <c r="AM1713" s="13">
        <f t="shared" si="1717"/>
        <v>0</v>
      </c>
      <c r="AO1713" s="11">
        <f t="shared" si="1718"/>
        <v>0</v>
      </c>
      <c r="AQ1713" s="11">
        <f t="shared" si="1719"/>
        <v>0</v>
      </c>
      <c r="AS1713" s="11">
        <f t="shared" si="1720"/>
        <v>0</v>
      </c>
      <c r="AU1713" s="11">
        <f t="shared" si="1721"/>
        <v>0</v>
      </c>
      <c r="AW1713" s="11">
        <f t="shared" si="1722"/>
        <v>0</v>
      </c>
      <c r="AY1713" s="11">
        <f t="shared" si="1723"/>
        <v>0</v>
      </c>
      <c r="BA1713" s="11">
        <f t="shared" si="1724"/>
        <v>0</v>
      </c>
      <c r="BB1713" s="12">
        <v>3</v>
      </c>
      <c r="BC1713" s="11">
        <f t="shared" si="1725"/>
        <v>120</v>
      </c>
      <c r="BE1713" s="11">
        <f t="shared" si="1726"/>
        <v>0</v>
      </c>
      <c r="BG1713" s="11">
        <f t="shared" si="1727"/>
        <v>0</v>
      </c>
      <c r="BN1713" s="8">
        <f t="shared" si="1707"/>
        <v>6548</v>
      </c>
      <c r="BO1713" s="8">
        <f t="shared" si="1708"/>
        <v>327400</v>
      </c>
      <c r="BP1713" s="8">
        <f t="shared" si="1728"/>
        <v>870</v>
      </c>
      <c r="BQ1713" s="12">
        <f t="shared" si="1729"/>
        <v>44220</v>
      </c>
    </row>
    <row r="1714" spans="1:69">
      <c r="A1714" s="28">
        <v>1985</v>
      </c>
      <c r="B1714" s="27" t="s">
        <v>80</v>
      </c>
      <c r="C1714" s="24">
        <f t="shared" si="1687"/>
        <v>1684</v>
      </c>
      <c r="D1714" s="7" t="e">
        <f t="shared" ca="1" si="1679"/>
        <v>#N/A</v>
      </c>
      <c r="E1714" s="26">
        <f t="array" aca="1" ref="E1714" ca="1">AVERAGE(IF(INDIRECT(DatCol&amp;"$"&amp;TEXT(C1714,"###")):INDIRECT(DatCol&amp;"$"&amp;TEXT(C1714+57,"###"))&gt;0,INDIRECT(DatCol&amp;"$"&amp;TEXT(C1714,"###")):INDIRECT(DatCol&amp;"$"&amp;TEXT(C1714+57,"###"))))</f>
        <v>1196.625</v>
      </c>
      <c r="F1714" s="26" t="str">
        <f t="shared" si="1706"/>
        <v>N</v>
      </c>
      <c r="G1714" s="8">
        <v>43</v>
      </c>
      <c r="H1714" s="8">
        <v>129</v>
      </c>
      <c r="I1714" s="8">
        <v>76</v>
      </c>
      <c r="J1714" s="8">
        <v>93</v>
      </c>
      <c r="K1714" s="9">
        <f t="shared" si="1709"/>
        <v>265</v>
      </c>
      <c r="L1714" s="12">
        <v>6000</v>
      </c>
      <c r="M1714" s="11">
        <f t="shared" si="1710"/>
        <v>300000</v>
      </c>
      <c r="N1714" s="12">
        <v>795</v>
      </c>
      <c r="O1714" s="11">
        <f t="shared" si="1711"/>
        <v>39750</v>
      </c>
      <c r="Q1714" s="11">
        <f t="shared" si="1712"/>
        <v>0</v>
      </c>
      <c r="Y1714" s="11">
        <f t="shared" si="1713"/>
        <v>0</v>
      </c>
      <c r="AG1714" s="11">
        <f t="shared" si="1714"/>
        <v>0</v>
      </c>
      <c r="AH1714" s="12">
        <v>50</v>
      </c>
      <c r="AI1714" s="11">
        <f t="shared" si="1715"/>
        <v>3250</v>
      </c>
      <c r="AK1714" s="13">
        <f t="shared" si="1716"/>
        <v>0</v>
      </c>
      <c r="AM1714" s="13">
        <f t="shared" si="1717"/>
        <v>0</v>
      </c>
      <c r="AO1714" s="11">
        <f t="shared" si="1718"/>
        <v>0</v>
      </c>
      <c r="AQ1714" s="11">
        <f t="shared" si="1719"/>
        <v>0</v>
      </c>
      <c r="AS1714" s="11">
        <f t="shared" si="1720"/>
        <v>0</v>
      </c>
      <c r="AU1714" s="11">
        <f t="shared" si="1721"/>
        <v>0</v>
      </c>
      <c r="AW1714" s="11">
        <f t="shared" si="1722"/>
        <v>0</v>
      </c>
      <c r="AY1714" s="11">
        <f t="shared" si="1723"/>
        <v>0</v>
      </c>
      <c r="AZ1714" s="12">
        <v>150</v>
      </c>
      <c r="BA1714" s="11">
        <f t="shared" si="1724"/>
        <v>6000</v>
      </c>
      <c r="BB1714" s="12">
        <v>3</v>
      </c>
      <c r="BC1714" s="11">
        <f t="shared" si="1725"/>
        <v>120</v>
      </c>
      <c r="BE1714" s="11">
        <f t="shared" si="1726"/>
        <v>0</v>
      </c>
      <c r="BG1714" s="11">
        <f t="shared" si="1727"/>
        <v>0</v>
      </c>
      <c r="BN1714" s="8">
        <f t="shared" si="1707"/>
        <v>6150</v>
      </c>
      <c r="BO1714" s="8">
        <f t="shared" si="1708"/>
        <v>306000</v>
      </c>
      <c r="BP1714" s="8">
        <f t="shared" si="1728"/>
        <v>848</v>
      </c>
      <c r="BQ1714" s="12">
        <f t="shared" si="1729"/>
        <v>43120</v>
      </c>
    </row>
    <row r="1715" spans="1:69">
      <c r="A1715" s="28">
        <v>1986</v>
      </c>
      <c r="B1715" s="27" t="s">
        <v>80</v>
      </c>
      <c r="C1715" s="24">
        <f t="shared" si="1687"/>
        <v>1684</v>
      </c>
      <c r="D1715" s="7" t="e">
        <f t="shared" ca="1" si="1679"/>
        <v>#N/A</v>
      </c>
      <c r="E1715" s="26">
        <f t="array" aca="1" ref="E1715" ca="1">AVERAGE(IF(INDIRECT(DatCol&amp;"$"&amp;TEXT(C1715,"###")):INDIRECT(DatCol&amp;"$"&amp;TEXT(C1715+57,"###"))&gt;0,INDIRECT(DatCol&amp;"$"&amp;TEXT(C1715,"###")):INDIRECT(DatCol&amp;"$"&amp;TEXT(C1715+57,"###"))))</f>
        <v>1196.625</v>
      </c>
      <c r="F1715" s="26" t="str">
        <f t="shared" si="1706"/>
        <v>N</v>
      </c>
      <c r="G1715" s="8">
        <v>0</v>
      </c>
      <c r="H1715" s="8">
        <f>121+2</f>
        <v>123</v>
      </c>
      <c r="I1715" s="8">
        <v>50</v>
      </c>
      <c r="J1715" s="8">
        <v>111</v>
      </c>
      <c r="K1715" s="9">
        <f t="shared" si="1709"/>
        <v>234</v>
      </c>
      <c r="L1715" s="12">
        <v>6500</v>
      </c>
      <c r="M1715" s="11">
        <f t="shared" si="1710"/>
        <v>325000</v>
      </c>
      <c r="N1715" s="12">
        <v>598</v>
      </c>
      <c r="O1715" s="11">
        <f t="shared" si="1711"/>
        <v>29900</v>
      </c>
      <c r="Q1715" s="11">
        <f t="shared" si="1712"/>
        <v>0</v>
      </c>
      <c r="Y1715" s="11">
        <f t="shared" si="1713"/>
        <v>0</v>
      </c>
      <c r="AG1715" s="11">
        <f t="shared" si="1714"/>
        <v>0</v>
      </c>
      <c r="AH1715" s="12">
        <v>35</v>
      </c>
      <c r="AI1715" s="11">
        <f t="shared" si="1715"/>
        <v>2275</v>
      </c>
      <c r="AK1715" s="13">
        <f t="shared" si="1716"/>
        <v>0</v>
      </c>
      <c r="AM1715" s="13">
        <f t="shared" si="1717"/>
        <v>0</v>
      </c>
      <c r="AO1715" s="11">
        <f t="shared" si="1718"/>
        <v>0</v>
      </c>
      <c r="AQ1715" s="11">
        <f t="shared" si="1719"/>
        <v>0</v>
      </c>
      <c r="AS1715" s="11">
        <f t="shared" si="1720"/>
        <v>0</v>
      </c>
      <c r="AU1715" s="11">
        <f t="shared" si="1721"/>
        <v>0</v>
      </c>
      <c r="AW1715" s="11">
        <f t="shared" si="1722"/>
        <v>0</v>
      </c>
      <c r="AY1715" s="11">
        <f t="shared" si="1723"/>
        <v>0</v>
      </c>
      <c r="AZ1715" s="12">
        <v>125</v>
      </c>
      <c r="BA1715" s="11">
        <f t="shared" si="1724"/>
        <v>5000</v>
      </c>
      <c r="BB1715" s="12">
        <v>3</v>
      </c>
      <c r="BC1715" s="11">
        <f t="shared" si="1725"/>
        <v>120</v>
      </c>
      <c r="BE1715" s="11">
        <f t="shared" si="1726"/>
        <v>0</v>
      </c>
      <c r="BG1715" s="11">
        <f t="shared" si="1727"/>
        <v>0</v>
      </c>
      <c r="BN1715" s="8">
        <f t="shared" si="1707"/>
        <v>6625</v>
      </c>
      <c r="BO1715" s="8">
        <f t="shared" si="1708"/>
        <v>330000</v>
      </c>
      <c r="BP1715" s="8">
        <f t="shared" si="1728"/>
        <v>636</v>
      </c>
      <c r="BQ1715" s="12">
        <f t="shared" si="1729"/>
        <v>32295</v>
      </c>
    </row>
    <row r="1716" spans="1:69">
      <c r="A1716" s="28">
        <v>1987</v>
      </c>
      <c r="B1716" s="27" t="s">
        <v>80</v>
      </c>
      <c r="C1716" s="24">
        <f t="shared" si="1687"/>
        <v>1684</v>
      </c>
      <c r="D1716" s="7" t="e">
        <f t="shared" ca="1" si="1679"/>
        <v>#N/A</v>
      </c>
      <c r="E1716" s="26">
        <f t="array" aca="1" ref="E1716" ca="1">AVERAGE(IF(INDIRECT(DatCol&amp;"$"&amp;TEXT(C1716,"###")):INDIRECT(DatCol&amp;"$"&amp;TEXT(C1716+57,"###"))&gt;0,INDIRECT(DatCol&amp;"$"&amp;TEXT(C1716,"###")):INDIRECT(DatCol&amp;"$"&amp;TEXT(C1716+57,"###"))))</f>
        <v>1196.625</v>
      </c>
      <c r="F1716" s="26" t="str">
        <f t="shared" si="1706"/>
        <v>N</v>
      </c>
      <c r="G1716" s="8"/>
      <c r="H1716" s="8">
        <v>45</v>
      </c>
      <c r="I1716" s="8">
        <v>43</v>
      </c>
      <c r="J1716" s="8">
        <v>103</v>
      </c>
      <c r="K1716" s="9">
        <f t="shared" si="1709"/>
        <v>148</v>
      </c>
      <c r="L1716" s="12">
        <v>5590</v>
      </c>
      <c r="M1716" s="11">
        <f t="shared" si="1710"/>
        <v>279500</v>
      </c>
      <c r="N1716" s="12">
        <v>269</v>
      </c>
      <c r="O1716" s="11">
        <f t="shared" si="1711"/>
        <v>13450</v>
      </c>
      <c r="Q1716" s="11">
        <f t="shared" si="1712"/>
        <v>0</v>
      </c>
      <c r="Y1716" s="11">
        <f t="shared" si="1713"/>
        <v>0</v>
      </c>
      <c r="AG1716" s="11">
        <f t="shared" si="1714"/>
        <v>0</v>
      </c>
      <c r="AH1716" s="12">
        <v>45</v>
      </c>
      <c r="AI1716" s="11">
        <f t="shared" si="1715"/>
        <v>2925</v>
      </c>
      <c r="AK1716" s="13">
        <f t="shared" si="1716"/>
        <v>0</v>
      </c>
      <c r="AM1716" s="13">
        <f t="shared" si="1717"/>
        <v>0</v>
      </c>
      <c r="AO1716" s="11">
        <f t="shared" si="1718"/>
        <v>0</v>
      </c>
      <c r="AQ1716" s="11">
        <f t="shared" si="1719"/>
        <v>0</v>
      </c>
      <c r="AS1716" s="11">
        <f t="shared" si="1720"/>
        <v>0</v>
      </c>
      <c r="AU1716" s="11">
        <f t="shared" si="1721"/>
        <v>0</v>
      </c>
      <c r="AW1716" s="11">
        <f t="shared" si="1722"/>
        <v>0</v>
      </c>
      <c r="AY1716" s="11">
        <f t="shared" si="1723"/>
        <v>0</v>
      </c>
      <c r="AZ1716" s="12">
        <v>50</v>
      </c>
      <c r="BA1716" s="11">
        <f t="shared" si="1724"/>
        <v>2000</v>
      </c>
      <c r="BC1716" s="11">
        <f t="shared" si="1725"/>
        <v>0</v>
      </c>
      <c r="BE1716" s="11">
        <f t="shared" si="1726"/>
        <v>0</v>
      </c>
      <c r="BG1716" s="11">
        <f t="shared" si="1727"/>
        <v>0</v>
      </c>
      <c r="BN1716" s="8">
        <f t="shared" si="1707"/>
        <v>5640</v>
      </c>
      <c r="BO1716" s="8">
        <f t="shared" si="1708"/>
        <v>281500</v>
      </c>
      <c r="BP1716" s="8">
        <f t="shared" si="1728"/>
        <v>314</v>
      </c>
      <c r="BQ1716" s="12">
        <f t="shared" si="1729"/>
        <v>16375</v>
      </c>
    </row>
    <row r="1717" spans="1:69">
      <c r="A1717" s="28">
        <v>1988</v>
      </c>
      <c r="B1717" s="27" t="s">
        <v>80</v>
      </c>
      <c r="C1717" s="24">
        <f t="shared" si="1687"/>
        <v>1684</v>
      </c>
      <c r="D1717" s="7" t="e">
        <f t="shared" ca="1" si="1679"/>
        <v>#N/A</v>
      </c>
      <c r="E1717" s="26">
        <f t="array" aca="1" ref="E1717" ca="1">AVERAGE(IF(INDIRECT(DatCol&amp;"$"&amp;TEXT(C1717,"###")):INDIRECT(DatCol&amp;"$"&amp;TEXT(C1717+57,"###"))&gt;0,INDIRECT(DatCol&amp;"$"&amp;TEXT(C1717,"###")):INDIRECT(DatCol&amp;"$"&amp;TEXT(C1717+57,"###"))))</f>
        <v>1196.625</v>
      </c>
      <c r="F1717" s="26" t="str">
        <f t="shared" si="1706"/>
        <v>N</v>
      </c>
      <c r="G1717" s="8">
        <v>3</v>
      </c>
      <c r="H1717" s="8">
        <v>82</v>
      </c>
      <c r="I1717" s="8">
        <v>47</v>
      </c>
      <c r="J1717" s="8">
        <v>106</v>
      </c>
      <c r="K1717" s="9">
        <f t="shared" si="1709"/>
        <v>191</v>
      </c>
      <c r="L1717" s="12">
        <v>8000</v>
      </c>
      <c r="M1717" s="11">
        <f t="shared" si="1710"/>
        <v>400000</v>
      </c>
      <c r="N1717" s="12">
        <v>426</v>
      </c>
      <c r="O1717" s="11">
        <f t="shared" si="1711"/>
        <v>21300</v>
      </c>
      <c r="P1717" s="12">
        <v>0</v>
      </c>
      <c r="Q1717" s="11">
        <f t="shared" si="1712"/>
        <v>0</v>
      </c>
      <c r="X1717" s="12">
        <v>0</v>
      </c>
      <c r="Y1717" s="11">
        <f t="shared" si="1713"/>
        <v>0</v>
      </c>
      <c r="AF1717" s="12">
        <v>0</v>
      </c>
      <c r="AG1717" s="11">
        <f t="shared" si="1714"/>
        <v>0</v>
      </c>
      <c r="AH1717" s="12">
        <v>130</v>
      </c>
      <c r="AI1717" s="11">
        <f t="shared" si="1715"/>
        <v>8450</v>
      </c>
      <c r="AK1717" s="13">
        <f t="shared" si="1716"/>
        <v>0</v>
      </c>
      <c r="AM1717" s="13">
        <f t="shared" si="1717"/>
        <v>0</v>
      </c>
      <c r="AO1717" s="11">
        <f t="shared" si="1718"/>
        <v>0</v>
      </c>
      <c r="AQ1717" s="11">
        <f t="shared" si="1719"/>
        <v>0</v>
      </c>
      <c r="AR1717" s="12">
        <v>0</v>
      </c>
      <c r="AS1717" s="11">
        <f t="shared" si="1720"/>
        <v>0</v>
      </c>
      <c r="AT1717" s="12">
        <v>0</v>
      </c>
      <c r="AU1717" s="11">
        <f t="shared" si="1721"/>
        <v>0</v>
      </c>
      <c r="AV1717" s="12">
        <v>0</v>
      </c>
      <c r="AW1717" s="11">
        <f t="shared" si="1722"/>
        <v>0</v>
      </c>
      <c r="AX1717" s="12">
        <v>0</v>
      </c>
      <c r="AY1717" s="11">
        <f t="shared" si="1723"/>
        <v>0</v>
      </c>
      <c r="AZ1717" s="12">
        <v>55</v>
      </c>
      <c r="BA1717" s="11">
        <f t="shared" si="1724"/>
        <v>2200</v>
      </c>
      <c r="BB1717" s="12">
        <v>2</v>
      </c>
      <c r="BC1717" s="11">
        <f t="shared" si="1725"/>
        <v>80</v>
      </c>
      <c r="BE1717" s="11">
        <f t="shared" si="1726"/>
        <v>0</v>
      </c>
      <c r="BG1717" s="11">
        <f t="shared" si="1727"/>
        <v>0</v>
      </c>
      <c r="BN1717" s="8">
        <f t="shared" si="1707"/>
        <v>8055</v>
      </c>
      <c r="BO1717" s="8">
        <f t="shared" si="1708"/>
        <v>402200</v>
      </c>
      <c r="BP1717" s="8">
        <f t="shared" si="1728"/>
        <v>558</v>
      </c>
      <c r="BQ1717" s="12">
        <f t="shared" si="1729"/>
        <v>29830</v>
      </c>
    </row>
    <row r="1718" spans="1:69">
      <c r="A1718" s="28">
        <v>1989</v>
      </c>
      <c r="B1718" s="27" t="s">
        <v>80</v>
      </c>
      <c r="C1718" s="24">
        <f t="shared" si="1687"/>
        <v>1684</v>
      </c>
      <c r="D1718" s="7" t="e">
        <f t="shared" ca="1" si="1679"/>
        <v>#N/A</v>
      </c>
      <c r="E1718" s="26">
        <f t="array" aca="1" ref="E1718" ca="1">AVERAGE(IF(INDIRECT(DatCol&amp;"$"&amp;TEXT(C1718,"###")):INDIRECT(DatCol&amp;"$"&amp;TEXT(C1718+57,"###"))&gt;0,INDIRECT(DatCol&amp;"$"&amp;TEXT(C1718,"###")):INDIRECT(DatCol&amp;"$"&amp;TEXT(C1718+57,"###"))))</f>
        <v>1196.625</v>
      </c>
      <c r="F1718" s="26" t="str">
        <f t="shared" si="1706"/>
        <v>N</v>
      </c>
      <c r="G1718" s="8">
        <v>4</v>
      </c>
      <c r="H1718" s="8">
        <v>109</v>
      </c>
      <c r="I1718" s="8">
        <v>53</v>
      </c>
      <c r="J1718" s="8">
        <v>121</v>
      </c>
      <c r="K1718" s="9">
        <f t="shared" si="1709"/>
        <v>234</v>
      </c>
      <c r="L1718" s="12">
        <v>5000</v>
      </c>
      <c r="M1718" s="11">
        <f t="shared" ref="M1718:M1724" si="1730">(L1718*50)</f>
        <v>250000</v>
      </c>
      <c r="N1718" s="12">
        <v>1149</v>
      </c>
      <c r="O1718" s="11">
        <f t="shared" ref="O1718:O1724" si="1731">(N1718*50)</f>
        <v>57450</v>
      </c>
      <c r="Q1718" s="11">
        <f t="shared" ref="Q1718:Q1724" si="1732">((P1718*330)/5.5)</f>
        <v>0</v>
      </c>
      <c r="Y1718" s="11">
        <f t="shared" ref="Y1718:Y1724" si="1733">((X1718*330)/5.5)</f>
        <v>0</v>
      </c>
      <c r="AG1718" s="11">
        <f t="shared" ref="AG1718:AG1724" si="1734">(AF1718*65)</f>
        <v>0</v>
      </c>
      <c r="AH1718" s="12">
        <v>300</v>
      </c>
      <c r="AI1718" s="11">
        <f t="shared" ref="AI1718:AI1724" si="1735">(AH1718*65)</f>
        <v>19500</v>
      </c>
      <c r="AK1718" s="13">
        <f t="shared" ref="AK1718:AK1724" si="1736">(AJ1718*9)</f>
        <v>0</v>
      </c>
      <c r="AM1718" s="13">
        <f t="shared" ref="AM1718:AM1724" si="1737">(AL1718*9)</f>
        <v>0</v>
      </c>
      <c r="AO1718" s="11">
        <f t="shared" ref="AO1718:AO1724" si="1738">(AN1718*80)</f>
        <v>0</v>
      </c>
      <c r="AQ1718" s="11">
        <f t="shared" ref="AQ1718:AQ1724" si="1739">(AP1718*80)</f>
        <v>0</v>
      </c>
      <c r="AS1718" s="11">
        <f t="shared" ref="AS1718:AS1724" si="1740">(AR1718*50)</f>
        <v>0</v>
      </c>
      <c r="AT1718" s="12">
        <v>5</v>
      </c>
      <c r="AU1718" s="11">
        <f t="shared" ref="AU1718:AU1724" si="1741">(AT1718*50)</f>
        <v>250</v>
      </c>
      <c r="AW1718" s="11">
        <f t="shared" ref="AW1718:AW1724" si="1742">(AV1718*60)</f>
        <v>0</v>
      </c>
      <c r="AY1718" s="11">
        <f t="shared" ref="AY1718:AY1724" si="1743">(AX1718*60)</f>
        <v>0</v>
      </c>
      <c r="AZ1718" s="12">
        <v>100</v>
      </c>
      <c r="BA1718" s="11">
        <f t="shared" ref="BA1718:BA1724" si="1744">(AZ1718*40)</f>
        <v>4000</v>
      </c>
      <c r="BB1718" s="12">
        <v>0</v>
      </c>
      <c r="BC1718" s="11">
        <f t="shared" ref="BC1718:BC1724" si="1745">(BB1718*40)</f>
        <v>0</v>
      </c>
      <c r="BE1718" s="11">
        <f t="shared" ref="BE1718:BE1724" si="1746">(BD1718*95)</f>
        <v>0</v>
      </c>
      <c r="BG1718" s="11">
        <f t="shared" ref="BG1718:BG1724" si="1747">(BF1718*95)</f>
        <v>0</v>
      </c>
      <c r="BN1718" s="8">
        <f t="shared" si="1707"/>
        <v>5100</v>
      </c>
      <c r="BO1718" s="8">
        <f t="shared" si="1708"/>
        <v>254000</v>
      </c>
      <c r="BP1718" s="8">
        <f t="shared" si="1728"/>
        <v>1454</v>
      </c>
      <c r="BQ1718" s="12">
        <f t="shared" si="1729"/>
        <v>77200</v>
      </c>
    </row>
    <row r="1719" spans="1:69">
      <c r="A1719" s="28">
        <v>1990</v>
      </c>
      <c r="B1719" s="27" t="s">
        <v>80</v>
      </c>
      <c r="C1719" s="24">
        <f t="shared" si="1687"/>
        <v>1684</v>
      </c>
      <c r="D1719" s="7" t="e">
        <f t="shared" ca="1" si="1679"/>
        <v>#N/A</v>
      </c>
      <c r="E1719" s="26">
        <f t="array" aca="1" ref="E1719" ca="1">AVERAGE(IF(INDIRECT(DatCol&amp;"$"&amp;TEXT(C1719,"###")):INDIRECT(DatCol&amp;"$"&amp;TEXT(C1719+57,"###"))&gt;0,INDIRECT(DatCol&amp;"$"&amp;TEXT(C1719,"###")):INDIRECT(DatCol&amp;"$"&amp;TEXT(C1719+57,"###"))))</f>
        <v>1196.625</v>
      </c>
      <c r="F1719" s="26" t="str">
        <f t="shared" si="1706"/>
        <v>N</v>
      </c>
      <c r="G1719" s="8">
        <v>6</v>
      </c>
      <c r="H1719" s="8">
        <v>300</v>
      </c>
      <c r="I1719" s="8">
        <v>59</v>
      </c>
      <c r="J1719" s="8">
        <v>122</v>
      </c>
      <c r="K1719" s="9">
        <f t="shared" si="1709"/>
        <v>428</v>
      </c>
      <c r="L1719" s="12">
        <v>6000</v>
      </c>
      <c r="M1719" s="11">
        <f t="shared" si="1730"/>
        <v>300000</v>
      </c>
      <c r="N1719" s="12">
        <v>650</v>
      </c>
      <c r="O1719" s="11">
        <f t="shared" si="1731"/>
        <v>32500</v>
      </c>
      <c r="Q1719" s="11">
        <f t="shared" si="1732"/>
        <v>0</v>
      </c>
      <c r="Y1719" s="11">
        <f t="shared" si="1733"/>
        <v>0</v>
      </c>
      <c r="AG1719" s="11">
        <f t="shared" si="1734"/>
        <v>0</v>
      </c>
      <c r="AH1719" s="12">
        <v>150</v>
      </c>
      <c r="AI1719" s="11">
        <f t="shared" si="1735"/>
        <v>9750</v>
      </c>
      <c r="AK1719" s="13">
        <f t="shared" si="1736"/>
        <v>0</v>
      </c>
      <c r="AM1719" s="13">
        <f t="shared" si="1737"/>
        <v>0</v>
      </c>
      <c r="AO1719" s="11">
        <f t="shared" si="1738"/>
        <v>0</v>
      </c>
      <c r="AQ1719" s="11">
        <f t="shared" si="1739"/>
        <v>0</v>
      </c>
      <c r="AS1719" s="11">
        <f t="shared" si="1740"/>
        <v>0</v>
      </c>
      <c r="AT1719" s="12">
        <v>4</v>
      </c>
      <c r="AU1719" s="11">
        <f t="shared" si="1741"/>
        <v>200</v>
      </c>
      <c r="AW1719" s="11">
        <f t="shared" si="1742"/>
        <v>0</v>
      </c>
      <c r="AY1719" s="11">
        <f t="shared" si="1743"/>
        <v>0</v>
      </c>
      <c r="AZ1719" s="12">
        <v>40</v>
      </c>
      <c r="BA1719" s="11">
        <f t="shared" si="1744"/>
        <v>1600</v>
      </c>
      <c r="BB1719" s="12">
        <v>0</v>
      </c>
      <c r="BC1719" s="11">
        <f t="shared" si="1745"/>
        <v>0</v>
      </c>
      <c r="BE1719" s="11">
        <f t="shared" si="1746"/>
        <v>0</v>
      </c>
      <c r="BG1719" s="11">
        <f t="shared" si="1747"/>
        <v>0</v>
      </c>
      <c r="BN1719" s="8">
        <f t="shared" si="1707"/>
        <v>6040</v>
      </c>
      <c r="BO1719" s="8">
        <f t="shared" si="1708"/>
        <v>301600</v>
      </c>
      <c r="BP1719" s="8">
        <f t="shared" si="1728"/>
        <v>804</v>
      </c>
      <c r="BQ1719" s="12">
        <f t="shared" si="1729"/>
        <v>42450</v>
      </c>
    </row>
    <row r="1720" spans="1:69">
      <c r="A1720" s="28">
        <v>1991</v>
      </c>
      <c r="B1720" s="27" t="s">
        <v>80</v>
      </c>
      <c r="C1720" s="24">
        <f t="shared" si="1687"/>
        <v>1684</v>
      </c>
      <c r="D1720" s="7" t="e">
        <f t="shared" ca="1" si="1679"/>
        <v>#N/A</v>
      </c>
      <c r="E1720" s="26">
        <f t="array" aca="1" ref="E1720" ca="1">AVERAGE(IF(INDIRECT(DatCol&amp;"$"&amp;TEXT(C1720,"###")):INDIRECT(DatCol&amp;"$"&amp;TEXT(C1720+57,"###"))&gt;0,INDIRECT(DatCol&amp;"$"&amp;TEXT(C1720,"###")):INDIRECT(DatCol&amp;"$"&amp;TEXT(C1720+57,"###"))))</f>
        <v>1196.625</v>
      </c>
      <c r="F1720" s="26" t="str">
        <f t="shared" si="1706"/>
        <v>N</v>
      </c>
      <c r="G1720" s="8">
        <v>6</v>
      </c>
      <c r="H1720" s="8">
        <v>349</v>
      </c>
      <c r="I1720" s="8">
        <v>73</v>
      </c>
      <c r="J1720" s="8">
        <f>98+3</f>
        <v>101</v>
      </c>
      <c r="K1720" s="9">
        <f t="shared" si="1709"/>
        <v>456</v>
      </c>
      <c r="L1720" s="12">
        <v>6772</v>
      </c>
      <c r="M1720" s="11">
        <f t="shared" si="1730"/>
        <v>338600</v>
      </c>
      <c r="N1720" s="12">
        <v>788</v>
      </c>
      <c r="O1720" s="11">
        <f t="shared" si="1731"/>
        <v>39400</v>
      </c>
      <c r="Q1720" s="11">
        <f t="shared" si="1732"/>
        <v>0</v>
      </c>
      <c r="Y1720" s="11">
        <f t="shared" si="1733"/>
        <v>0</v>
      </c>
      <c r="AG1720" s="11">
        <f t="shared" si="1734"/>
        <v>0</v>
      </c>
      <c r="AI1720" s="11">
        <f t="shared" si="1735"/>
        <v>0</v>
      </c>
      <c r="AK1720" s="13">
        <f t="shared" si="1736"/>
        <v>0</v>
      </c>
      <c r="AM1720" s="13">
        <f t="shared" si="1737"/>
        <v>0</v>
      </c>
      <c r="AO1720" s="11">
        <f t="shared" si="1738"/>
        <v>0</v>
      </c>
      <c r="AQ1720" s="11">
        <f t="shared" si="1739"/>
        <v>0</v>
      </c>
      <c r="AS1720" s="11">
        <f t="shared" si="1740"/>
        <v>0</v>
      </c>
      <c r="AU1720" s="11">
        <f t="shared" si="1741"/>
        <v>0</v>
      </c>
      <c r="AW1720" s="11">
        <f t="shared" si="1742"/>
        <v>0</v>
      </c>
      <c r="AY1720" s="11">
        <f t="shared" si="1743"/>
        <v>0</v>
      </c>
      <c r="BA1720" s="11">
        <f t="shared" si="1744"/>
        <v>0</v>
      </c>
      <c r="BC1720" s="11">
        <f t="shared" si="1745"/>
        <v>0</v>
      </c>
      <c r="BE1720" s="11">
        <f t="shared" si="1746"/>
        <v>0</v>
      </c>
      <c r="BG1720" s="11">
        <f t="shared" si="1747"/>
        <v>0</v>
      </c>
      <c r="BN1720" s="8">
        <f t="shared" si="1707"/>
        <v>6772</v>
      </c>
      <c r="BO1720" s="8">
        <f t="shared" si="1708"/>
        <v>338600</v>
      </c>
      <c r="BP1720" s="8">
        <f t="shared" si="1728"/>
        <v>788</v>
      </c>
      <c r="BQ1720" s="12">
        <f t="shared" si="1729"/>
        <v>39400</v>
      </c>
    </row>
    <row r="1721" spans="1:69">
      <c r="A1721" s="28">
        <v>1992</v>
      </c>
      <c r="B1721" s="27" t="s">
        <v>80</v>
      </c>
      <c r="C1721" s="24">
        <f t="shared" si="1687"/>
        <v>1684</v>
      </c>
      <c r="D1721" s="7" t="e">
        <f t="shared" ca="1" si="1679"/>
        <v>#N/A</v>
      </c>
      <c r="E1721" s="26">
        <f t="array" aca="1" ref="E1721" ca="1">AVERAGE(IF(INDIRECT(DatCol&amp;"$"&amp;TEXT(C1721,"###")):INDIRECT(DatCol&amp;"$"&amp;TEXT(C1721+57,"###"))&gt;0,INDIRECT(DatCol&amp;"$"&amp;TEXT(C1721,"###")):INDIRECT(DatCol&amp;"$"&amp;TEXT(C1721+57,"###"))))</f>
        <v>1196.625</v>
      </c>
      <c r="F1721" s="26" t="str">
        <f t="shared" si="1706"/>
        <v>N</v>
      </c>
      <c r="G1721" s="8">
        <v>5</v>
      </c>
      <c r="H1721" s="8">
        <v>224</v>
      </c>
      <c r="I1721" s="8">
        <v>100</v>
      </c>
      <c r="J1721" s="8">
        <f>98+8</f>
        <v>106</v>
      </c>
      <c r="K1721" s="9">
        <f t="shared" si="1709"/>
        <v>335</v>
      </c>
      <c r="L1721" s="12">
        <v>7879</v>
      </c>
      <c r="M1721" s="11">
        <f t="shared" si="1730"/>
        <v>393950</v>
      </c>
      <c r="N1721" s="12">
        <v>2207</v>
      </c>
      <c r="O1721" s="11">
        <f t="shared" si="1731"/>
        <v>110350</v>
      </c>
      <c r="Q1721" s="11">
        <f t="shared" si="1732"/>
        <v>0</v>
      </c>
      <c r="X1721" s="12">
        <v>0</v>
      </c>
      <c r="Y1721" s="11">
        <f t="shared" si="1733"/>
        <v>0</v>
      </c>
      <c r="AG1721" s="11">
        <f t="shared" si="1734"/>
        <v>0</v>
      </c>
      <c r="AI1721" s="11">
        <f t="shared" si="1735"/>
        <v>0</v>
      </c>
      <c r="AK1721" s="13">
        <f t="shared" si="1736"/>
        <v>0</v>
      </c>
      <c r="AM1721" s="13">
        <f t="shared" si="1737"/>
        <v>0</v>
      </c>
      <c r="AO1721" s="11">
        <f t="shared" si="1738"/>
        <v>0</v>
      </c>
      <c r="AQ1721" s="11">
        <f t="shared" si="1739"/>
        <v>0</v>
      </c>
      <c r="AS1721" s="11">
        <f t="shared" si="1740"/>
        <v>0</v>
      </c>
      <c r="AU1721" s="11">
        <f t="shared" si="1741"/>
        <v>0</v>
      </c>
      <c r="AW1721" s="11">
        <f t="shared" si="1742"/>
        <v>0</v>
      </c>
      <c r="AY1721" s="11">
        <f t="shared" si="1743"/>
        <v>0</v>
      </c>
      <c r="AZ1721" s="12">
        <v>60</v>
      </c>
      <c r="BA1721" s="11">
        <f t="shared" si="1744"/>
        <v>2400</v>
      </c>
      <c r="BC1721" s="11">
        <f t="shared" si="1745"/>
        <v>0</v>
      </c>
      <c r="BE1721" s="11">
        <f t="shared" si="1746"/>
        <v>0</v>
      </c>
      <c r="BG1721" s="11">
        <f t="shared" si="1747"/>
        <v>0</v>
      </c>
      <c r="BN1721" s="8">
        <f t="shared" si="1707"/>
        <v>7939</v>
      </c>
      <c r="BO1721" s="8">
        <f t="shared" si="1708"/>
        <v>396350</v>
      </c>
      <c r="BP1721" s="8">
        <f t="shared" si="1728"/>
        <v>2207</v>
      </c>
      <c r="BQ1721" s="12">
        <f t="shared" si="1729"/>
        <v>110350</v>
      </c>
    </row>
    <row r="1722" spans="1:69">
      <c r="A1722" s="28">
        <v>1993</v>
      </c>
      <c r="B1722" s="27" t="s">
        <v>80</v>
      </c>
      <c r="C1722" s="24">
        <f t="shared" si="1687"/>
        <v>1684</v>
      </c>
      <c r="D1722" s="7" t="e">
        <f t="shared" ca="1" si="1679"/>
        <v>#N/A</v>
      </c>
      <c r="E1722" s="26">
        <f t="array" aca="1" ref="E1722" ca="1">AVERAGE(IF(INDIRECT(DatCol&amp;"$"&amp;TEXT(C1722,"###")):INDIRECT(DatCol&amp;"$"&amp;TEXT(C1722+57,"###"))&gt;0,INDIRECT(DatCol&amp;"$"&amp;TEXT(C1722,"###")):INDIRECT(DatCol&amp;"$"&amp;TEXT(C1722+57,"###"))))</f>
        <v>1196.625</v>
      </c>
      <c r="F1722" s="26" t="str">
        <f t="shared" si="1706"/>
        <v>N</v>
      </c>
      <c r="G1722" s="8">
        <v>3</v>
      </c>
      <c r="H1722" s="8">
        <v>63</v>
      </c>
      <c r="I1722" s="8">
        <v>101</v>
      </c>
      <c r="J1722" s="8">
        <f>56+11</f>
        <v>67</v>
      </c>
      <c r="K1722" s="9">
        <f t="shared" si="1709"/>
        <v>133</v>
      </c>
      <c r="L1722" s="12">
        <v>5927</v>
      </c>
      <c r="M1722" s="11">
        <f t="shared" si="1730"/>
        <v>296350</v>
      </c>
      <c r="N1722" s="12">
        <v>287</v>
      </c>
      <c r="O1722" s="11">
        <f t="shared" si="1731"/>
        <v>14350</v>
      </c>
      <c r="P1722" s="12">
        <v>0</v>
      </c>
      <c r="Q1722" s="11">
        <f t="shared" si="1732"/>
        <v>0</v>
      </c>
      <c r="X1722" s="12">
        <v>0</v>
      </c>
      <c r="Y1722" s="11">
        <f t="shared" si="1733"/>
        <v>0</v>
      </c>
      <c r="AF1722" s="12">
        <v>0</v>
      </c>
      <c r="AG1722" s="11">
        <f t="shared" si="1734"/>
        <v>0</v>
      </c>
      <c r="AH1722" s="12">
        <v>6</v>
      </c>
      <c r="AI1722" s="11">
        <f t="shared" si="1735"/>
        <v>390</v>
      </c>
      <c r="AJ1722" s="12">
        <v>0</v>
      </c>
      <c r="AK1722" s="13">
        <f t="shared" si="1736"/>
        <v>0</v>
      </c>
      <c r="AL1722" s="12">
        <v>0</v>
      </c>
      <c r="AM1722" s="13">
        <f t="shared" si="1737"/>
        <v>0</v>
      </c>
      <c r="AN1722" s="12">
        <v>0</v>
      </c>
      <c r="AO1722" s="11">
        <f t="shared" si="1738"/>
        <v>0</v>
      </c>
      <c r="AP1722" s="12">
        <v>0</v>
      </c>
      <c r="AQ1722" s="11">
        <f t="shared" si="1739"/>
        <v>0</v>
      </c>
      <c r="AR1722" s="12">
        <v>0</v>
      </c>
      <c r="AS1722" s="11">
        <f t="shared" si="1740"/>
        <v>0</v>
      </c>
      <c r="AT1722" s="12">
        <v>0</v>
      </c>
      <c r="AU1722" s="11">
        <f t="shared" si="1741"/>
        <v>0</v>
      </c>
      <c r="AV1722" s="12">
        <v>0</v>
      </c>
      <c r="AW1722" s="11">
        <f t="shared" si="1742"/>
        <v>0</v>
      </c>
      <c r="AX1722" s="12">
        <v>0</v>
      </c>
      <c r="AY1722" s="11">
        <f t="shared" si="1743"/>
        <v>0</v>
      </c>
      <c r="AZ1722" s="12">
        <v>23</v>
      </c>
      <c r="BA1722" s="11">
        <f t="shared" si="1744"/>
        <v>920</v>
      </c>
      <c r="BB1722" s="12">
        <v>4</v>
      </c>
      <c r="BC1722" s="11">
        <f t="shared" si="1745"/>
        <v>160</v>
      </c>
      <c r="BD1722" s="12">
        <v>0</v>
      </c>
      <c r="BE1722" s="11">
        <f t="shared" si="1746"/>
        <v>0</v>
      </c>
      <c r="BF1722" s="12">
        <v>0</v>
      </c>
      <c r="BG1722" s="11">
        <f t="shared" si="1747"/>
        <v>0</v>
      </c>
      <c r="BH1722" s="13">
        <v>1500</v>
      </c>
      <c r="BN1722" s="8">
        <f t="shared" si="1707"/>
        <v>5950</v>
      </c>
      <c r="BO1722" s="8">
        <f t="shared" si="1708"/>
        <v>297270</v>
      </c>
      <c r="BP1722" s="8">
        <f t="shared" si="1728"/>
        <v>297</v>
      </c>
      <c r="BQ1722" s="12">
        <f t="shared" si="1729"/>
        <v>14900</v>
      </c>
    </row>
    <row r="1723" spans="1:69">
      <c r="A1723" s="28">
        <v>1994</v>
      </c>
      <c r="B1723" s="27" t="s">
        <v>80</v>
      </c>
      <c r="C1723" s="24">
        <f t="shared" si="1687"/>
        <v>1684</v>
      </c>
      <c r="D1723" s="7" t="e">
        <f t="shared" ca="1" si="1679"/>
        <v>#N/A</v>
      </c>
      <c r="E1723" s="26">
        <f t="array" aca="1" ref="E1723" ca="1">AVERAGE(IF(INDIRECT(DatCol&amp;"$"&amp;TEXT(C1723,"###")):INDIRECT(DatCol&amp;"$"&amp;TEXT(C1723+57,"###"))&gt;0,INDIRECT(DatCol&amp;"$"&amp;TEXT(C1723,"###")):INDIRECT(DatCol&amp;"$"&amp;TEXT(C1723+57,"###"))))</f>
        <v>1196.625</v>
      </c>
      <c r="F1723" s="26" t="str">
        <f t="shared" si="1706"/>
        <v>N</v>
      </c>
      <c r="G1723" s="8">
        <v>7</v>
      </c>
      <c r="H1723" s="8">
        <v>70</v>
      </c>
      <c r="I1723" s="8">
        <v>95</v>
      </c>
      <c r="J1723" s="8">
        <v>61</v>
      </c>
      <c r="K1723" s="9">
        <f t="shared" si="1709"/>
        <v>138</v>
      </c>
      <c r="L1723" s="12">
        <v>5400</v>
      </c>
      <c r="M1723" s="11">
        <f t="shared" si="1730"/>
        <v>270000</v>
      </c>
      <c r="N1723" s="12">
        <v>698</v>
      </c>
      <c r="O1723" s="11">
        <f t="shared" si="1731"/>
        <v>34900</v>
      </c>
      <c r="P1723" s="12">
        <v>0</v>
      </c>
      <c r="Q1723" s="11">
        <f t="shared" si="1732"/>
        <v>0</v>
      </c>
      <c r="X1723" s="12">
        <v>0</v>
      </c>
      <c r="Y1723" s="11">
        <f t="shared" si="1733"/>
        <v>0</v>
      </c>
      <c r="AF1723" s="12">
        <v>0</v>
      </c>
      <c r="AG1723" s="11">
        <f t="shared" si="1734"/>
        <v>0</v>
      </c>
      <c r="AH1723" s="12">
        <v>50</v>
      </c>
      <c r="AI1723" s="11">
        <f t="shared" si="1735"/>
        <v>3250</v>
      </c>
      <c r="AJ1723" s="12">
        <v>0</v>
      </c>
      <c r="AK1723" s="13">
        <f t="shared" si="1736"/>
        <v>0</v>
      </c>
      <c r="AL1723" s="12">
        <v>0</v>
      </c>
      <c r="AM1723" s="13">
        <f t="shared" si="1737"/>
        <v>0</v>
      </c>
      <c r="AN1723" s="12">
        <v>0</v>
      </c>
      <c r="AO1723" s="11">
        <f t="shared" si="1738"/>
        <v>0</v>
      </c>
      <c r="AP1723" s="12">
        <v>0</v>
      </c>
      <c r="AQ1723" s="11">
        <f t="shared" si="1739"/>
        <v>0</v>
      </c>
      <c r="AR1723" s="12">
        <v>0</v>
      </c>
      <c r="AS1723" s="11">
        <f t="shared" si="1740"/>
        <v>0</v>
      </c>
      <c r="AT1723" s="12">
        <v>0</v>
      </c>
      <c r="AU1723" s="11">
        <f t="shared" si="1741"/>
        <v>0</v>
      </c>
      <c r="AV1723" s="12">
        <v>0</v>
      </c>
      <c r="AW1723" s="11">
        <f t="shared" si="1742"/>
        <v>0</v>
      </c>
      <c r="AX1723" s="12">
        <v>0</v>
      </c>
      <c r="AY1723" s="11">
        <f t="shared" si="1743"/>
        <v>0</v>
      </c>
      <c r="AZ1723" s="12">
        <v>100</v>
      </c>
      <c r="BA1723" s="11">
        <f t="shared" si="1744"/>
        <v>4000</v>
      </c>
      <c r="BB1723" s="12">
        <v>0</v>
      </c>
      <c r="BC1723" s="11">
        <f t="shared" si="1745"/>
        <v>0</v>
      </c>
      <c r="BE1723" s="11">
        <f t="shared" si="1746"/>
        <v>0</v>
      </c>
      <c r="BG1723" s="11">
        <f t="shared" si="1747"/>
        <v>0</v>
      </c>
      <c r="BN1723" s="8">
        <f t="shared" si="1707"/>
        <v>5500</v>
      </c>
      <c r="BO1723" s="8">
        <f t="shared" si="1708"/>
        <v>274000</v>
      </c>
      <c r="BP1723" s="8">
        <f t="shared" si="1728"/>
        <v>748</v>
      </c>
      <c r="BQ1723" s="12">
        <f t="shared" si="1729"/>
        <v>38150</v>
      </c>
    </row>
    <row r="1724" spans="1:69">
      <c r="A1724" s="28">
        <v>1995</v>
      </c>
      <c r="B1724" s="27" t="s">
        <v>80</v>
      </c>
      <c r="C1724" s="24">
        <f t="shared" si="1687"/>
        <v>1684</v>
      </c>
      <c r="D1724" s="7" t="e">
        <f t="shared" ca="1" si="1679"/>
        <v>#N/A</v>
      </c>
      <c r="E1724" s="26">
        <f t="array" aca="1" ref="E1724" ca="1">AVERAGE(IF(INDIRECT(DatCol&amp;"$"&amp;TEXT(C1724,"###")):INDIRECT(DatCol&amp;"$"&amp;TEXT(C1724+57,"###"))&gt;0,INDIRECT(DatCol&amp;"$"&amp;TEXT(C1724,"###")):INDIRECT(DatCol&amp;"$"&amp;TEXT(C1724+57,"###"))))</f>
        <v>1196.625</v>
      </c>
      <c r="F1724" s="26" t="str">
        <f t="shared" si="1706"/>
        <v>N</v>
      </c>
      <c r="G1724" s="9">
        <v>1</v>
      </c>
      <c r="H1724" s="9">
        <v>59</v>
      </c>
      <c r="I1724" s="9">
        <v>88</v>
      </c>
      <c r="J1724" s="9">
        <v>75</v>
      </c>
      <c r="K1724" s="9">
        <f t="shared" si="1709"/>
        <v>135</v>
      </c>
      <c r="M1724" s="11">
        <f t="shared" si="1730"/>
        <v>0</v>
      </c>
      <c r="O1724" s="11">
        <f t="shared" si="1731"/>
        <v>0</v>
      </c>
      <c r="Q1724" s="11">
        <f t="shared" si="1732"/>
        <v>0</v>
      </c>
      <c r="Y1724" s="11">
        <f t="shared" si="1733"/>
        <v>0</v>
      </c>
      <c r="AG1724" s="11">
        <f t="shared" si="1734"/>
        <v>0</v>
      </c>
      <c r="AI1724" s="11">
        <f t="shared" si="1735"/>
        <v>0</v>
      </c>
      <c r="AK1724" s="13">
        <f t="shared" si="1736"/>
        <v>0</v>
      </c>
      <c r="AM1724" s="13">
        <f t="shared" si="1737"/>
        <v>0</v>
      </c>
      <c r="AO1724" s="11">
        <f t="shared" si="1738"/>
        <v>0</v>
      </c>
      <c r="AQ1724" s="11">
        <f t="shared" si="1739"/>
        <v>0</v>
      </c>
      <c r="AS1724" s="11">
        <f t="shared" si="1740"/>
        <v>0</v>
      </c>
      <c r="AU1724" s="11">
        <f t="shared" si="1741"/>
        <v>0</v>
      </c>
      <c r="AW1724" s="11">
        <f t="shared" si="1742"/>
        <v>0</v>
      </c>
      <c r="AY1724" s="11">
        <f t="shared" si="1743"/>
        <v>0</v>
      </c>
      <c r="BA1724" s="11">
        <f t="shared" si="1744"/>
        <v>0</v>
      </c>
      <c r="BC1724" s="11">
        <f t="shared" si="1745"/>
        <v>0</v>
      </c>
      <c r="BE1724" s="11">
        <f t="shared" si="1746"/>
        <v>0</v>
      </c>
      <c r="BG1724" s="11">
        <f t="shared" si="1747"/>
        <v>0</v>
      </c>
      <c r="BN1724" s="8">
        <f t="shared" si="1707"/>
        <v>0</v>
      </c>
      <c r="BO1724" s="8">
        <f t="shared" si="1708"/>
        <v>0</v>
      </c>
      <c r="BP1724" s="8">
        <f t="shared" si="1728"/>
        <v>0</v>
      </c>
      <c r="BQ1724" s="12">
        <f t="shared" si="1729"/>
        <v>0</v>
      </c>
    </row>
    <row r="1725" spans="1:69">
      <c r="A1725" s="28">
        <v>1996</v>
      </c>
      <c r="B1725" s="27" t="s">
        <v>80</v>
      </c>
      <c r="C1725" s="24">
        <f t="shared" si="1687"/>
        <v>1684</v>
      </c>
      <c r="D1725" s="7" t="e">
        <f t="shared" ca="1" si="1679"/>
        <v>#N/A</v>
      </c>
      <c r="E1725" s="26">
        <f t="array" aca="1" ref="E1725" ca="1">AVERAGE(IF(INDIRECT(DatCol&amp;"$"&amp;TEXT(C1725,"###")):INDIRECT(DatCol&amp;"$"&amp;TEXT(C1725+57,"###"))&gt;0,INDIRECT(DatCol&amp;"$"&amp;TEXT(C1725,"###")):INDIRECT(DatCol&amp;"$"&amp;TEXT(C1725+57,"###"))))</f>
        <v>1196.625</v>
      </c>
      <c r="F1725" s="26" t="str">
        <f t="shared" si="1706"/>
        <v>N</v>
      </c>
      <c r="G1725" s="9">
        <v>2</v>
      </c>
      <c r="H1725" s="9">
        <v>60</v>
      </c>
      <c r="I1725" s="9">
        <v>94</v>
      </c>
      <c r="J1725" s="9">
        <f>58+9</f>
        <v>67</v>
      </c>
      <c r="K1725" s="9">
        <f t="shared" si="1709"/>
        <v>129</v>
      </c>
      <c r="L1725" s="10">
        <v>5000</v>
      </c>
      <c r="M1725" s="11">
        <v>249</v>
      </c>
      <c r="AK1725" s="13"/>
      <c r="AM1725" s="13"/>
      <c r="BN1725" s="8">
        <f t="shared" si="1707"/>
        <v>5000</v>
      </c>
      <c r="BO1725" s="8">
        <f t="shared" si="1708"/>
        <v>249</v>
      </c>
      <c r="BP1725" s="8">
        <f t="shared" si="1728"/>
        <v>0</v>
      </c>
      <c r="BQ1725" s="12">
        <f t="shared" si="1729"/>
        <v>0</v>
      </c>
    </row>
    <row r="1726" spans="1:69">
      <c r="A1726" s="28">
        <v>1997</v>
      </c>
      <c r="B1726" s="27" t="s">
        <v>80</v>
      </c>
      <c r="C1726" s="24">
        <f t="shared" si="1687"/>
        <v>1684</v>
      </c>
      <c r="D1726" s="7" t="e">
        <f t="shared" ca="1" si="1679"/>
        <v>#N/A</v>
      </c>
      <c r="E1726" s="26">
        <f t="array" aca="1" ref="E1726" ca="1">AVERAGE(IF(INDIRECT(DatCol&amp;"$"&amp;TEXT(C1726,"###")):INDIRECT(DatCol&amp;"$"&amp;TEXT(C1726+57,"###"))&gt;0,INDIRECT(DatCol&amp;"$"&amp;TEXT(C1726,"###")):INDIRECT(DatCol&amp;"$"&amp;TEXT(C1726+57,"###"))))</f>
        <v>1196.625</v>
      </c>
      <c r="F1726" s="26" t="str">
        <f t="shared" si="1706"/>
        <v>N</v>
      </c>
      <c r="K1726" s="9">
        <f t="shared" si="1709"/>
        <v>0</v>
      </c>
      <c r="AK1726" s="13"/>
      <c r="AM1726" s="13"/>
      <c r="BN1726" s="8">
        <f t="shared" si="1707"/>
        <v>0</v>
      </c>
      <c r="BO1726" s="8">
        <f t="shared" si="1708"/>
        <v>0</v>
      </c>
      <c r="BP1726" s="8">
        <f t="shared" si="1728"/>
        <v>0</v>
      </c>
      <c r="BQ1726" s="12">
        <f t="shared" si="1729"/>
        <v>0</v>
      </c>
    </row>
    <row r="1727" spans="1:69">
      <c r="A1727" s="28">
        <v>1998</v>
      </c>
      <c r="B1727" s="27" t="s">
        <v>80</v>
      </c>
      <c r="C1727" s="24">
        <f t="shared" si="1687"/>
        <v>1684</v>
      </c>
      <c r="D1727" s="7" t="e">
        <f t="shared" ca="1" si="1679"/>
        <v>#N/A</v>
      </c>
      <c r="E1727" s="26">
        <f t="array" aca="1" ref="E1727" ca="1">AVERAGE(IF(INDIRECT(DatCol&amp;"$"&amp;TEXT(C1727,"###")):INDIRECT(DatCol&amp;"$"&amp;TEXT(C1727+57,"###"))&gt;0,INDIRECT(DatCol&amp;"$"&amp;TEXT(C1727,"###")):INDIRECT(DatCol&amp;"$"&amp;TEXT(C1727+57,"###"))))</f>
        <v>1196.625</v>
      </c>
      <c r="F1727" s="26" t="str">
        <f t="shared" si="1706"/>
        <v>N</v>
      </c>
      <c r="K1727" s="9">
        <f t="shared" si="1709"/>
        <v>0</v>
      </c>
      <c r="AK1727" s="13"/>
      <c r="AM1727" s="13"/>
      <c r="BN1727" s="8">
        <f t="shared" si="1707"/>
        <v>0</v>
      </c>
      <c r="BO1727" s="8">
        <f t="shared" si="1708"/>
        <v>0</v>
      </c>
      <c r="BP1727" s="8">
        <f t="shared" si="1728"/>
        <v>0</v>
      </c>
      <c r="BQ1727" s="12">
        <f t="shared" si="1729"/>
        <v>0</v>
      </c>
    </row>
    <row r="1728" spans="1:69">
      <c r="A1728" s="28">
        <v>1999</v>
      </c>
      <c r="B1728" s="27" t="s">
        <v>80</v>
      </c>
      <c r="C1728" s="24">
        <f t="shared" si="1687"/>
        <v>1684</v>
      </c>
      <c r="D1728" s="7" t="e">
        <f t="shared" ca="1" si="1679"/>
        <v>#N/A</v>
      </c>
      <c r="E1728" s="26">
        <f t="array" aca="1" ref="E1728" ca="1">AVERAGE(IF(INDIRECT(DatCol&amp;"$"&amp;TEXT(C1728,"###")):INDIRECT(DatCol&amp;"$"&amp;TEXT(C1728+57,"###"))&gt;0,INDIRECT(DatCol&amp;"$"&amp;TEXT(C1728,"###")):INDIRECT(DatCol&amp;"$"&amp;TEXT(C1728+57,"###"))))</f>
        <v>1196.625</v>
      </c>
      <c r="F1728" s="26" t="str">
        <f t="shared" si="1706"/>
        <v>N</v>
      </c>
      <c r="K1728" s="9">
        <f t="shared" si="1709"/>
        <v>0</v>
      </c>
      <c r="AK1728" s="13"/>
      <c r="AM1728" s="13"/>
      <c r="BN1728" s="8">
        <f t="shared" si="1707"/>
        <v>0</v>
      </c>
      <c r="BO1728" s="8">
        <f t="shared" si="1708"/>
        <v>0</v>
      </c>
      <c r="BP1728" s="8">
        <f t="shared" si="1728"/>
        <v>0</v>
      </c>
      <c r="BQ1728" s="12">
        <f t="shared" si="1729"/>
        <v>0</v>
      </c>
    </row>
    <row r="1729" spans="1:69">
      <c r="A1729" s="28">
        <v>2000</v>
      </c>
      <c r="B1729" s="27" t="s">
        <v>80</v>
      </c>
      <c r="C1729" s="24">
        <f t="shared" si="1687"/>
        <v>1684</v>
      </c>
      <c r="D1729" s="7" t="e">
        <f t="shared" ca="1" si="1679"/>
        <v>#N/A</v>
      </c>
      <c r="E1729" s="26">
        <f t="array" aca="1" ref="E1729" ca="1">AVERAGE(IF(INDIRECT(DatCol&amp;"$"&amp;TEXT(C1729,"###")):INDIRECT(DatCol&amp;"$"&amp;TEXT(C1729+57,"###"))&gt;0,INDIRECT(DatCol&amp;"$"&amp;TEXT(C1729,"###")):INDIRECT(DatCol&amp;"$"&amp;TEXT(C1729+57,"###"))))</f>
        <v>1196.625</v>
      </c>
      <c r="F1729" s="26" t="str">
        <f t="shared" si="1706"/>
        <v>N</v>
      </c>
      <c r="K1729" s="9">
        <f t="shared" si="1709"/>
        <v>0</v>
      </c>
      <c r="AK1729" s="13"/>
      <c r="AM1729" s="13"/>
      <c r="BN1729" s="8">
        <f t="shared" si="1707"/>
        <v>0</v>
      </c>
      <c r="BO1729" s="8">
        <f t="shared" si="1708"/>
        <v>0</v>
      </c>
      <c r="BP1729" s="8">
        <f t="shared" si="1728"/>
        <v>0</v>
      </c>
      <c r="BQ1729" s="12">
        <f t="shared" si="1729"/>
        <v>0</v>
      </c>
    </row>
    <row r="1730" spans="1:69">
      <c r="A1730" s="28">
        <v>2001</v>
      </c>
      <c r="B1730" s="27" t="s">
        <v>80</v>
      </c>
      <c r="C1730" s="24">
        <f t="shared" si="1687"/>
        <v>1684</v>
      </c>
      <c r="D1730" s="7" t="e">
        <f t="shared" ref="D1730:D1793" ca="1" si="1748">IF(AND((INDIRECT(DatCol&amp;TEXT(ROW(),"###"))&gt;0),((F1730=RegionSelect)+(RegionSelect="A"))),INDIRECT(DatCol&amp;TEXT(ROW(),"###"))/E1730,NA())</f>
        <v>#N/A</v>
      </c>
      <c r="E1730" s="26">
        <f t="array" aca="1" ref="E1730" ca="1">AVERAGE(IF(INDIRECT(DatCol&amp;"$"&amp;TEXT(C1730,"###")):INDIRECT(DatCol&amp;"$"&amp;TEXT(C1730+57,"###"))&gt;0,INDIRECT(DatCol&amp;"$"&amp;TEXT(C1730,"###")):INDIRECT(DatCol&amp;"$"&amp;TEXT(C1730+57,"###"))))</f>
        <v>1196.625</v>
      </c>
      <c r="F1730" s="26" t="str">
        <f t="shared" si="1706"/>
        <v>N</v>
      </c>
      <c r="K1730" s="9">
        <f t="shared" si="1709"/>
        <v>0</v>
      </c>
      <c r="AK1730" s="13"/>
      <c r="AM1730" s="13"/>
      <c r="BN1730" s="8">
        <f t="shared" si="1707"/>
        <v>0</v>
      </c>
      <c r="BO1730" s="8">
        <f t="shared" si="1708"/>
        <v>0</v>
      </c>
      <c r="BP1730" s="8">
        <f t="shared" si="1728"/>
        <v>0</v>
      </c>
      <c r="BQ1730" s="12">
        <f t="shared" si="1729"/>
        <v>0</v>
      </c>
    </row>
    <row r="1731" spans="1:69">
      <c r="A1731" s="28">
        <v>2002</v>
      </c>
      <c r="B1731" s="27" t="s">
        <v>80</v>
      </c>
      <c r="C1731" s="24">
        <f t="shared" si="1687"/>
        <v>1684</v>
      </c>
      <c r="D1731" s="7" t="e">
        <f t="shared" ca="1" si="1748"/>
        <v>#N/A</v>
      </c>
      <c r="E1731" s="26">
        <f t="array" aca="1" ref="E1731" ca="1">AVERAGE(IF(INDIRECT(DatCol&amp;"$"&amp;TEXT(C1731,"###")):INDIRECT(DatCol&amp;"$"&amp;TEXT(C1731+57,"###"))&gt;0,INDIRECT(DatCol&amp;"$"&amp;TEXT(C1731,"###")):INDIRECT(DatCol&amp;"$"&amp;TEXT(C1731+57,"###"))))</f>
        <v>1196.625</v>
      </c>
      <c r="F1731" s="26" t="str">
        <f t="shared" si="1706"/>
        <v>N</v>
      </c>
      <c r="K1731" s="9">
        <f t="shared" si="1709"/>
        <v>0</v>
      </c>
      <c r="AK1731" s="13"/>
      <c r="AM1731" s="13"/>
      <c r="BN1731" s="8">
        <f t="shared" si="1707"/>
        <v>0</v>
      </c>
      <c r="BO1731" s="8">
        <f t="shared" si="1708"/>
        <v>0</v>
      </c>
      <c r="BP1731" s="8">
        <f t="shared" si="1728"/>
        <v>0</v>
      </c>
      <c r="BQ1731" s="12">
        <f t="shared" si="1729"/>
        <v>0</v>
      </c>
    </row>
    <row r="1732" spans="1:69">
      <c r="A1732" s="28">
        <v>2003</v>
      </c>
      <c r="B1732" s="27" t="s">
        <v>80</v>
      </c>
      <c r="C1732" s="24">
        <f t="shared" si="1687"/>
        <v>1684</v>
      </c>
      <c r="D1732" s="7" t="e">
        <f t="shared" ca="1" si="1748"/>
        <v>#N/A</v>
      </c>
      <c r="E1732" s="26">
        <f t="array" aca="1" ref="E1732" ca="1">AVERAGE(IF(INDIRECT(DatCol&amp;"$"&amp;TEXT(C1732,"###")):INDIRECT(DatCol&amp;"$"&amp;TEXT(C1732+57,"###"))&gt;0,INDIRECT(DatCol&amp;"$"&amp;TEXT(C1732,"###")):INDIRECT(DatCol&amp;"$"&amp;TEXT(C1732+57,"###"))))</f>
        <v>1196.625</v>
      </c>
      <c r="F1732" s="26" t="str">
        <f t="shared" si="1706"/>
        <v>N</v>
      </c>
      <c r="K1732" s="9">
        <f t="shared" si="1709"/>
        <v>0</v>
      </c>
      <c r="AK1732" s="13"/>
      <c r="AM1732" s="13"/>
      <c r="BN1732" s="8">
        <f t="shared" si="1707"/>
        <v>0</v>
      </c>
      <c r="BO1732" s="8">
        <f t="shared" si="1708"/>
        <v>0</v>
      </c>
      <c r="BP1732" s="8">
        <f t="shared" si="1728"/>
        <v>0</v>
      </c>
      <c r="BQ1732" s="12">
        <f t="shared" si="1729"/>
        <v>0</v>
      </c>
    </row>
    <row r="1733" spans="1:69">
      <c r="A1733" s="28">
        <v>2004</v>
      </c>
      <c r="B1733" s="27" t="s">
        <v>80</v>
      </c>
      <c r="C1733" s="24">
        <f t="shared" si="1687"/>
        <v>1684</v>
      </c>
      <c r="D1733" s="7" t="e">
        <f t="shared" ca="1" si="1748"/>
        <v>#N/A</v>
      </c>
      <c r="E1733" s="26">
        <f t="array" aca="1" ref="E1733" ca="1">AVERAGE(IF(INDIRECT(DatCol&amp;"$"&amp;TEXT(C1733,"###")):INDIRECT(DatCol&amp;"$"&amp;TEXT(C1733+57,"###"))&gt;0,INDIRECT(DatCol&amp;"$"&amp;TEXT(C1733,"###")):INDIRECT(DatCol&amp;"$"&amp;TEXT(C1733+57,"###"))))</f>
        <v>1196.625</v>
      </c>
      <c r="F1733" s="26" t="str">
        <f t="shared" si="1706"/>
        <v>N</v>
      </c>
      <c r="K1733" s="9">
        <f t="shared" si="1709"/>
        <v>0</v>
      </c>
      <c r="AK1733" s="13"/>
      <c r="AM1733" s="13"/>
      <c r="BN1733" s="8">
        <f t="shared" si="1707"/>
        <v>0</v>
      </c>
      <c r="BO1733" s="8">
        <f t="shared" si="1708"/>
        <v>0</v>
      </c>
      <c r="BP1733" s="8">
        <f t="shared" si="1728"/>
        <v>0</v>
      </c>
      <c r="BQ1733" s="12">
        <f t="shared" si="1729"/>
        <v>0</v>
      </c>
    </row>
    <row r="1734" spans="1:69">
      <c r="A1734" s="28">
        <v>2005</v>
      </c>
      <c r="B1734" s="27" t="s">
        <v>80</v>
      </c>
      <c r="C1734" s="24">
        <f t="shared" si="1687"/>
        <v>1684</v>
      </c>
      <c r="D1734" s="7" t="e">
        <f t="shared" ca="1" si="1748"/>
        <v>#N/A</v>
      </c>
      <c r="E1734" s="26">
        <f t="array" aca="1" ref="E1734" ca="1">AVERAGE(IF(INDIRECT(DatCol&amp;"$"&amp;TEXT(C1734,"###")):INDIRECT(DatCol&amp;"$"&amp;TEXT(C1734+57,"###"))&gt;0,INDIRECT(DatCol&amp;"$"&amp;TEXT(C1734,"###")):INDIRECT(DatCol&amp;"$"&amp;TEXT(C1734+57,"###"))))</f>
        <v>1196.625</v>
      </c>
      <c r="F1734" s="26" t="str">
        <f t="shared" si="1706"/>
        <v>N</v>
      </c>
      <c r="K1734" s="9">
        <f t="shared" si="1709"/>
        <v>0</v>
      </c>
      <c r="AK1734" s="13"/>
      <c r="AM1734" s="13"/>
      <c r="BN1734" s="8">
        <f t="shared" si="1707"/>
        <v>0</v>
      </c>
      <c r="BO1734" s="8">
        <f t="shared" si="1708"/>
        <v>0</v>
      </c>
      <c r="BP1734" s="8">
        <f t="shared" si="1728"/>
        <v>0</v>
      </c>
      <c r="BQ1734" s="12">
        <f t="shared" si="1729"/>
        <v>0</v>
      </c>
    </row>
    <row r="1735" spans="1:69">
      <c r="A1735" s="28">
        <v>2006</v>
      </c>
      <c r="B1735" s="27" t="s">
        <v>80</v>
      </c>
      <c r="C1735" s="24">
        <f t="shared" si="1687"/>
        <v>1684</v>
      </c>
      <c r="D1735" s="7" t="e">
        <f t="shared" ca="1" si="1748"/>
        <v>#N/A</v>
      </c>
      <c r="E1735" s="26">
        <f t="array" aca="1" ref="E1735" ca="1">AVERAGE(IF(INDIRECT(DatCol&amp;"$"&amp;TEXT(C1735,"###")):INDIRECT(DatCol&amp;"$"&amp;TEXT(C1735+57,"###"))&gt;0,INDIRECT(DatCol&amp;"$"&amp;TEXT(C1735,"###")):INDIRECT(DatCol&amp;"$"&amp;TEXT(C1735+57,"###"))))</f>
        <v>1196.625</v>
      </c>
      <c r="F1735" s="26" t="str">
        <f t="shared" si="1706"/>
        <v>N</v>
      </c>
      <c r="K1735" s="9">
        <f t="shared" si="1709"/>
        <v>0</v>
      </c>
      <c r="AK1735" s="13"/>
      <c r="AM1735" s="13"/>
      <c r="BN1735" s="8">
        <f t="shared" si="1707"/>
        <v>0</v>
      </c>
      <c r="BO1735" s="8">
        <f t="shared" si="1708"/>
        <v>0</v>
      </c>
      <c r="BP1735" s="8">
        <f t="shared" si="1728"/>
        <v>0</v>
      </c>
      <c r="BQ1735" s="12">
        <f t="shared" si="1729"/>
        <v>0</v>
      </c>
    </row>
    <row r="1736" spans="1:69">
      <c r="A1736" s="28">
        <v>2007</v>
      </c>
      <c r="B1736" s="27" t="s">
        <v>80</v>
      </c>
      <c r="C1736" s="24">
        <f t="shared" si="1687"/>
        <v>1684</v>
      </c>
      <c r="D1736" s="7" t="e">
        <f t="shared" ca="1" si="1748"/>
        <v>#N/A</v>
      </c>
      <c r="E1736" s="26">
        <f t="array" aca="1" ref="E1736" ca="1">AVERAGE(IF(INDIRECT(DatCol&amp;"$"&amp;TEXT(C1736,"###")):INDIRECT(DatCol&amp;"$"&amp;TEXT(C1736+57,"###"))&gt;0,INDIRECT(DatCol&amp;"$"&amp;TEXT(C1736,"###")):INDIRECT(DatCol&amp;"$"&amp;TEXT(C1736+57,"###"))))</f>
        <v>1196.625</v>
      </c>
      <c r="F1736" s="26" t="str">
        <f t="shared" si="1706"/>
        <v>N</v>
      </c>
      <c r="K1736" s="9">
        <f t="shared" si="1709"/>
        <v>0</v>
      </c>
      <c r="AK1736" s="13"/>
      <c r="AM1736" s="13"/>
      <c r="BN1736" s="8">
        <f t="shared" si="1707"/>
        <v>0</v>
      </c>
      <c r="BO1736" s="8">
        <f t="shared" si="1708"/>
        <v>0</v>
      </c>
      <c r="BP1736" s="8">
        <f t="shared" si="1728"/>
        <v>0</v>
      </c>
      <c r="BQ1736" s="12">
        <f t="shared" si="1729"/>
        <v>0</v>
      </c>
    </row>
    <row r="1737" spans="1:69">
      <c r="A1737" s="28">
        <v>2008</v>
      </c>
      <c r="B1737" s="27" t="s">
        <v>80</v>
      </c>
      <c r="C1737" s="24">
        <f t="shared" si="1687"/>
        <v>1684</v>
      </c>
      <c r="D1737" s="7" t="e">
        <f t="shared" ca="1" si="1748"/>
        <v>#N/A</v>
      </c>
      <c r="E1737" s="26">
        <f t="array" aca="1" ref="E1737" ca="1">AVERAGE(IF(INDIRECT(DatCol&amp;"$"&amp;TEXT(C1737,"###")):INDIRECT(DatCol&amp;"$"&amp;TEXT(C1737+57,"###"))&gt;0,INDIRECT(DatCol&amp;"$"&amp;TEXT(C1737,"###")):INDIRECT(DatCol&amp;"$"&amp;TEXT(C1737+57,"###"))))</f>
        <v>1196.625</v>
      </c>
      <c r="F1737" s="26" t="str">
        <f t="shared" si="1706"/>
        <v>N</v>
      </c>
      <c r="K1737" s="9">
        <f t="shared" si="1709"/>
        <v>0</v>
      </c>
      <c r="AK1737" s="13"/>
      <c r="AM1737" s="13"/>
      <c r="BN1737" s="8">
        <f t="shared" si="1707"/>
        <v>0</v>
      </c>
      <c r="BO1737" s="8">
        <f t="shared" si="1708"/>
        <v>0</v>
      </c>
      <c r="BP1737" s="8">
        <f t="shared" si="1728"/>
        <v>0</v>
      </c>
      <c r="BQ1737" s="12">
        <f t="shared" si="1729"/>
        <v>0</v>
      </c>
    </row>
    <row r="1738" spans="1:69">
      <c r="A1738" s="28">
        <v>2009</v>
      </c>
      <c r="B1738" s="27" t="s">
        <v>80</v>
      </c>
      <c r="C1738" s="24">
        <f t="shared" si="1687"/>
        <v>1684</v>
      </c>
      <c r="D1738" s="7" t="e">
        <f t="shared" ca="1" si="1748"/>
        <v>#N/A</v>
      </c>
      <c r="E1738" s="26">
        <f t="array" aca="1" ref="E1738" ca="1">AVERAGE(IF(INDIRECT(DatCol&amp;"$"&amp;TEXT(C1738,"###")):INDIRECT(DatCol&amp;"$"&amp;TEXT(C1738+57,"###"))&gt;0,INDIRECT(DatCol&amp;"$"&amp;TEXT(C1738,"###")):INDIRECT(DatCol&amp;"$"&amp;TEXT(C1738+57,"###"))))</f>
        <v>1196.625</v>
      </c>
      <c r="F1738" s="26" t="str">
        <f t="shared" si="1706"/>
        <v>N</v>
      </c>
      <c r="K1738" s="9">
        <f t="shared" si="1709"/>
        <v>0</v>
      </c>
      <c r="AK1738" s="13"/>
      <c r="AM1738" s="13"/>
      <c r="BN1738" s="8">
        <f t="shared" si="1707"/>
        <v>0</v>
      </c>
      <c r="BO1738" s="8">
        <f t="shared" si="1708"/>
        <v>0</v>
      </c>
      <c r="BP1738" s="8">
        <f t="shared" si="1728"/>
        <v>0</v>
      </c>
      <c r="BQ1738" s="12">
        <f t="shared" si="1729"/>
        <v>0</v>
      </c>
    </row>
    <row r="1739" spans="1:69">
      <c r="A1739" s="28">
        <v>2010</v>
      </c>
      <c r="B1739" s="27" t="s">
        <v>80</v>
      </c>
      <c r="C1739" s="24">
        <f t="shared" si="1687"/>
        <v>1684</v>
      </c>
      <c r="D1739" s="7" t="e">
        <f t="shared" ca="1" si="1748"/>
        <v>#N/A</v>
      </c>
      <c r="E1739" s="26">
        <f t="array" aca="1" ref="E1739" ca="1">AVERAGE(IF(INDIRECT(DatCol&amp;"$"&amp;TEXT(C1739,"###")):INDIRECT(DatCol&amp;"$"&amp;TEXT(C1739+57,"###"))&gt;0,INDIRECT(DatCol&amp;"$"&amp;TEXT(C1739,"###")):INDIRECT(DatCol&amp;"$"&amp;TEXT(C1739+57,"###"))))</f>
        <v>1196.625</v>
      </c>
      <c r="F1739" s="26" t="str">
        <f t="shared" ref="F1739:F1741" si="1749">VLOOKUP(B1739,town_region,2,FALSE)</f>
        <v>N</v>
      </c>
      <c r="AK1739" s="13"/>
      <c r="AM1739" s="13"/>
      <c r="BN1739" s="8"/>
      <c r="BO1739" s="8"/>
      <c r="BP1739" s="8"/>
      <c r="BQ1739" s="12"/>
    </row>
    <row r="1740" spans="1:69">
      <c r="A1740" s="28">
        <v>2011</v>
      </c>
      <c r="B1740" s="27" t="s">
        <v>80</v>
      </c>
      <c r="C1740" s="24">
        <f t="shared" si="1687"/>
        <v>1684</v>
      </c>
      <c r="D1740" s="7" t="e">
        <f t="shared" ca="1" si="1748"/>
        <v>#N/A</v>
      </c>
      <c r="E1740" s="26">
        <f t="array" aca="1" ref="E1740" ca="1">AVERAGE(IF(INDIRECT(DatCol&amp;"$"&amp;TEXT(C1740,"###")):INDIRECT(DatCol&amp;"$"&amp;TEXT(C1740+57,"###"))&gt;0,INDIRECT(DatCol&amp;"$"&amp;TEXT(C1740,"###")):INDIRECT(DatCol&amp;"$"&amp;TEXT(C1740+57,"###"))))</f>
        <v>1196.625</v>
      </c>
      <c r="F1740" s="26" t="str">
        <f t="shared" si="1749"/>
        <v>N</v>
      </c>
      <c r="AK1740" s="13"/>
      <c r="AM1740" s="13"/>
      <c r="BN1740" s="8"/>
      <c r="BO1740" s="8"/>
      <c r="BP1740" s="8"/>
      <c r="BQ1740" s="12"/>
    </row>
    <row r="1741" spans="1:69">
      <c r="A1741" s="28">
        <v>2012</v>
      </c>
      <c r="B1741" s="27" t="s">
        <v>80</v>
      </c>
      <c r="C1741" s="24">
        <f t="shared" si="1687"/>
        <v>1684</v>
      </c>
      <c r="D1741" s="7" t="e">
        <f t="shared" ca="1" si="1748"/>
        <v>#N/A</v>
      </c>
      <c r="E1741" s="26">
        <f t="array" aca="1" ref="E1741" ca="1">AVERAGE(IF(INDIRECT(DatCol&amp;"$"&amp;TEXT(C1741,"###")):INDIRECT(DatCol&amp;"$"&amp;TEXT(C1741+57,"###"))&gt;0,INDIRECT(DatCol&amp;"$"&amp;TEXT(C1741,"###")):INDIRECT(DatCol&amp;"$"&amp;TEXT(C1741+57,"###"))))</f>
        <v>1196.625</v>
      </c>
      <c r="F1741" s="26" t="str">
        <f t="shared" si="1749"/>
        <v>N</v>
      </c>
      <c r="AK1741" s="13"/>
      <c r="AM1741" s="13"/>
      <c r="BN1741" s="8"/>
      <c r="BO1741" s="8"/>
      <c r="BP1741" s="8"/>
      <c r="BQ1741" s="12"/>
    </row>
    <row r="1742" spans="1:69">
      <c r="A1742" s="28">
        <v>1955</v>
      </c>
      <c r="B1742" s="27" t="s">
        <v>81</v>
      </c>
      <c r="C1742" s="24">
        <f>ROW()</f>
        <v>1742</v>
      </c>
      <c r="D1742" s="7" t="e">
        <f t="shared" ca="1" si="1748"/>
        <v>#N/A</v>
      </c>
      <c r="E1742" s="26" t="e">
        <f t="array" aca="1" ref="E1742" ca="1">AVERAGE(IF(INDIRECT(DatCol&amp;"$"&amp;TEXT(C1742,"###")):INDIRECT(DatCol&amp;"$"&amp;TEXT(C1742+57,"###"))&gt;0,INDIRECT(DatCol&amp;"$"&amp;TEXT(C1742,"###")):INDIRECT(DatCol&amp;"$"&amp;TEXT(C1742+57,"###"))))</f>
        <v>#DIV/0!</v>
      </c>
      <c r="F1742" s="26" t="str">
        <f t="shared" si="1706"/>
        <v>N</v>
      </c>
      <c r="G1742" s="8"/>
      <c r="K1742" s="9">
        <f t="shared" si="1709"/>
        <v>0</v>
      </c>
      <c r="M1742" s="11">
        <f t="shared" ref="M1742:M1748" si="1750">(L1742*50)</f>
        <v>0</v>
      </c>
      <c r="O1742" s="11">
        <f t="shared" ref="O1742:O1748" si="1751">(N1742*50)</f>
        <v>0</v>
      </c>
      <c r="Q1742" s="11">
        <f t="shared" ref="Q1742:Q1748" si="1752">((P1742*330)/5.5)</f>
        <v>0</v>
      </c>
      <c r="Y1742" s="11">
        <f t="shared" ref="Y1742:Y1748" si="1753">((X1742*330)/5.5)</f>
        <v>0</v>
      </c>
      <c r="AG1742" s="11">
        <f t="shared" ref="AG1742:AG1748" si="1754">(AF1742*65)</f>
        <v>0</v>
      </c>
      <c r="AI1742" s="11">
        <f t="shared" ref="AI1742:AI1748" si="1755">(AH1742*65)</f>
        <v>0</v>
      </c>
      <c r="AK1742" s="13">
        <f t="shared" ref="AK1742:AK1748" si="1756">(AJ1742*9)</f>
        <v>0</v>
      </c>
      <c r="AM1742" s="13">
        <f t="shared" ref="AM1742:AM1748" si="1757">(AL1742*9)</f>
        <v>0</v>
      </c>
      <c r="AO1742" s="11">
        <f t="shared" ref="AO1742:AO1748" si="1758">(AN1742*80)</f>
        <v>0</v>
      </c>
      <c r="AQ1742" s="11">
        <f t="shared" ref="AQ1742:AQ1748" si="1759">(AP1742*80)</f>
        <v>0</v>
      </c>
      <c r="AS1742" s="11">
        <f t="shared" ref="AS1742:AS1748" si="1760">(AR1742*50)</f>
        <v>0</v>
      </c>
      <c r="AU1742" s="11">
        <f t="shared" ref="AU1742:AU1748" si="1761">(AT1742*50)</f>
        <v>0</v>
      </c>
      <c r="AW1742" s="11">
        <f t="shared" ref="AW1742:AW1748" si="1762">(AV1742*60)</f>
        <v>0</v>
      </c>
      <c r="AY1742" s="11">
        <f t="shared" ref="AY1742:AY1748" si="1763">(AX1742*60)</f>
        <v>0</v>
      </c>
      <c r="BA1742" s="11">
        <f t="shared" ref="BA1742:BA1748" si="1764">(AZ1742*40)</f>
        <v>0</v>
      </c>
      <c r="BC1742" s="11">
        <f t="shared" ref="BC1742:BC1748" si="1765">(BB1742*40)</f>
        <v>0</v>
      </c>
      <c r="BE1742" s="11">
        <f t="shared" ref="BE1742:BE1748" si="1766">(BD1742*95)</f>
        <v>0</v>
      </c>
      <c r="BG1742" s="11">
        <f t="shared" ref="BG1742:BG1748" si="1767">(BF1742*95)</f>
        <v>0</v>
      </c>
      <c r="BN1742" s="8">
        <f t="shared" si="1707"/>
        <v>0</v>
      </c>
      <c r="BO1742" s="8">
        <f t="shared" si="1708"/>
        <v>0</v>
      </c>
      <c r="BP1742" s="8">
        <f t="shared" si="1728"/>
        <v>0</v>
      </c>
      <c r="BQ1742" s="12">
        <f t="shared" si="1729"/>
        <v>0</v>
      </c>
    </row>
    <row r="1743" spans="1:69">
      <c r="A1743" s="28">
        <v>1956</v>
      </c>
      <c r="B1743" s="27" t="s">
        <v>81</v>
      </c>
      <c r="C1743" s="24">
        <f t="shared" ref="C1743:C1799" si="1768">C1742</f>
        <v>1742</v>
      </c>
      <c r="D1743" s="7" t="e">
        <f t="shared" ca="1" si="1748"/>
        <v>#N/A</v>
      </c>
      <c r="E1743" s="26" t="e">
        <f t="array" aca="1" ref="E1743" ca="1">AVERAGE(IF(INDIRECT(DatCol&amp;"$"&amp;TEXT(C1743,"###")):INDIRECT(DatCol&amp;"$"&amp;TEXT(C1743+57,"###"))&gt;0,INDIRECT(DatCol&amp;"$"&amp;TEXT(C1743,"###")):INDIRECT(DatCol&amp;"$"&amp;TEXT(C1743+57,"###"))))</f>
        <v>#DIV/0!</v>
      </c>
      <c r="F1743" s="26" t="str">
        <f t="shared" si="1706"/>
        <v>N</v>
      </c>
      <c r="G1743" s="8"/>
      <c r="K1743" s="9">
        <f t="shared" si="1709"/>
        <v>0</v>
      </c>
      <c r="M1743" s="11">
        <f t="shared" si="1750"/>
        <v>0</v>
      </c>
      <c r="O1743" s="11">
        <f t="shared" si="1751"/>
        <v>0</v>
      </c>
      <c r="Q1743" s="11">
        <f t="shared" si="1752"/>
        <v>0</v>
      </c>
      <c r="Y1743" s="11">
        <f t="shared" si="1753"/>
        <v>0</v>
      </c>
      <c r="AG1743" s="11">
        <f t="shared" si="1754"/>
        <v>0</v>
      </c>
      <c r="AI1743" s="11">
        <f t="shared" si="1755"/>
        <v>0</v>
      </c>
      <c r="AK1743" s="13">
        <f t="shared" si="1756"/>
        <v>0</v>
      </c>
      <c r="AM1743" s="13">
        <f t="shared" si="1757"/>
        <v>0</v>
      </c>
      <c r="AO1743" s="11">
        <f t="shared" si="1758"/>
        <v>0</v>
      </c>
      <c r="AQ1743" s="11">
        <f t="shared" si="1759"/>
        <v>0</v>
      </c>
      <c r="AS1743" s="11">
        <f t="shared" si="1760"/>
        <v>0</v>
      </c>
      <c r="AU1743" s="11">
        <f t="shared" si="1761"/>
        <v>0</v>
      </c>
      <c r="AW1743" s="11">
        <f t="shared" si="1762"/>
        <v>0</v>
      </c>
      <c r="AY1743" s="11">
        <f t="shared" si="1763"/>
        <v>0</v>
      </c>
      <c r="BA1743" s="11">
        <f t="shared" si="1764"/>
        <v>0</v>
      </c>
      <c r="BC1743" s="11">
        <f t="shared" si="1765"/>
        <v>0</v>
      </c>
      <c r="BE1743" s="11">
        <f t="shared" si="1766"/>
        <v>0</v>
      </c>
      <c r="BG1743" s="11">
        <f t="shared" si="1767"/>
        <v>0</v>
      </c>
      <c r="BN1743" s="8">
        <f t="shared" si="1707"/>
        <v>0</v>
      </c>
      <c r="BO1743" s="8">
        <f t="shared" si="1708"/>
        <v>0</v>
      </c>
      <c r="BP1743" s="8">
        <f t="shared" si="1728"/>
        <v>0</v>
      </c>
      <c r="BQ1743" s="12">
        <f t="shared" si="1729"/>
        <v>0</v>
      </c>
    </row>
    <row r="1744" spans="1:69">
      <c r="A1744" s="28">
        <v>1957</v>
      </c>
      <c r="B1744" s="27" t="s">
        <v>81</v>
      </c>
      <c r="C1744" s="24">
        <f t="shared" si="1768"/>
        <v>1742</v>
      </c>
      <c r="D1744" s="7" t="e">
        <f t="shared" ca="1" si="1748"/>
        <v>#N/A</v>
      </c>
      <c r="E1744" s="26" t="e">
        <f t="array" aca="1" ref="E1744" ca="1">AVERAGE(IF(INDIRECT(DatCol&amp;"$"&amp;TEXT(C1744,"###")):INDIRECT(DatCol&amp;"$"&amp;TEXT(C1744+57,"###"))&gt;0,INDIRECT(DatCol&amp;"$"&amp;TEXT(C1744,"###")):INDIRECT(DatCol&amp;"$"&amp;TEXT(C1744+57,"###"))))</f>
        <v>#DIV/0!</v>
      </c>
      <c r="F1744" s="26" t="str">
        <f t="shared" si="1706"/>
        <v>N</v>
      </c>
      <c r="G1744" s="8"/>
      <c r="K1744" s="9">
        <f t="shared" si="1709"/>
        <v>0</v>
      </c>
      <c r="M1744" s="11">
        <f t="shared" si="1750"/>
        <v>0</v>
      </c>
      <c r="O1744" s="11">
        <f t="shared" si="1751"/>
        <v>0</v>
      </c>
      <c r="Q1744" s="11">
        <f t="shared" si="1752"/>
        <v>0</v>
      </c>
      <c r="Y1744" s="11">
        <f t="shared" si="1753"/>
        <v>0</v>
      </c>
      <c r="AG1744" s="11">
        <f t="shared" si="1754"/>
        <v>0</v>
      </c>
      <c r="AI1744" s="11">
        <f t="shared" si="1755"/>
        <v>0</v>
      </c>
      <c r="AK1744" s="13">
        <f t="shared" si="1756"/>
        <v>0</v>
      </c>
      <c r="AM1744" s="13">
        <f t="shared" si="1757"/>
        <v>0</v>
      </c>
      <c r="AO1744" s="11">
        <f t="shared" si="1758"/>
        <v>0</v>
      </c>
      <c r="AQ1744" s="11">
        <f t="shared" si="1759"/>
        <v>0</v>
      </c>
      <c r="AS1744" s="11">
        <f t="shared" si="1760"/>
        <v>0</v>
      </c>
      <c r="AU1744" s="11">
        <f t="shared" si="1761"/>
        <v>0</v>
      </c>
      <c r="AW1744" s="11">
        <f t="shared" si="1762"/>
        <v>0</v>
      </c>
      <c r="AY1744" s="11">
        <f t="shared" si="1763"/>
        <v>0</v>
      </c>
      <c r="BA1744" s="11">
        <f t="shared" si="1764"/>
        <v>0</v>
      </c>
      <c r="BC1744" s="11">
        <f t="shared" si="1765"/>
        <v>0</v>
      </c>
      <c r="BE1744" s="11">
        <f t="shared" si="1766"/>
        <v>0</v>
      </c>
      <c r="BG1744" s="11">
        <f t="shared" si="1767"/>
        <v>0</v>
      </c>
      <c r="BN1744" s="8">
        <f t="shared" si="1707"/>
        <v>0</v>
      </c>
      <c r="BO1744" s="8">
        <f t="shared" si="1708"/>
        <v>0</v>
      </c>
      <c r="BP1744" s="8">
        <f t="shared" si="1728"/>
        <v>0</v>
      </c>
      <c r="BQ1744" s="12">
        <f t="shared" si="1729"/>
        <v>0</v>
      </c>
    </row>
    <row r="1745" spans="1:69">
      <c r="A1745" s="28">
        <v>1958</v>
      </c>
      <c r="B1745" s="27" t="s">
        <v>81</v>
      </c>
      <c r="C1745" s="24">
        <f t="shared" si="1768"/>
        <v>1742</v>
      </c>
      <c r="D1745" s="7" t="e">
        <f t="shared" ca="1" si="1748"/>
        <v>#N/A</v>
      </c>
      <c r="E1745" s="26" t="e">
        <f t="array" aca="1" ref="E1745" ca="1">AVERAGE(IF(INDIRECT(DatCol&amp;"$"&amp;TEXT(C1745,"###")):INDIRECT(DatCol&amp;"$"&amp;TEXT(C1745+57,"###"))&gt;0,INDIRECT(DatCol&amp;"$"&amp;TEXT(C1745,"###")):INDIRECT(DatCol&amp;"$"&amp;TEXT(C1745+57,"###"))))</f>
        <v>#DIV/0!</v>
      </c>
      <c r="F1745" s="26" t="str">
        <f t="shared" si="1706"/>
        <v>N</v>
      </c>
      <c r="G1745" s="8"/>
      <c r="K1745" s="9">
        <f t="shared" si="1709"/>
        <v>0</v>
      </c>
      <c r="M1745" s="11">
        <f t="shared" si="1750"/>
        <v>0</v>
      </c>
      <c r="O1745" s="11">
        <f t="shared" si="1751"/>
        <v>0</v>
      </c>
      <c r="Q1745" s="11">
        <f t="shared" si="1752"/>
        <v>0</v>
      </c>
      <c r="Y1745" s="11">
        <f t="shared" si="1753"/>
        <v>0</v>
      </c>
      <c r="AG1745" s="11">
        <f t="shared" si="1754"/>
        <v>0</v>
      </c>
      <c r="AI1745" s="11">
        <f t="shared" si="1755"/>
        <v>0</v>
      </c>
      <c r="AK1745" s="13">
        <f t="shared" si="1756"/>
        <v>0</v>
      </c>
      <c r="AM1745" s="13">
        <f t="shared" si="1757"/>
        <v>0</v>
      </c>
      <c r="AO1745" s="11">
        <f t="shared" si="1758"/>
        <v>0</v>
      </c>
      <c r="AQ1745" s="11">
        <f t="shared" si="1759"/>
        <v>0</v>
      </c>
      <c r="AS1745" s="11">
        <f t="shared" si="1760"/>
        <v>0</v>
      </c>
      <c r="AU1745" s="11">
        <f t="shared" si="1761"/>
        <v>0</v>
      </c>
      <c r="AW1745" s="11">
        <f t="shared" si="1762"/>
        <v>0</v>
      </c>
      <c r="AY1745" s="11">
        <f t="shared" si="1763"/>
        <v>0</v>
      </c>
      <c r="BA1745" s="11">
        <f t="shared" si="1764"/>
        <v>0</v>
      </c>
      <c r="BC1745" s="11">
        <f t="shared" si="1765"/>
        <v>0</v>
      </c>
      <c r="BE1745" s="11">
        <f t="shared" si="1766"/>
        <v>0</v>
      </c>
      <c r="BG1745" s="11">
        <f t="shared" si="1767"/>
        <v>0</v>
      </c>
      <c r="BN1745" s="8">
        <f t="shared" si="1707"/>
        <v>0</v>
      </c>
      <c r="BO1745" s="8">
        <f t="shared" si="1708"/>
        <v>0</v>
      </c>
      <c r="BP1745" s="8">
        <f t="shared" si="1728"/>
        <v>0</v>
      </c>
      <c r="BQ1745" s="12">
        <f t="shared" si="1729"/>
        <v>0</v>
      </c>
    </row>
    <row r="1746" spans="1:69">
      <c r="A1746" s="28">
        <v>1959</v>
      </c>
      <c r="B1746" s="27" t="s">
        <v>81</v>
      </c>
      <c r="C1746" s="24">
        <f t="shared" si="1768"/>
        <v>1742</v>
      </c>
      <c r="D1746" s="7" t="e">
        <f t="shared" ca="1" si="1748"/>
        <v>#N/A</v>
      </c>
      <c r="E1746" s="26" t="e">
        <f t="array" aca="1" ref="E1746" ca="1">AVERAGE(IF(INDIRECT(DatCol&amp;"$"&amp;TEXT(C1746,"###")):INDIRECT(DatCol&amp;"$"&amp;TEXT(C1746+57,"###"))&gt;0,INDIRECT(DatCol&amp;"$"&amp;TEXT(C1746,"###")):INDIRECT(DatCol&amp;"$"&amp;TEXT(C1746+57,"###"))))</f>
        <v>#DIV/0!</v>
      </c>
      <c r="F1746" s="26" t="str">
        <f t="shared" si="1706"/>
        <v>N</v>
      </c>
      <c r="G1746" s="8"/>
      <c r="K1746" s="9">
        <f t="shared" si="1709"/>
        <v>0</v>
      </c>
      <c r="M1746" s="11">
        <f t="shared" si="1750"/>
        <v>0</v>
      </c>
      <c r="O1746" s="11">
        <f t="shared" si="1751"/>
        <v>0</v>
      </c>
      <c r="Q1746" s="11">
        <f t="shared" si="1752"/>
        <v>0</v>
      </c>
      <c r="Y1746" s="11">
        <f t="shared" si="1753"/>
        <v>0</v>
      </c>
      <c r="AG1746" s="11">
        <f t="shared" si="1754"/>
        <v>0</v>
      </c>
      <c r="AI1746" s="11">
        <f t="shared" si="1755"/>
        <v>0</v>
      </c>
      <c r="AK1746" s="13">
        <f t="shared" si="1756"/>
        <v>0</v>
      </c>
      <c r="AM1746" s="13">
        <f t="shared" si="1757"/>
        <v>0</v>
      </c>
      <c r="AO1746" s="11">
        <f t="shared" si="1758"/>
        <v>0</v>
      </c>
      <c r="AQ1746" s="11">
        <f t="shared" si="1759"/>
        <v>0</v>
      </c>
      <c r="AS1746" s="11">
        <f t="shared" si="1760"/>
        <v>0</v>
      </c>
      <c r="AU1746" s="11">
        <f t="shared" si="1761"/>
        <v>0</v>
      </c>
      <c r="AW1746" s="11">
        <f t="shared" si="1762"/>
        <v>0</v>
      </c>
      <c r="AY1746" s="11">
        <f t="shared" si="1763"/>
        <v>0</v>
      </c>
      <c r="BA1746" s="11">
        <f t="shared" si="1764"/>
        <v>0</v>
      </c>
      <c r="BC1746" s="11">
        <f t="shared" si="1765"/>
        <v>0</v>
      </c>
      <c r="BE1746" s="11">
        <f t="shared" si="1766"/>
        <v>0</v>
      </c>
      <c r="BG1746" s="11">
        <f t="shared" si="1767"/>
        <v>0</v>
      </c>
      <c r="BN1746" s="8">
        <f t="shared" si="1707"/>
        <v>0</v>
      </c>
      <c r="BO1746" s="8">
        <f t="shared" si="1708"/>
        <v>0</v>
      </c>
      <c r="BP1746" s="8">
        <f t="shared" si="1728"/>
        <v>0</v>
      </c>
      <c r="BQ1746" s="12">
        <f t="shared" si="1729"/>
        <v>0</v>
      </c>
    </row>
    <row r="1747" spans="1:69">
      <c r="A1747" s="28">
        <v>1960</v>
      </c>
      <c r="B1747" s="27" t="s">
        <v>81</v>
      </c>
      <c r="C1747" s="24">
        <f t="shared" si="1768"/>
        <v>1742</v>
      </c>
      <c r="D1747" s="7" t="e">
        <f t="shared" ca="1" si="1748"/>
        <v>#N/A</v>
      </c>
      <c r="E1747" s="26" t="e">
        <f t="array" aca="1" ref="E1747" ca="1">AVERAGE(IF(INDIRECT(DatCol&amp;"$"&amp;TEXT(C1747,"###")):INDIRECT(DatCol&amp;"$"&amp;TEXT(C1747+57,"###"))&gt;0,INDIRECT(DatCol&amp;"$"&amp;TEXT(C1747,"###")):INDIRECT(DatCol&amp;"$"&amp;TEXT(C1747+57,"###"))))</f>
        <v>#DIV/0!</v>
      </c>
      <c r="F1747" s="26" t="str">
        <f t="shared" si="1706"/>
        <v>N</v>
      </c>
      <c r="G1747" s="8"/>
      <c r="K1747" s="9">
        <f t="shared" si="1709"/>
        <v>0</v>
      </c>
      <c r="M1747" s="11">
        <f t="shared" si="1750"/>
        <v>0</v>
      </c>
      <c r="O1747" s="11">
        <f t="shared" si="1751"/>
        <v>0</v>
      </c>
      <c r="Q1747" s="11">
        <f t="shared" si="1752"/>
        <v>0</v>
      </c>
      <c r="Y1747" s="11">
        <f t="shared" si="1753"/>
        <v>0</v>
      </c>
      <c r="AG1747" s="11">
        <f t="shared" si="1754"/>
        <v>0</v>
      </c>
      <c r="AI1747" s="11">
        <f t="shared" si="1755"/>
        <v>0</v>
      </c>
      <c r="AK1747" s="13">
        <f t="shared" si="1756"/>
        <v>0</v>
      </c>
      <c r="AM1747" s="13">
        <f t="shared" si="1757"/>
        <v>0</v>
      </c>
      <c r="AO1747" s="11">
        <f t="shared" si="1758"/>
        <v>0</v>
      </c>
      <c r="AQ1747" s="11">
        <f t="shared" si="1759"/>
        <v>0</v>
      </c>
      <c r="AS1747" s="11">
        <f t="shared" si="1760"/>
        <v>0</v>
      </c>
      <c r="AU1747" s="11">
        <f t="shared" si="1761"/>
        <v>0</v>
      </c>
      <c r="AW1747" s="11">
        <f t="shared" si="1762"/>
        <v>0</v>
      </c>
      <c r="AY1747" s="11">
        <f t="shared" si="1763"/>
        <v>0</v>
      </c>
      <c r="BA1747" s="11">
        <f t="shared" si="1764"/>
        <v>0</v>
      </c>
      <c r="BC1747" s="11">
        <f t="shared" si="1765"/>
        <v>0</v>
      </c>
      <c r="BE1747" s="11">
        <f t="shared" si="1766"/>
        <v>0</v>
      </c>
      <c r="BG1747" s="11">
        <f t="shared" si="1767"/>
        <v>0</v>
      </c>
      <c r="BN1747" s="8">
        <f t="shared" si="1707"/>
        <v>0</v>
      </c>
      <c r="BO1747" s="8">
        <f t="shared" si="1708"/>
        <v>0</v>
      </c>
      <c r="BP1747" s="8">
        <f t="shared" si="1728"/>
        <v>0</v>
      </c>
      <c r="BQ1747" s="12">
        <f t="shared" si="1729"/>
        <v>0</v>
      </c>
    </row>
    <row r="1748" spans="1:69">
      <c r="A1748" s="28">
        <v>1961</v>
      </c>
      <c r="B1748" s="27" t="s">
        <v>81</v>
      </c>
      <c r="C1748" s="24">
        <f t="shared" si="1768"/>
        <v>1742</v>
      </c>
      <c r="D1748" s="7" t="e">
        <f t="shared" ca="1" si="1748"/>
        <v>#N/A</v>
      </c>
      <c r="E1748" s="26" t="e">
        <f t="array" aca="1" ref="E1748" ca="1">AVERAGE(IF(INDIRECT(DatCol&amp;"$"&amp;TEXT(C1748,"###")):INDIRECT(DatCol&amp;"$"&amp;TEXT(C1748+57,"###"))&gt;0,INDIRECT(DatCol&amp;"$"&amp;TEXT(C1748,"###")):INDIRECT(DatCol&amp;"$"&amp;TEXT(C1748+57,"###"))))</f>
        <v>#DIV/0!</v>
      </c>
      <c r="F1748" s="26" t="str">
        <f t="shared" si="1706"/>
        <v>N</v>
      </c>
      <c r="G1748" s="8"/>
      <c r="K1748" s="9">
        <f t="shared" si="1709"/>
        <v>0</v>
      </c>
      <c r="M1748" s="11">
        <f t="shared" si="1750"/>
        <v>0</v>
      </c>
      <c r="O1748" s="11">
        <f t="shared" si="1751"/>
        <v>0</v>
      </c>
      <c r="Q1748" s="11">
        <f t="shared" si="1752"/>
        <v>0</v>
      </c>
      <c r="Y1748" s="11">
        <f t="shared" si="1753"/>
        <v>0</v>
      </c>
      <c r="AG1748" s="11">
        <f t="shared" si="1754"/>
        <v>0</v>
      </c>
      <c r="AI1748" s="11">
        <f t="shared" si="1755"/>
        <v>0</v>
      </c>
      <c r="AK1748" s="13">
        <f t="shared" si="1756"/>
        <v>0</v>
      </c>
      <c r="AM1748" s="13">
        <f t="shared" si="1757"/>
        <v>0</v>
      </c>
      <c r="AO1748" s="11">
        <f t="shared" si="1758"/>
        <v>0</v>
      </c>
      <c r="AQ1748" s="11">
        <f t="shared" si="1759"/>
        <v>0</v>
      </c>
      <c r="AS1748" s="11">
        <f t="shared" si="1760"/>
        <v>0</v>
      </c>
      <c r="AU1748" s="11">
        <f t="shared" si="1761"/>
        <v>0</v>
      </c>
      <c r="AW1748" s="11">
        <f t="shared" si="1762"/>
        <v>0</v>
      </c>
      <c r="AY1748" s="11">
        <f t="shared" si="1763"/>
        <v>0</v>
      </c>
      <c r="BA1748" s="11">
        <f t="shared" si="1764"/>
        <v>0</v>
      </c>
      <c r="BC1748" s="11">
        <f t="shared" si="1765"/>
        <v>0</v>
      </c>
      <c r="BE1748" s="11">
        <f t="shared" si="1766"/>
        <v>0</v>
      </c>
      <c r="BG1748" s="11">
        <f t="shared" si="1767"/>
        <v>0</v>
      </c>
      <c r="BN1748" s="8">
        <f t="shared" si="1707"/>
        <v>0</v>
      </c>
      <c r="BO1748" s="8">
        <f t="shared" si="1708"/>
        <v>0</v>
      </c>
      <c r="BP1748" s="8">
        <f t="shared" si="1728"/>
        <v>0</v>
      </c>
      <c r="BQ1748" s="12">
        <f t="shared" si="1729"/>
        <v>0</v>
      </c>
    </row>
    <row r="1749" spans="1:69">
      <c r="A1749" s="28">
        <v>1962</v>
      </c>
      <c r="B1749" s="27" t="s">
        <v>81</v>
      </c>
      <c r="C1749" s="24">
        <f t="shared" si="1768"/>
        <v>1742</v>
      </c>
      <c r="D1749" s="7" t="e">
        <f t="shared" ca="1" si="1748"/>
        <v>#N/A</v>
      </c>
      <c r="E1749" s="26" t="e">
        <f t="array" aca="1" ref="E1749" ca="1">AVERAGE(IF(INDIRECT(DatCol&amp;"$"&amp;TEXT(C1749,"###")):INDIRECT(DatCol&amp;"$"&amp;TEXT(C1749+57,"###"))&gt;0,INDIRECT(DatCol&amp;"$"&amp;TEXT(C1749,"###")):INDIRECT(DatCol&amp;"$"&amp;TEXT(C1749+57,"###"))))</f>
        <v>#DIV/0!</v>
      </c>
      <c r="F1749" s="26" t="str">
        <f t="shared" si="1706"/>
        <v>N</v>
      </c>
      <c r="G1749" s="8"/>
      <c r="K1749" s="9">
        <f t="shared" si="1709"/>
        <v>0</v>
      </c>
      <c r="M1749" s="11">
        <f t="shared" ref="M1749:M1764" si="1769">(L1749*50)</f>
        <v>0</v>
      </c>
      <c r="O1749" s="11">
        <f t="shared" ref="O1749:O1764" si="1770">(N1749*50)</f>
        <v>0</v>
      </c>
      <c r="Q1749" s="11">
        <f t="shared" ref="Q1749:Q1764" si="1771">((P1749*330)/5.5)</f>
        <v>0</v>
      </c>
      <c r="Y1749" s="11">
        <f t="shared" ref="Y1749:Y1764" si="1772">((X1749*330)/5.5)</f>
        <v>0</v>
      </c>
      <c r="AG1749" s="11">
        <f t="shared" ref="AG1749:AG1764" si="1773">(AF1749*65)</f>
        <v>0</v>
      </c>
      <c r="AI1749" s="11">
        <f t="shared" ref="AI1749:AI1764" si="1774">(AH1749*65)</f>
        <v>0</v>
      </c>
      <c r="AK1749" s="13">
        <f t="shared" ref="AK1749:AK1764" si="1775">(AJ1749*9)</f>
        <v>0</v>
      </c>
      <c r="AM1749" s="13">
        <f t="shared" ref="AM1749:AM1764" si="1776">(AL1749*9)</f>
        <v>0</v>
      </c>
      <c r="AO1749" s="11">
        <f t="shared" ref="AO1749:AO1764" si="1777">(AN1749*80)</f>
        <v>0</v>
      </c>
      <c r="AQ1749" s="11">
        <f t="shared" ref="AQ1749:AQ1764" si="1778">(AP1749*80)</f>
        <v>0</v>
      </c>
      <c r="AS1749" s="11">
        <f t="shared" ref="AS1749:AS1764" si="1779">(AR1749*50)</f>
        <v>0</v>
      </c>
      <c r="AU1749" s="11">
        <f t="shared" ref="AU1749:AU1764" si="1780">(AT1749*50)</f>
        <v>0</v>
      </c>
      <c r="AW1749" s="11">
        <f t="shared" ref="AW1749:AW1764" si="1781">(AV1749*60)</f>
        <v>0</v>
      </c>
      <c r="AY1749" s="11">
        <f t="shared" ref="AY1749:AY1764" si="1782">(AX1749*60)</f>
        <v>0</v>
      </c>
      <c r="BA1749" s="11">
        <f t="shared" ref="BA1749:BA1764" si="1783">(AZ1749*40)</f>
        <v>0</v>
      </c>
      <c r="BC1749" s="11">
        <f t="shared" ref="BC1749:BC1764" si="1784">(BB1749*40)</f>
        <v>0</v>
      </c>
      <c r="BE1749" s="11">
        <f t="shared" ref="BE1749:BE1764" si="1785">(BD1749*95)</f>
        <v>0</v>
      </c>
      <c r="BG1749" s="11">
        <f t="shared" ref="BG1749:BG1764" si="1786">(BF1749*95)</f>
        <v>0</v>
      </c>
      <c r="BN1749" s="8">
        <f t="shared" si="1707"/>
        <v>0</v>
      </c>
      <c r="BO1749" s="8">
        <f t="shared" si="1708"/>
        <v>0</v>
      </c>
      <c r="BP1749" s="8">
        <f t="shared" si="1728"/>
        <v>0</v>
      </c>
      <c r="BQ1749" s="12">
        <f t="shared" si="1729"/>
        <v>0</v>
      </c>
    </row>
    <row r="1750" spans="1:69">
      <c r="A1750" s="28">
        <v>1963</v>
      </c>
      <c r="B1750" s="27" t="s">
        <v>81</v>
      </c>
      <c r="C1750" s="24">
        <f t="shared" si="1768"/>
        <v>1742</v>
      </c>
      <c r="D1750" s="7" t="e">
        <f t="shared" ca="1" si="1748"/>
        <v>#N/A</v>
      </c>
      <c r="E1750" s="26" t="e">
        <f t="array" aca="1" ref="E1750" ca="1">AVERAGE(IF(INDIRECT(DatCol&amp;"$"&amp;TEXT(C1750,"###")):INDIRECT(DatCol&amp;"$"&amp;TEXT(C1750+57,"###"))&gt;0,INDIRECT(DatCol&amp;"$"&amp;TEXT(C1750,"###")):INDIRECT(DatCol&amp;"$"&amp;TEXT(C1750+57,"###"))))</f>
        <v>#DIV/0!</v>
      </c>
      <c r="F1750" s="26" t="str">
        <f t="shared" si="1706"/>
        <v>N</v>
      </c>
      <c r="G1750" s="8"/>
      <c r="K1750" s="9">
        <f t="shared" si="1709"/>
        <v>0</v>
      </c>
      <c r="M1750" s="11">
        <f t="shared" si="1769"/>
        <v>0</v>
      </c>
      <c r="O1750" s="11">
        <f t="shared" si="1770"/>
        <v>0</v>
      </c>
      <c r="Q1750" s="11">
        <f t="shared" si="1771"/>
        <v>0</v>
      </c>
      <c r="Y1750" s="11">
        <f t="shared" si="1772"/>
        <v>0</v>
      </c>
      <c r="AG1750" s="11">
        <f t="shared" si="1773"/>
        <v>0</v>
      </c>
      <c r="AI1750" s="11">
        <f t="shared" si="1774"/>
        <v>0</v>
      </c>
      <c r="AK1750" s="13">
        <f t="shared" si="1775"/>
        <v>0</v>
      </c>
      <c r="AM1750" s="13">
        <f t="shared" si="1776"/>
        <v>0</v>
      </c>
      <c r="AO1750" s="11">
        <f t="shared" si="1777"/>
        <v>0</v>
      </c>
      <c r="AQ1750" s="11">
        <f t="shared" si="1778"/>
        <v>0</v>
      </c>
      <c r="AS1750" s="11">
        <f t="shared" si="1779"/>
        <v>0</v>
      </c>
      <c r="AU1750" s="11">
        <f t="shared" si="1780"/>
        <v>0</v>
      </c>
      <c r="AW1750" s="11">
        <f t="shared" si="1781"/>
        <v>0</v>
      </c>
      <c r="AY1750" s="11">
        <f t="shared" si="1782"/>
        <v>0</v>
      </c>
      <c r="BA1750" s="11">
        <f t="shared" si="1783"/>
        <v>0</v>
      </c>
      <c r="BC1750" s="11">
        <f t="shared" si="1784"/>
        <v>0</v>
      </c>
      <c r="BE1750" s="11">
        <f t="shared" si="1785"/>
        <v>0</v>
      </c>
      <c r="BG1750" s="11">
        <f t="shared" si="1786"/>
        <v>0</v>
      </c>
      <c r="BN1750" s="8">
        <f t="shared" si="1707"/>
        <v>0</v>
      </c>
      <c r="BO1750" s="8">
        <f t="shared" si="1708"/>
        <v>0</v>
      </c>
      <c r="BP1750" s="8">
        <f t="shared" si="1728"/>
        <v>0</v>
      </c>
      <c r="BQ1750" s="12">
        <f t="shared" si="1729"/>
        <v>0</v>
      </c>
    </row>
    <row r="1751" spans="1:69">
      <c r="A1751" s="28">
        <v>1964</v>
      </c>
      <c r="B1751" s="27" t="s">
        <v>81</v>
      </c>
      <c r="C1751" s="24">
        <f t="shared" si="1768"/>
        <v>1742</v>
      </c>
      <c r="D1751" s="7" t="e">
        <f t="shared" ca="1" si="1748"/>
        <v>#N/A</v>
      </c>
      <c r="E1751" s="26" t="e">
        <f t="array" aca="1" ref="E1751" ca="1">AVERAGE(IF(INDIRECT(DatCol&amp;"$"&amp;TEXT(C1751,"###")):INDIRECT(DatCol&amp;"$"&amp;TEXT(C1751+57,"###"))&gt;0,INDIRECT(DatCol&amp;"$"&amp;TEXT(C1751,"###")):INDIRECT(DatCol&amp;"$"&amp;TEXT(C1751+57,"###"))))</f>
        <v>#DIV/0!</v>
      </c>
      <c r="F1751" s="26" t="str">
        <f t="shared" si="1706"/>
        <v>N</v>
      </c>
      <c r="G1751" s="8"/>
      <c r="K1751" s="9">
        <f t="shared" si="1709"/>
        <v>0</v>
      </c>
      <c r="M1751" s="11">
        <f t="shared" si="1769"/>
        <v>0</v>
      </c>
      <c r="O1751" s="11">
        <f t="shared" si="1770"/>
        <v>0</v>
      </c>
      <c r="Q1751" s="11">
        <f t="shared" si="1771"/>
        <v>0</v>
      </c>
      <c r="Y1751" s="11">
        <f t="shared" si="1772"/>
        <v>0</v>
      </c>
      <c r="AG1751" s="11">
        <f t="shared" si="1773"/>
        <v>0</v>
      </c>
      <c r="AI1751" s="11">
        <f t="shared" si="1774"/>
        <v>0</v>
      </c>
      <c r="AK1751" s="13">
        <f t="shared" si="1775"/>
        <v>0</v>
      </c>
      <c r="AM1751" s="13">
        <f t="shared" si="1776"/>
        <v>0</v>
      </c>
      <c r="AO1751" s="11">
        <f t="shared" si="1777"/>
        <v>0</v>
      </c>
      <c r="AQ1751" s="11">
        <f t="shared" si="1778"/>
        <v>0</v>
      </c>
      <c r="AS1751" s="11">
        <f t="shared" si="1779"/>
        <v>0</v>
      </c>
      <c r="AU1751" s="11">
        <f t="shared" si="1780"/>
        <v>0</v>
      </c>
      <c r="AW1751" s="11">
        <f t="shared" si="1781"/>
        <v>0</v>
      </c>
      <c r="AY1751" s="11">
        <f t="shared" si="1782"/>
        <v>0</v>
      </c>
      <c r="BA1751" s="11">
        <f t="shared" si="1783"/>
        <v>0</v>
      </c>
      <c r="BC1751" s="11">
        <f t="shared" si="1784"/>
        <v>0</v>
      </c>
      <c r="BE1751" s="11">
        <f t="shared" si="1785"/>
        <v>0</v>
      </c>
      <c r="BG1751" s="11">
        <f t="shared" si="1786"/>
        <v>0</v>
      </c>
      <c r="BN1751" s="8">
        <f t="shared" si="1707"/>
        <v>0</v>
      </c>
      <c r="BO1751" s="8">
        <f t="shared" si="1708"/>
        <v>0</v>
      </c>
      <c r="BP1751" s="8">
        <f t="shared" si="1728"/>
        <v>0</v>
      </c>
      <c r="BQ1751" s="12">
        <f t="shared" si="1729"/>
        <v>0</v>
      </c>
    </row>
    <row r="1752" spans="1:69">
      <c r="A1752" s="28">
        <v>1965</v>
      </c>
      <c r="B1752" s="27" t="s">
        <v>81</v>
      </c>
      <c r="C1752" s="24">
        <f t="shared" si="1768"/>
        <v>1742</v>
      </c>
      <c r="D1752" s="7" t="e">
        <f t="shared" ca="1" si="1748"/>
        <v>#N/A</v>
      </c>
      <c r="E1752" s="26" t="e">
        <f t="array" aca="1" ref="E1752" ca="1">AVERAGE(IF(INDIRECT(DatCol&amp;"$"&amp;TEXT(C1752,"###")):INDIRECT(DatCol&amp;"$"&amp;TEXT(C1752+57,"###"))&gt;0,INDIRECT(DatCol&amp;"$"&amp;TEXT(C1752,"###")):INDIRECT(DatCol&amp;"$"&amp;TEXT(C1752+57,"###"))))</f>
        <v>#DIV/0!</v>
      </c>
      <c r="F1752" s="26" t="str">
        <f t="shared" si="1706"/>
        <v>N</v>
      </c>
      <c r="G1752" s="8"/>
      <c r="K1752" s="9">
        <f t="shared" si="1709"/>
        <v>0</v>
      </c>
      <c r="M1752" s="11">
        <f t="shared" si="1769"/>
        <v>0</v>
      </c>
      <c r="O1752" s="11">
        <f t="shared" si="1770"/>
        <v>0</v>
      </c>
      <c r="Q1752" s="11">
        <f t="shared" si="1771"/>
        <v>0</v>
      </c>
      <c r="Y1752" s="11">
        <f t="shared" si="1772"/>
        <v>0</v>
      </c>
      <c r="AG1752" s="11">
        <f t="shared" si="1773"/>
        <v>0</v>
      </c>
      <c r="AI1752" s="11">
        <f t="shared" si="1774"/>
        <v>0</v>
      </c>
      <c r="AK1752" s="13">
        <f t="shared" si="1775"/>
        <v>0</v>
      </c>
      <c r="AM1752" s="13">
        <f t="shared" si="1776"/>
        <v>0</v>
      </c>
      <c r="AO1752" s="11">
        <f t="shared" si="1777"/>
        <v>0</v>
      </c>
      <c r="AQ1752" s="11">
        <f t="shared" si="1778"/>
        <v>0</v>
      </c>
      <c r="AS1752" s="11">
        <f t="shared" si="1779"/>
        <v>0</v>
      </c>
      <c r="AU1752" s="11">
        <f t="shared" si="1780"/>
        <v>0</v>
      </c>
      <c r="AW1752" s="11">
        <f t="shared" si="1781"/>
        <v>0</v>
      </c>
      <c r="AY1752" s="11">
        <f t="shared" si="1782"/>
        <v>0</v>
      </c>
      <c r="BA1752" s="11">
        <f t="shared" si="1783"/>
        <v>0</v>
      </c>
      <c r="BC1752" s="11">
        <f t="shared" si="1784"/>
        <v>0</v>
      </c>
      <c r="BE1752" s="11">
        <f t="shared" si="1785"/>
        <v>0</v>
      </c>
      <c r="BG1752" s="11">
        <f t="shared" si="1786"/>
        <v>0</v>
      </c>
      <c r="BN1752" s="8">
        <f t="shared" si="1707"/>
        <v>0</v>
      </c>
      <c r="BO1752" s="8">
        <f t="shared" si="1708"/>
        <v>0</v>
      </c>
      <c r="BP1752" s="8">
        <f t="shared" si="1728"/>
        <v>0</v>
      </c>
      <c r="BQ1752" s="12">
        <f t="shared" si="1729"/>
        <v>0</v>
      </c>
    </row>
    <row r="1753" spans="1:69">
      <c r="A1753" s="28">
        <v>1966</v>
      </c>
      <c r="B1753" s="27" t="s">
        <v>81</v>
      </c>
      <c r="C1753" s="24">
        <f t="shared" si="1768"/>
        <v>1742</v>
      </c>
      <c r="D1753" s="7" t="e">
        <f t="shared" ca="1" si="1748"/>
        <v>#N/A</v>
      </c>
      <c r="E1753" s="26" t="e">
        <f t="array" aca="1" ref="E1753" ca="1">AVERAGE(IF(INDIRECT(DatCol&amp;"$"&amp;TEXT(C1753,"###")):INDIRECT(DatCol&amp;"$"&amp;TEXT(C1753+57,"###"))&gt;0,INDIRECT(DatCol&amp;"$"&amp;TEXT(C1753,"###")):INDIRECT(DatCol&amp;"$"&amp;TEXT(C1753+57,"###"))))</f>
        <v>#DIV/0!</v>
      </c>
      <c r="F1753" s="26" t="str">
        <f t="shared" si="1706"/>
        <v>N</v>
      </c>
      <c r="G1753" s="8"/>
      <c r="K1753" s="9">
        <f t="shared" si="1709"/>
        <v>0</v>
      </c>
      <c r="M1753" s="11">
        <f t="shared" si="1769"/>
        <v>0</v>
      </c>
      <c r="O1753" s="11">
        <f t="shared" si="1770"/>
        <v>0</v>
      </c>
      <c r="Q1753" s="11">
        <f t="shared" si="1771"/>
        <v>0</v>
      </c>
      <c r="Y1753" s="11">
        <f t="shared" si="1772"/>
        <v>0</v>
      </c>
      <c r="AG1753" s="11">
        <f t="shared" si="1773"/>
        <v>0</v>
      </c>
      <c r="AI1753" s="11">
        <f t="shared" si="1774"/>
        <v>0</v>
      </c>
      <c r="AK1753" s="13">
        <f t="shared" si="1775"/>
        <v>0</v>
      </c>
      <c r="AM1753" s="13">
        <f t="shared" si="1776"/>
        <v>0</v>
      </c>
      <c r="AO1753" s="11">
        <f t="shared" si="1777"/>
        <v>0</v>
      </c>
      <c r="AQ1753" s="11">
        <f t="shared" si="1778"/>
        <v>0</v>
      </c>
      <c r="AS1753" s="11">
        <f t="shared" si="1779"/>
        <v>0</v>
      </c>
      <c r="AU1753" s="11">
        <f t="shared" si="1780"/>
        <v>0</v>
      </c>
      <c r="AW1753" s="11">
        <f t="shared" si="1781"/>
        <v>0</v>
      </c>
      <c r="AY1753" s="11">
        <f t="shared" si="1782"/>
        <v>0</v>
      </c>
      <c r="BA1753" s="11">
        <f t="shared" si="1783"/>
        <v>0</v>
      </c>
      <c r="BC1753" s="11">
        <f t="shared" si="1784"/>
        <v>0</v>
      </c>
      <c r="BE1753" s="11">
        <f t="shared" si="1785"/>
        <v>0</v>
      </c>
      <c r="BG1753" s="11">
        <f t="shared" si="1786"/>
        <v>0</v>
      </c>
      <c r="BN1753" s="8">
        <f t="shared" si="1707"/>
        <v>0</v>
      </c>
      <c r="BO1753" s="8">
        <f t="shared" si="1708"/>
        <v>0</v>
      </c>
      <c r="BP1753" s="8">
        <f t="shared" si="1728"/>
        <v>0</v>
      </c>
      <c r="BQ1753" s="12">
        <f t="shared" si="1729"/>
        <v>0</v>
      </c>
    </row>
    <row r="1754" spans="1:69">
      <c r="A1754" s="28">
        <v>1967</v>
      </c>
      <c r="B1754" s="27" t="s">
        <v>81</v>
      </c>
      <c r="C1754" s="24">
        <f t="shared" si="1768"/>
        <v>1742</v>
      </c>
      <c r="D1754" s="7" t="e">
        <f t="shared" ca="1" si="1748"/>
        <v>#N/A</v>
      </c>
      <c r="E1754" s="26" t="e">
        <f t="array" aca="1" ref="E1754" ca="1">AVERAGE(IF(INDIRECT(DatCol&amp;"$"&amp;TEXT(C1754,"###")):INDIRECT(DatCol&amp;"$"&amp;TEXT(C1754+57,"###"))&gt;0,INDIRECT(DatCol&amp;"$"&amp;TEXT(C1754,"###")):INDIRECT(DatCol&amp;"$"&amp;TEXT(C1754+57,"###"))))</f>
        <v>#DIV/0!</v>
      </c>
      <c r="F1754" s="26" t="str">
        <f t="shared" si="1706"/>
        <v>N</v>
      </c>
      <c r="G1754" s="8"/>
      <c r="K1754" s="9">
        <f t="shared" si="1709"/>
        <v>0</v>
      </c>
      <c r="M1754" s="11">
        <f t="shared" si="1769"/>
        <v>0</v>
      </c>
      <c r="O1754" s="11">
        <f t="shared" si="1770"/>
        <v>0</v>
      </c>
      <c r="Q1754" s="11">
        <f t="shared" si="1771"/>
        <v>0</v>
      </c>
      <c r="Y1754" s="11">
        <f t="shared" si="1772"/>
        <v>0</v>
      </c>
      <c r="AG1754" s="11">
        <f t="shared" si="1773"/>
        <v>0</v>
      </c>
      <c r="AI1754" s="11">
        <f t="shared" si="1774"/>
        <v>0</v>
      </c>
      <c r="AK1754" s="13">
        <f t="shared" si="1775"/>
        <v>0</v>
      </c>
      <c r="AM1754" s="13">
        <f t="shared" si="1776"/>
        <v>0</v>
      </c>
      <c r="AO1754" s="11">
        <f t="shared" si="1777"/>
        <v>0</v>
      </c>
      <c r="AQ1754" s="11">
        <f t="shared" si="1778"/>
        <v>0</v>
      </c>
      <c r="AS1754" s="11">
        <f t="shared" si="1779"/>
        <v>0</v>
      </c>
      <c r="AU1754" s="11">
        <f t="shared" si="1780"/>
        <v>0</v>
      </c>
      <c r="AW1754" s="11">
        <f t="shared" si="1781"/>
        <v>0</v>
      </c>
      <c r="AY1754" s="11">
        <f t="shared" si="1782"/>
        <v>0</v>
      </c>
      <c r="BA1754" s="11">
        <f t="shared" si="1783"/>
        <v>0</v>
      </c>
      <c r="BC1754" s="11">
        <f t="shared" si="1784"/>
        <v>0</v>
      </c>
      <c r="BE1754" s="11">
        <f t="shared" si="1785"/>
        <v>0</v>
      </c>
      <c r="BG1754" s="11">
        <f t="shared" si="1786"/>
        <v>0</v>
      </c>
      <c r="BN1754" s="8">
        <f t="shared" si="1707"/>
        <v>0</v>
      </c>
      <c r="BO1754" s="8">
        <f t="shared" si="1708"/>
        <v>0</v>
      </c>
      <c r="BP1754" s="8">
        <f t="shared" si="1728"/>
        <v>0</v>
      </c>
      <c r="BQ1754" s="12">
        <f t="shared" si="1729"/>
        <v>0</v>
      </c>
    </row>
    <row r="1755" spans="1:69">
      <c r="A1755" s="28">
        <v>1968</v>
      </c>
      <c r="B1755" s="27" t="s">
        <v>81</v>
      </c>
      <c r="C1755" s="24">
        <f t="shared" si="1768"/>
        <v>1742</v>
      </c>
      <c r="D1755" s="7" t="e">
        <f t="shared" ca="1" si="1748"/>
        <v>#N/A</v>
      </c>
      <c r="E1755" s="26" t="e">
        <f t="array" aca="1" ref="E1755" ca="1">AVERAGE(IF(INDIRECT(DatCol&amp;"$"&amp;TEXT(C1755,"###")):INDIRECT(DatCol&amp;"$"&amp;TEXT(C1755+57,"###"))&gt;0,INDIRECT(DatCol&amp;"$"&amp;TEXT(C1755,"###")):INDIRECT(DatCol&amp;"$"&amp;TEXT(C1755+57,"###"))))</f>
        <v>#DIV/0!</v>
      </c>
      <c r="F1755" s="26" t="str">
        <f t="shared" si="1706"/>
        <v>N</v>
      </c>
      <c r="G1755" s="8"/>
      <c r="K1755" s="9">
        <f t="shared" si="1709"/>
        <v>0</v>
      </c>
      <c r="M1755" s="11">
        <f t="shared" si="1769"/>
        <v>0</v>
      </c>
      <c r="O1755" s="11">
        <f t="shared" si="1770"/>
        <v>0</v>
      </c>
      <c r="Q1755" s="11">
        <f t="shared" si="1771"/>
        <v>0</v>
      </c>
      <c r="Y1755" s="11">
        <f t="shared" si="1772"/>
        <v>0</v>
      </c>
      <c r="AG1755" s="11">
        <f t="shared" si="1773"/>
        <v>0</v>
      </c>
      <c r="AI1755" s="11">
        <f t="shared" si="1774"/>
        <v>0</v>
      </c>
      <c r="AK1755" s="13">
        <f t="shared" si="1775"/>
        <v>0</v>
      </c>
      <c r="AM1755" s="13">
        <f t="shared" si="1776"/>
        <v>0</v>
      </c>
      <c r="AO1755" s="11">
        <f t="shared" si="1777"/>
        <v>0</v>
      </c>
      <c r="AQ1755" s="11">
        <f t="shared" si="1778"/>
        <v>0</v>
      </c>
      <c r="AS1755" s="11">
        <f t="shared" si="1779"/>
        <v>0</v>
      </c>
      <c r="AU1755" s="11">
        <f t="shared" si="1780"/>
        <v>0</v>
      </c>
      <c r="AW1755" s="11">
        <f t="shared" si="1781"/>
        <v>0</v>
      </c>
      <c r="AY1755" s="11">
        <f t="shared" si="1782"/>
        <v>0</v>
      </c>
      <c r="BA1755" s="11">
        <f t="shared" si="1783"/>
        <v>0</v>
      </c>
      <c r="BC1755" s="11">
        <f t="shared" si="1784"/>
        <v>0</v>
      </c>
      <c r="BE1755" s="11">
        <f t="shared" si="1785"/>
        <v>0</v>
      </c>
      <c r="BG1755" s="11">
        <f t="shared" si="1786"/>
        <v>0</v>
      </c>
      <c r="BN1755" s="8">
        <f t="shared" si="1707"/>
        <v>0</v>
      </c>
      <c r="BO1755" s="8">
        <f t="shared" si="1708"/>
        <v>0</v>
      </c>
      <c r="BP1755" s="8">
        <f t="shared" si="1728"/>
        <v>0</v>
      </c>
      <c r="BQ1755" s="12">
        <f t="shared" si="1729"/>
        <v>0</v>
      </c>
    </row>
    <row r="1756" spans="1:69">
      <c r="A1756" s="28">
        <v>1969</v>
      </c>
      <c r="B1756" s="27" t="s">
        <v>81</v>
      </c>
      <c r="C1756" s="24">
        <f t="shared" si="1768"/>
        <v>1742</v>
      </c>
      <c r="D1756" s="7" t="e">
        <f t="shared" ca="1" si="1748"/>
        <v>#N/A</v>
      </c>
      <c r="E1756" s="26" t="e">
        <f t="array" aca="1" ref="E1756" ca="1">AVERAGE(IF(INDIRECT(DatCol&amp;"$"&amp;TEXT(C1756,"###")):INDIRECT(DatCol&amp;"$"&amp;TEXT(C1756+57,"###"))&gt;0,INDIRECT(DatCol&amp;"$"&amp;TEXT(C1756,"###")):INDIRECT(DatCol&amp;"$"&amp;TEXT(C1756+57,"###"))))</f>
        <v>#DIV/0!</v>
      </c>
      <c r="F1756" s="26" t="str">
        <f t="shared" ref="F1756:F1822" si="1787">VLOOKUP(B1756,town_region,2,FALSE)</f>
        <v>N</v>
      </c>
      <c r="G1756" s="8"/>
      <c r="K1756" s="9">
        <f t="shared" si="1709"/>
        <v>0</v>
      </c>
      <c r="M1756" s="11">
        <f t="shared" si="1769"/>
        <v>0</v>
      </c>
      <c r="O1756" s="11">
        <f t="shared" si="1770"/>
        <v>0</v>
      </c>
      <c r="Q1756" s="11">
        <f t="shared" si="1771"/>
        <v>0</v>
      </c>
      <c r="Y1756" s="11">
        <f t="shared" si="1772"/>
        <v>0</v>
      </c>
      <c r="AG1756" s="11">
        <f t="shared" si="1773"/>
        <v>0</v>
      </c>
      <c r="AI1756" s="11">
        <f t="shared" si="1774"/>
        <v>0</v>
      </c>
      <c r="AK1756" s="13">
        <f t="shared" si="1775"/>
        <v>0</v>
      </c>
      <c r="AM1756" s="13">
        <f t="shared" si="1776"/>
        <v>0</v>
      </c>
      <c r="AO1756" s="11">
        <f t="shared" si="1777"/>
        <v>0</v>
      </c>
      <c r="AQ1756" s="11">
        <f t="shared" si="1778"/>
        <v>0</v>
      </c>
      <c r="AS1756" s="11">
        <f t="shared" si="1779"/>
        <v>0</v>
      </c>
      <c r="AU1756" s="11">
        <f t="shared" si="1780"/>
        <v>0</v>
      </c>
      <c r="AW1756" s="11">
        <f t="shared" si="1781"/>
        <v>0</v>
      </c>
      <c r="AY1756" s="11">
        <f t="shared" si="1782"/>
        <v>0</v>
      </c>
      <c r="BA1756" s="11">
        <f t="shared" si="1783"/>
        <v>0</v>
      </c>
      <c r="BC1756" s="11">
        <f t="shared" si="1784"/>
        <v>0</v>
      </c>
      <c r="BE1756" s="11">
        <f t="shared" si="1785"/>
        <v>0</v>
      </c>
      <c r="BG1756" s="11">
        <f t="shared" si="1786"/>
        <v>0</v>
      </c>
      <c r="BN1756" s="8">
        <f t="shared" si="1707"/>
        <v>0</v>
      </c>
      <c r="BO1756" s="8">
        <f t="shared" si="1708"/>
        <v>0</v>
      </c>
      <c r="BP1756" s="8">
        <f t="shared" si="1728"/>
        <v>0</v>
      </c>
      <c r="BQ1756" s="12">
        <f t="shared" si="1729"/>
        <v>0</v>
      </c>
    </row>
    <row r="1757" spans="1:69">
      <c r="A1757" s="28">
        <v>1970</v>
      </c>
      <c r="B1757" s="27" t="s">
        <v>81</v>
      </c>
      <c r="C1757" s="24">
        <f t="shared" si="1768"/>
        <v>1742</v>
      </c>
      <c r="D1757" s="7" t="e">
        <f t="shared" ca="1" si="1748"/>
        <v>#N/A</v>
      </c>
      <c r="E1757" s="26" t="e">
        <f t="array" aca="1" ref="E1757" ca="1">AVERAGE(IF(INDIRECT(DatCol&amp;"$"&amp;TEXT(C1757,"###")):INDIRECT(DatCol&amp;"$"&amp;TEXT(C1757+57,"###"))&gt;0,INDIRECT(DatCol&amp;"$"&amp;TEXT(C1757,"###")):INDIRECT(DatCol&amp;"$"&amp;TEXT(C1757+57,"###"))))</f>
        <v>#DIV/0!</v>
      </c>
      <c r="F1757" s="26" t="str">
        <f t="shared" si="1787"/>
        <v>N</v>
      </c>
      <c r="G1757" s="8"/>
      <c r="K1757" s="9">
        <f t="shared" si="1709"/>
        <v>0</v>
      </c>
      <c r="M1757" s="11">
        <f t="shared" si="1769"/>
        <v>0</v>
      </c>
      <c r="O1757" s="11">
        <f t="shared" si="1770"/>
        <v>0</v>
      </c>
      <c r="Q1757" s="11">
        <f t="shared" si="1771"/>
        <v>0</v>
      </c>
      <c r="Y1757" s="11">
        <f t="shared" si="1772"/>
        <v>0</v>
      </c>
      <c r="AG1757" s="11">
        <f t="shared" si="1773"/>
        <v>0</v>
      </c>
      <c r="AI1757" s="11">
        <f t="shared" si="1774"/>
        <v>0</v>
      </c>
      <c r="AK1757" s="13">
        <f t="shared" si="1775"/>
        <v>0</v>
      </c>
      <c r="AM1757" s="13">
        <f t="shared" si="1776"/>
        <v>0</v>
      </c>
      <c r="AO1757" s="11">
        <f t="shared" si="1777"/>
        <v>0</v>
      </c>
      <c r="AQ1757" s="11">
        <f t="shared" si="1778"/>
        <v>0</v>
      </c>
      <c r="AS1757" s="11">
        <f t="shared" si="1779"/>
        <v>0</v>
      </c>
      <c r="AU1757" s="11">
        <f t="shared" si="1780"/>
        <v>0</v>
      </c>
      <c r="AW1757" s="11">
        <f t="shared" si="1781"/>
        <v>0</v>
      </c>
      <c r="AY1757" s="11">
        <f t="shared" si="1782"/>
        <v>0</v>
      </c>
      <c r="BA1757" s="11">
        <f t="shared" si="1783"/>
        <v>0</v>
      </c>
      <c r="BC1757" s="11">
        <f t="shared" si="1784"/>
        <v>0</v>
      </c>
      <c r="BE1757" s="11">
        <f t="shared" si="1785"/>
        <v>0</v>
      </c>
      <c r="BG1757" s="11">
        <f t="shared" si="1786"/>
        <v>0</v>
      </c>
      <c r="BN1757" s="8">
        <f t="shared" si="1707"/>
        <v>0</v>
      </c>
      <c r="BO1757" s="8">
        <f t="shared" si="1708"/>
        <v>0</v>
      </c>
      <c r="BP1757" s="8">
        <f t="shared" si="1728"/>
        <v>0</v>
      </c>
      <c r="BQ1757" s="12">
        <f t="shared" si="1729"/>
        <v>0</v>
      </c>
    </row>
    <row r="1758" spans="1:69">
      <c r="A1758" s="28">
        <v>1971</v>
      </c>
      <c r="B1758" s="27" t="s">
        <v>81</v>
      </c>
      <c r="C1758" s="24">
        <f t="shared" si="1768"/>
        <v>1742</v>
      </c>
      <c r="D1758" s="7" t="e">
        <f t="shared" ca="1" si="1748"/>
        <v>#N/A</v>
      </c>
      <c r="E1758" s="26" t="e">
        <f t="array" aca="1" ref="E1758" ca="1">AVERAGE(IF(INDIRECT(DatCol&amp;"$"&amp;TEXT(C1758,"###")):INDIRECT(DatCol&amp;"$"&amp;TEXT(C1758+57,"###"))&gt;0,INDIRECT(DatCol&amp;"$"&amp;TEXT(C1758,"###")):INDIRECT(DatCol&amp;"$"&amp;TEXT(C1758+57,"###"))))</f>
        <v>#DIV/0!</v>
      </c>
      <c r="F1758" s="26" t="str">
        <f t="shared" si="1787"/>
        <v>N</v>
      </c>
      <c r="G1758" s="8"/>
      <c r="K1758" s="9">
        <f t="shared" si="1709"/>
        <v>0</v>
      </c>
      <c r="M1758" s="11">
        <f t="shared" si="1769"/>
        <v>0</v>
      </c>
      <c r="O1758" s="11">
        <f t="shared" si="1770"/>
        <v>0</v>
      </c>
      <c r="Q1758" s="11">
        <f t="shared" si="1771"/>
        <v>0</v>
      </c>
      <c r="Y1758" s="11">
        <f t="shared" si="1772"/>
        <v>0</v>
      </c>
      <c r="AG1758" s="11">
        <f t="shared" si="1773"/>
        <v>0</v>
      </c>
      <c r="AI1758" s="11">
        <f t="shared" si="1774"/>
        <v>0</v>
      </c>
      <c r="AK1758" s="13">
        <f t="shared" si="1775"/>
        <v>0</v>
      </c>
      <c r="AM1758" s="13">
        <f t="shared" si="1776"/>
        <v>0</v>
      </c>
      <c r="AO1758" s="11">
        <f t="shared" si="1777"/>
        <v>0</v>
      </c>
      <c r="AQ1758" s="11">
        <f t="shared" si="1778"/>
        <v>0</v>
      </c>
      <c r="AS1758" s="11">
        <f t="shared" si="1779"/>
        <v>0</v>
      </c>
      <c r="AU1758" s="11">
        <f t="shared" si="1780"/>
        <v>0</v>
      </c>
      <c r="AW1758" s="11">
        <f t="shared" si="1781"/>
        <v>0</v>
      </c>
      <c r="AY1758" s="11">
        <f t="shared" si="1782"/>
        <v>0</v>
      </c>
      <c r="BA1758" s="11">
        <f t="shared" si="1783"/>
        <v>0</v>
      </c>
      <c r="BC1758" s="11">
        <f t="shared" si="1784"/>
        <v>0</v>
      </c>
      <c r="BE1758" s="11">
        <f t="shared" si="1785"/>
        <v>0</v>
      </c>
      <c r="BG1758" s="11">
        <f t="shared" si="1786"/>
        <v>0</v>
      </c>
      <c r="BN1758" s="8">
        <f t="shared" si="1707"/>
        <v>0</v>
      </c>
      <c r="BO1758" s="8">
        <f t="shared" si="1708"/>
        <v>0</v>
      </c>
      <c r="BP1758" s="8">
        <f t="shared" si="1728"/>
        <v>0</v>
      </c>
      <c r="BQ1758" s="12">
        <f t="shared" si="1729"/>
        <v>0</v>
      </c>
    </row>
    <row r="1759" spans="1:69">
      <c r="A1759" s="28">
        <v>1972</v>
      </c>
      <c r="B1759" s="27" t="s">
        <v>81</v>
      </c>
      <c r="C1759" s="24">
        <f t="shared" si="1768"/>
        <v>1742</v>
      </c>
      <c r="D1759" s="7" t="e">
        <f t="shared" ca="1" si="1748"/>
        <v>#N/A</v>
      </c>
      <c r="E1759" s="26" t="e">
        <f t="array" aca="1" ref="E1759" ca="1">AVERAGE(IF(INDIRECT(DatCol&amp;"$"&amp;TEXT(C1759,"###")):INDIRECT(DatCol&amp;"$"&amp;TEXT(C1759+57,"###"))&gt;0,INDIRECT(DatCol&amp;"$"&amp;TEXT(C1759,"###")):INDIRECT(DatCol&amp;"$"&amp;TEXT(C1759+57,"###"))))</f>
        <v>#DIV/0!</v>
      </c>
      <c r="F1759" s="26" t="str">
        <f t="shared" si="1787"/>
        <v>N</v>
      </c>
      <c r="G1759" s="8"/>
      <c r="K1759" s="9">
        <f t="shared" si="1709"/>
        <v>0</v>
      </c>
      <c r="M1759" s="11">
        <f t="shared" si="1769"/>
        <v>0</v>
      </c>
      <c r="O1759" s="11">
        <f t="shared" si="1770"/>
        <v>0</v>
      </c>
      <c r="Q1759" s="11">
        <f t="shared" si="1771"/>
        <v>0</v>
      </c>
      <c r="Y1759" s="11">
        <f t="shared" si="1772"/>
        <v>0</v>
      </c>
      <c r="AG1759" s="11">
        <f t="shared" si="1773"/>
        <v>0</v>
      </c>
      <c r="AI1759" s="11">
        <f t="shared" si="1774"/>
        <v>0</v>
      </c>
      <c r="AK1759" s="13">
        <f t="shared" si="1775"/>
        <v>0</v>
      </c>
      <c r="AM1759" s="13">
        <f t="shared" si="1776"/>
        <v>0</v>
      </c>
      <c r="AO1759" s="11">
        <f t="shared" si="1777"/>
        <v>0</v>
      </c>
      <c r="AQ1759" s="11">
        <f t="shared" si="1778"/>
        <v>0</v>
      </c>
      <c r="AS1759" s="11">
        <f t="shared" si="1779"/>
        <v>0</v>
      </c>
      <c r="AU1759" s="11">
        <f t="shared" si="1780"/>
        <v>0</v>
      </c>
      <c r="AW1759" s="11">
        <f t="shared" si="1781"/>
        <v>0</v>
      </c>
      <c r="AY1759" s="11">
        <f t="shared" si="1782"/>
        <v>0</v>
      </c>
      <c r="BA1759" s="11">
        <f t="shared" si="1783"/>
        <v>0</v>
      </c>
      <c r="BC1759" s="11">
        <f t="shared" si="1784"/>
        <v>0</v>
      </c>
      <c r="BE1759" s="11">
        <f t="shared" si="1785"/>
        <v>0</v>
      </c>
      <c r="BG1759" s="11">
        <f t="shared" si="1786"/>
        <v>0</v>
      </c>
      <c r="BN1759" s="8">
        <f t="shared" ref="BN1759:BN1823" si="1788">(L1759+P1759+R1759+T1759+V1759+X1759+Z1759+AB1759+AD1759+AF1759+AJ1759+AN1759+AR1759+AV1759+AZ1759+BD1759)</f>
        <v>0</v>
      </c>
      <c r="BO1759" s="8">
        <f t="shared" si="1708"/>
        <v>0</v>
      </c>
      <c r="BP1759" s="8">
        <f t="shared" si="1728"/>
        <v>0</v>
      </c>
      <c r="BQ1759" s="12">
        <f t="shared" si="1729"/>
        <v>0</v>
      </c>
    </row>
    <row r="1760" spans="1:69">
      <c r="A1760" s="28">
        <v>1973</v>
      </c>
      <c r="B1760" s="27" t="s">
        <v>81</v>
      </c>
      <c r="C1760" s="24">
        <f t="shared" si="1768"/>
        <v>1742</v>
      </c>
      <c r="D1760" s="7" t="e">
        <f t="shared" ca="1" si="1748"/>
        <v>#N/A</v>
      </c>
      <c r="E1760" s="26" t="e">
        <f t="array" aca="1" ref="E1760" ca="1">AVERAGE(IF(INDIRECT(DatCol&amp;"$"&amp;TEXT(C1760,"###")):INDIRECT(DatCol&amp;"$"&amp;TEXT(C1760+57,"###"))&gt;0,INDIRECT(DatCol&amp;"$"&amp;TEXT(C1760,"###")):INDIRECT(DatCol&amp;"$"&amp;TEXT(C1760+57,"###"))))</f>
        <v>#DIV/0!</v>
      </c>
      <c r="F1760" s="26" t="str">
        <f t="shared" si="1787"/>
        <v>N</v>
      </c>
      <c r="G1760" s="8"/>
      <c r="K1760" s="9">
        <f t="shared" si="1709"/>
        <v>0</v>
      </c>
      <c r="M1760" s="11">
        <f t="shared" si="1769"/>
        <v>0</v>
      </c>
      <c r="O1760" s="11">
        <f t="shared" si="1770"/>
        <v>0</v>
      </c>
      <c r="Q1760" s="11">
        <f t="shared" si="1771"/>
        <v>0</v>
      </c>
      <c r="Y1760" s="11">
        <f t="shared" si="1772"/>
        <v>0</v>
      </c>
      <c r="AG1760" s="11">
        <f t="shared" si="1773"/>
        <v>0</v>
      </c>
      <c r="AI1760" s="11">
        <f t="shared" si="1774"/>
        <v>0</v>
      </c>
      <c r="AK1760" s="13">
        <f t="shared" si="1775"/>
        <v>0</v>
      </c>
      <c r="AM1760" s="13">
        <f t="shared" si="1776"/>
        <v>0</v>
      </c>
      <c r="AO1760" s="11">
        <f t="shared" si="1777"/>
        <v>0</v>
      </c>
      <c r="AQ1760" s="11">
        <f t="shared" si="1778"/>
        <v>0</v>
      </c>
      <c r="AS1760" s="11">
        <f t="shared" si="1779"/>
        <v>0</v>
      </c>
      <c r="AU1760" s="11">
        <f t="shared" si="1780"/>
        <v>0</v>
      </c>
      <c r="AW1760" s="11">
        <f t="shared" si="1781"/>
        <v>0</v>
      </c>
      <c r="AY1760" s="11">
        <f t="shared" si="1782"/>
        <v>0</v>
      </c>
      <c r="BA1760" s="11">
        <f t="shared" si="1783"/>
        <v>0</v>
      </c>
      <c r="BC1760" s="11">
        <f t="shared" si="1784"/>
        <v>0</v>
      </c>
      <c r="BE1760" s="11">
        <f t="shared" si="1785"/>
        <v>0</v>
      </c>
      <c r="BG1760" s="11">
        <f t="shared" si="1786"/>
        <v>0</v>
      </c>
      <c r="BN1760" s="8">
        <f t="shared" si="1788"/>
        <v>0</v>
      </c>
      <c r="BO1760" s="8">
        <f t="shared" ref="BO1760:BO1824" si="1789">(M1760+Q1760+S1760+U1760+W1760+Y1760+AA1760+AC1760+AG1760+AK1760+AO1760+AS1760+AW1760+BA1760+BE1760)</f>
        <v>0</v>
      </c>
      <c r="BP1760" s="8">
        <f t="shared" si="1728"/>
        <v>0</v>
      </c>
      <c r="BQ1760" s="12">
        <f t="shared" si="1729"/>
        <v>0</v>
      </c>
    </row>
    <row r="1761" spans="1:69">
      <c r="A1761" s="28">
        <v>1974</v>
      </c>
      <c r="B1761" s="27" t="s">
        <v>81</v>
      </c>
      <c r="C1761" s="24">
        <f t="shared" si="1768"/>
        <v>1742</v>
      </c>
      <c r="D1761" s="7" t="e">
        <f t="shared" ca="1" si="1748"/>
        <v>#N/A</v>
      </c>
      <c r="E1761" s="26" t="e">
        <f t="array" aca="1" ref="E1761" ca="1">AVERAGE(IF(INDIRECT(DatCol&amp;"$"&amp;TEXT(C1761,"###")):INDIRECT(DatCol&amp;"$"&amp;TEXT(C1761+57,"###"))&gt;0,INDIRECT(DatCol&amp;"$"&amp;TEXT(C1761,"###")):INDIRECT(DatCol&amp;"$"&amp;TEXT(C1761+57,"###"))))</f>
        <v>#DIV/0!</v>
      </c>
      <c r="F1761" s="26" t="str">
        <f t="shared" si="1787"/>
        <v>N</v>
      </c>
      <c r="G1761" s="8"/>
      <c r="K1761" s="9">
        <f t="shared" ref="K1761:K1825" si="1790">G1761+H1761+J1761</f>
        <v>0</v>
      </c>
      <c r="M1761" s="11">
        <f t="shared" si="1769"/>
        <v>0</v>
      </c>
      <c r="O1761" s="11">
        <f t="shared" si="1770"/>
        <v>0</v>
      </c>
      <c r="Q1761" s="11">
        <f t="shared" si="1771"/>
        <v>0</v>
      </c>
      <c r="Y1761" s="11">
        <f t="shared" si="1772"/>
        <v>0</v>
      </c>
      <c r="AG1761" s="11">
        <f t="shared" si="1773"/>
        <v>0</v>
      </c>
      <c r="AI1761" s="11">
        <f t="shared" si="1774"/>
        <v>0</v>
      </c>
      <c r="AK1761" s="13">
        <f t="shared" si="1775"/>
        <v>0</v>
      </c>
      <c r="AM1761" s="13">
        <f t="shared" si="1776"/>
        <v>0</v>
      </c>
      <c r="AO1761" s="11">
        <f t="shared" si="1777"/>
        <v>0</v>
      </c>
      <c r="AQ1761" s="11">
        <f t="shared" si="1778"/>
        <v>0</v>
      </c>
      <c r="AS1761" s="11">
        <f t="shared" si="1779"/>
        <v>0</v>
      </c>
      <c r="AU1761" s="11">
        <f t="shared" si="1780"/>
        <v>0</v>
      </c>
      <c r="AW1761" s="11">
        <f t="shared" si="1781"/>
        <v>0</v>
      </c>
      <c r="AY1761" s="11">
        <f t="shared" si="1782"/>
        <v>0</v>
      </c>
      <c r="BA1761" s="11">
        <f t="shared" si="1783"/>
        <v>0</v>
      </c>
      <c r="BC1761" s="11">
        <f t="shared" si="1784"/>
        <v>0</v>
      </c>
      <c r="BE1761" s="11">
        <f t="shared" si="1785"/>
        <v>0</v>
      </c>
      <c r="BG1761" s="11">
        <f t="shared" si="1786"/>
        <v>0</v>
      </c>
      <c r="BN1761" s="8">
        <f t="shared" si="1788"/>
        <v>0</v>
      </c>
      <c r="BO1761" s="8">
        <f t="shared" si="1789"/>
        <v>0</v>
      </c>
      <c r="BP1761" s="8">
        <f t="shared" si="1728"/>
        <v>0</v>
      </c>
      <c r="BQ1761" s="12">
        <f t="shared" si="1729"/>
        <v>0</v>
      </c>
    </row>
    <row r="1762" spans="1:69">
      <c r="A1762" s="28">
        <v>1975</v>
      </c>
      <c r="B1762" s="27" t="s">
        <v>81</v>
      </c>
      <c r="C1762" s="24">
        <f t="shared" si="1768"/>
        <v>1742</v>
      </c>
      <c r="D1762" s="7" t="e">
        <f t="shared" ca="1" si="1748"/>
        <v>#N/A</v>
      </c>
      <c r="E1762" s="26" t="e">
        <f t="array" aca="1" ref="E1762" ca="1">AVERAGE(IF(INDIRECT(DatCol&amp;"$"&amp;TEXT(C1762,"###")):INDIRECT(DatCol&amp;"$"&amp;TEXT(C1762+57,"###"))&gt;0,INDIRECT(DatCol&amp;"$"&amp;TEXT(C1762,"###")):INDIRECT(DatCol&amp;"$"&amp;TEXT(C1762+57,"###"))))</f>
        <v>#DIV/0!</v>
      </c>
      <c r="F1762" s="26" t="str">
        <f t="shared" si="1787"/>
        <v>N</v>
      </c>
      <c r="G1762" s="8"/>
      <c r="K1762" s="9">
        <f t="shared" si="1790"/>
        <v>0</v>
      </c>
      <c r="M1762" s="11">
        <f t="shared" si="1769"/>
        <v>0</v>
      </c>
      <c r="O1762" s="11">
        <f t="shared" si="1770"/>
        <v>0</v>
      </c>
      <c r="Q1762" s="11">
        <f t="shared" si="1771"/>
        <v>0</v>
      </c>
      <c r="Y1762" s="11">
        <f t="shared" si="1772"/>
        <v>0</v>
      </c>
      <c r="AG1762" s="11">
        <f t="shared" si="1773"/>
        <v>0</v>
      </c>
      <c r="AI1762" s="11">
        <f t="shared" si="1774"/>
        <v>0</v>
      </c>
      <c r="AK1762" s="13">
        <f t="shared" si="1775"/>
        <v>0</v>
      </c>
      <c r="AM1762" s="13">
        <f t="shared" si="1776"/>
        <v>0</v>
      </c>
      <c r="AO1762" s="11">
        <f t="shared" si="1777"/>
        <v>0</v>
      </c>
      <c r="AQ1762" s="11">
        <f t="shared" si="1778"/>
        <v>0</v>
      </c>
      <c r="AS1762" s="11">
        <f t="shared" si="1779"/>
        <v>0</v>
      </c>
      <c r="AU1762" s="11">
        <f t="shared" si="1780"/>
        <v>0</v>
      </c>
      <c r="AW1762" s="11">
        <f t="shared" si="1781"/>
        <v>0</v>
      </c>
      <c r="AY1762" s="11">
        <f t="shared" si="1782"/>
        <v>0</v>
      </c>
      <c r="BA1762" s="11">
        <f t="shared" si="1783"/>
        <v>0</v>
      </c>
      <c r="BC1762" s="11">
        <f t="shared" si="1784"/>
        <v>0</v>
      </c>
      <c r="BE1762" s="11">
        <f t="shared" si="1785"/>
        <v>0</v>
      </c>
      <c r="BG1762" s="11">
        <f t="shared" si="1786"/>
        <v>0</v>
      </c>
      <c r="BN1762" s="8">
        <f t="shared" si="1788"/>
        <v>0</v>
      </c>
      <c r="BO1762" s="8">
        <f t="shared" si="1789"/>
        <v>0</v>
      </c>
      <c r="BP1762" s="8">
        <f t="shared" si="1728"/>
        <v>0</v>
      </c>
      <c r="BQ1762" s="12">
        <f t="shared" si="1729"/>
        <v>0</v>
      </c>
    </row>
    <row r="1763" spans="1:69">
      <c r="A1763" s="28">
        <v>1976</v>
      </c>
      <c r="B1763" s="27" t="s">
        <v>81</v>
      </c>
      <c r="C1763" s="24">
        <f t="shared" si="1768"/>
        <v>1742</v>
      </c>
      <c r="D1763" s="7" t="e">
        <f t="shared" ca="1" si="1748"/>
        <v>#N/A</v>
      </c>
      <c r="E1763" s="26" t="e">
        <f t="array" aca="1" ref="E1763" ca="1">AVERAGE(IF(INDIRECT(DatCol&amp;"$"&amp;TEXT(C1763,"###")):INDIRECT(DatCol&amp;"$"&amp;TEXT(C1763+57,"###"))&gt;0,INDIRECT(DatCol&amp;"$"&amp;TEXT(C1763,"###")):INDIRECT(DatCol&amp;"$"&amp;TEXT(C1763+57,"###"))))</f>
        <v>#DIV/0!</v>
      </c>
      <c r="F1763" s="26" t="str">
        <f t="shared" si="1787"/>
        <v>N</v>
      </c>
      <c r="G1763" s="8"/>
      <c r="K1763" s="9">
        <f t="shared" si="1790"/>
        <v>0</v>
      </c>
      <c r="M1763" s="11">
        <f t="shared" si="1769"/>
        <v>0</v>
      </c>
      <c r="O1763" s="11">
        <f t="shared" si="1770"/>
        <v>0</v>
      </c>
      <c r="Q1763" s="11">
        <f t="shared" si="1771"/>
        <v>0</v>
      </c>
      <c r="Y1763" s="11">
        <f t="shared" si="1772"/>
        <v>0</v>
      </c>
      <c r="AG1763" s="11">
        <f t="shared" si="1773"/>
        <v>0</v>
      </c>
      <c r="AI1763" s="11">
        <f t="shared" si="1774"/>
        <v>0</v>
      </c>
      <c r="AK1763" s="13">
        <f t="shared" si="1775"/>
        <v>0</v>
      </c>
      <c r="AM1763" s="13">
        <f t="shared" si="1776"/>
        <v>0</v>
      </c>
      <c r="AO1763" s="11">
        <f t="shared" si="1777"/>
        <v>0</v>
      </c>
      <c r="AQ1763" s="11">
        <f t="shared" si="1778"/>
        <v>0</v>
      </c>
      <c r="AS1763" s="11">
        <f t="shared" si="1779"/>
        <v>0</v>
      </c>
      <c r="AU1763" s="11">
        <f t="shared" si="1780"/>
        <v>0</v>
      </c>
      <c r="AW1763" s="11">
        <f t="shared" si="1781"/>
        <v>0</v>
      </c>
      <c r="AY1763" s="11">
        <f t="shared" si="1782"/>
        <v>0</v>
      </c>
      <c r="BA1763" s="11">
        <f t="shared" si="1783"/>
        <v>0</v>
      </c>
      <c r="BC1763" s="11">
        <f t="shared" si="1784"/>
        <v>0</v>
      </c>
      <c r="BE1763" s="11">
        <f t="shared" si="1785"/>
        <v>0</v>
      </c>
      <c r="BG1763" s="11">
        <f t="shared" si="1786"/>
        <v>0</v>
      </c>
      <c r="BN1763" s="8">
        <f t="shared" si="1788"/>
        <v>0</v>
      </c>
      <c r="BO1763" s="8">
        <f t="shared" si="1789"/>
        <v>0</v>
      </c>
      <c r="BP1763" s="8">
        <f t="shared" si="1728"/>
        <v>0</v>
      </c>
      <c r="BQ1763" s="12">
        <f t="shared" si="1729"/>
        <v>0</v>
      </c>
    </row>
    <row r="1764" spans="1:69">
      <c r="A1764" s="28">
        <v>1977</v>
      </c>
      <c r="B1764" s="27" t="s">
        <v>81</v>
      </c>
      <c r="C1764" s="24">
        <f t="shared" si="1768"/>
        <v>1742</v>
      </c>
      <c r="D1764" s="7" t="e">
        <f t="shared" ca="1" si="1748"/>
        <v>#N/A</v>
      </c>
      <c r="E1764" s="26" t="e">
        <f t="array" aca="1" ref="E1764" ca="1">AVERAGE(IF(INDIRECT(DatCol&amp;"$"&amp;TEXT(C1764,"###")):INDIRECT(DatCol&amp;"$"&amp;TEXT(C1764+57,"###"))&gt;0,INDIRECT(DatCol&amp;"$"&amp;TEXT(C1764,"###")):INDIRECT(DatCol&amp;"$"&amp;TEXT(C1764+57,"###"))))</f>
        <v>#DIV/0!</v>
      </c>
      <c r="F1764" s="26" t="str">
        <f t="shared" si="1787"/>
        <v>N</v>
      </c>
      <c r="G1764" s="8"/>
      <c r="K1764" s="9">
        <f t="shared" si="1790"/>
        <v>0</v>
      </c>
      <c r="M1764" s="11">
        <f t="shared" si="1769"/>
        <v>0</v>
      </c>
      <c r="O1764" s="11">
        <f t="shared" si="1770"/>
        <v>0</v>
      </c>
      <c r="Q1764" s="11">
        <f t="shared" si="1771"/>
        <v>0</v>
      </c>
      <c r="Y1764" s="11">
        <f t="shared" si="1772"/>
        <v>0</v>
      </c>
      <c r="AG1764" s="11">
        <f t="shared" si="1773"/>
        <v>0</v>
      </c>
      <c r="AI1764" s="11">
        <f t="shared" si="1774"/>
        <v>0</v>
      </c>
      <c r="AK1764" s="13">
        <f t="shared" si="1775"/>
        <v>0</v>
      </c>
      <c r="AM1764" s="13">
        <f t="shared" si="1776"/>
        <v>0</v>
      </c>
      <c r="AO1764" s="11">
        <f t="shared" si="1777"/>
        <v>0</v>
      </c>
      <c r="AQ1764" s="11">
        <f t="shared" si="1778"/>
        <v>0</v>
      </c>
      <c r="AS1764" s="11">
        <f t="shared" si="1779"/>
        <v>0</v>
      </c>
      <c r="AU1764" s="11">
        <f t="shared" si="1780"/>
        <v>0</v>
      </c>
      <c r="AW1764" s="11">
        <f t="shared" si="1781"/>
        <v>0</v>
      </c>
      <c r="AY1764" s="11">
        <f t="shared" si="1782"/>
        <v>0</v>
      </c>
      <c r="BA1764" s="11">
        <f t="shared" si="1783"/>
        <v>0</v>
      </c>
      <c r="BC1764" s="11">
        <f t="shared" si="1784"/>
        <v>0</v>
      </c>
      <c r="BE1764" s="11">
        <f t="shared" si="1785"/>
        <v>0</v>
      </c>
      <c r="BG1764" s="11">
        <f t="shared" si="1786"/>
        <v>0</v>
      </c>
      <c r="BN1764" s="8">
        <f t="shared" si="1788"/>
        <v>0</v>
      </c>
      <c r="BO1764" s="8">
        <f t="shared" si="1789"/>
        <v>0</v>
      </c>
      <c r="BP1764" s="8">
        <f t="shared" si="1728"/>
        <v>0</v>
      </c>
      <c r="BQ1764" s="12">
        <f t="shared" si="1729"/>
        <v>0</v>
      </c>
    </row>
    <row r="1765" spans="1:69">
      <c r="A1765" s="28">
        <v>1978</v>
      </c>
      <c r="B1765" s="27" t="s">
        <v>81</v>
      </c>
      <c r="C1765" s="24">
        <f t="shared" si="1768"/>
        <v>1742</v>
      </c>
      <c r="D1765" s="7" t="e">
        <f t="shared" ca="1" si="1748"/>
        <v>#N/A</v>
      </c>
      <c r="E1765" s="26" t="e">
        <f t="array" aca="1" ref="E1765" ca="1">AVERAGE(IF(INDIRECT(DatCol&amp;"$"&amp;TEXT(C1765,"###")):INDIRECT(DatCol&amp;"$"&amp;TEXT(C1765+57,"###"))&gt;0,INDIRECT(DatCol&amp;"$"&amp;TEXT(C1765,"###")):INDIRECT(DatCol&amp;"$"&amp;TEXT(C1765+57,"###"))))</f>
        <v>#DIV/0!</v>
      </c>
      <c r="F1765" s="26" t="str">
        <f t="shared" si="1787"/>
        <v>N</v>
      </c>
      <c r="G1765" s="8"/>
      <c r="K1765" s="9">
        <f t="shared" si="1790"/>
        <v>0</v>
      </c>
      <c r="M1765" s="11">
        <f t="shared" ref="M1765:M1780" si="1791">(L1765*50)</f>
        <v>0</v>
      </c>
      <c r="O1765" s="11">
        <f t="shared" ref="O1765:O1780" si="1792">(N1765*50)</f>
        <v>0</v>
      </c>
      <c r="Q1765" s="11">
        <f t="shared" ref="Q1765:Q1780" si="1793">((P1765*330)/5.5)</f>
        <v>0</v>
      </c>
      <c r="Y1765" s="11">
        <f t="shared" ref="Y1765:Y1780" si="1794">((X1765*330)/5.5)</f>
        <v>0</v>
      </c>
      <c r="AG1765" s="11">
        <f t="shared" ref="AG1765:AG1780" si="1795">(AF1765*65)</f>
        <v>0</v>
      </c>
      <c r="AI1765" s="11">
        <f t="shared" ref="AI1765:AI1780" si="1796">(AH1765*65)</f>
        <v>0</v>
      </c>
      <c r="AK1765" s="13">
        <f t="shared" ref="AK1765:AK1780" si="1797">(AJ1765*9)</f>
        <v>0</v>
      </c>
      <c r="AM1765" s="13">
        <f t="shared" ref="AM1765:AM1780" si="1798">(AL1765*9)</f>
        <v>0</v>
      </c>
      <c r="AO1765" s="11">
        <f t="shared" ref="AO1765:AO1780" si="1799">(AN1765*80)</f>
        <v>0</v>
      </c>
      <c r="AQ1765" s="11">
        <f t="shared" ref="AQ1765:AQ1780" si="1800">(AP1765*80)</f>
        <v>0</v>
      </c>
      <c r="AS1765" s="11">
        <f t="shared" ref="AS1765:AS1780" si="1801">(AR1765*50)</f>
        <v>0</v>
      </c>
      <c r="AU1765" s="11">
        <f t="shared" ref="AU1765:AU1780" si="1802">(AT1765*50)</f>
        <v>0</v>
      </c>
      <c r="AW1765" s="11">
        <f t="shared" ref="AW1765:AW1780" si="1803">(AV1765*60)</f>
        <v>0</v>
      </c>
      <c r="AY1765" s="11">
        <f t="shared" ref="AY1765:AY1780" si="1804">(AX1765*60)</f>
        <v>0</v>
      </c>
      <c r="BA1765" s="11">
        <f t="shared" ref="BA1765:BA1780" si="1805">(AZ1765*40)</f>
        <v>0</v>
      </c>
      <c r="BC1765" s="11">
        <f t="shared" ref="BC1765:BC1780" si="1806">(BB1765*40)</f>
        <v>0</v>
      </c>
      <c r="BE1765" s="11">
        <f t="shared" ref="BE1765:BE1780" si="1807">(BD1765*95)</f>
        <v>0</v>
      </c>
      <c r="BG1765" s="11">
        <f t="shared" ref="BG1765:BG1780" si="1808">(BF1765*95)</f>
        <v>0</v>
      </c>
      <c r="BN1765" s="8">
        <f t="shared" si="1788"/>
        <v>0</v>
      </c>
      <c r="BO1765" s="8">
        <f t="shared" si="1789"/>
        <v>0</v>
      </c>
      <c r="BP1765" s="8">
        <f t="shared" si="1728"/>
        <v>0</v>
      </c>
      <c r="BQ1765" s="12">
        <f t="shared" si="1729"/>
        <v>0</v>
      </c>
    </row>
    <row r="1766" spans="1:69">
      <c r="A1766" s="28">
        <v>1979</v>
      </c>
      <c r="B1766" s="27" t="s">
        <v>81</v>
      </c>
      <c r="C1766" s="24">
        <f t="shared" si="1768"/>
        <v>1742</v>
      </c>
      <c r="D1766" s="7" t="e">
        <f t="shared" ca="1" si="1748"/>
        <v>#N/A</v>
      </c>
      <c r="E1766" s="26" t="e">
        <f t="array" aca="1" ref="E1766" ca="1">AVERAGE(IF(INDIRECT(DatCol&amp;"$"&amp;TEXT(C1766,"###")):INDIRECT(DatCol&amp;"$"&amp;TEXT(C1766+57,"###"))&gt;0,INDIRECT(DatCol&amp;"$"&amp;TEXT(C1766,"###")):INDIRECT(DatCol&amp;"$"&amp;TEXT(C1766+57,"###"))))</f>
        <v>#DIV/0!</v>
      </c>
      <c r="F1766" s="26" t="str">
        <f t="shared" si="1787"/>
        <v>N</v>
      </c>
      <c r="G1766" s="8"/>
      <c r="K1766" s="9">
        <f t="shared" si="1790"/>
        <v>0</v>
      </c>
      <c r="M1766" s="11">
        <f t="shared" si="1791"/>
        <v>0</v>
      </c>
      <c r="O1766" s="11">
        <f t="shared" si="1792"/>
        <v>0</v>
      </c>
      <c r="Q1766" s="11">
        <f t="shared" si="1793"/>
        <v>0</v>
      </c>
      <c r="Y1766" s="11">
        <f t="shared" si="1794"/>
        <v>0</v>
      </c>
      <c r="AG1766" s="11">
        <f t="shared" si="1795"/>
        <v>0</v>
      </c>
      <c r="AI1766" s="11">
        <f t="shared" si="1796"/>
        <v>0</v>
      </c>
      <c r="AK1766" s="13">
        <f t="shared" si="1797"/>
        <v>0</v>
      </c>
      <c r="AM1766" s="13">
        <f t="shared" si="1798"/>
        <v>0</v>
      </c>
      <c r="AO1766" s="11">
        <f t="shared" si="1799"/>
        <v>0</v>
      </c>
      <c r="AQ1766" s="11">
        <f t="shared" si="1800"/>
        <v>0</v>
      </c>
      <c r="AS1766" s="11">
        <f t="shared" si="1801"/>
        <v>0</v>
      </c>
      <c r="AU1766" s="11">
        <f t="shared" si="1802"/>
        <v>0</v>
      </c>
      <c r="AW1766" s="11">
        <f t="shared" si="1803"/>
        <v>0</v>
      </c>
      <c r="AY1766" s="11">
        <f t="shared" si="1804"/>
        <v>0</v>
      </c>
      <c r="BA1766" s="11">
        <f t="shared" si="1805"/>
        <v>0</v>
      </c>
      <c r="BC1766" s="11">
        <f t="shared" si="1806"/>
        <v>0</v>
      </c>
      <c r="BE1766" s="11">
        <f t="shared" si="1807"/>
        <v>0</v>
      </c>
      <c r="BG1766" s="11">
        <f t="shared" si="1808"/>
        <v>0</v>
      </c>
      <c r="BN1766" s="8">
        <f t="shared" si="1788"/>
        <v>0</v>
      </c>
      <c r="BO1766" s="8">
        <f t="shared" si="1789"/>
        <v>0</v>
      </c>
      <c r="BP1766" s="8">
        <f t="shared" si="1728"/>
        <v>0</v>
      </c>
      <c r="BQ1766" s="12">
        <f t="shared" si="1729"/>
        <v>0</v>
      </c>
    </row>
    <row r="1767" spans="1:69">
      <c r="A1767" s="28">
        <v>1980</v>
      </c>
      <c r="B1767" s="27" t="s">
        <v>81</v>
      </c>
      <c r="C1767" s="24">
        <f t="shared" si="1768"/>
        <v>1742</v>
      </c>
      <c r="D1767" s="7" t="e">
        <f t="shared" ca="1" si="1748"/>
        <v>#N/A</v>
      </c>
      <c r="E1767" s="26" t="e">
        <f t="array" aca="1" ref="E1767" ca="1">AVERAGE(IF(INDIRECT(DatCol&amp;"$"&amp;TEXT(C1767,"###")):INDIRECT(DatCol&amp;"$"&amp;TEXT(C1767+57,"###"))&gt;0,INDIRECT(DatCol&amp;"$"&amp;TEXT(C1767,"###")):INDIRECT(DatCol&amp;"$"&amp;TEXT(C1767+57,"###"))))</f>
        <v>#DIV/0!</v>
      </c>
      <c r="F1767" s="26" t="str">
        <f t="shared" si="1787"/>
        <v>N</v>
      </c>
      <c r="G1767" s="8"/>
      <c r="K1767" s="9">
        <f t="shared" si="1790"/>
        <v>0</v>
      </c>
      <c r="M1767" s="11">
        <f t="shared" si="1791"/>
        <v>0</v>
      </c>
      <c r="O1767" s="11">
        <f t="shared" si="1792"/>
        <v>0</v>
      </c>
      <c r="Q1767" s="11">
        <f t="shared" si="1793"/>
        <v>0</v>
      </c>
      <c r="Y1767" s="11">
        <f t="shared" si="1794"/>
        <v>0</v>
      </c>
      <c r="AG1767" s="11">
        <f t="shared" si="1795"/>
        <v>0</v>
      </c>
      <c r="AI1767" s="11">
        <f t="shared" si="1796"/>
        <v>0</v>
      </c>
      <c r="AK1767" s="13">
        <f t="shared" si="1797"/>
        <v>0</v>
      </c>
      <c r="AM1767" s="13">
        <f t="shared" si="1798"/>
        <v>0</v>
      </c>
      <c r="AO1767" s="11">
        <f t="shared" si="1799"/>
        <v>0</v>
      </c>
      <c r="AQ1767" s="11">
        <f t="shared" si="1800"/>
        <v>0</v>
      </c>
      <c r="AS1767" s="11">
        <f t="shared" si="1801"/>
        <v>0</v>
      </c>
      <c r="AU1767" s="11">
        <f t="shared" si="1802"/>
        <v>0</v>
      </c>
      <c r="AW1767" s="11">
        <f t="shared" si="1803"/>
        <v>0</v>
      </c>
      <c r="AY1767" s="11">
        <f t="shared" si="1804"/>
        <v>0</v>
      </c>
      <c r="BA1767" s="11">
        <f t="shared" si="1805"/>
        <v>0</v>
      </c>
      <c r="BC1767" s="11">
        <f t="shared" si="1806"/>
        <v>0</v>
      </c>
      <c r="BE1767" s="11">
        <f t="shared" si="1807"/>
        <v>0</v>
      </c>
      <c r="BG1767" s="11">
        <f t="shared" si="1808"/>
        <v>0</v>
      </c>
      <c r="BN1767" s="8">
        <f t="shared" si="1788"/>
        <v>0</v>
      </c>
      <c r="BO1767" s="8">
        <f t="shared" si="1789"/>
        <v>0</v>
      </c>
      <c r="BP1767" s="8">
        <f t="shared" si="1728"/>
        <v>0</v>
      </c>
      <c r="BQ1767" s="12">
        <f t="shared" si="1729"/>
        <v>0</v>
      </c>
    </row>
    <row r="1768" spans="1:69">
      <c r="A1768" s="28">
        <v>1981</v>
      </c>
      <c r="B1768" s="27" t="s">
        <v>81</v>
      </c>
      <c r="C1768" s="24">
        <f t="shared" si="1768"/>
        <v>1742</v>
      </c>
      <c r="D1768" s="7" t="e">
        <f t="shared" ca="1" si="1748"/>
        <v>#N/A</v>
      </c>
      <c r="E1768" s="26" t="e">
        <f t="array" aca="1" ref="E1768" ca="1">AVERAGE(IF(INDIRECT(DatCol&amp;"$"&amp;TEXT(C1768,"###")):INDIRECT(DatCol&amp;"$"&amp;TEXT(C1768+57,"###"))&gt;0,INDIRECT(DatCol&amp;"$"&amp;TEXT(C1768,"###")):INDIRECT(DatCol&amp;"$"&amp;TEXT(C1768+57,"###"))))</f>
        <v>#DIV/0!</v>
      </c>
      <c r="F1768" s="26" t="str">
        <f t="shared" si="1787"/>
        <v>N</v>
      </c>
      <c r="G1768" s="8"/>
      <c r="K1768" s="9">
        <f t="shared" si="1790"/>
        <v>0</v>
      </c>
      <c r="M1768" s="11">
        <f t="shared" si="1791"/>
        <v>0</v>
      </c>
      <c r="O1768" s="11">
        <f t="shared" si="1792"/>
        <v>0</v>
      </c>
      <c r="Q1768" s="11">
        <f t="shared" si="1793"/>
        <v>0</v>
      </c>
      <c r="Y1768" s="11">
        <f t="shared" si="1794"/>
        <v>0</v>
      </c>
      <c r="AG1768" s="11">
        <f t="shared" si="1795"/>
        <v>0</v>
      </c>
      <c r="AI1768" s="11">
        <f t="shared" si="1796"/>
        <v>0</v>
      </c>
      <c r="AK1768" s="13">
        <f t="shared" si="1797"/>
        <v>0</v>
      </c>
      <c r="AM1768" s="13">
        <f t="shared" si="1798"/>
        <v>0</v>
      </c>
      <c r="AO1768" s="11">
        <f t="shared" si="1799"/>
        <v>0</v>
      </c>
      <c r="AQ1768" s="11">
        <f t="shared" si="1800"/>
        <v>0</v>
      </c>
      <c r="AS1768" s="11">
        <f t="shared" si="1801"/>
        <v>0</v>
      </c>
      <c r="AU1768" s="11">
        <f t="shared" si="1802"/>
        <v>0</v>
      </c>
      <c r="AW1768" s="11">
        <f t="shared" si="1803"/>
        <v>0</v>
      </c>
      <c r="AY1768" s="11">
        <f t="shared" si="1804"/>
        <v>0</v>
      </c>
      <c r="BA1768" s="11">
        <f t="shared" si="1805"/>
        <v>0</v>
      </c>
      <c r="BC1768" s="11">
        <f t="shared" si="1806"/>
        <v>0</v>
      </c>
      <c r="BE1768" s="11">
        <f t="shared" si="1807"/>
        <v>0</v>
      </c>
      <c r="BG1768" s="11">
        <f t="shared" si="1808"/>
        <v>0</v>
      </c>
      <c r="BN1768" s="8">
        <f t="shared" si="1788"/>
        <v>0</v>
      </c>
      <c r="BO1768" s="8">
        <f t="shared" si="1789"/>
        <v>0</v>
      </c>
      <c r="BP1768" s="8">
        <f t="shared" si="1728"/>
        <v>0</v>
      </c>
      <c r="BQ1768" s="12">
        <f t="shared" si="1729"/>
        <v>0</v>
      </c>
    </row>
    <row r="1769" spans="1:69">
      <c r="A1769" s="28">
        <v>1982</v>
      </c>
      <c r="B1769" s="27" t="s">
        <v>81</v>
      </c>
      <c r="C1769" s="24">
        <f t="shared" si="1768"/>
        <v>1742</v>
      </c>
      <c r="D1769" s="7" t="e">
        <f t="shared" ca="1" si="1748"/>
        <v>#N/A</v>
      </c>
      <c r="E1769" s="26" t="e">
        <f t="array" aca="1" ref="E1769" ca="1">AVERAGE(IF(INDIRECT(DatCol&amp;"$"&amp;TEXT(C1769,"###")):INDIRECT(DatCol&amp;"$"&amp;TEXT(C1769+57,"###"))&gt;0,INDIRECT(DatCol&amp;"$"&amp;TEXT(C1769,"###")):INDIRECT(DatCol&amp;"$"&amp;TEXT(C1769+57,"###"))))</f>
        <v>#DIV/0!</v>
      </c>
      <c r="F1769" s="26" t="str">
        <f t="shared" si="1787"/>
        <v>N</v>
      </c>
      <c r="G1769" s="8"/>
      <c r="K1769" s="9">
        <f t="shared" si="1790"/>
        <v>0</v>
      </c>
      <c r="M1769" s="11">
        <f t="shared" si="1791"/>
        <v>0</v>
      </c>
      <c r="O1769" s="11">
        <f t="shared" si="1792"/>
        <v>0</v>
      </c>
      <c r="Q1769" s="11">
        <f t="shared" si="1793"/>
        <v>0</v>
      </c>
      <c r="Y1769" s="11">
        <f t="shared" si="1794"/>
        <v>0</v>
      </c>
      <c r="AG1769" s="11">
        <f t="shared" si="1795"/>
        <v>0</v>
      </c>
      <c r="AI1769" s="11">
        <f t="shared" si="1796"/>
        <v>0</v>
      </c>
      <c r="AK1769" s="13">
        <f t="shared" si="1797"/>
        <v>0</v>
      </c>
      <c r="AM1769" s="13">
        <f t="shared" si="1798"/>
        <v>0</v>
      </c>
      <c r="AO1769" s="11">
        <f t="shared" si="1799"/>
        <v>0</v>
      </c>
      <c r="AQ1769" s="11">
        <f t="shared" si="1800"/>
        <v>0</v>
      </c>
      <c r="AS1769" s="11">
        <f t="shared" si="1801"/>
        <v>0</v>
      </c>
      <c r="AU1769" s="11">
        <f t="shared" si="1802"/>
        <v>0</v>
      </c>
      <c r="AW1769" s="11">
        <f t="shared" si="1803"/>
        <v>0</v>
      </c>
      <c r="AY1769" s="11">
        <f t="shared" si="1804"/>
        <v>0</v>
      </c>
      <c r="BA1769" s="11">
        <f t="shared" si="1805"/>
        <v>0</v>
      </c>
      <c r="BC1769" s="11">
        <f t="shared" si="1806"/>
        <v>0</v>
      </c>
      <c r="BE1769" s="11">
        <f t="shared" si="1807"/>
        <v>0</v>
      </c>
      <c r="BG1769" s="11">
        <f t="shared" si="1808"/>
        <v>0</v>
      </c>
      <c r="BN1769" s="8">
        <f t="shared" si="1788"/>
        <v>0</v>
      </c>
      <c r="BO1769" s="8">
        <f t="shared" si="1789"/>
        <v>0</v>
      </c>
      <c r="BP1769" s="8">
        <f t="shared" si="1728"/>
        <v>0</v>
      </c>
      <c r="BQ1769" s="12">
        <f t="shared" si="1729"/>
        <v>0</v>
      </c>
    </row>
    <row r="1770" spans="1:69">
      <c r="A1770" s="28">
        <v>1983</v>
      </c>
      <c r="B1770" s="27" t="s">
        <v>81</v>
      </c>
      <c r="C1770" s="24">
        <f t="shared" si="1768"/>
        <v>1742</v>
      </c>
      <c r="D1770" s="7" t="e">
        <f t="shared" ca="1" si="1748"/>
        <v>#N/A</v>
      </c>
      <c r="E1770" s="26" t="e">
        <f t="array" aca="1" ref="E1770" ca="1">AVERAGE(IF(INDIRECT(DatCol&amp;"$"&amp;TEXT(C1770,"###")):INDIRECT(DatCol&amp;"$"&amp;TEXT(C1770+57,"###"))&gt;0,INDIRECT(DatCol&amp;"$"&amp;TEXT(C1770,"###")):INDIRECT(DatCol&amp;"$"&amp;TEXT(C1770+57,"###"))))</f>
        <v>#DIV/0!</v>
      </c>
      <c r="F1770" s="26" t="str">
        <f t="shared" si="1787"/>
        <v>N</v>
      </c>
      <c r="G1770" s="8"/>
      <c r="H1770" s="8">
        <v>0</v>
      </c>
      <c r="I1770" s="8">
        <v>12</v>
      </c>
      <c r="J1770" s="8">
        <v>0</v>
      </c>
      <c r="K1770" s="9">
        <f t="shared" si="1790"/>
        <v>0</v>
      </c>
      <c r="L1770" s="12">
        <v>68</v>
      </c>
      <c r="M1770" s="11">
        <f t="shared" si="1791"/>
        <v>3400</v>
      </c>
      <c r="O1770" s="11">
        <f t="shared" si="1792"/>
        <v>0</v>
      </c>
      <c r="Q1770" s="11">
        <f t="shared" si="1793"/>
        <v>0</v>
      </c>
      <c r="Y1770" s="11">
        <f t="shared" si="1794"/>
        <v>0</v>
      </c>
      <c r="AG1770" s="11">
        <f t="shared" si="1795"/>
        <v>0</v>
      </c>
      <c r="AI1770" s="11">
        <f t="shared" si="1796"/>
        <v>0</v>
      </c>
      <c r="AK1770" s="13">
        <f t="shared" si="1797"/>
        <v>0</v>
      </c>
      <c r="AM1770" s="13">
        <f t="shared" si="1798"/>
        <v>0</v>
      </c>
      <c r="AO1770" s="11">
        <f t="shared" si="1799"/>
        <v>0</v>
      </c>
      <c r="AQ1770" s="11">
        <f t="shared" si="1800"/>
        <v>0</v>
      </c>
      <c r="AS1770" s="11">
        <f t="shared" si="1801"/>
        <v>0</v>
      </c>
      <c r="AU1770" s="11">
        <f t="shared" si="1802"/>
        <v>0</v>
      </c>
      <c r="AW1770" s="11">
        <f t="shared" si="1803"/>
        <v>0</v>
      </c>
      <c r="AY1770" s="11">
        <f t="shared" si="1804"/>
        <v>0</v>
      </c>
      <c r="BA1770" s="11">
        <f t="shared" si="1805"/>
        <v>0</v>
      </c>
      <c r="BC1770" s="11">
        <f t="shared" si="1806"/>
        <v>0</v>
      </c>
      <c r="BE1770" s="11">
        <f t="shared" si="1807"/>
        <v>0</v>
      </c>
      <c r="BG1770" s="11">
        <f t="shared" si="1808"/>
        <v>0</v>
      </c>
      <c r="BN1770" s="8">
        <f t="shared" si="1788"/>
        <v>68</v>
      </c>
      <c r="BO1770" s="8">
        <f t="shared" si="1789"/>
        <v>3400</v>
      </c>
      <c r="BP1770" s="8">
        <f t="shared" ref="BP1770:BP1834" si="1809">(N1770+X1770+Z1770+AB1770+AD1770+AH1770+AL1770+AP1770+AT1770+AX1770+BB1770+BF1770)</f>
        <v>0</v>
      </c>
      <c r="BQ1770" s="12">
        <f t="shared" ref="BQ1770:BQ1834" si="1810">(O1770+Y1770+AA1770+AC1770+AE1770+AI1770+AM1770+AQ1770+AU1770+AY1770+BC1770+BG1770)</f>
        <v>0</v>
      </c>
    </row>
    <row r="1771" spans="1:69">
      <c r="A1771" s="28">
        <v>1984</v>
      </c>
      <c r="B1771" s="27" t="s">
        <v>81</v>
      </c>
      <c r="C1771" s="24">
        <f t="shared" si="1768"/>
        <v>1742</v>
      </c>
      <c r="D1771" s="7" t="e">
        <f t="shared" ca="1" si="1748"/>
        <v>#N/A</v>
      </c>
      <c r="E1771" s="26" t="e">
        <f t="array" aca="1" ref="E1771" ca="1">AVERAGE(IF(INDIRECT(DatCol&amp;"$"&amp;TEXT(C1771,"###")):INDIRECT(DatCol&amp;"$"&amp;TEXT(C1771+57,"###"))&gt;0,INDIRECT(DatCol&amp;"$"&amp;TEXT(C1771,"###")):INDIRECT(DatCol&amp;"$"&amp;TEXT(C1771+57,"###"))))</f>
        <v>#DIV/0!</v>
      </c>
      <c r="F1771" s="26" t="str">
        <f t="shared" si="1787"/>
        <v>N</v>
      </c>
      <c r="G1771" s="8"/>
      <c r="H1771" s="8">
        <v>0</v>
      </c>
      <c r="I1771" s="8">
        <v>73</v>
      </c>
      <c r="J1771" s="8">
        <v>0</v>
      </c>
      <c r="K1771" s="9">
        <f t="shared" si="1790"/>
        <v>0</v>
      </c>
      <c r="L1771" s="12">
        <v>1892</v>
      </c>
      <c r="M1771" s="11">
        <f t="shared" si="1791"/>
        <v>94600</v>
      </c>
      <c r="O1771" s="11">
        <f t="shared" si="1792"/>
        <v>0</v>
      </c>
      <c r="Q1771" s="11">
        <f t="shared" si="1793"/>
        <v>0</v>
      </c>
      <c r="Y1771" s="11">
        <f t="shared" si="1794"/>
        <v>0</v>
      </c>
      <c r="AG1771" s="11">
        <f t="shared" si="1795"/>
        <v>0</v>
      </c>
      <c r="AI1771" s="11">
        <f t="shared" si="1796"/>
        <v>0</v>
      </c>
      <c r="AK1771" s="13">
        <f t="shared" si="1797"/>
        <v>0</v>
      </c>
      <c r="AM1771" s="13">
        <f t="shared" si="1798"/>
        <v>0</v>
      </c>
      <c r="AO1771" s="11">
        <f t="shared" si="1799"/>
        <v>0</v>
      </c>
      <c r="AQ1771" s="11">
        <f t="shared" si="1800"/>
        <v>0</v>
      </c>
      <c r="AS1771" s="11">
        <f t="shared" si="1801"/>
        <v>0</v>
      </c>
      <c r="AU1771" s="11">
        <f t="shared" si="1802"/>
        <v>0</v>
      </c>
      <c r="AW1771" s="11">
        <f t="shared" si="1803"/>
        <v>0</v>
      </c>
      <c r="AY1771" s="11">
        <f t="shared" si="1804"/>
        <v>0</v>
      </c>
      <c r="BA1771" s="11">
        <f t="shared" si="1805"/>
        <v>0</v>
      </c>
      <c r="BC1771" s="11">
        <f t="shared" si="1806"/>
        <v>0</v>
      </c>
      <c r="BE1771" s="11">
        <f t="shared" si="1807"/>
        <v>0</v>
      </c>
      <c r="BG1771" s="11">
        <f t="shared" si="1808"/>
        <v>0</v>
      </c>
      <c r="BN1771" s="8">
        <f t="shared" si="1788"/>
        <v>1892</v>
      </c>
      <c r="BO1771" s="8">
        <f t="shared" si="1789"/>
        <v>94600</v>
      </c>
      <c r="BP1771" s="8">
        <f t="shared" si="1809"/>
        <v>0</v>
      </c>
      <c r="BQ1771" s="12">
        <f t="shared" si="1810"/>
        <v>0</v>
      </c>
    </row>
    <row r="1772" spans="1:69">
      <c r="A1772" s="28">
        <v>1985</v>
      </c>
      <c r="B1772" s="27" t="s">
        <v>81</v>
      </c>
      <c r="C1772" s="24">
        <f t="shared" si="1768"/>
        <v>1742</v>
      </c>
      <c r="D1772" s="7" t="e">
        <f t="shared" ca="1" si="1748"/>
        <v>#N/A</v>
      </c>
      <c r="E1772" s="26" t="e">
        <f t="array" aca="1" ref="E1772" ca="1">AVERAGE(IF(INDIRECT(DatCol&amp;"$"&amp;TEXT(C1772,"###")):INDIRECT(DatCol&amp;"$"&amp;TEXT(C1772+57,"###"))&gt;0,INDIRECT(DatCol&amp;"$"&amp;TEXT(C1772,"###")):INDIRECT(DatCol&amp;"$"&amp;TEXT(C1772+57,"###"))))</f>
        <v>#DIV/0!</v>
      </c>
      <c r="F1772" s="26" t="str">
        <f t="shared" si="1787"/>
        <v>N</v>
      </c>
      <c r="G1772" s="8"/>
      <c r="H1772" s="8">
        <v>0</v>
      </c>
      <c r="I1772" s="8">
        <v>76</v>
      </c>
      <c r="J1772" s="8">
        <v>0</v>
      </c>
      <c r="K1772" s="9">
        <f t="shared" si="1790"/>
        <v>0</v>
      </c>
      <c r="L1772" s="12">
        <v>2239</v>
      </c>
      <c r="M1772" s="11">
        <f t="shared" si="1791"/>
        <v>111950</v>
      </c>
      <c r="O1772" s="11">
        <f t="shared" si="1792"/>
        <v>0</v>
      </c>
      <c r="Q1772" s="11">
        <f t="shared" si="1793"/>
        <v>0</v>
      </c>
      <c r="Y1772" s="11">
        <f t="shared" si="1794"/>
        <v>0</v>
      </c>
      <c r="AG1772" s="11">
        <f t="shared" si="1795"/>
        <v>0</v>
      </c>
      <c r="AI1772" s="11">
        <f t="shared" si="1796"/>
        <v>0</v>
      </c>
      <c r="AK1772" s="13">
        <f t="shared" si="1797"/>
        <v>0</v>
      </c>
      <c r="AM1772" s="13">
        <f t="shared" si="1798"/>
        <v>0</v>
      </c>
      <c r="AO1772" s="11">
        <f t="shared" si="1799"/>
        <v>0</v>
      </c>
      <c r="AQ1772" s="11">
        <f t="shared" si="1800"/>
        <v>0</v>
      </c>
      <c r="AS1772" s="11">
        <f t="shared" si="1801"/>
        <v>0</v>
      </c>
      <c r="AU1772" s="11">
        <f t="shared" si="1802"/>
        <v>0</v>
      </c>
      <c r="AW1772" s="11">
        <f t="shared" si="1803"/>
        <v>0</v>
      </c>
      <c r="AY1772" s="11">
        <f t="shared" si="1804"/>
        <v>0</v>
      </c>
      <c r="BA1772" s="11">
        <f t="shared" si="1805"/>
        <v>0</v>
      </c>
      <c r="BC1772" s="11">
        <f t="shared" si="1806"/>
        <v>0</v>
      </c>
      <c r="BE1772" s="11">
        <f t="shared" si="1807"/>
        <v>0</v>
      </c>
      <c r="BG1772" s="11">
        <f t="shared" si="1808"/>
        <v>0</v>
      </c>
      <c r="BN1772" s="8">
        <f t="shared" si="1788"/>
        <v>2239</v>
      </c>
      <c r="BO1772" s="8">
        <f t="shared" si="1789"/>
        <v>111950</v>
      </c>
      <c r="BP1772" s="8">
        <f t="shared" si="1809"/>
        <v>0</v>
      </c>
      <c r="BQ1772" s="12">
        <f t="shared" si="1810"/>
        <v>0</v>
      </c>
    </row>
    <row r="1773" spans="1:69">
      <c r="A1773" s="28">
        <v>1986</v>
      </c>
      <c r="B1773" s="27" t="s">
        <v>81</v>
      </c>
      <c r="C1773" s="24">
        <f t="shared" si="1768"/>
        <v>1742</v>
      </c>
      <c r="D1773" s="7" t="e">
        <f t="shared" ca="1" si="1748"/>
        <v>#N/A</v>
      </c>
      <c r="E1773" s="26" t="e">
        <f t="array" aca="1" ref="E1773" ca="1">AVERAGE(IF(INDIRECT(DatCol&amp;"$"&amp;TEXT(C1773,"###")):INDIRECT(DatCol&amp;"$"&amp;TEXT(C1773+57,"###"))&gt;0,INDIRECT(DatCol&amp;"$"&amp;TEXT(C1773,"###")):INDIRECT(DatCol&amp;"$"&amp;TEXT(C1773+57,"###"))))</f>
        <v>#DIV/0!</v>
      </c>
      <c r="F1773" s="26" t="str">
        <f t="shared" si="1787"/>
        <v>N</v>
      </c>
      <c r="G1773" s="8"/>
      <c r="H1773" s="8">
        <v>0</v>
      </c>
      <c r="I1773" s="8">
        <v>0</v>
      </c>
      <c r="J1773" s="8">
        <v>0</v>
      </c>
      <c r="K1773" s="9">
        <f t="shared" si="1790"/>
        <v>0</v>
      </c>
      <c r="M1773" s="11">
        <f t="shared" si="1791"/>
        <v>0</v>
      </c>
      <c r="O1773" s="11">
        <f t="shared" si="1792"/>
        <v>0</v>
      </c>
      <c r="Q1773" s="11">
        <f t="shared" si="1793"/>
        <v>0</v>
      </c>
      <c r="Y1773" s="11">
        <f t="shared" si="1794"/>
        <v>0</v>
      </c>
      <c r="AG1773" s="11">
        <f t="shared" si="1795"/>
        <v>0</v>
      </c>
      <c r="AI1773" s="11">
        <f t="shared" si="1796"/>
        <v>0</v>
      </c>
      <c r="AK1773" s="13">
        <f t="shared" si="1797"/>
        <v>0</v>
      </c>
      <c r="AM1773" s="13">
        <f t="shared" si="1798"/>
        <v>0</v>
      </c>
      <c r="AO1773" s="11">
        <f t="shared" si="1799"/>
        <v>0</v>
      </c>
      <c r="AQ1773" s="11">
        <f t="shared" si="1800"/>
        <v>0</v>
      </c>
      <c r="AS1773" s="11">
        <f t="shared" si="1801"/>
        <v>0</v>
      </c>
      <c r="AU1773" s="11">
        <f t="shared" si="1802"/>
        <v>0</v>
      </c>
      <c r="AW1773" s="11">
        <f t="shared" si="1803"/>
        <v>0</v>
      </c>
      <c r="AY1773" s="11">
        <f t="shared" si="1804"/>
        <v>0</v>
      </c>
      <c r="BA1773" s="11">
        <f t="shared" si="1805"/>
        <v>0</v>
      </c>
      <c r="BC1773" s="11">
        <f t="shared" si="1806"/>
        <v>0</v>
      </c>
      <c r="BE1773" s="11">
        <f t="shared" si="1807"/>
        <v>0</v>
      </c>
      <c r="BG1773" s="11">
        <f t="shared" si="1808"/>
        <v>0</v>
      </c>
      <c r="BN1773" s="8">
        <f t="shared" si="1788"/>
        <v>0</v>
      </c>
      <c r="BO1773" s="8">
        <f t="shared" si="1789"/>
        <v>0</v>
      </c>
      <c r="BP1773" s="8">
        <f t="shared" si="1809"/>
        <v>0</v>
      </c>
      <c r="BQ1773" s="12">
        <f t="shared" si="1810"/>
        <v>0</v>
      </c>
    </row>
    <row r="1774" spans="1:69">
      <c r="A1774" s="28">
        <v>1987</v>
      </c>
      <c r="B1774" s="27" t="s">
        <v>81</v>
      </c>
      <c r="C1774" s="24">
        <f t="shared" si="1768"/>
        <v>1742</v>
      </c>
      <c r="D1774" s="7" t="e">
        <f t="shared" ca="1" si="1748"/>
        <v>#N/A</v>
      </c>
      <c r="E1774" s="26" t="e">
        <f t="array" aca="1" ref="E1774" ca="1">AVERAGE(IF(INDIRECT(DatCol&amp;"$"&amp;TEXT(C1774,"###")):INDIRECT(DatCol&amp;"$"&amp;TEXT(C1774+57,"###"))&gt;0,INDIRECT(DatCol&amp;"$"&amp;TEXT(C1774,"###")):INDIRECT(DatCol&amp;"$"&amp;TEXT(C1774+57,"###"))))</f>
        <v>#DIV/0!</v>
      </c>
      <c r="F1774" s="26" t="str">
        <f t="shared" si="1787"/>
        <v>N</v>
      </c>
      <c r="G1774" s="8"/>
      <c r="H1774" s="8">
        <v>0</v>
      </c>
      <c r="I1774" s="8">
        <v>0</v>
      </c>
      <c r="J1774" s="8">
        <v>0</v>
      </c>
      <c r="K1774" s="9">
        <f t="shared" si="1790"/>
        <v>0</v>
      </c>
      <c r="M1774" s="11">
        <f t="shared" si="1791"/>
        <v>0</v>
      </c>
      <c r="O1774" s="11">
        <f t="shared" si="1792"/>
        <v>0</v>
      </c>
      <c r="Q1774" s="11">
        <f t="shared" si="1793"/>
        <v>0</v>
      </c>
      <c r="Y1774" s="11">
        <f t="shared" si="1794"/>
        <v>0</v>
      </c>
      <c r="AG1774" s="11">
        <f t="shared" si="1795"/>
        <v>0</v>
      </c>
      <c r="AI1774" s="11">
        <f t="shared" si="1796"/>
        <v>0</v>
      </c>
      <c r="AK1774" s="13">
        <f t="shared" si="1797"/>
        <v>0</v>
      </c>
      <c r="AM1774" s="13">
        <f t="shared" si="1798"/>
        <v>0</v>
      </c>
      <c r="AO1774" s="11">
        <f t="shared" si="1799"/>
        <v>0</v>
      </c>
      <c r="AQ1774" s="11">
        <f t="shared" si="1800"/>
        <v>0</v>
      </c>
      <c r="AS1774" s="11">
        <f t="shared" si="1801"/>
        <v>0</v>
      </c>
      <c r="AU1774" s="11">
        <f t="shared" si="1802"/>
        <v>0</v>
      </c>
      <c r="AW1774" s="11">
        <f t="shared" si="1803"/>
        <v>0</v>
      </c>
      <c r="AY1774" s="11">
        <f t="shared" si="1804"/>
        <v>0</v>
      </c>
      <c r="BA1774" s="11">
        <f t="shared" si="1805"/>
        <v>0</v>
      </c>
      <c r="BC1774" s="11">
        <f t="shared" si="1806"/>
        <v>0</v>
      </c>
      <c r="BE1774" s="11">
        <f t="shared" si="1807"/>
        <v>0</v>
      </c>
      <c r="BG1774" s="11">
        <f t="shared" si="1808"/>
        <v>0</v>
      </c>
      <c r="BN1774" s="8">
        <f t="shared" si="1788"/>
        <v>0</v>
      </c>
      <c r="BO1774" s="8">
        <f t="shared" si="1789"/>
        <v>0</v>
      </c>
      <c r="BP1774" s="8">
        <f t="shared" si="1809"/>
        <v>0</v>
      </c>
      <c r="BQ1774" s="12">
        <f t="shared" si="1810"/>
        <v>0</v>
      </c>
    </row>
    <row r="1775" spans="1:69">
      <c r="A1775" s="28">
        <v>1988</v>
      </c>
      <c r="B1775" s="27" t="s">
        <v>81</v>
      </c>
      <c r="C1775" s="24">
        <f t="shared" si="1768"/>
        <v>1742</v>
      </c>
      <c r="D1775" s="7" t="e">
        <f t="shared" ca="1" si="1748"/>
        <v>#N/A</v>
      </c>
      <c r="E1775" s="26" t="e">
        <f t="array" aca="1" ref="E1775" ca="1">AVERAGE(IF(INDIRECT(DatCol&amp;"$"&amp;TEXT(C1775,"###")):INDIRECT(DatCol&amp;"$"&amp;TEXT(C1775+57,"###"))&gt;0,INDIRECT(DatCol&amp;"$"&amp;TEXT(C1775,"###")):INDIRECT(DatCol&amp;"$"&amp;TEXT(C1775+57,"###"))))</f>
        <v>#DIV/0!</v>
      </c>
      <c r="F1775" s="26" t="str">
        <f t="shared" si="1787"/>
        <v>N</v>
      </c>
      <c r="G1775" s="8"/>
      <c r="H1775" s="8">
        <v>0</v>
      </c>
      <c r="I1775" s="8">
        <v>0</v>
      </c>
      <c r="J1775" s="8">
        <v>0</v>
      </c>
      <c r="K1775" s="9">
        <f t="shared" si="1790"/>
        <v>0</v>
      </c>
      <c r="M1775" s="11">
        <f t="shared" si="1791"/>
        <v>0</v>
      </c>
      <c r="O1775" s="11">
        <f t="shared" si="1792"/>
        <v>0</v>
      </c>
      <c r="Q1775" s="11">
        <f t="shared" si="1793"/>
        <v>0</v>
      </c>
      <c r="Y1775" s="11">
        <f t="shared" si="1794"/>
        <v>0</v>
      </c>
      <c r="AG1775" s="11">
        <f t="shared" si="1795"/>
        <v>0</v>
      </c>
      <c r="AI1775" s="11">
        <f t="shared" si="1796"/>
        <v>0</v>
      </c>
      <c r="AK1775" s="13">
        <f t="shared" si="1797"/>
        <v>0</v>
      </c>
      <c r="AM1775" s="13">
        <f t="shared" si="1798"/>
        <v>0</v>
      </c>
      <c r="AO1775" s="11">
        <f t="shared" si="1799"/>
        <v>0</v>
      </c>
      <c r="AQ1775" s="11">
        <f t="shared" si="1800"/>
        <v>0</v>
      </c>
      <c r="AS1775" s="11">
        <f t="shared" si="1801"/>
        <v>0</v>
      </c>
      <c r="AU1775" s="11">
        <f t="shared" si="1802"/>
        <v>0</v>
      </c>
      <c r="AW1775" s="11">
        <f t="shared" si="1803"/>
        <v>0</v>
      </c>
      <c r="AY1775" s="11">
        <f t="shared" si="1804"/>
        <v>0</v>
      </c>
      <c r="BA1775" s="11">
        <f t="shared" si="1805"/>
        <v>0</v>
      </c>
      <c r="BC1775" s="11">
        <f t="shared" si="1806"/>
        <v>0</v>
      </c>
      <c r="BE1775" s="11">
        <f t="shared" si="1807"/>
        <v>0</v>
      </c>
      <c r="BG1775" s="11">
        <f t="shared" si="1808"/>
        <v>0</v>
      </c>
      <c r="BN1775" s="8">
        <f t="shared" si="1788"/>
        <v>0</v>
      </c>
      <c r="BO1775" s="8">
        <f t="shared" si="1789"/>
        <v>0</v>
      </c>
      <c r="BP1775" s="8">
        <f t="shared" si="1809"/>
        <v>0</v>
      </c>
      <c r="BQ1775" s="12">
        <f t="shared" si="1810"/>
        <v>0</v>
      </c>
    </row>
    <row r="1776" spans="1:69">
      <c r="A1776" s="28">
        <v>1989</v>
      </c>
      <c r="B1776" s="27" t="s">
        <v>81</v>
      </c>
      <c r="C1776" s="24">
        <f t="shared" si="1768"/>
        <v>1742</v>
      </c>
      <c r="D1776" s="7" t="e">
        <f t="shared" ca="1" si="1748"/>
        <v>#N/A</v>
      </c>
      <c r="E1776" s="26" t="e">
        <f t="array" aca="1" ref="E1776" ca="1">AVERAGE(IF(INDIRECT(DatCol&amp;"$"&amp;TEXT(C1776,"###")):INDIRECT(DatCol&amp;"$"&amp;TEXT(C1776+57,"###"))&gt;0,INDIRECT(DatCol&amp;"$"&amp;TEXT(C1776,"###")):INDIRECT(DatCol&amp;"$"&amp;TEXT(C1776+57,"###"))))</f>
        <v>#DIV/0!</v>
      </c>
      <c r="F1776" s="26" t="str">
        <f t="shared" si="1787"/>
        <v>N</v>
      </c>
      <c r="G1776" s="8"/>
      <c r="H1776" s="8">
        <v>0</v>
      </c>
      <c r="I1776" s="8">
        <v>0</v>
      </c>
      <c r="J1776" s="8">
        <v>0</v>
      </c>
      <c r="K1776" s="9">
        <f t="shared" si="1790"/>
        <v>0</v>
      </c>
      <c r="M1776" s="11">
        <f t="shared" si="1791"/>
        <v>0</v>
      </c>
      <c r="O1776" s="11">
        <f t="shared" si="1792"/>
        <v>0</v>
      </c>
      <c r="Q1776" s="11">
        <f t="shared" si="1793"/>
        <v>0</v>
      </c>
      <c r="Y1776" s="11">
        <f t="shared" si="1794"/>
        <v>0</v>
      </c>
      <c r="AG1776" s="11">
        <f t="shared" si="1795"/>
        <v>0</v>
      </c>
      <c r="AI1776" s="11">
        <f t="shared" si="1796"/>
        <v>0</v>
      </c>
      <c r="AK1776" s="13">
        <f t="shared" si="1797"/>
        <v>0</v>
      </c>
      <c r="AM1776" s="13">
        <f t="shared" si="1798"/>
        <v>0</v>
      </c>
      <c r="AO1776" s="11">
        <f t="shared" si="1799"/>
        <v>0</v>
      </c>
      <c r="AQ1776" s="11">
        <f t="shared" si="1800"/>
        <v>0</v>
      </c>
      <c r="AS1776" s="11">
        <f t="shared" si="1801"/>
        <v>0</v>
      </c>
      <c r="AU1776" s="11">
        <f t="shared" si="1802"/>
        <v>0</v>
      </c>
      <c r="AW1776" s="11">
        <f t="shared" si="1803"/>
        <v>0</v>
      </c>
      <c r="AY1776" s="11">
        <f t="shared" si="1804"/>
        <v>0</v>
      </c>
      <c r="BA1776" s="11">
        <f t="shared" si="1805"/>
        <v>0</v>
      </c>
      <c r="BC1776" s="11">
        <f t="shared" si="1806"/>
        <v>0</v>
      </c>
      <c r="BE1776" s="11">
        <f t="shared" si="1807"/>
        <v>0</v>
      </c>
      <c r="BG1776" s="11">
        <f t="shared" si="1808"/>
        <v>0</v>
      </c>
      <c r="BN1776" s="8">
        <f t="shared" si="1788"/>
        <v>0</v>
      </c>
      <c r="BO1776" s="8">
        <f t="shared" si="1789"/>
        <v>0</v>
      </c>
      <c r="BP1776" s="8">
        <f t="shared" si="1809"/>
        <v>0</v>
      </c>
      <c r="BQ1776" s="12">
        <f t="shared" si="1810"/>
        <v>0</v>
      </c>
    </row>
    <row r="1777" spans="1:69">
      <c r="A1777" s="28">
        <v>1990</v>
      </c>
      <c r="B1777" s="27" t="s">
        <v>81</v>
      </c>
      <c r="C1777" s="24">
        <f t="shared" si="1768"/>
        <v>1742</v>
      </c>
      <c r="D1777" s="7" t="e">
        <f t="shared" ca="1" si="1748"/>
        <v>#N/A</v>
      </c>
      <c r="E1777" s="26" t="e">
        <f t="array" aca="1" ref="E1777" ca="1">AVERAGE(IF(INDIRECT(DatCol&amp;"$"&amp;TEXT(C1777,"###")):INDIRECT(DatCol&amp;"$"&amp;TEXT(C1777+57,"###"))&gt;0,INDIRECT(DatCol&amp;"$"&amp;TEXT(C1777,"###")):INDIRECT(DatCol&amp;"$"&amp;TEXT(C1777+57,"###"))))</f>
        <v>#DIV/0!</v>
      </c>
      <c r="F1777" s="26" t="str">
        <f t="shared" si="1787"/>
        <v>N</v>
      </c>
      <c r="G1777" s="8"/>
      <c r="H1777" s="8">
        <v>0</v>
      </c>
      <c r="I1777" s="8">
        <v>0</v>
      </c>
      <c r="J1777" s="8">
        <v>0</v>
      </c>
      <c r="K1777" s="9">
        <f t="shared" si="1790"/>
        <v>0</v>
      </c>
      <c r="M1777" s="11">
        <f t="shared" si="1791"/>
        <v>0</v>
      </c>
      <c r="O1777" s="11">
        <f t="shared" si="1792"/>
        <v>0</v>
      </c>
      <c r="Q1777" s="11">
        <f t="shared" si="1793"/>
        <v>0</v>
      </c>
      <c r="Y1777" s="11">
        <f t="shared" si="1794"/>
        <v>0</v>
      </c>
      <c r="AG1777" s="11">
        <f t="shared" si="1795"/>
        <v>0</v>
      </c>
      <c r="AI1777" s="11">
        <f t="shared" si="1796"/>
        <v>0</v>
      </c>
      <c r="AK1777" s="13">
        <f t="shared" si="1797"/>
        <v>0</v>
      </c>
      <c r="AM1777" s="13">
        <f t="shared" si="1798"/>
        <v>0</v>
      </c>
      <c r="AO1777" s="11">
        <f t="shared" si="1799"/>
        <v>0</v>
      </c>
      <c r="AQ1777" s="11">
        <f t="shared" si="1800"/>
        <v>0</v>
      </c>
      <c r="AS1777" s="11">
        <f t="shared" si="1801"/>
        <v>0</v>
      </c>
      <c r="AU1777" s="11">
        <f t="shared" si="1802"/>
        <v>0</v>
      </c>
      <c r="AW1777" s="11">
        <f t="shared" si="1803"/>
        <v>0</v>
      </c>
      <c r="AY1777" s="11">
        <f t="shared" si="1804"/>
        <v>0</v>
      </c>
      <c r="BA1777" s="11">
        <f t="shared" si="1805"/>
        <v>0</v>
      </c>
      <c r="BC1777" s="11">
        <f t="shared" si="1806"/>
        <v>0</v>
      </c>
      <c r="BE1777" s="11">
        <f t="shared" si="1807"/>
        <v>0</v>
      </c>
      <c r="BG1777" s="11">
        <f t="shared" si="1808"/>
        <v>0</v>
      </c>
      <c r="BN1777" s="8">
        <f t="shared" si="1788"/>
        <v>0</v>
      </c>
      <c r="BO1777" s="8">
        <f t="shared" si="1789"/>
        <v>0</v>
      </c>
      <c r="BP1777" s="8">
        <f t="shared" si="1809"/>
        <v>0</v>
      </c>
      <c r="BQ1777" s="12">
        <f t="shared" si="1810"/>
        <v>0</v>
      </c>
    </row>
    <row r="1778" spans="1:69">
      <c r="A1778" s="28">
        <v>1991</v>
      </c>
      <c r="B1778" s="27" t="s">
        <v>81</v>
      </c>
      <c r="C1778" s="24">
        <f t="shared" si="1768"/>
        <v>1742</v>
      </c>
      <c r="D1778" s="7" t="e">
        <f t="shared" ca="1" si="1748"/>
        <v>#N/A</v>
      </c>
      <c r="E1778" s="26" t="e">
        <f t="array" aca="1" ref="E1778" ca="1">AVERAGE(IF(INDIRECT(DatCol&amp;"$"&amp;TEXT(C1778,"###")):INDIRECT(DatCol&amp;"$"&amp;TEXT(C1778+57,"###"))&gt;0,INDIRECT(DatCol&amp;"$"&amp;TEXT(C1778,"###")):INDIRECT(DatCol&amp;"$"&amp;TEXT(C1778+57,"###"))))</f>
        <v>#DIV/0!</v>
      </c>
      <c r="F1778" s="26" t="str">
        <f t="shared" si="1787"/>
        <v>N</v>
      </c>
      <c r="G1778" s="8"/>
      <c r="K1778" s="9">
        <f t="shared" si="1790"/>
        <v>0</v>
      </c>
      <c r="M1778" s="11">
        <f t="shared" si="1791"/>
        <v>0</v>
      </c>
      <c r="O1778" s="11">
        <f t="shared" si="1792"/>
        <v>0</v>
      </c>
      <c r="Q1778" s="11">
        <f t="shared" si="1793"/>
        <v>0</v>
      </c>
      <c r="Y1778" s="11">
        <f t="shared" si="1794"/>
        <v>0</v>
      </c>
      <c r="AG1778" s="11">
        <f t="shared" si="1795"/>
        <v>0</v>
      </c>
      <c r="AI1778" s="11">
        <f t="shared" si="1796"/>
        <v>0</v>
      </c>
      <c r="AK1778" s="13">
        <f t="shared" si="1797"/>
        <v>0</v>
      </c>
      <c r="AM1778" s="13">
        <f t="shared" si="1798"/>
        <v>0</v>
      </c>
      <c r="AO1778" s="11">
        <f t="shared" si="1799"/>
        <v>0</v>
      </c>
      <c r="AQ1778" s="11">
        <f t="shared" si="1800"/>
        <v>0</v>
      </c>
      <c r="AS1778" s="11">
        <f t="shared" si="1801"/>
        <v>0</v>
      </c>
      <c r="AU1778" s="11">
        <f t="shared" si="1802"/>
        <v>0</v>
      </c>
      <c r="AW1778" s="11">
        <f t="shared" si="1803"/>
        <v>0</v>
      </c>
      <c r="AY1778" s="11">
        <f t="shared" si="1804"/>
        <v>0</v>
      </c>
      <c r="BA1778" s="11">
        <f t="shared" si="1805"/>
        <v>0</v>
      </c>
      <c r="BC1778" s="11">
        <f t="shared" si="1806"/>
        <v>0</v>
      </c>
      <c r="BE1778" s="11">
        <f t="shared" si="1807"/>
        <v>0</v>
      </c>
      <c r="BG1778" s="11">
        <f t="shared" si="1808"/>
        <v>0</v>
      </c>
      <c r="BN1778" s="8">
        <f t="shared" si="1788"/>
        <v>0</v>
      </c>
      <c r="BO1778" s="8">
        <f t="shared" si="1789"/>
        <v>0</v>
      </c>
      <c r="BP1778" s="8">
        <f t="shared" si="1809"/>
        <v>0</v>
      </c>
      <c r="BQ1778" s="12">
        <f t="shared" si="1810"/>
        <v>0</v>
      </c>
    </row>
    <row r="1779" spans="1:69">
      <c r="A1779" s="28">
        <v>1992</v>
      </c>
      <c r="B1779" s="27" t="s">
        <v>81</v>
      </c>
      <c r="C1779" s="24">
        <f t="shared" si="1768"/>
        <v>1742</v>
      </c>
      <c r="D1779" s="7" t="e">
        <f t="shared" ca="1" si="1748"/>
        <v>#N/A</v>
      </c>
      <c r="E1779" s="26" t="e">
        <f t="array" aca="1" ref="E1779" ca="1">AVERAGE(IF(INDIRECT(DatCol&amp;"$"&amp;TEXT(C1779,"###")):INDIRECT(DatCol&amp;"$"&amp;TEXT(C1779+57,"###"))&gt;0,INDIRECT(DatCol&amp;"$"&amp;TEXT(C1779,"###")):INDIRECT(DatCol&amp;"$"&amp;TEXT(C1779+57,"###"))))</f>
        <v>#DIV/0!</v>
      </c>
      <c r="F1779" s="26" t="str">
        <f t="shared" si="1787"/>
        <v>N</v>
      </c>
      <c r="G1779" s="8"/>
      <c r="K1779" s="9">
        <f t="shared" si="1790"/>
        <v>0</v>
      </c>
      <c r="M1779" s="11">
        <f t="shared" si="1791"/>
        <v>0</v>
      </c>
      <c r="O1779" s="11">
        <f t="shared" si="1792"/>
        <v>0</v>
      </c>
      <c r="Q1779" s="11">
        <f t="shared" si="1793"/>
        <v>0</v>
      </c>
      <c r="Y1779" s="11">
        <f t="shared" si="1794"/>
        <v>0</v>
      </c>
      <c r="AG1779" s="11">
        <f t="shared" si="1795"/>
        <v>0</v>
      </c>
      <c r="AI1779" s="11">
        <f t="shared" si="1796"/>
        <v>0</v>
      </c>
      <c r="AK1779" s="13">
        <f t="shared" si="1797"/>
        <v>0</v>
      </c>
      <c r="AM1779" s="13">
        <f t="shared" si="1798"/>
        <v>0</v>
      </c>
      <c r="AO1779" s="11">
        <f t="shared" si="1799"/>
        <v>0</v>
      </c>
      <c r="AQ1779" s="11">
        <f t="shared" si="1800"/>
        <v>0</v>
      </c>
      <c r="AS1779" s="11">
        <f t="shared" si="1801"/>
        <v>0</v>
      </c>
      <c r="AU1779" s="11">
        <f t="shared" si="1802"/>
        <v>0</v>
      </c>
      <c r="AW1779" s="11">
        <f t="shared" si="1803"/>
        <v>0</v>
      </c>
      <c r="AY1779" s="11">
        <f t="shared" si="1804"/>
        <v>0</v>
      </c>
      <c r="BA1779" s="11">
        <f t="shared" si="1805"/>
        <v>0</v>
      </c>
      <c r="BC1779" s="11">
        <f t="shared" si="1806"/>
        <v>0</v>
      </c>
      <c r="BE1779" s="11">
        <f t="shared" si="1807"/>
        <v>0</v>
      </c>
      <c r="BG1779" s="11">
        <f t="shared" si="1808"/>
        <v>0</v>
      </c>
      <c r="BN1779" s="8">
        <f t="shared" si="1788"/>
        <v>0</v>
      </c>
      <c r="BO1779" s="8">
        <f t="shared" si="1789"/>
        <v>0</v>
      </c>
      <c r="BP1779" s="8">
        <f t="shared" si="1809"/>
        <v>0</v>
      </c>
      <c r="BQ1779" s="12">
        <f t="shared" si="1810"/>
        <v>0</v>
      </c>
    </row>
    <row r="1780" spans="1:69">
      <c r="A1780" s="28">
        <v>1993</v>
      </c>
      <c r="B1780" s="27" t="s">
        <v>81</v>
      </c>
      <c r="C1780" s="24">
        <f t="shared" si="1768"/>
        <v>1742</v>
      </c>
      <c r="D1780" s="7" t="e">
        <f t="shared" ca="1" si="1748"/>
        <v>#N/A</v>
      </c>
      <c r="E1780" s="26" t="e">
        <f t="array" aca="1" ref="E1780" ca="1">AVERAGE(IF(INDIRECT(DatCol&amp;"$"&amp;TEXT(C1780,"###")):INDIRECT(DatCol&amp;"$"&amp;TEXT(C1780+57,"###"))&gt;0,INDIRECT(DatCol&amp;"$"&amp;TEXT(C1780,"###")):INDIRECT(DatCol&amp;"$"&amp;TEXT(C1780+57,"###"))))</f>
        <v>#DIV/0!</v>
      </c>
      <c r="F1780" s="26" t="str">
        <f t="shared" si="1787"/>
        <v>N</v>
      </c>
      <c r="G1780" s="8"/>
      <c r="H1780" s="8">
        <v>0</v>
      </c>
      <c r="I1780" s="8">
        <v>0</v>
      </c>
      <c r="J1780" s="8">
        <v>0</v>
      </c>
      <c r="K1780" s="9">
        <f t="shared" si="1790"/>
        <v>0</v>
      </c>
      <c r="M1780" s="11">
        <f t="shared" si="1791"/>
        <v>0</v>
      </c>
      <c r="O1780" s="11">
        <f t="shared" si="1792"/>
        <v>0</v>
      </c>
      <c r="Q1780" s="11">
        <f t="shared" si="1793"/>
        <v>0</v>
      </c>
      <c r="Y1780" s="11">
        <f t="shared" si="1794"/>
        <v>0</v>
      </c>
      <c r="AG1780" s="11">
        <f t="shared" si="1795"/>
        <v>0</v>
      </c>
      <c r="AI1780" s="11">
        <f t="shared" si="1796"/>
        <v>0</v>
      </c>
      <c r="AK1780" s="13">
        <f t="shared" si="1797"/>
        <v>0</v>
      </c>
      <c r="AM1780" s="13">
        <f t="shared" si="1798"/>
        <v>0</v>
      </c>
      <c r="AO1780" s="11">
        <f t="shared" si="1799"/>
        <v>0</v>
      </c>
      <c r="AQ1780" s="11">
        <f t="shared" si="1800"/>
        <v>0</v>
      </c>
      <c r="AS1780" s="11">
        <f t="shared" si="1801"/>
        <v>0</v>
      </c>
      <c r="AU1780" s="11">
        <f t="shared" si="1802"/>
        <v>0</v>
      </c>
      <c r="AW1780" s="11">
        <f t="shared" si="1803"/>
        <v>0</v>
      </c>
      <c r="AY1780" s="11">
        <f t="shared" si="1804"/>
        <v>0</v>
      </c>
      <c r="BA1780" s="11">
        <f t="shared" si="1805"/>
        <v>0</v>
      </c>
      <c r="BC1780" s="11">
        <f t="shared" si="1806"/>
        <v>0</v>
      </c>
      <c r="BE1780" s="11">
        <f t="shared" si="1807"/>
        <v>0</v>
      </c>
      <c r="BG1780" s="11">
        <f t="shared" si="1808"/>
        <v>0</v>
      </c>
      <c r="BN1780" s="8">
        <f t="shared" si="1788"/>
        <v>0</v>
      </c>
      <c r="BO1780" s="8">
        <f t="shared" si="1789"/>
        <v>0</v>
      </c>
      <c r="BP1780" s="8">
        <f t="shared" si="1809"/>
        <v>0</v>
      </c>
      <c r="BQ1780" s="12">
        <f t="shared" si="1810"/>
        <v>0</v>
      </c>
    </row>
    <row r="1781" spans="1:69">
      <c r="A1781" s="28">
        <v>1994</v>
      </c>
      <c r="B1781" s="27" t="s">
        <v>81</v>
      </c>
      <c r="C1781" s="24">
        <f t="shared" si="1768"/>
        <v>1742</v>
      </c>
      <c r="D1781" s="7" t="e">
        <f t="shared" ca="1" si="1748"/>
        <v>#N/A</v>
      </c>
      <c r="E1781" s="26" t="e">
        <f t="array" aca="1" ref="E1781" ca="1">AVERAGE(IF(INDIRECT(DatCol&amp;"$"&amp;TEXT(C1781,"###")):INDIRECT(DatCol&amp;"$"&amp;TEXT(C1781+57,"###"))&gt;0,INDIRECT(DatCol&amp;"$"&amp;TEXT(C1781,"###")):INDIRECT(DatCol&amp;"$"&amp;TEXT(C1781+57,"###"))))</f>
        <v>#DIV/0!</v>
      </c>
      <c r="F1781" s="26" t="str">
        <f t="shared" si="1787"/>
        <v>N</v>
      </c>
      <c r="G1781" s="8"/>
      <c r="H1781" s="8">
        <v>0</v>
      </c>
      <c r="I1781" s="8">
        <v>0</v>
      </c>
      <c r="J1781" s="8">
        <v>0</v>
      </c>
      <c r="K1781" s="9">
        <f t="shared" si="1790"/>
        <v>0</v>
      </c>
      <c r="M1781" s="11">
        <f>(L1781*50)</f>
        <v>0</v>
      </c>
      <c r="O1781" s="11">
        <f>(N1781*50)</f>
        <v>0</v>
      </c>
      <c r="Q1781" s="11">
        <f>((P1781*330)/5.5)</f>
        <v>0</v>
      </c>
      <c r="Y1781" s="11">
        <f>((X1781*330)/5.5)</f>
        <v>0</v>
      </c>
      <c r="AG1781" s="11">
        <f>(AF1781*65)</f>
        <v>0</v>
      </c>
      <c r="AI1781" s="11">
        <f>(AH1781*65)</f>
        <v>0</v>
      </c>
      <c r="AK1781" s="13">
        <f>(AJ1781*9)</f>
        <v>0</v>
      </c>
      <c r="AM1781" s="13">
        <f>(AL1781*9)</f>
        <v>0</v>
      </c>
      <c r="AO1781" s="11">
        <f>(AN1781*80)</f>
        <v>0</v>
      </c>
      <c r="AQ1781" s="11">
        <f>(AP1781*80)</f>
        <v>0</v>
      </c>
      <c r="AS1781" s="11">
        <f>(AR1781*50)</f>
        <v>0</v>
      </c>
      <c r="AU1781" s="11">
        <f>(AT1781*50)</f>
        <v>0</v>
      </c>
      <c r="AW1781" s="11">
        <f>(AV1781*60)</f>
        <v>0</v>
      </c>
      <c r="AY1781" s="11">
        <f>(AX1781*60)</f>
        <v>0</v>
      </c>
      <c r="BA1781" s="11">
        <f>(AZ1781*40)</f>
        <v>0</v>
      </c>
      <c r="BC1781" s="11">
        <f>(BB1781*40)</f>
        <v>0</v>
      </c>
      <c r="BE1781" s="11">
        <f>(BD1781*95)</f>
        <v>0</v>
      </c>
      <c r="BG1781" s="11">
        <f>(BF1781*95)</f>
        <v>0</v>
      </c>
      <c r="BN1781" s="8">
        <f t="shared" si="1788"/>
        <v>0</v>
      </c>
      <c r="BO1781" s="8">
        <f t="shared" si="1789"/>
        <v>0</v>
      </c>
      <c r="BP1781" s="8">
        <f t="shared" si="1809"/>
        <v>0</v>
      </c>
      <c r="BQ1781" s="12">
        <f t="shared" si="1810"/>
        <v>0</v>
      </c>
    </row>
    <row r="1782" spans="1:69">
      <c r="A1782" s="28">
        <v>1995</v>
      </c>
      <c r="B1782" s="27" t="s">
        <v>81</v>
      </c>
      <c r="C1782" s="24">
        <f t="shared" si="1768"/>
        <v>1742</v>
      </c>
      <c r="D1782" s="7" t="e">
        <f t="shared" ca="1" si="1748"/>
        <v>#N/A</v>
      </c>
      <c r="E1782" s="26" t="e">
        <f t="array" aca="1" ref="E1782" ca="1">AVERAGE(IF(INDIRECT(DatCol&amp;"$"&amp;TEXT(C1782,"###")):INDIRECT(DatCol&amp;"$"&amp;TEXT(C1782+57,"###"))&gt;0,INDIRECT(DatCol&amp;"$"&amp;TEXT(C1782,"###")):INDIRECT(DatCol&amp;"$"&amp;TEXT(C1782+57,"###"))))</f>
        <v>#DIV/0!</v>
      </c>
      <c r="F1782" s="26" t="str">
        <f t="shared" si="1787"/>
        <v>N</v>
      </c>
      <c r="H1782" s="9">
        <v>0</v>
      </c>
      <c r="I1782" s="9">
        <v>0</v>
      </c>
      <c r="J1782" s="9">
        <v>0</v>
      </c>
      <c r="K1782" s="9">
        <f t="shared" si="1790"/>
        <v>0</v>
      </c>
      <c r="M1782" s="11">
        <f>(L1782*50)</f>
        <v>0</v>
      </c>
      <c r="O1782" s="11">
        <f>(N1782*50)</f>
        <v>0</v>
      </c>
      <c r="Q1782" s="11">
        <f>((P1782*330)/5.5)</f>
        <v>0</v>
      </c>
      <c r="Y1782" s="11">
        <f>((X1782*330)/5.5)</f>
        <v>0</v>
      </c>
      <c r="AG1782" s="11">
        <f>(AF1782*65)</f>
        <v>0</v>
      </c>
      <c r="AI1782" s="11">
        <f>(AH1782*65)</f>
        <v>0</v>
      </c>
      <c r="AK1782" s="13">
        <f>(AJ1782*9)</f>
        <v>0</v>
      </c>
      <c r="AM1782" s="13">
        <f>(AL1782*9)</f>
        <v>0</v>
      </c>
      <c r="AO1782" s="11">
        <f>(AN1782*80)</f>
        <v>0</v>
      </c>
      <c r="AQ1782" s="11">
        <f>(AP1782*80)</f>
        <v>0</v>
      </c>
      <c r="AS1782" s="11">
        <f>(AR1782*50)</f>
        <v>0</v>
      </c>
      <c r="AU1782" s="11">
        <f>(AT1782*50)</f>
        <v>0</v>
      </c>
      <c r="AW1782" s="11">
        <f>(AV1782*60)</f>
        <v>0</v>
      </c>
      <c r="AY1782" s="11">
        <f>(AX1782*60)</f>
        <v>0</v>
      </c>
      <c r="BA1782" s="11">
        <f>(AZ1782*40)</f>
        <v>0</v>
      </c>
      <c r="BC1782" s="11">
        <f>(BB1782*40)</f>
        <v>0</v>
      </c>
      <c r="BE1782" s="11">
        <f>(BD1782*95)</f>
        <v>0</v>
      </c>
      <c r="BG1782" s="11">
        <f>(BF1782*95)</f>
        <v>0</v>
      </c>
      <c r="BN1782" s="8">
        <f t="shared" si="1788"/>
        <v>0</v>
      </c>
      <c r="BO1782" s="8">
        <f t="shared" si="1789"/>
        <v>0</v>
      </c>
      <c r="BP1782" s="8">
        <f t="shared" si="1809"/>
        <v>0</v>
      </c>
      <c r="BQ1782" s="12">
        <f t="shared" si="1810"/>
        <v>0</v>
      </c>
    </row>
    <row r="1783" spans="1:69">
      <c r="A1783" s="28">
        <v>1996</v>
      </c>
      <c r="B1783" s="27" t="s">
        <v>81</v>
      </c>
      <c r="C1783" s="24">
        <f t="shared" si="1768"/>
        <v>1742</v>
      </c>
      <c r="D1783" s="7" t="e">
        <f t="shared" ca="1" si="1748"/>
        <v>#N/A</v>
      </c>
      <c r="E1783" s="26" t="e">
        <f t="array" aca="1" ref="E1783" ca="1">AVERAGE(IF(INDIRECT(DatCol&amp;"$"&amp;TEXT(C1783,"###")):INDIRECT(DatCol&amp;"$"&amp;TEXT(C1783+57,"###"))&gt;0,INDIRECT(DatCol&amp;"$"&amp;TEXT(C1783,"###")):INDIRECT(DatCol&amp;"$"&amp;TEXT(C1783+57,"###"))))</f>
        <v>#DIV/0!</v>
      </c>
      <c r="F1783" s="26" t="str">
        <f t="shared" si="1787"/>
        <v>N</v>
      </c>
      <c r="K1783" s="9">
        <f t="shared" si="1790"/>
        <v>0</v>
      </c>
      <c r="AK1783" s="13"/>
      <c r="AM1783" s="13"/>
      <c r="BN1783" s="8">
        <f t="shared" si="1788"/>
        <v>0</v>
      </c>
      <c r="BO1783" s="8">
        <f t="shared" si="1789"/>
        <v>0</v>
      </c>
      <c r="BP1783" s="8">
        <f t="shared" si="1809"/>
        <v>0</v>
      </c>
      <c r="BQ1783" s="12">
        <f t="shared" si="1810"/>
        <v>0</v>
      </c>
    </row>
    <row r="1784" spans="1:69">
      <c r="A1784" s="28">
        <v>1997</v>
      </c>
      <c r="B1784" s="27" t="s">
        <v>81</v>
      </c>
      <c r="C1784" s="24">
        <f t="shared" si="1768"/>
        <v>1742</v>
      </c>
      <c r="D1784" s="7" t="e">
        <f t="shared" ca="1" si="1748"/>
        <v>#N/A</v>
      </c>
      <c r="E1784" s="26" t="e">
        <f t="array" aca="1" ref="E1784" ca="1">AVERAGE(IF(INDIRECT(DatCol&amp;"$"&amp;TEXT(C1784,"###")):INDIRECT(DatCol&amp;"$"&amp;TEXT(C1784+57,"###"))&gt;0,INDIRECT(DatCol&amp;"$"&amp;TEXT(C1784,"###")):INDIRECT(DatCol&amp;"$"&amp;TEXT(C1784+57,"###"))))</f>
        <v>#DIV/0!</v>
      </c>
      <c r="F1784" s="26" t="str">
        <f t="shared" si="1787"/>
        <v>N</v>
      </c>
      <c r="K1784" s="9">
        <f t="shared" si="1790"/>
        <v>0</v>
      </c>
      <c r="AK1784" s="13"/>
      <c r="AM1784" s="13"/>
      <c r="BN1784" s="8">
        <f t="shared" si="1788"/>
        <v>0</v>
      </c>
      <c r="BO1784" s="8">
        <f t="shared" si="1789"/>
        <v>0</v>
      </c>
      <c r="BP1784" s="8">
        <f t="shared" si="1809"/>
        <v>0</v>
      </c>
      <c r="BQ1784" s="12">
        <f t="shared" si="1810"/>
        <v>0</v>
      </c>
    </row>
    <row r="1785" spans="1:69">
      <c r="A1785" s="28">
        <v>1998</v>
      </c>
      <c r="B1785" s="27" t="s">
        <v>81</v>
      </c>
      <c r="C1785" s="24">
        <f t="shared" si="1768"/>
        <v>1742</v>
      </c>
      <c r="D1785" s="7" t="e">
        <f t="shared" ca="1" si="1748"/>
        <v>#N/A</v>
      </c>
      <c r="E1785" s="26" t="e">
        <f t="array" aca="1" ref="E1785" ca="1">AVERAGE(IF(INDIRECT(DatCol&amp;"$"&amp;TEXT(C1785,"###")):INDIRECT(DatCol&amp;"$"&amp;TEXT(C1785+57,"###"))&gt;0,INDIRECT(DatCol&amp;"$"&amp;TEXT(C1785,"###")):INDIRECT(DatCol&amp;"$"&amp;TEXT(C1785+57,"###"))))</f>
        <v>#DIV/0!</v>
      </c>
      <c r="F1785" s="26" t="str">
        <f t="shared" si="1787"/>
        <v>N</v>
      </c>
      <c r="K1785" s="9">
        <f t="shared" si="1790"/>
        <v>0</v>
      </c>
      <c r="AK1785" s="13"/>
      <c r="AM1785" s="13"/>
      <c r="BN1785" s="8">
        <f t="shared" si="1788"/>
        <v>0</v>
      </c>
      <c r="BO1785" s="8">
        <f t="shared" si="1789"/>
        <v>0</v>
      </c>
      <c r="BP1785" s="8">
        <f t="shared" si="1809"/>
        <v>0</v>
      </c>
      <c r="BQ1785" s="12">
        <f t="shared" si="1810"/>
        <v>0</v>
      </c>
    </row>
    <row r="1786" spans="1:69">
      <c r="A1786" s="28">
        <v>1999</v>
      </c>
      <c r="B1786" s="27" t="s">
        <v>81</v>
      </c>
      <c r="C1786" s="24">
        <f t="shared" si="1768"/>
        <v>1742</v>
      </c>
      <c r="D1786" s="7" t="e">
        <f t="shared" ca="1" si="1748"/>
        <v>#N/A</v>
      </c>
      <c r="E1786" s="26" t="e">
        <f t="array" aca="1" ref="E1786" ca="1">AVERAGE(IF(INDIRECT(DatCol&amp;"$"&amp;TEXT(C1786,"###")):INDIRECT(DatCol&amp;"$"&amp;TEXT(C1786+57,"###"))&gt;0,INDIRECT(DatCol&amp;"$"&amp;TEXT(C1786,"###")):INDIRECT(DatCol&amp;"$"&amp;TEXT(C1786+57,"###"))))</f>
        <v>#DIV/0!</v>
      </c>
      <c r="F1786" s="26" t="str">
        <f t="shared" si="1787"/>
        <v>N</v>
      </c>
      <c r="K1786" s="9">
        <f t="shared" si="1790"/>
        <v>0</v>
      </c>
      <c r="AK1786" s="13"/>
      <c r="AM1786" s="13"/>
      <c r="BN1786" s="8">
        <f t="shared" si="1788"/>
        <v>0</v>
      </c>
      <c r="BO1786" s="8">
        <f t="shared" si="1789"/>
        <v>0</v>
      </c>
      <c r="BP1786" s="8">
        <f t="shared" si="1809"/>
        <v>0</v>
      </c>
      <c r="BQ1786" s="12">
        <f t="shared" si="1810"/>
        <v>0</v>
      </c>
    </row>
    <row r="1787" spans="1:69">
      <c r="A1787" s="28">
        <v>2000</v>
      </c>
      <c r="B1787" s="27" t="s">
        <v>81</v>
      </c>
      <c r="C1787" s="24">
        <f t="shared" si="1768"/>
        <v>1742</v>
      </c>
      <c r="D1787" s="7" t="e">
        <f t="shared" ca="1" si="1748"/>
        <v>#N/A</v>
      </c>
      <c r="E1787" s="26" t="e">
        <f t="array" aca="1" ref="E1787" ca="1">AVERAGE(IF(INDIRECT(DatCol&amp;"$"&amp;TEXT(C1787,"###")):INDIRECT(DatCol&amp;"$"&amp;TEXT(C1787+57,"###"))&gt;0,INDIRECT(DatCol&amp;"$"&amp;TEXT(C1787,"###")):INDIRECT(DatCol&amp;"$"&amp;TEXT(C1787+57,"###"))))</f>
        <v>#DIV/0!</v>
      </c>
      <c r="F1787" s="26" t="str">
        <f t="shared" si="1787"/>
        <v>N</v>
      </c>
      <c r="K1787" s="9">
        <f t="shared" si="1790"/>
        <v>0</v>
      </c>
      <c r="AK1787" s="13"/>
      <c r="AM1787" s="13"/>
      <c r="BN1787" s="8">
        <f t="shared" si="1788"/>
        <v>0</v>
      </c>
      <c r="BO1787" s="8">
        <f t="shared" si="1789"/>
        <v>0</v>
      </c>
      <c r="BP1787" s="8">
        <f t="shared" si="1809"/>
        <v>0</v>
      </c>
      <c r="BQ1787" s="12">
        <f t="shared" si="1810"/>
        <v>0</v>
      </c>
    </row>
    <row r="1788" spans="1:69">
      <c r="A1788" s="28">
        <v>2001</v>
      </c>
      <c r="B1788" s="27" t="s">
        <v>81</v>
      </c>
      <c r="C1788" s="24">
        <f t="shared" si="1768"/>
        <v>1742</v>
      </c>
      <c r="D1788" s="7" t="e">
        <f t="shared" ca="1" si="1748"/>
        <v>#N/A</v>
      </c>
      <c r="E1788" s="26" t="e">
        <f t="array" aca="1" ref="E1788" ca="1">AVERAGE(IF(INDIRECT(DatCol&amp;"$"&amp;TEXT(C1788,"###")):INDIRECT(DatCol&amp;"$"&amp;TEXT(C1788+57,"###"))&gt;0,INDIRECT(DatCol&amp;"$"&amp;TEXT(C1788,"###")):INDIRECT(DatCol&amp;"$"&amp;TEXT(C1788+57,"###"))))</f>
        <v>#DIV/0!</v>
      </c>
      <c r="F1788" s="26" t="str">
        <f t="shared" si="1787"/>
        <v>N</v>
      </c>
      <c r="K1788" s="9">
        <f t="shared" si="1790"/>
        <v>0</v>
      </c>
      <c r="AK1788" s="13"/>
      <c r="AM1788" s="13"/>
      <c r="BN1788" s="8">
        <f t="shared" si="1788"/>
        <v>0</v>
      </c>
      <c r="BO1788" s="8">
        <f t="shared" si="1789"/>
        <v>0</v>
      </c>
      <c r="BP1788" s="8">
        <f t="shared" si="1809"/>
        <v>0</v>
      </c>
      <c r="BQ1788" s="12">
        <f t="shared" si="1810"/>
        <v>0</v>
      </c>
    </row>
    <row r="1789" spans="1:69">
      <c r="A1789" s="28">
        <v>2002</v>
      </c>
      <c r="B1789" s="27" t="s">
        <v>81</v>
      </c>
      <c r="C1789" s="24">
        <f t="shared" si="1768"/>
        <v>1742</v>
      </c>
      <c r="D1789" s="7" t="e">
        <f t="shared" ca="1" si="1748"/>
        <v>#N/A</v>
      </c>
      <c r="E1789" s="26" t="e">
        <f t="array" aca="1" ref="E1789" ca="1">AVERAGE(IF(INDIRECT(DatCol&amp;"$"&amp;TEXT(C1789,"###")):INDIRECT(DatCol&amp;"$"&amp;TEXT(C1789+57,"###"))&gt;0,INDIRECT(DatCol&amp;"$"&amp;TEXT(C1789,"###")):INDIRECT(DatCol&amp;"$"&amp;TEXT(C1789+57,"###"))))</f>
        <v>#DIV/0!</v>
      </c>
      <c r="F1789" s="26" t="str">
        <f t="shared" si="1787"/>
        <v>N</v>
      </c>
      <c r="K1789" s="9">
        <f t="shared" si="1790"/>
        <v>0</v>
      </c>
      <c r="AK1789" s="13"/>
      <c r="AM1789" s="13"/>
      <c r="BN1789" s="8">
        <f t="shared" si="1788"/>
        <v>0</v>
      </c>
      <c r="BO1789" s="8">
        <f t="shared" si="1789"/>
        <v>0</v>
      </c>
      <c r="BP1789" s="8">
        <f t="shared" si="1809"/>
        <v>0</v>
      </c>
      <c r="BQ1789" s="12">
        <f t="shared" si="1810"/>
        <v>0</v>
      </c>
    </row>
    <row r="1790" spans="1:69">
      <c r="A1790" s="28">
        <v>2003</v>
      </c>
      <c r="B1790" s="27" t="s">
        <v>81</v>
      </c>
      <c r="C1790" s="24">
        <f t="shared" si="1768"/>
        <v>1742</v>
      </c>
      <c r="D1790" s="7" t="e">
        <f t="shared" ca="1" si="1748"/>
        <v>#N/A</v>
      </c>
      <c r="E1790" s="26" t="e">
        <f t="array" aca="1" ref="E1790" ca="1">AVERAGE(IF(INDIRECT(DatCol&amp;"$"&amp;TEXT(C1790,"###")):INDIRECT(DatCol&amp;"$"&amp;TEXT(C1790+57,"###"))&gt;0,INDIRECT(DatCol&amp;"$"&amp;TEXT(C1790,"###")):INDIRECT(DatCol&amp;"$"&amp;TEXT(C1790+57,"###"))))</f>
        <v>#DIV/0!</v>
      </c>
      <c r="F1790" s="26" t="str">
        <f t="shared" si="1787"/>
        <v>N</v>
      </c>
      <c r="K1790" s="9">
        <f t="shared" si="1790"/>
        <v>0</v>
      </c>
      <c r="AK1790" s="13"/>
      <c r="AM1790" s="13"/>
      <c r="BN1790" s="8">
        <f t="shared" si="1788"/>
        <v>0</v>
      </c>
      <c r="BO1790" s="8">
        <f t="shared" si="1789"/>
        <v>0</v>
      </c>
      <c r="BP1790" s="8">
        <f t="shared" si="1809"/>
        <v>0</v>
      </c>
      <c r="BQ1790" s="12">
        <f t="shared" si="1810"/>
        <v>0</v>
      </c>
    </row>
    <row r="1791" spans="1:69">
      <c r="A1791" s="28">
        <v>2004</v>
      </c>
      <c r="B1791" s="27" t="s">
        <v>81</v>
      </c>
      <c r="C1791" s="24">
        <f t="shared" si="1768"/>
        <v>1742</v>
      </c>
      <c r="D1791" s="7" t="e">
        <f t="shared" ca="1" si="1748"/>
        <v>#N/A</v>
      </c>
      <c r="E1791" s="26" t="e">
        <f t="array" aca="1" ref="E1791" ca="1">AVERAGE(IF(INDIRECT(DatCol&amp;"$"&amp;TEXT(C1791,"###")):INDIRECT(DatCol&amp;"$"&amp;TEXT(C1791+57,"###"))&gt;0,INDIRECT(DatCol&amp;"$"&amp;TEXT(C1791,"###")):INDIRECT(DatCol&amp;"$"&amp;TEXT(C1791+57,"###"))))</f>
        <v>#DIV/0!</v>
      </c>
      <c r="F1791" s="26" t="str">
        <f t="shared" si="1787"/>
        <v>N</v>
      </c>
      <c r="K1791" s="9">
        <f t="shared" si="1790"/>
        <v>0</v>
      </c>
      <c r="AK1791" s="13"/>
      <c r="AM1791" s="13"/>
      <c r="BN1791" s="8">
        <f t="shared" si="1788"/>
        <v>0</v>
      </c>
      <c r="BO1791" s="8">
        <f t="shared" si="1789"/>
        <v>0</v>
      </c>
      <c r="BP1791" s="8">
        <f t="shared" si="1809"/>
        <v>0</v>
      </c>
      <c r="BQ1791" s="12">
        <f t="shared" si="1810"/>
        <v>0</v>
      </c>
    </row>
    <row r="1792" spans="1:69">
      <c r="A1792" s="28">
        <v>2005</v>
      </c>
      <c r="B1792" s="27" t="s">
        <v>81</v>
      </c>
      <c r="C1792" s="24">
        <f t="shared" si="1768"/>
        <v>1742</v>
      </c>
      <c r="D1792" s="7" t="e">
        <f t="shared" ca="1" si="1748"/>
        <v>#N/A</v>
      </c>
      <c r="E1792" s="26" t="e">
        <f t="array" aca="1" ref="E1792" ca="1">AVERAGE(IF(INDIRECT(DatCol&amp;"$"&amp;TEXT(C1792,"###")):INDIRECT(DatCol&amp;"$"&amp;TEXT(C1792+57,"###"))&gt;0,INDIRECT(DatCol&amp;"$"&amp;TEXT(C1792,"###")):INDIRECT(DatCol&amp;"$"&amp;TEXT(C1792+57,"###"))))</f>
        <v>#DIV/0!</v>
      </c>
      <c r="F1792" s="26" t="str">
        <f t="shared" si="1787"/>
        <v>N</v>
      </c>
      <c r="K1792" s="9">
        <f t="shared" si="1790"/>
        <v>0</v>
      </c>
      <c r="AK1792" s="13"/>
      <c r="AM1792" s="13"/>
      <c r="BN1792" s="8">
        <f t="shared" si="1788"/>
        <v>0</v>
      </c>
      <c r="BO1792" s="8">
        <f t="shared" si="1789"/>
        <v>0</v>
      </c>
      <c r="BP1792" s="8">
        <f t="shared" si="1809"/>
        <v>0</v>
      </c>
      <c r="BQ1792" s="12">
        <f t="shared" si="1810"/>
        <v>0</v>
      </c>
    </row>
    <row r="1793" spans="1:69">
      <c r="A1793" s="28">
        <v>2006</v>
      </c>
      <c r="B1793" s="27" t="s">
        <v>81</v>
      </c>
      <c r="C1793" s="24">
        <f t="shared" si="1768"/>
        <v>1742</v>
      </c>
      <c r="D1793" s="7" t="e">
        <f t="shared" ca="1" si="1748"/>
        <v>#N/A</v>
      </c>
      <c r="E1793" s="26" t="e">
        <f t="array" aca="1" ref="E1793" ca="1">AVERAGE(IF(INDIRECT(DatCol&amp;"$"&amp;TEXT(C1793,"###")):INDIRECT(DatCol&amp;"$"&amp;TEXT(C1793+57,"###"))&gt;0,INDIRECT(DatCol&amp;"$"&amp;TEXT(C1793,"###")):INDIRECT(DatCol&amp;"$"&amp;TEXT(C1793+57,"###"))))</f>
        <v>#DIV/0!</v>
      </c>
      <c r="F1793" s="26" t="str">
        <f t="shared" si="1787"/>
        <v>N</v>
      </c>
      <c r="K1793" s="9">
        <f t="shared" si="1790"/>
        <v>0</v>
      </c>
      <c r="AK1793" s="13"/>
      <c r="AM1793" s="13"/>
      <c r="BN1793" s="8">
        <f t="shared" si="1788"/>
        <v>0</v>
      </c>
      <c r="BO1793" s="8">
        <f t="shared" si="1789"/>
        <v>0</v>
      </c>
      <c r="BP1793" s="8">
        <f t="shared" si="1809"/>
        <v>0</v>
      </c>
      <c r="BQ1793" s="12">
        <f t="shared" si="1810"/>
        <v>0</v>
      </c>
    </row>
    <row r="1794" spans="1:69">
      <c r="A1794" s="28">
        <v>2007</v>
      </c>
      <c r="B1794" s="27" t="s">
        <v>81</v>
      </c>
      <c r="C1794" s="24">
        <f t="shared" si="1768"/>
        <v>1742</v>
      </c>
      <c r="D1794" s="7" t="e">
        <f t="shared" ref="D1794:D1857" ca="1" si="1811">IF(AND((INDIRECT(DatCol&amp;TEXT(ROW(),"###"))&gt;0),((F1794=RegionSelect)+(RegionSelect="A"))),INDIRECT(DatCol&amp;TEXT(ROW(),"###"))/E1794,NA())</f>
        <v>#N/A</v>
      </c>
      <c r="E1794" s="26" t="e">
        <f t="array" aca="1" ref="E1794" ca="1">AVERAGE(IF(INDIRECT(DatCol&amp;"$"&amp;TEXT(C1794,"###")):INDIRECT(DatCol&amp;"$"&amp;TEXT(C1794+57,"###"))&gt;0,INDIRECT(DatCol&amp;"$"&amp;TEXT(C1794,"###")):INDIRECT(DatCol&amp;"$"&amp;TEXT(C1794+57,"###"))))</f>
        <v>#DIV/0!</v>
      </c>
      <c r="F1794" s="26" t="str">
        <f t="shared" si="1787"/>
        <v>N</v>
      </c>
      <c r="K1794" s="9">
        <f t="shared" si="1790"/>
        <v>0</v>
      </c>
      <c r="AK1794" s="13"/>
      <c r="AM1794" s="13"/>
      <c r="BN1794" s="8">
        <f t="shared" si="1788"/>
        <v>0</v>
      </c>
      <c r="BO1794" s="8">
        <f t="shared" si="1789"/>
        <v>0</v>
      </c>
      <c r="BP1794" s="8">
        <f t="shared" si="1809"/>
        <v>0</v>
      </c>
      <c r="BQ1794" s="12">
        <f t="shared" si="1810"/>
        <v>0</v>
      </c>
    </row>
    <row r="1795" spans="1:69">
      <c r="A1795" s="28">
        <v>2008</v>
      </c>
      <c r="B1795" s="27" t="s">
        <v>81</v>
      </c>
      <c r="C1795" s="24">
        <f t="shared" si="1768"/>
        <v>1742</v>
      </c>
      <c r="D1795" s="7" t="e">
        <f t="shared" ca="1" si="1811"/>
        <v>#N/A</v>
      </c>
      <c r="E1795" s="26" t="e">
        <f t="array" aca="1" ref="E1795" ca="1">AVERAGE(IF(INDIRECT(DatCol&amp;"$"&amp;TEXT(C1795,"###")):INDIRECT(DatCol&amp;"$"&amp;TEXT(C1795+57,"###"))&gt;0,INDIRECT(DatCol&amp;"$"&amp;TEXT(C1795,"###")):INDIRECT(DatCol&amp;"$"&amp;TEXT(C1795+57,"###"))))</f>
        <v>#DIV/0!</v>
      </c>
      <c r="F1795" s="26" t="str">
        <f t="shared" si="1787"/>
        <v>N</v>
      </c>
      <c r="K1795" s="9">
        <f t="shared" si="1790"/>
        <v>0</v>
      </c>
      <c r="AK1795" s="13"/>
      <c r="AM1795" s="13"/>
      <c r="BN1795" s="8">
        <f t="shared" si="1788"/>
        <v>0</v>
      </c>
      <c r="BO1795" s="8">
        <f t="shared" si="1789"/>
        <v>0</v>
      </c>
      <c r="BP1795" s="8">
        <f t="shared" si="1809"/>
        <v>0</v>
      </c>
      <c r="BQ1795" s="12">
        <f t="shared" si="1810"/>
        <v>0</v>
      </c>
    </row>
    <row r="1796" spans="1:69">
      <c r="A1796" s="28">
        <v>2009</v>
      </c>
      <c r="B1796" s="27" t="s">
        <v>81</v>
      </c>
      <c r="C1796" s="24">
        <f t="shared" si="1768"/>
        <v>1742</v>
      </c>
      <c r="D1796" s="7" t="e">
        <f t="shared" ca="1" si="1811"/>
        <v>#N/A</v>
      </c>
      <c r="E1796" s="26" t="e">
        <f t="array" aca="1" ref="E1796" ca="1">AVERAGE(IF(INDIRECT(DatCol&amp;"$"&amp;TEXT(C1796,"###")):INDIRECT(DatCol&amp;"$"&amp;TEXT(C1796+57,"###"))&gt;0,INDIRECT(DatCol&amp;"$"&amp;TEXT(C1796,"###")):INDIRECT(DatCol&amp;"$"&amp;TEXT(C1796+57,"###"))))</f>
        <v>#DIV/0!</v>
      </c>
      <c r="F1796" s="26" t="str">
        <f t="shared" si="1787"/>
        <v>N</v>
      </c>
      <c r="K1796" s="9">
        <f t="shared" si="1790"/>
        <v>0</v>
      </c>
      <c r="AK1796" s="13"/>
      <c r="AM1796" s="13"/>
      <c r="BN1796" s="8">
        <f t="shared" si="1788"/>
        <v>0</v>
      </c>
      <c r="BO1796" s="8">
        <f t="shared" si="1789"/>
        <v>0</v>
      </c>
      <c r="BP1796" s="8">
        <f t="shared" si="1809"/>
        <v>0</v>
      </c>
      <c r="BQ1796" s="12">
        <f t="shared" si="1810"/>
        <v>0</v>
      </c>
    </row>
    <row r="1797" spans="1:69">
      <c r="A1797" s="28">
        <v>2010</v>
      </c>
      <c r="B1797" s="27" t="s">
        <v>81</v>
      </c>
      <c r="C1797" s="24">
        <f t="shared" si="1768"/>
        <v>1742</v>
      </c>
      <c r="D1797" s="7" t="e">
        <f t="shared" ca="1" si="1811"/>
        <v>#N/A</v>
      </c>
      <c r="E1797" s="26" t="e">
        <f t="array" aca="1" ref="E1797" ca="1">AVERAGE(IF(INDIRECT(DatCol&amp;"$"&amp;TEXT(C1797,"###")):INDIRECT(DatCol&amp;"$"&amp;TEXT(C1797+57,"###"))&gt;0,INDIRECT(DatCol&amp;"$"&amp;TEXT(C1797,"###")):INDIRECT(DatCol&amp;"$"&amp;TEXT(C1797+57,"###"))))</f>
        <v>#DIV/0!</v>
      </c>
      <c r="F1797" s="26" t="str">
        <f t="shared" ref="F1797:F1799" si="1812">VLOOKUP(B1797,town_region,2,FALSE)</f>
        <v>N</v>
      </c>
      <c r="AK1797" s="13"/>
      <c r="AM1797" s="13"/>
      <c r="BN1797" s="8"/>
      <c r="BO1797" s="8"/>
      <c r="BP1797" s="8"/>
      <c r="BQ1797" s="12"/>
    </row>
    <row r="1798" spans="1:69">
      <c r="A1798" s="28">
        <v>2011</v>
      </c>
      <c r="B1798" s="27" t="s">
        <v>81</v>
      </c>
      <c r="C1798" s="24">
        <f t="shared" si="1768"/>
        <v>1742</v>
      </c>
      <c r="D1798" s="7" t="e">
        <f t="shared" ca="1" si="1811"/>
        <v>#N/A</v>
      </c>
      <c r="E1798" s="26" t="e">
        <f t="array" aca="1" ref="E1798" ca="1">AVERAGE(IF(INDIRECT(DatCol&amp;"$"&amp;TEXT(C1798,"###")):INDIRECT(DatCol&amp;"$"&amp;TEXT(C1798+57,"###"))&gt;0,INDIRECT(DatCol&amp;"$"&amp;TEXT(C1798,"###")):INDIRECT(DatCol&amp;"$"&amp;TEXT(C1798+57,"###"))))</f>
        <v>#DIV/0!</v>
      </c>
      <c r="F1798" s="26" t="str">
        <f t="shared" si="1812"/>
        <v>N</v>
      </c>
      <c r="AK1798" s="13"/>
      <c r="AM1798" s="13"/>
      <c r="BN1798" s="8"/>
      <c r="BO1798" s="8"/>
      <c r="BP1798" s="8"/>
      <c r="BQ1798" s="12"/>
    </row>
    <row r="1799" spans="1:69">
      <c r="A1799" s="28">
        <v>2012</v>
      </c>
      <c r="B1799" s="27" t="s">
        <v>81</v>
      </c>
      <c r="C1799" s="24">
        <f t="shared" si="1768"/>
        <v>1742</v>
      </c>
      <c r="D1799" s="7" t="e">
        <f t="shared" ca="1" si="1811"/>
        <v>#N/A</v>
      </c>
      <c r="E1799" s="26" t="e">
        <f t="array" aca="1" ref="E1799" ca="1">AVERAGE(IF(INDIRECT(DatCol&amp;"$"&amp;TEXT(C1799,"###")):INDIRECT(DatCol&amp;"$"&amp;TEXT(C1799+57,"###"))&gt;0,INDIRECT(DatCol&amp;"$"&amp;TEXT(C1799,"###")):INDIRECT(DatCol&amp;"$"&amp;TEXT(C1799+57,"###"))))</f>
        <v>#DIV/0!</v>
      </c>
      <c r="F1799" s="26" t="str">
        <f t="shared" si="1812"/>
        <v>N</v>
      </c>
      <c r="AK1799" s="13"/>
      <c r="AM1799" s="13"/>
      <c r="BN1799" s="8"/>
      <c r="BO1799" s="8"/>
      <c r="BP1799" s="8"/>
      <c r="BQ1799" s="12"/>
    </row>
    <row r="1800" spans="1:69">
      <c r="A1800" s="28">
        <v>1955</v>
      </c>
      <c r="B1800" s="27" t="s">
        <v>82</v>
      </c>
      <c r="C1800" s="24">
        <f>ROW()</f>
        <v>1800</v>
      </c>
      <c r="D1800" s="7" t="e">
        <f t="shared" ca="1" si="1811"/>
        <v>#N/A</v>
      </c>
      <c r="E1800" s="26">
        <f t="array" aca="1" ref="E1800" ca="1">AVERAGE(IF(INDIRECT(DatCol&amp;"$"&amp;TEXT(C1800,"###")):INDIRECT(DatCol&amp;"$"&amp;TEXT(C1800+57,"###"))&gt;0,INDIRECT(DatCol&amp;"$"&amp;TEXT(C1800,"###")):INDIRECT(DatCol&amp;"$"&amp;TEXT(C1800+57,"###"))))</f>
        <v>117.12487804878053</v>
      </c>
      <c r="F1800" s="26" t="str">
        <f t="shared" si="1787"/>
        <v>I</v>
      </c>
      <c r="G1800" s="8"/>
      <c r="K1800" s="9">
        <f t="shared" si="1790"/>
        <v>0</v>
      </c>
      <c r="M1800" s="11">
        <f t="shared" ref="M1800:M1811" si="1813">(L1800*50)</f>
        <v>0</v>
      </c>
      <c r="O1800" s="11">
        <f t="shared" ref="O1800:O1811" si="1814">(N1800*50)</f>
        <v>0</v>
      </c>
      <c r="Q1800" s="11">
        <f t="shared" ref="Q1800:Q1811" si="1815">((P1800*330)/5.5)</f>
        <v>0</v>
      </c>
      <c r="Y1800" s="11">
        <f t="shared" ref="Y1800:Y1811" si="1816">((X1800*330)/5.5)</f>
        <v>0</v>
      </c>
      <c r="AG1800" s="11">
        <f t="shared" ref="AG1800:AG1811" si="1817">(AF1800*65)</f>
        <v>0</v>
      </c>
      <c r="AI1800" s="11">
        <f t="shared" ref="AI1800:AI1811" si="1818">(AH1800*65)</f>
        <v>0</v>
      </c>
      <c r="AK1800" s="13">
        <f t="shared" ref="AK1800:AK1811" si="1819">(AJ1800*9)</f>
        <v>0</v>
      </c>
      <c r="AM1800" s="13">
        <f t="shared" ref="AM1800:AM1811" si="1820">(AL1800*9)</f>
        <v>0</v>
      </c>
      <c r="AO1800" s="11">
        <f t="shared" ref="AO1800:AO1811" si="1821">(AN1800*80)</f>
        <v>0</v>
      </c>
      <c r="AQ1800" s="11">
        <f t="shared" ref="AQ1800:AQ1811" si="1822">(AP1800*80)</f>
        <v>0</v>
      </c>
      <c r="AS1800" s="11">
        <f t="shared" ref="AS1800:AS1811" si="1823">(AR1800*50)</f>
        <v>0</v>
      </c>
      <c r="AU1800" s="11">
        <f t="shared" ref="AU1800:AU1811" si="1824">(AT1800*50)</f>
        <v>0</v>
      </c>
      <c r="AW1800" s="11">
        <f t="shared" ref="AW1800:AW1811" si="1825">(AV1800*60)</f>
        <v>0</v>
      </c>
      <c r="AY1800" s="11">
        <f t="shared" ref="AY1800:AY1811" si="1826">(AX1800*60)</f>
        <v>0</v>
      </c>
      <c r="BA1800" s="11">
        <f t="shared" ref="BA1800:BA1811" si="1827">(AZ1800*40)</f>
        <v>0</v>
      </c>
      <c r="BC1800" s="11">
        <f t="shared" ref="BC1800:BC1811" si="1828">(BB1800*40)</f>
        <v>0</v>
      </c>
      <c r="BE1800" s="11">
        <f t="shared" ref="BE1800:BE1811" si="1829">(BD1800*95)</f>
        <v>0</v>
      </c>
      <c r="BG1800" s="11">
        <f t="shared" ref="BG1800:BG1811" si="1830">(BF1800*95)</f>
        <v>0</v>
      </c>
      <c r="BN1800" s="8">
        <f t="shared" si="1788"/>
        <v>0</v>
      </c>
      <c r="BO1800" s="8">
        <f t="shared" si="1789"/>
        <v>0</v>
      </c>
      <c r="BP1800" s="8">
        <f t="shared" si="1809"/>
        <v>0</v>
      </c>
      <c r="BQ1800" s="12">
        <f t="shared" si="1810"/>
        <v>0</v>
      </c>
    </row>
    <row r="1801" spans="1:69">
      <c r="A1801" s="28">
        <v>1956</v>
      </c>
      <c r="B1801" s="27" t="s">
        <v>82</v>
      </c>
      <c r="C1801" s="24">
        <f t="shared" ref="C1801:C1857" si="1831">C1800</f>
        <v>1800</v>
      </c>
      <c r="D1801" s="7" t="e">
        <f t="shared" ca="1" si="1811"/>
        <v>#N/A</v>
      </c>
      <c r="E1801" s="26">
        <f t="array" aca="1" ref="E1801" ca="1">AVERAGE(IF(INDIRECT(DatCol&amp;"$"&amp;TEXT(C1801,"###")):INDIRECT(DatCol&amp;"$"&amp;TEXT(C1801+57,"###"))&gt;0,INDIRECT(DatCol&amp;"$"&amp;TEXT(C1801,"###")):INDIRECT(DatCol&amp;"$"&amp;TEXT(C1801+57,"###"))))</f>
        <v>117.12487804878053</v>
      </c>
      <c r="F1801" s="26" t="str">
        <f t="shared" si="1787"/>
        <v>I</v>
      </c>
      <c r="G1801" s="8"/>
      <c r="K1801" s="9">
        <f t="shared" si="1790"/>
        <v>0</v>
      </c>
      <c r="M1801" s="11">
        <f t="shared" si="1813"/>
        <v>0</v>
      </c>
      <c r="O1801" s="11">
        <f t="shared" si="1814"/>
        <v>0</v>
      </c>
      <c r="Q1801" s="11">
        <f t="shared" si="1815"/>
        <v>0</v>
      </c>
      <c r="Y1801" s="11">
        <f t="shared" si="1816"/>
        <v>0</v>
      </c>
      <c r="AG1801" s="11">
        <f t="shared" si="1817"/>
        <v>0</v>
      </c>
      <c r="AI1801" s="11">
        <f t="shared" si="1818"/>
        <v>0</v>
      </c>
      <c r="AK1801" s="13">
        <f t="shared" si="1819"/>
        <v>0</v>
      </c>
      <c r="AM1801" s="13">
        <f t="shared" si="1820"/>
        <v>0</v>
      </c>
      <c r="AO1801" s="11">
        <f t="shared" si="1821"/>
        <v>0</v>
      </c>
      <c r="AQ1801" s="11">
        <f t="shared" si="1822"/>
        <v>0</v>
      </c>
      <c r="AS1801" s="11">
        <f t="shared" si="1823"/>
        <v>0</v>
      </c>
      <c r="AU1801" s="11">
        <f t="shared" si="1824"/>
        <v>0</v>
      </c>
      <c r="AW1801" s="11">
        <f t="shared" si="1825"/>
        <v>0</v>
      </c>
      <c r="AY1801" s="11">
        <f t="shared" si="1826"/>
        <v>0</v>
      </c>
      <c r="BA1801" s="11">
        <f t="shared" si="1827"/>
        <v>0</v>
      </c>
      <c r="BC1801" s="11">
        <f t="shared" si="1828"/>
        <v>0</v>
      </c>
      <c r="BE1801" s="11">
        <f t="shared" si="1829"/>
        <v>0</v>
      </c>
      <c r="BG1801" s="11">
        <f t="shared" si="1830"/>
        <v>0</v>
      </c>
      <c r="BN1801" s="8">
        <f t="shared" si="1788"/>
        <v>0</v>
      </c>
      <c r="BO1801" s="8">
        <f t="shared" si="1789"/>
        <v>0</v>
      </c>
      <c r="BP1801" s="8">
        <f t="shared" si="1809"/>
        <v>0</v>
      </c>
      <c r="BQ1801" s="12">
        <f t="shared" si="1810"/>
        <v>0</v>
      </c>
    </row>
    <row r="1802" spans="1:69">
      <c r="A1802" s="28">
        <v>1957</v>
      </c>
      <c r="B1802" s="27" t="s">
        <v>82</v>
      </c>
      <c r="C1802" s="24">
        <f t="shared" si="1831"/>
        <v>1800</v>
      </c>
      <c r="D1802" s="7" t="e">
        <f t="shared" ca="1" si="1811"/>
        <v>#N/A</v>
      </c>
      <c r="E1802" s="26">
        <f t="array" aca="1" ref="E1802" ca="1">AVERAGE(IF(INDIRECT(DatCol&amp;"$"&amp;TEXT(C1802,"###")):INDIRECT(DatCol&amp;"$"&amp;TEXT(C1802+57,"###"))&gt;0,INDIRECT(DatCol&amp;"$"&amp;TEXT(C1802,"###")):INDIRECT(DatCol&amp;"$"&amp;TEXT(C1802+57,"###"))))</f>
        <v>117.12487804878053</v>
      </c>
      <c r="F1802" s="26" t="str">
        <f t="shared" si="1787"/>
        <v>I</v>
      </c>
      <c r="G1802" s="8"/>
      <c r="K1802" s="9">
        <f t="shared" si="1790"/>
        <v>0</v>
      </c>
      <c r="M1802" s="11">
        <f t="shared" si="1813"/>
        <v>0</v>
      </c>
      <c r="O1802" s="11">
        <f t="shared" si="1814"/>
        <v>0</v>
      </c>
      <c r="Q1802" s="11">
        <f t="shared" si="1815"/>
        <v>0</v>
      </c>
      <c r="Y1802" s="11">
        <f t="shared" si="1816"/>
        <v>0</v>
      </c>
      <c r="AG1802" s="11">
        <f t="shared" si="1817"/>
        <v>0</v>
      </c>
      <c r="AI1802" s="11">
        <f t="shared" si="1818"/>
        <v>0</v>
      </c>
      <c r="AK1802" s="13">
        <f t="shared" si="1819"/>
        <v>0</v>
      </c>
      <c r="AM1802" s="13">
        <f t="shared" si="1820"/>
        <v>0</v>
      </c>
      <c r="AO1802" s="11">
        <f t="shared" si="1821"/>
        <v>0</v>
      </c>
      <c r="AQ1802" s="11">
        <f t="shared" si="1822"/>
        <v>0</v>
      </c>
      <c r="AS1802" s="11">
        <f t="shared" si="1823"/>
        <v>0</v>
      </c>
      <c r="AU1802" s="11">
        <f t="shared" si="1824"/>
        <v>0</v>
      </c>
      <c r="AW1802" s="11">
        <f t="shared" si="1825"/>
        <v>0</v>
      </c>
      <c r="AY1802" s="11">
        <f t="shared" si="1826"/>
        <v>0</v>
      </c>
      <c r="BA1802" s="11">
        <f t="shared" si="1827"/>
        <v>0</v>
      </c>
      <c r="BC1802" s="11">
        <f t="shared" si="1828"/>
        <v>0</v>
      </c>
      <c r="BE1802" s="11">
        <f t="shared" si="1829"/>
        <v>0</v>
      </c>
      <c r="BG1802" s="11">
        <f t="shared" si="1830"/>
        <v>0</v>
      </c>
      <c r="BN1802" s="8">
        <f t="shared" si="1788"/>
        <v>0</v>
      </c>
      <c r="BO1802" s="8">
        <f t="shared" si="1789"/>
        <v>0</v>
      </c>
      <c r="BP1802" s="8">
        <f t="shared" si="1809"/>
        <v>0</v>
      </c>
      <c r="BQ1802" s="12">
        <f t="shared" si="1810"/>
        <v>0</v>
      </c>
    </row>
    <row r="1803" spans="1:69">
      <c r="A1803" s="28">
        <v>1958</v>
      </c>
      <c r="B1803" s="27" t="s">
        <v>82</v>
      </c>
      <c r="C1803" s="24">
        <f t="shared" si="1831"/>
        <v>1800</v>
      </c>
      <c r="D1803" s="7" t="e">
        <f t="shared" ca="1" si="1811"/>
        <v>#N/A</v>
      </c>
      <c r="E1803" s="26">
        <f t="array" aca="1" ref="E1803" ca="1">AVERAGE(IF(INDIRECT(DatCol&amp;"$"&amp;TEXT(C1803,"###")):INDIRECT(DatCol&amp;"$"&amp;TEXT(C1803+57,"###"))&gt;0,INDIRECT(DatCol&amp;"$"&amp;TEXT(C1803,"###")):INDIRECT(DatCol&amp;"$"&amp;TEXT(C1803+57,"###"))))</f>
        <v>117.12487804878053</v>
      </c>
      <c r="F1803" s="26" t="str">
        <f t="shared" si="1787"/>
        <v>I</v>
      </c>
      <c r="G1803" s="8"/>
      <c r="K1803" s="9">
        <f t="shared" si="1790"/>
        <v>0</v>
      </c>
      <c r="M1803" s="11">
        <f t="shared" si="1813"/>
        <v>0</v>
      </c>
      <c r="O1803" s="11">
        <f t="shared" si="1814"/>
        <v>0</v>
      </c>
      <c r="Q1803" s="11">
        <f t="shared" si="1815"/>
        <v>0</v>
      </c>
      <c r="Y1803" s="11">
        <f t="shared" si="1816"/>
        <v>0</v>
      </c>
      <c r="AG1803" s="11">
        <f t="shared" si="1817"/>
        <v>0</v>
      </c>
      <c r="AI1803" s="11">
        <f t="shared" si="1818"/>
        <v>0</v>
      </c>
      <c r="AK1803" s="13">
        <f t="shared" si="1819"/>
        <v>0</v>
      </c>
      <c r="AM1803" s="13">
        <f t="shared" si="1820"/>
        <v>0</v>
      </c>
      <c r="AO1803" s="11">
        <f t="shared" si="1821"/>
        <v>0</v>
      </c>
      <c r="AQ1803" s="11">
        <f t="shared" si="1822"/>
        <v>0</v>
      </c>
      <c r="AS1803" s="11">
        <f t="shared" si="1823"/>
        <v>0</v>
      </c>
      <c r="AU1803" s="11">
        <f t="shared" si="1824"/>
        <v>0</v>
      </c>
      <c r="AW1803" s="11">
        <f t="shared" si="1825"/>
        <v>0</v>
      </c>
      <c r="AY1803" s="11">
        <f t="shared" si="1826"/>
        <v>0</v>
      </c>
      <c r="BA1803" s="11">
        <f t="shared" si="1827"/>
        <v>0</v>
      </c>
      <c r="BC1803" s="11">
        <f t="shared" si="1828"/>
        <v>0</v>
      </c>
      <c r="BE1803" s="11">
        <f t="shared" si="1829"/>
        <v>0</v>
      </c>
      <c r="BG1803" s="11">
        <f t="shared" si="1830"/>
        <v>0</v>
      </c>
      <c r="BN1803" s="8">
        <f t="shared" si="1788"/>
        <v>0</v>
      </c>
      <c r="BO1803" s="8">
        <f t="shared" si="1789"/>
        <v>0</v>
      </c>
      <c r="BP1803" s="8">
        <f t="shared" si="1809"/>
        <v>0</v>
      </c>
      <c r="BQ1803" s="12">
        <f t="shared" si="1810"/>
        <v>0</v>
      </c>
    </row>
    <row r="1804" spans="1:69">
      <c r="A1804" s="28">
        <v>1959</v>
      </c>
      <c r="B1804" s="27" t="s">
        <v>82</v>
      </c>
      <c r="C1804" s="24">
        <f t="shared" si="1831"/>
        <v>1800</v>
      </c>
      <c r="D1804" s="7" t="e">
        <f t="shared" ca="1" si="1811"/>
        <v>#N/A</v>
      </c>
      <c r="E1804" s="26">
        <f t="array" aca="1" ref="E1804" ca="1">AVERAGE(IF(INDIRECT(DatCol&amp;"$"&amp;TEXT(C1804,"###")):INDIRECT(DatCol&amp;"$"&amp;TEXT(C1804+57,"###"))&gt;0,INDIRECT(DatCol&amp;"$"&amp;TEXT(C1804,"###")):INDIRECT(DatCol&amp;"$"&amp;TEXT(C1804+57,"###"))))</f>
        <v>117.12487804878053</v>
      </c>
      <c r="F1804" s="26" t="str">
        <f t="shared" si="1787"/>
        <v>I</v>
      </c>
      <c r="G1804" s="8"/>
      <c r="K1804" s="9">
        <f t="shared" si="1790"/>
        <v>0</v>
      </c>
      <c r="M1804" s="11">
        <f t="shared" si="1813"/>
        <v>0</v>
      </c>
      <c r="O1804" s="11">
        <f t="shared" si="1814"/>
        <v>0</v>
      </c>
      <c r="Q1804" s="11">
        <f t="shared" si="1815"/>
        <v>0</v>
      </c>
      <c r="Y1804" s="11">
        <f t="shared" si="1816"/>
        <v>0</v>
      </c>
      <c r="AG1804" s="11">
        <f t="shared" si="1817"/>
        <v>0</v>
      </c>
      <c r="AI1804" s="11">
        <f t="shared" si="1818"/>
        <v>0</v>
      </c>
      <c r="AK1804" s="13">
        <f t="shared" si="1819"/>
        <v>0</v>
      </c>
      <c r="AM1804" s="13">
        <f t="shared" si="1820"/>
        <v>0</v>
      </c>
      <c r="AO1804" s="11">
        <f t="shared" si="1821"/>
        <v>0</v>
      </c>
      <c r="AQ1804" s="11">
        <f t="shared" si="1822"/>
        <v>0</v>
      </c>
      <c r="AS1804" s="11">
        <f t="shared" si="1823"/>
        <v>0</v>
      </c>
      <c r="AU1804" s="11">
        <f t="shared" si="1824"/>
        <v>0</v>
      </c>
      <c r="AW1804" s="11">
        <f t="shared" si="1825"/>
        <v>0</v>
      </c>
      <c r="AY1804" s="11">
        <f t="shared" si="1826"/>
        <v>0</v>
      </c>
      <c r="BA1804" s="11">
        <f t="shared" si="1827"/>
        <v>0</v>
      </c>
      <c r="BC1804" s="11">
        <f t="shared" si="1828"/>
        <v>0</v>
      </c>
      <c r="BE1804" s="11">
        <f t="shared" si="1829"/>
        <v>0</v>
      </c>
      <c r="BG1804" s="11">
        <f t="shared" si="1830"/>
        <v>0</v>
      </c>
      <c r="BN1804" s="8">
        <f t="shared" si="1788"/>
        <v>0</v>
      </c>
      <c r="BO1804" s="8">
        <f t="shared" si="1789"/>
        <v>0</v>
      </c>
      <c r="BP1804" s="8">
        <f t="shared" si="1809"/>
        <v>0</v>
      </c>
      <c r="BQ1804" s="12">
        <f t="shared" si="1810"/>
        <v>0</v>
      </c>
    </row>
    <row r="1805" spans="1:69">
      <c r="A1805" s="28">
        <v>1960</v>
      </c>
      <c r="B1805" s="27" t="s">
        <v>82</v>
      </c>
      <c r="C1805" s="24">
        <f t="shared" si="1831"/>
        <v>1800</v>
      </c>
      <c r="D1805" s="7" t="e">
        <f t="shared" ca="1" si="1811"/>
        <v>#N/A</v>
      </c>
      <c r="E1805" s="26">
        <f t="array" aca="1" ref="E1805" ca="1">AVERAGE(IF(INDIRECT(DatCol&amp;"$"&amp;TEXT(C1805,"###")):INDIRECT(DatCol&amp;"$"&amp;TEXT(C1805+57,"###"))&gt;0,INDIRECT(DatCol&amp;"$"&amp;TEXT(C1805,"###")):INDIRECT(DatCol&amp;"$"&amp;TEXT(C1805+57,"###"))))</f>
        <v>117.12487804878053</v>
      </c>
      <c r="F1805" s="26" t="str">
        <f t="shared" si="1787"/>
        <v>I</v>
      </c>
      <c r="G1805" s="8"/>
      <c r="K1805" s="9">
        <f t="shared" si="1790"/>
        <v>0</v>
      </c>
      <c r="M1805" s="11">
        <f t="shared" si="1813"/>
        <v>0</v>
      </c>
      <c r="O1805" s="11">
        <f t="shared" si="1814"/>
        <v>0</v>
      </c>
      <c r="Q1805" s="11">
        <f t="shared" si="1815"/>
        <v>0</v>
      </c>
      <c r="Y1805" s="11">
        <f t="shared" si="1816"/>
        <v>0</v>
      </c>
      <c r="AG1805" s="11">
        <f t="shared" si="1817"/>
        <v>0</v>
      </c>
      <c r="AI1805" s="11">
        <f t="shared" si="1818"/>
        <v>0</v>
      </c>
      <c r="AK1805" s="13">
        <f t="shared" si="1819"/>
        <v>0</v>
      </c>
      <c r="AM1805" s="13">
        <f t="shared" si="1820"/>
        <v>0</v>
      </c>
      <c r="AO1805" s="11">
        <f t="shared" si="1821"/>
        <v>0</v>
      </c>
      <c r="AQ1805" s="11">
        <f t="shared" si="1822"/>
        <v>0</v>
      </c>
      <c r="AS1805" s="11">
        <f t="shared" si="1823"/>
        <v>0</v>
      </c>
      <c r="AU1805" s="11">
        <f t="shared" si="1824"/>
        <v>0</v>
      </c>
      <c r="AW1805" s="11">
        <f t="shared" si="1825"/>
        <v>0</v>
      </c>
      <c r="AY1805" s="11">
        <f t="shared" si="1826"/>
        <v>0</v>
      </c>
      <c r="BA1805" s="11">
        <f t="shared" si="1827"/>
        <v>0</v>
      </c>
      <c r="BC1805" s="11">
        <f t="shared" si="1828"/>
        <v>0</v>
      </c>
      <c r="BE1805" s="11">
        <f t="shared" si="1829"/>
        <v>0</v>
      </c>
      <c r="BG1805" s="11">
        <f t="shared" si="1830"/>
        <v>0</v>
      </c>
      <c r="BN1805" s="8">
        <f t="shared" si="1788"/>
        <v>0</v>
      </c>
      <c r="BO1805" s="8">
        <f t="shared" si="1789"/>
        <v>0</v>
      </c>
      <c r="BP1805" s="8">
        <f t="shared" si="1809"/>
        <v>0</v>
      </c>
      <c r="BQ1805" s="12">
        <f t="shared" si="1810"/>
        <v>0</v>
      </c>
    </row>
    <row r="1806" spans="1:69">
      <c r="A1806" s="28">
        <v>1961</v>
      </c>
      <c r="B1806" s="27" t="s">
        <v>82</v>
      </c>
      <c r="C1806" s="24">
        <f t="shared" si="1831"/>
        <v>1800</v>
      </c>
      <c r="D1806" s="7" t="e">
        <f t="shared" ca="1" si="1811"/>
        <v>#N/A</v>
      </c>
      <c r="E1806" s="26">
        <f t="array" aca="1" ref="E1806" ca="1">AVERAGE(IF(INDIRECT(DatCol&amp;"$"&amp;TEXT(C1806,"###")):INDIRECT(DatCol&amp;"$"&amp;TEXT(C1806+57,"###"))&gt;0,INDIRECT(DatCol&amp;"$"&amp;TEXT(C1806,"###")):INDIRECT(DatCol&amp;"$"&amp;TEXT(C1806+57,"###"))))</f>
        <v>117.12487804878053</v>
      </c>
      <c r="F1806" s="26" t="str">
        <f t="shared" si="1787"/>
        <v>I</v>
      </c>
      <c r="G1806" s="8"/>
      <c r="K1806" s="9">
        <f t="shared" si="1790"/>
        <v>0</v>
      </c>
      <c r="M1806" s="11">
        <f t="shared" si="1813"/>
        <v>0</v>
      </c>
      <c r="O1806" s="11">
        <f t="shared" si="1814"/>
        <v>0</v>
      </c>
      <c r="Q1806" s="11">
        <f t="shared" si="1815"/>
        <v>0</v>
      </c>
      <c r="Y1806" s="11">
        <f t="shared" si="1816"/>
        <v>0</v>
      </c>
      <c r="AG1806" s="11">
        <f t="shared" si="1817"/>
        <v>0</v>
      </c>
      <c r="AI1806" s="11">
        <f t="shared" si="1818"/>
        <v>0</v>
      </c>
      <c r="AK1806" s="13">
        <f t="shared" si="1819"/>
        <v>0</v>
      </c>
      <c r="AM1806" s="13">
        <f t="shared" si="1820"/>
        <v>0</v>
      </c>
      <c r="AO1806" s="11">
        <f t="shared" si="1821"/>
        <v>0</v>
      </c>
      <c r="AQ1806" s="11">
        <f t="shared" si="1822"/>
        <v>0</v>
      </c>
      <c r="AS1806" s="11">
        <f t="shared" si="1823"/>
        <v>0</v>
      </c>
      <c r="AU1806" s="11">
        <f t="shared" si="1824"/>
        <v>0</v>
      </c>
      <c r="AW1806" s="11">
        <f t="shared" si="1825"/>
        <v>0</v>
      </c>
      <c r="AY1806" s="11">
        <f t="shared" si="1826"/>
        <v>0</v>
      </c>
      <c r="BA1806" s="11">
        <f t="shared" si="1827"/>
        <v>0</v>
      </c>
      <c r="BC1806" s="11">
        <f t="shared" si="1828"/>
        <v>0</v>
      </c>
      <c r="BE1806" s="11">
        <f t="shared" si="1829"/>
        <v>0</v>
      </c>
      <c r="BG1806" s="11">
        <f t="shared" si="1830"/>
        <v>0</v>
      </c>
      <c r="BN1806" s="8">
        <f t="shared" si="1788"/>
        <v>0</v>
      </c>
      <c r="BO1806" s="8">
        <f t="shared" si="1789"/>
        <v>0</v>
      </c>
      <c r="BP1806" s="8">
        <f t="shared" si="1809"/>
        <v>0</v>
      </c>
      <c r="BQ1806" s="12">
        <f t="shared" si="1810"/>
        <v>0</v>
      </c>
    </row>
    <row r="1807" spans="1:69">
      <c r="A1807" s="28">
        <v>1962</v>
      </c>
      <c r="B1807" s="27" t="s">
        <v>82</v>
      </c>
      <c r="C1807" s="24">
        <f t="shared" si="1831"/>
        <v>1800</v>
      </c>
      <c r="D1807" s="7" t="e">
        <f t="shared" ca="1" si="1811"/>
        <v>#N/A</v>
      </c>
      <c r="E1807" s="26">
        <f t="array" aca="1" ref="E1807" ca="1">AVERAGE(IF(INDIRECT(DatCol&amp;"$"&amp;TEXT(C1807,"###")):INDIRECT(DatCol&amp;"$"&amp;TEXT(C1807+57,"###"))&gt;0,INDIRECT(DatCol&amp;"$"&amp;TEXT(C1807,"###")):INDIRECT(DatCol&amp;"$"&amp;TEXT(C1807+57,"###"))))</f>
        <v>117.12487804878053</v>
      </c>
      <c r="F1807" s="26" t="str">
        <f t="shared" si="1787"/>
        <v>I</v>
      </c>
      <c r="G1807" s="8"/>
      <c r="K1807" s="9">
        <f t="shared" si="1790"/>
        <v>0</v>
      </c>
      <c r="M1807" s="11">
        <f t="shared" si="1813"/>
        <v>0</v>
      </c>
      <c r="O1807" s="11">
        <f t="shared" si="1814"/>
        <v>0</v>
      </c>
      <c r="Q1807" s="11">
        <f t="shared" si="1815"/>
        <v>0</v>
      </c>
      <c r="Y1807" s="11">
        <f t="shared" si="1816"/>
        <v>0</v>
      </c>
      <c r="AG1807" s="11">
        <f t="shared" si="1817"/>
        <v>0</v>
      </c>
      <c r="AI1807" s="11">
        <f t="shared" si="1818"/>
        <v>0</v>
      </c>
      <c r="AK1807" s="13">
        <f t="shared" si="1819"/>
        <v>0</v>
      </c>
      <c r="AM1807" s="13">
        <f t="shared" si="1820"/>
        <v>0</v>
      </c>
      <c r="AO1807" s="11">
        <f t="shared" si="1821"/>
        <v>0</v>
      </c>
      <c r="AQ1807" s="11">
        <f t="shared" si="1822"/>
        <v>0</v>
      </c>
      <c r="AS1807" s="11">
        <f t="shared" si="1823"/>
        <v>0</v>
      </c>
      <c r="AU1807" s="11">
        <f t="shared" si="1824"/>
        <v>0</v>
      </c>
      <c r="AW1807" s="11">
        <f t="shared" si="1825"/>
        <v>0</v>
      </c>
      <c r="AY1807" s="11">
        <f t="shared" si="1826"/>
        <v>0</v>
      </c>
      <c r="BA1807" s="11">
        <f t="shared" si="1827"/>
        <v>0</v>
      </c>
      <c r="BC1807" s="11">
        <f t="shared" si="1828"/>
        <v>0</v>
      </c>
      <c r="BE1807" s="11">
        <f t="shared" si="1829"/>
        <v>0</v>
      </c>
      <c r="BG1807" s="11">
        <f t="shared" si="1830"/>
        <v>0</v>
      </c>
      <c r="BN1807" s="8">
        <f t="shared" si="1788"/>
        <v>0</v>
      </c>
      <c r="BO1807" s="8">
        <f t="shared" si="1789"/>
        <v>0</v>
      </c>
      <c r="BP1807" s="8">
        <f t="shared" si="1809"/>
        <v>0</v>
      </c>
      <c r="BQ1807" s="12">
        <f t="shared" si="1810"/>
        <v>0</v>
      </c>
    </row>
    <row r="1808" spans="1:69">
      <c r="A1808" s="28">
        <v>1963</v>
      </c>
      <c r="B1808" s="27" t="s">
        <v>82</v>
      </c>
      <c r="C1808" s="24">
        <f t="shared" si="1831"/>
        <v>1800</v>
      </c>
      <c r="D1808" s="7" t="e">
        <f t="shared" ca="1" si="1811"/>
        <v>#N/A</v>
      </c>
      <c r="E1808" s="26">
        <f t="array" aca="1" ref="E1808" ca="1">AVERAGE(IF(INDIRECT(DatCol&amp;"$"&amp;TEXT(C1808,"###")):INDIRECT(DatCol&amp;"$"&amp;TEXT(C1808+57,"###"))&gt;0,INDIRECT(DatCol&amp;"$"&amp;TEXT(C1808,"###")):INDIRECT(DatCol&amp;"$"&amp;TEXT(C1808+57,"###"))))</f>
        <v>117.12487804878053</v>
      </c>
      <c r="F1808" s="26" t="str">
        <f t="shared" si="1787"/>
        <v>I</v>
      </c>
      <c r="G1808" s="8"/>
      <c r="K1808" s="9">
        <f t="shared" si="1790"/>
        <v>0</v>
      </c>
      <c r="L1808" s="12">
        <v>397</v>
      </c>
      <c r="M1808" s="11">
        <f t="shared" si="1813"/>
        <v>19850</v>
      </c>
      <c r="O1808" s="11">
        <f t="shared" si="1814"/>
        <v>0</v>
      </c>
      <c r="P1808" s="12">
        <v>318</v>
      </c>
      <c r="Q1808" s="11">
        <f t="shared" si="1815"/>
        <v>19080</v>
      </c>
      <c r="X1808" s="12">
        <v>163</v>
      </c>
      <c r="Y1808" s="11">
        <f t="shared" si="1816"/>
        <v>9780</v>
      </c>
      <c r="AG1808" s="11">
        <f t="shared" si="1817"/>
        <v>0</v>
      </c>
      <c r="AI1808" s="11">
        <f t="shared" si="1818"/>
        <v>0</v>
      </c>
      <c r="AJ1808" s="12">
        <v>738</v>
      </c>
      <c r="AK1808" s="13">
        <f t="shared" si="1819"/>
        <v>6642</v>
      </c>
      <c r="AL1808" s="12">
        <v>38</v>
      </c>
      <c r="AM1808" s="13">
        <f t="shared" si="1820"/>
        <v>342</v>
      </c>
      <c r="AO1808" s="11">
        <f t="shared" si="1821"/>
        <v>0</v>
      </c>
      <c r="AQ1808" s="11">
        <f t="shared" si="1822"/>
        <v>0</v>
      </c>
      <c r="AS1808" s="11">
        <f t="shared" si="1823"/>
        <v>0</v>
      </c>
      <c r="AU1808" s="11">
        <f t="shared" si="1824"/>
        <v>0</v>
      </c>
      <c r="AW1808" s="11">
        <f t="shared" si="1825"/>
        <v>0</v>
      </c>
      <c r="AY1808" s="11">
        <f t="shared" si="1826"/>
        <v>0</v>
      </c>
      <c r="BA1808" s="11">
        <f t="shared" si="1827"/>
        <v>0</v>
      </c>
      <c r="BC1808" s="11">
        <f t="shared" si="1828"/>
        <v>0</v>
      </c>
      <c r="BE1808" s="11">
        <f t="shared" si="1829"/>
        <v>0</v>
      </c>
      <c r="BG1808" s="11">
        <f t="shared" si="1830"/>
        <v>0</v>
      </c>
      <c r="BN1808" s="8">
        <f t="shared" si="1788"/>
        <v>1616</v>
      </c>
      <c r="BO1808" s="8">
        <f t="shared" si="1789"/>
        <v>55352</v>
      </c>
      <c r="BP1808" s="8">
        <f t="shared" si="1809"/>
        <v>201</v>
      </c>
      <c r="BQ1808" s="12">
        <f t="shared" si="1810"/>
        <v>10122</v>
      </c>
    </row>
    <row r="1809" spans="1:69">
      <c r="A1809" s="28">
        <v>1964</v>
      </c>
      <c r="B1809" s="27" t="s">
        <v>82</v>
      </c>
      <c r="C1809" s="24">
        <f t="shared" si="1831"/>
        <v>1800</v>
      </c>
      <c r="D1809" s="7" t="e">
        <f t="shared" ca="1" si="1811"/>
        <v>#N/A</v>
      </c>
      <c r="E1809" s="26">
        <f t="array" aca="1" ref="E1809" ca="1">AVERAGE(IF(INDIRECT(DatCol&amp;"$"&amp;TEXT(C1809,"###")):INDIRECT(DatCol&amp;"$"&amp;TEXT(C1809+57,"###"))&gt;0,INDIRECT(DatCol&amp;"$"&amp;TEXT(C1809,"###")):INDIRECT(DatCol&amp;"$"&amp;TEXT(C1809+57,"###"))))</f>
        <v>117.12487804878053</v>
      </c>
      <c r="F1809" s="26" t="str">
        <f t="shared" si="1787"/>
        <v>I</v>
      </c>
      <c r="G1809" s="8"/>
      <c r="K1809" s="9">
        <f t="shared" si="1790"/>
        <v>0</v>
      </c>
      <c r="M1809" s="11">
        <f t="shared" si="1813"/>
        <v>0</v>
      </c>
      <c r="N1809" s="12">
        <v>24</v>
      </c>
      <c r="O1809" s="11">
        <f t="shared" si="1814"/>
        <v>1200</v>
      </c>
      <c r="P1809" s="12">
        <v>769</v>
      </c>
      <c r="Q1809" s="11">
        <f t="shared" si="1815"/>
        <v>46140</v>
      </c>
      <c r="X1809" s="12">
        <v>86</v>
      </c>
      <c r="Y1809" s="11">
        <f t="shared" si="1816"/>
        <v>5160</v>
      </c>
      <c r="AG1809" s="11">
        <f t="shared" si="1817"/>
        <v>0</v>
      </c>
      <c r="AI1809" s="11">
        <f t="shared" si="1818"/>
        <v>0</v>
      </c>
      <c r="AJ1809" s="12">
        <v>2697</v>
      </c>
      <c r="AK1809" s="13">
        <f t="shared" si="1819"/>
        <v>24273</v>
      </c>
      <c r="AL1809" s="12">
        <v>79</v>
      </c>
      <c r="AM1809" s="13">
        <f t="shared" si="1820"/>
        <v>711</v>
      </c>
      <c r="AO1809" s="11">
        <f t="shared" si="1821"/>
        <v>0</v>
      </c>
      <c r="AQ1809" s="11">
        <f t="shared" si="1822"/>
        <v>0</v>
      </c>
      <c r="AS1809" s="11">
        <f t="shared" si="1823"/>
        <v>0</v>
      </c>
      <c r="AU1809" s="11">
        <f t="shared" si="1824"/>
        <v>0</v>
      </c>
      <c r="AW1809" s="11">
        <f t="shared" si="1825"/>
        <v>0</v>
      </c>
      <c r="AY1809" s="11">
        <f t="shared" si="1826"/>
        <v>0</v>
      </c>
      <c r="BA1809" s="11">
        <f t="shared" si="1827"/>
        <v>0</v>
      </c>
      <c r="BC1809" s="11">
        <f t="shared" si="1828"/>
        <v>0</v>
      </c>
      <c r="BE1809" s="11">
        <f t="shared" si="1829"/>
        <v>0</v>
      </c>
      <c r="BG1809" s="11">
        <f t="shared" si="1830"/>
        <v>0</v>
      </c>
      <c r="BN1809" s="8">
        <f t="shared" si="1788"/>
        <v>3552</v>
      </c>
      <c r="BO1809" s="8">
        <f t="shared" si="1789"/>
        <v>75573</v>
      </c>
      <c r="BP1809" s="8">
        <f t="shared" si="1809"/>
        <v>189</v>
      </c>
      <c r="BQ1809" s="12">
        <f t="shared" si="1810"/>
        <v>7071</v>
      </c>
    </row>
    <row r="1810" spans="1:69">
      <c r="A1810" s="28">
        <v>1965</v>
      </c>
      <c r="B1810" s="27" t="s">
        <v>82</v>
      </c>
      <c r="C1810" s="24">
        <f t="shared" si="1831"/>
        <v>1800</v>
      </c>
      <c r="D1810" s="7" t="e">
        <f t="shared" ca="1" si="1811"/>
        <v>#N/A</v>
      </c>
      <c r="E1810" s="26">
        <f t="array" aca="1" ref="E1810" ca="1">AVERAGE(IF(INDIRECT(DatCol&amp;"$"&amp;TEXT(C1810,"###")):INDIRECT(DatCol&amp;"$"&amp;TEXT(C1810+57,"###"))&gt;0,INDIRECT(DatCol&amp;"$"&amp;TEXT(C1810,"###")):INDIRECT(DatCol&amp;"$"&amp;TEXT(C1810+57,"###"))))</f>
        <v>117.12487804878053</v>
      </c>
      <c r="F1810" s="26" t="str">
        <f t="shared" si="1787"/>
        <v>I</v>
      </c>
      <c r="G1810" s="8"/>
      <c r="K1810" s="9">
        <f t="shared" si="1790"/>
        <v>0</v>
      </c>
      <c r="L1810" s="12">
        <v>42</v>
      </c>
      <c r="M1810" s="11">
        <f t="shared" si="1813"/>
        <v>2100</v>
      </c>
      <c r="O1810" s="11">
        <f t="shared" si="1814"/>
        <v>0</v>
      </c>
      <c r="P1810" s="12">
        <v>784</v>
      </c>
      <c r="Q1810" s="11">
        <f t="shared" si="1815"/>
        <v>47040</v>
      </c>
      <c r="Y1810" s="11">
        <f t="shared" si="1816"/>
        <v>0</v>
      </c>
      <c r="AG1810" s="11">
        <f t="shared" si="1817"/>
        <v>0</v>
      </c>
      <c r="AI1810" s="11">
        <f t="shared" si="1818"/>
        <v>0</v>
      </c>
      <c r="AJ1810" s="12">
        <v>2584</v>
      </c>
      <c r="AK1810" s="13">
        <f t="shared" si="1819"/>
        <v>23256</v>
      </c>
      <c r="AM1810" s="13">
        <f t="shared" si="1820"/>
        <v>0</v>
      </c>
      <c r="AO1810" s="11">
        <f t="shared" si="1821"/>
        <v>0</v>
      </c>
      <c r="AQ1810" s="11">
        <f t="shared" si="1822"/>
        <v>0</v>
      </c>
      <c r="AS1810" s="11">
        <f t="shared" si="1823"/>
        <v>0</v>
      </c>
      <c r="AU1810" s="11">
        <f t="shared" si="1824"/>
        <v>0</v>
      </c>
      <c r="AW1810" s="11">
        <f t="shared" si="1825"/>
        <v>0</v>
      </c>
      <c r="AY1810" s="11">
        <f t="shared" si="1826"/>
        <v>0</v>
      </c>
      <c r="BA1810" s="11">
        <f t="shared" si="1827"/>
        <v>0</v>
      </c>
      <c r="BC1810" s="11">
        <f t="shared" si="1828"/>
        <v>0</v>
      </c>
      <c r="BE1810" s="11">
        <f t="shared" si="1829"/>
        <v>0</v>
      </c>
      <c r="BG1810" s="11">
        <f t="shared" si="1830"/>
        <v>0</v>
      </c>
      <c r="BN1810" s="8">
        <f t="shared" si="1788"/>
        <v>3410</v>
      </c>
      <c r="BO1810" s="8">
        <f t="shared" si="1789"/>
        <v>72396</v>
      </c>
      <c r="BP1810" s="8">
        <f t="shared" si="1809"/>
        <v>0</v>
      </c>
      <c r="BQ1810" s="12">
        <f t="shared" si="1810"/>
        <v>0</v>
      </c>
    </row>
    <row r="1811" spans="1:69">
      <c r="A1811" s="28">
        <v>1966</v>
      </c>
      <c r="B1811" s="27" t="s">
        <v>82</v>
      </c>
      <c r="C1811" s="24">
        <f t="shared" si="1831"/>
        <v>1800</v>
      </c>
      <c r="D1811" s="7" t="e">
        <f t="shared" ca="1" si="1811"/>
        <v>#N/A</v>
      </c>
      <c r="E1811" s="26">
        <f t="array" aca="1" ref="E1811" ca="1">AVERAGE(IF(INDIRECT(DatCol&amp;"$"&amp;TEXT(C1811,"###")):INDIRECT(DatCol&amp;"$"&amp;TEXT(C1811+57,"###"))&gt;0,INDIRECT(DatCol&amp;"$"&amp;TEXT(C1811,"###")):INDIRECT(DatCol&amp;"$"&amp;TEXT(C1811+57,"###"))))</f>
        <v>117.12487804878053</v>
      </c>
      <c r="F1811" s="26" t="str">
        <f t="shared" si="1787"/>
        <v>I</v>
      </c>
      <c r="G1811" s="8"/>
      <c r="H1811" s="8">
        <v>410</v>
      </c>
      <c r="I1811" s="8">
        <v>111</v>
      </c>
      <c r="J1811" s="8">
        <v>157</v>
      </c>
      <c r="K1811" s="9">
        <f t="shared" si="1790"/>
        <v>567</v>
      </c>
      <c r="M1811" s="11">
        <f t="shared" si="1813"/>
        <v>0</v>
      </c>
      <c r="N1811" s="12">
        <v>57</v>
      </c>
      <c r="O1811" s="11">
        <f t="shared" si="1814"/>
        <v>2850</v>
      </c>
      <c r="P1811" s="12">
        <v>49</v>
      </c>
      <c r="Q1811" s="11">
        <f t="shared" si="1815"/>
        <v>2940</v>
      </c>
      <c r="X1811" s="12">
        <v>250</v>
      </c>
      <c r="Y1811" s="11">
        <f t="shared" si="1816"/>
        <v>15000</v>
      </c>
      <c r="AG1811" s="11">
        <f t="shared" si="1817"/>
        <v>0</v>
      </c>
      <c r="AI1811" s="11">
        <f t="shared" si="1818"/>
        <v>0</v>
      </c>
      <c r="AJ1811" s="12">
        <v>1488</v>
      </c>
      <c r="AK1811" s="13">
        <f t="shared" si="1819"/>
        <v>13392</v>
      </c>
      <c r="AL1811" s="12">
        <v>48</v>
      </c>
      <c r="AM1811" s="13">
        <f t="shared" si="1820"/>
        <v>432</v>
      </c>
      <c r="AO1811" s="11">
        <f t="shared" si="1821"/>
        <v>0</v>
      </c>
      <c r="AP1811" s="12">
        <v>12</v>
      </c>
      <c r="AQ1811" s="11">
        <f t="shared" si="1822"/>
        <v>960</v>
      </c>
      <c r="AS1811" s="11">
        <f t="shared" si="1823"/>
        <v>0</v>
      </c>
      <c r="AU1811" s="11">
        <f t="shared" si="1824"/>
        <v>0</v>
      </c>
      <c r="AW1811" s="11">
        <f t="shared" si="1825"/>
        <v>0</v>
      </c>
      <c r="AY1811" s="11">
        <f t="shared" si="1826"/>
        <v>0</v>
      </c>
      <c r="BA1811" s="11">
        <f t="shared" si="1827"/>
        <v>0</v>
      </c>
      <c r="BC1811" s="11">
        <f t="shared" si="1828"/>
        <v>0</v>
      </c>
      <c r="BE1811" s="11">
        <f t="shared" si="1829"/>
        <v>0</v>
      </c>
      <c r="BG1811" s="11">
        <f t="shared" si="1830"/>
        <v>0</v>
      </c>
      <c r="BN1811" s="8">
        <f t="shared" si="1788"/>
        <v>1787</v>
      </c>
      <c r="BO1811" s="8">
        <f t="shared" si="1789"/>
        <v>31332</v>
      </c>
      <c r="BP1811" s="8">
        <f t="shared" si="1809"/>
        <v>367</v>
      </c>
      <c r="BQ1811" s="12">
        <f t="shared" si="1810"/>
        <v>19242</v>
      </c>
    </row>
    <row r="1812" spans="1:69">
      <c r="A1812" s="28">
        <v>1967</v>
      </c>
      <c r="B1812" s="27" t="s">
        <v>82</v>
      </c>
      <c r="C1812" s="24">
        <f t="shared" si="1831"/>
        <v>1800</v>
      </c>
      <c r="D1812" s="7" t="e">
        <f t="shared" ca="1" si="1811"/>
        <v>#N/A</v>
      </c>
      <c r="E1812" s="26">
        <f t="array" aca="1" ref="E1812" ca="1">AVERAGE(IF(INDIRECT(DatCol&amp;"$"&amp;TEXT(C1812,"###")):INDIRECT(DatCol&amp;"$"&amp;TEXT(C1812+57,"###"))&gt;0,INDIRECT(DatCol&amp;"$"&amp;TEXT(C1812,"###")):INDIRECT(DatCol&amp;"$"&amp;TEXT(C1812+57,"###"))))</f>
        <v>117.12487804878053</v>
      </c>
      <c r="F1812" s="26" t="str">
        <f t="shared" si="1787"/>
        <v>I</v>
      </c>
      <c r="G1812" s="8"/>
      <c r="H1812" s="8">
        <v>667</v>
      </c>
      <c r="I1812" s="8">
        <v>35</v>
      </c>
      <c r="J1812" s="8">
        <v>42</v>
      </c>
      <c r="K1812" s="9">
        <f t="shared" si="1790"/>
        <v>709</v>
      </c>
      <c r="L1812" s="12">
        <v>16</v>
      </c>
      <c r="M1812" s="11">
        <f t="shared" ref="M1812:M1827" si="1832">(L1812*50)</f>
        <v>800</v>
      </c>
      <c r="N1812" s="12">
        <v>24</v>
      </c>
      <c r="O1812" s="11">
        <f t="shared" ref="O1812:O1827" si="1833">(N1812*50)</f>
        <v>1200</v>
      </c>
      <c r="P1812" s="12">
        <v>600</v>
      </c>
      <c r="Q1812" s="11">
        <f t="shared" ref="Q1812:Q1827" si="1834">((P1812*330)/5.5)</f>
        <v>36000</v>
      </c>
      <c r="X1812" s="12">
        <v>118</v>
      </c>
      <c r="Y1812" s="11">
        <f t="shared" ref="Y1812:Y1827" si="1835">((X1812*330)/5.5)</f>
        <v>7080</v>
      </c>
      <c r="AG1812" s="11">
        <f t="shared" ref="AG1812:AG1827" si="1836">(AF1812*65)</f>
        <v>0</v>
      </c>
      <c r="AI1812" s="11">
        <f t="shared" ref="AI1812:AI1827" si="1837">(AH1812*65)</f>
        <v>0</v>
      </c>
      <c r="AJ1812" s="12">
        <v>1414</v>
      </c>
      <c r="AK1812" s="13">
        <f t="shared" ref="AK1812:AK1827" si="1838">(AJ1812*9)</f>
        <v>12726</v>
      </c>
      <c r="AL1812" s="12">
        <v>37</v>
      </c>
      <c r="AM1812" s="13">
        <f t="shared" ref="AM1812:AM1827" si="1839">(AL1812*9)</f>
        <v>333</v>
      </c>
      <c r="AO1812" s="11">
        <f t="shared" ref="AO1812:AO1827" si="1840">(AN1812*80)</f>
        <v>0</v>
      </c>
      <c r="AQ1812" s="11">
        <f t="shared" ref="AQ1812:AQ1827" si="1841">(AP1812*80)</f>
        <v>0</v>
      </c>
      <c r="AS1812" s="11">
        <f t="shared" ref="AS1812:AS1827" si="1842">(AR1812*50)</f>
        <v>0</v>
      </c>
      <c r="AU1812" s="11">
        <f t="shared" ref="AU1812:AU1827" si="1843">(AT1812*50)</f>
        <v>0</v>
      </c>
      <c r="AW1812" s="11">
        <f t="shared" ref="AW1812:AW1827" si="1844">(AV1812*60)</f>
        <v>0</v>
      </c>
      <c r="AY1812" s="11">
        <f t="shared" ref="AY1812:AY1827" si="1845">(AX1812*60)</f>
        <v>0</v>
      </c>
      <c r="BA1812" s="11">
        <f t="shared" ref="BA1812:BA1827" si="1846">(AZ1812*40)</f>
        <v>0</v>
      </c>
      <c r="BC1812" s="11">
        <f t="shared" ref="BC1812:BC1827" si="1847">(BB1812*40)</f>
        <v>0</v>
      </c>
      <c r="BE1812" s="11">
        <f t="shared" ref="BE1812:BE1827" si="1848">(BD1812*95)</f>
        <v>0</v>
      </c>
      <c r="BG1812" s="11">
        <f t="shared" ref="BG1812:BG1827" si="1849">(BF1812*95)</f>
        <v>0</v>
      </c>
      <c r="BN1812" s="8">
        <f t="shared" si="1788"/>
        <v>2148</v>
      </c>
      <c r="BO1812" s="8">
        <f t="shared" si="1789"/>
        <v>56606</v>
      </c>
      <c r="BP1812" s="8">
        <f t="shared" si="1809"/>
        <v>179</v>
      </c>
      <c r="BQ1812" s="12">
        <f t="shared" si="1810"/>
        <v>8613</v>
      </c>
    </row>
    <row r="1813" spans="1:69">
      <c r="A1813" s="28">
        <v>1968</v>
      </c>
      <c r="B1813" s="27" t="s">
        <v>82</v>
      </c>
      <c r="C1813" s="24">
        <f t="shared" si="1831"/>
        <v>1800</v>
      </c>
      <c r="D1813" s="7" t="e">
        <f t="shared" ca="1" si="1811"/>
        <v>#N/A</v>
      </c>
      <c r="E1813" s="26">
        <f t="array" aca="1" ref="E1813" ca="1">AVERAGE(IF(INDIRECT(DatCol&amp;"$"&amp;TEXT(C1813,"###")):INDIRECT(DatCol&amp;"$"&amp;TEXT(C1813+57,"###"))&gt;0,INDIRECT(DatCol&amp;"$"&amp;TEXT(C1813,"###")):INDIRECT(DatCol&amp;"$"&amp;TEXT(C1813+57,"###"))))</f>
        <v>117.12487804878053</v>
      </c>
      <c r="F1813" s="26" t="str">
        <f t="shared" si="1787"/>
        <v>I</v>
      </c>
      <c r="G1813" s="8"/>
      <c r="H1813" s="8">
        <v>599</v>
      </c>
      <c r="I1813" s="8">
        <v>34</v>
      </c>
      <c r="J1813" s="8">
        <v>62</v>
      </c>
      <c r="K1813" s="9">
        <f t="shared" si="1790"/>
        <v>661</v>
      </c>
      <c r="M1813" s="11">
        <f t="shared" si="1832"/>
        <v>0</v>
      </c>
      <c r="N1813" s="12">
        <v>32</v>
      </c>
      <c r="O1813" s="11">
        <f t="shared" si="1833"/>
        <v>1600</v>
      </c>
      <c r="Q1813" s="11">
        <f t="shared" si="1834"/>
        <v>0</v>
      </c>
      <c r="X1813" s="12">
        <v>181</v>
      </c>
      <c r="Y1813" s="11">
        <f t="shared" si="1835"/>
        <v>10860</v>
      </c>
      <c r="AG1813" s="11">
        <f t="shared" si="1836"/>
        <v>0</v>
      </c>
      <c r="AI1813" s="11">
        <f t="shared" si="1837"/>
        <v>0</v>
      </c>
      <c r="AK1813" s="13">
        <f t="shared" si="1838"/>
        <v>0</v>
      </c>
      <c r="AL1813" s="12">
        <v>1052</v>
      </c>
      <c r="AM1813" s="13">
        <f t="shared" si="1839"/>
        <v>9468</v>
      </c>
      <c r="AO1813" s="11">
        <f t="shared" si="1840"/>
        <v>0</v>
      </c>
      <c r="AQ1813" s="11">
        <f t="shared" si="1841"/>
        <v>0</v>
      </c>
      <c r="AS1813" s="11">
        <f t="shared" si="1842"/>
        <v>0</v>
      </c>
      <c r="AU1813" s="11">
        <f t="shared" si="1843"/>
        <v>0</v>
      </c>
      <c r="AW1813" s="11">
        <f t="shared" si="1844"/>
        <v>0</v>
      </c>
      <c r="AY1813" s="11">
        <f t="shared" si="1845"/>
        <v>0</v>
      </c>
      <c r="BA1813" s="11">
        <f t="shared" si="1846"/>
        <v>0</v>
      </c>
      <c r="BC1813" s="11">
        <f t="shared" si="1847"/>
        <v>0</v>
      </c>
      <c r="BE1813" s="11">
        <f t="shared" si="1848"/>
        <v>0</v>
      </c>
      <c r="BG1813" s="11">
        <f t="shared" si="1849"/>
        <v>0</v>
      </c>
      <c r="BN1813" s="8">
        <f t="shared" si="1788"/>
        <v>181</v>
      </c>
      <c r="BO1813" s="8">
        <f t="shared" si="1789"/>
        <v>10860</v>
      </c>
      <c r="BP1813" s="8">
        <f t="shared" si="1809"/>
        <v>1265</v>
      </c>
      <c r="BQ1813" s="12">
        <f t="shared" si="1810"/>
        <v>21928</v>
      </c>
    </row>
    <row r="1814" spans="1:69">
      <c r="A1814" s="28">
        <v>1969</v>
      </c>
      <c r="B1814" s="27" t="s">
        <v>82</v>
      </c>
      <c r="C1814" s="24">
        <f t="shared" si="1831"/>
        <v>1800</v>
      </c>
      <c r="D1814" s="7" t="e">
        <f t="shared" ca="1" si="1811"/>
        <v>#N/A</v>
      </c>
      <c r="E1814" s="26">
        <f t="array" aca="1" ref="E1814" ca="1">AVERAGE(IF(INDIRECT(DatCol&amp;"$"&amp;TEXT(C1814,"###")):INDIRECT(DatCol&amp;"$"&amp;TEXT(C1814+57,"###"))&gt;0,INDIRECT(DatCol&amp;"$"&amp;TEXT(C1814,"###")):INDIRECT(DatCol&amp;"$"&amp;TEXT(C1814+57,"###"))))</f>
        <v>117.12487804878053</v>
      </c>
      <c r="F1814" s="26" t="str">
        <f t="shared" si="1787"/>
        <v>I</v>
      </c>
      <c r="G1814" s="8"/>
      <c r="H1814" s="8">
        <v>400</v>
      </c>
      <c r="I1814" s="8">
        <v>56</v>
      </c>
      <c r="K1814" s="9">
        <f t="shared" si="1790"/>
        <v>400</v>
      </c>
      <c r="M1814" s="11">
        <f t="shared" si="1832"/>
        <v>0</v>
      </c>
      <c r="N1814" s="12">
        <v>47</v>
      </c>
      <c r="O1814" s="11">
        <f t="shared" si="1833"/>
        <v>2350</v>
      </c>
      <c r="P1814" s="12">
        <v>424</v>
      </c>
      <c r="Q1814" s="11">
        <f t="shared" si="1834"/>
        <v>25440</v>
      </c>
      <c r="X1814" s="12">
        <v>154</v>
      </c>
      <c r="Y1814" s="11">
        <f t="shared" si="1835"/>
        <v>9240</v>
      </c>
      <c r="AG1814" s="11">
        <f t="shared" si="1836"/>
        <v>0</v>
      </c>
      <c r="AI1814" s="11">
        <f t="shared" si="1837"/>
        <v>0</v>
      </c>
      <c r="AJ1814" s="12">
        <v>2637</v>
      </c>
      <c r="AK1814" s="13">
        <f t="shared" si="1838"/>
        <v>23733</v>
      </c>
      <c r="AL1814" s="12">
        <v>55</v>
      </c>
      <c r="AM1814" s="13">
        <f t="shared" si="1839"/>
        <v>495</v>
      </c>
      <c r="AO1814" s="11">
        <f t="shared" si="1840"/>
        <v>0</v>
      </c>
      <c r="AQ1814" s="11">
        <f t="shared" si="1841"/>
        <v>0</v>
      </c>
      <c r="AS1814" s="11">
        <f t="shared" si="1842"/>
        <v>0</v>
      </c>
      <c r="AU1814" s="11">
        <f t="shared" si="1843"/>
        <v>0</v>
      </c>
      <c r="AW1814" s="11">
        <f t="shared" si="1844"/>
        <v>0</v>
      </c>
      <c r="AY1814" s="11">
        <f t="shared" si="1845"/>
        <v>0</v>
      </c>
      <c r="BA1814" s="11">
        <f t="shared" si="1846"/>
        <v>0</v>
      </c>
      <c r="BC1814" s="11">
        <f t="shared" si="1847"/>
        <v>0</v>
      </c>
      <c r="BE1814" s="11">
        <f t="shared" si="1848"/>
        <v>0</v>
      </c>
      <c r="BG1814" s="11">
        <f t="shared" si="1849"/>
        <v>0</v>
      </c>
      <c r="BN1814" s="8">
        <f t="shared" si="1788"/>
        <v>3215</v>
      </c>
      <c r="BO1814" s="8">
        <f t="shared" si="1789"/>
        <v>58413</v>
      </c>
      <c r="BP1814" s="8">
        <f t="shared" si="1809"/>
        <v>256</v>
      </c>
      <c r="BQ1814" s="12">
        <f t="shared" si="1810"/>
        <v>12085</v>
      </c>
    </row>
    <row r="1815" spans="1:69">
      <c r="A1815" s="28">
        <v>1970</v>
      </c>
      <c r="B1815" s="27" t="s">
        <v>82</v>
      </c>
      <c r="C1815" s="24">
        <f t="shared" si="1831"/>
        <v>1800</v>
      </c>
      <c r="D1815" s="7" t="e">
        <f t="shared" ca="1" si="1811"/>
        <v>#N/A</v>
      </c>
      <c r="E1815" s="26">
        <f t="array" aca="1" ref="E1815" ca="1">AVERAGE(IF(INDIRECT(DatCol&amp;"$"&amp;TEXT(C1815,"###")):INDIRECT(DatCol&amp;"$"&amp;TEXT(C1815+57,"###"))&gt;0,INDIRECT(DatCol&amp;"$"&amp;TEXT(C1815,"###")):INDIRECT(DatCol&amp;"$"&amp;TEXT(C1815+57,"###"))))</f>
        <v>117.12487804878053</v>
      </c>
      <c r="F1815" s="26" t="str">
        <f t="shared" si="1787"/>
        <v>I</v>
      </c>
      <c r="G1815" s="8"/>
      <c r="H1815" s="8">
        <v>18</v>
      </c>
      <c r="I1815" s="8">
        <v>32</v>
      </c>
      <c r="J1815" s="8">
        <v>18</v>
      </c>
      <c r="K1815" s="9">
        <f t="shared" si="1790"/>
        <v>36</v>
      </c>
      <c r="M1815" s="11">
        <f t="shared" si="1832"/>
        <v>0</v>
      </c>
      <c r="N1815" s="12">
        <v>50</v>
      </c>
      <c r="O1815" s="11">
        <f t="shared" si="1833"/>
        <v>2500</v>
      </c>
      <c r="Q1815" s="11">
        <f t="shared" si="1834"/>
        <v>0</v>
      </c>
      <c r="X1815" s="12">
        <v>138</v>
      </c>
      <c r="Y1815" s="11">
        <f t="shared" si="1835"/>
        <v>8280</v>
      </c>
      <c r="AG1815" s="11">
        <f t="shared" si="1836"/>
        <v>0</v>
      </c>
      <c r="AI1815" s="11">
        <f t="shared" si="1837"/>
        <v>0</v>
      </c>
      <c r="AJ1815" s="12">
        <v>1500</v>
      </c>
      <c r="AK1815" s="13">
        <f t="shared" si="1838"/>
        <v>13500</v>
      </c>
      <c r="AL1815" s="12">
        <v>35</v>
      </c>
      <c r="AM1815" s="13">
        <f t="shared" si="1839"/>
        <v>315</v>
      </c>
      <c r="AO1815" s="11">
        <f t="shared" si="1840"/>
        <v>0</v>
      </c>
      <c r="AQ1815" s="11">
        <f t="shared" si="1841"/>
        <v>0</v>
      </c>
      <c r="AS1815" s="11">
        <f t="shared" si="1842"/>
        <v>0</v>
      </c>
      <c r="AU1815" s="11">
        <f t="shared" si="1843"/>
        <v>0</v>
      </c>
      <c r="AW1815" s="11">
        <f t="shared" si="1844"/>
        <v>0</v>
      </c>
      <c r="AY1815" s="11">
        <f t="shared" si="1845"/>
        <v>0</v>
      </c>
      <c r="BA1815" s="11">
        <f t="shared" si="1846"/>
        <v>0</v>
      </c>
      <c r="BC1815" s="11">
        <f t="shared" si="1847"/>
        <v>0</v>
      </c>
      <c r="BE1815" s="11">
        <f t="shared" si="1848"/>
        <v>0</v>
      </c>
      <c r="BG1815" s="11">
        <f t="shared" si="1849"/>
        <v>0</v>
      </c>
      <c r="BN1815" s="8">
        <f t="shared" si="1788"/>
        <v>1638</v>
      </c>
      <c r="BO1815" s="8">
        <f t="shared" si="1789"/>
        <v>21780</v>
      </c>
      <c r="BP1815" s="8">
        <f t="shared" si="1809"/>
        <v>223</v>
      </c>
      <c r="BQ1815" s="12">
        <f t="shared" si="1810"/>
        <v>11095</v>
      </c>
    </row>
    <row r="1816" spans="1:69">
      <c r="A1816" s="28">
        <v>1971</v>
      </c>
      <c r="B1816" s="27" t="s">
        <v>82</v>
      </c>
      <c r="C1816" s="24">
        <f t="shared" si="1831"/>
        <v>1800</v>
      </c>
      <c r="D1816" s="7" t="e">
        <f t="shared" ca="1" si="1811"/>
        <v>#N/A</v>
      </c>
      <c r="E1816" s="26">
        <f t="array" aca="1" ref="E1816" ca="1">AVERAGE(IF(INDIRECT(DatCol&amp;"$"&amp;TEXT(C1816,"###")):INDIRECT(DatCol&amp;"$"&amp;TEXT(C1816+57,"###"))&gt;0,INDIRECT(DatCol&amp;"$"&amp;TEXT(C1816,"###")):INDIRECT(DatCol&amp;"$"&amp;TEXT(C1816+57,"###"))))</f>
        <v>117.12487804878053</v>
      </c>
      <c r="F1816" s="26" t="str">
        <f t="shared" si="1787"/>
        <v>I</v>
      </c>
      <c r="G1816" s="8"/>
      <c r="H1816" s="8">
        <v>0</v>
      </c>
      <c r="I1816" s="8">
        <v>110</v>
      </c>
      <c r="J1816" s="8">
        <v>318</v>
      </c>
      <c r="K1816" s="9">
        <f t="shared" si="1790"/>
        <v>318</v>
      </c>
      <c r="M1816" s="11">
        <f t="shared" si="1832"/>
        <v>0</v>
      </c>
      <c r="N1816" s="12">
        <v>40</v>
      </c>
      <c r="O1816" s="11">
        <f t="shared" si="1833"/>
        <v>2000</v>
      </c>
      <c r="P1816" s="12">
        <v>32</v>
      </c>
      <c r="Q1816" s="11">
        <f t="shared" si="1834"/>
        <v>1920</v>
      </c>
      <c r="X1816" s="12">
        <v>111</v>
      </c>
      <c r="Y1816" s="11">
        <f t="shared" si="1835"/>
        <v>6660</v>
      </c>
      <c r="AG1816" s="11">
        <f t="shared" si="1836"/>
        <v>0</v>
      </c>
      <c r="AI1816" s="11">
        <f t="shared" si="1837"/>
        <v>0</v>
      </c>
      <c r="AJ1816" s="12">
        <v>1450</v>
      </c>
      <c r="AK1816" s="13">
        <f t="shared" si="1838"/>
        <v>13050</v>
      </c>
      <c r="AL1816" s="12">
        <v>35</v>
      </c>
      <c r="AM1816" s="13">
        <f t="shared" si="1839"/>
        <v>315</v>
      </c>
      <c r="AO1816" s="11">
        <f t="shared" si="1840"/>
        <v>0</v>
      </c>
      <c r="AQ1816" s="11">
        <f t="shared" si="1841"/>
        <v>0</v>
      </c>
      <c r="AS1816" s="11">
        <f t="shared" si="1842"/>
        <v>0</v>
      </c>
      <c r="AU1816" s="11">
        <f t="shared" si="1843"/>
        <v>0</v>
      </c>
      <c r="AW1816" s="11">
        <f t="shared" si="1844"/>
        <v>0</v>
      </c>
      <c r="AY1816" s="11">
        <f t="shared" si="1845"/>
        <v>0</v>
      </c>
      <c r="BA1816" s="11">
        <f t="shared" si="1846"/>
        <v>0</v>
      </c>
      <c r="BC1816" s="11">
        <f t="shared" si="1847"/>
        <v>0</v>
      </c>
      <c r="BE1816" s="11">
        <f t="shared" si="1848"/>
        <v>0</v>
      </c>
      <c r="BG1816" s="11">
        <f t="shared" si="1849"/>
        <v>0</v>
      </c>
      <c r="BN1816" s="8">
        <f t="shared" si="1788"/>
        <v>1593</v>
      </c>
      <c r="BO1816" s="8">
        <f t="shared" si="1789"/>
        <v>21630</v>
      </c>
      <c r="BP1816" s="8">
        <f t="shared" si="1809"/>
        <v>186</v>
      </c>
      <c r="BQ1816" s="12">
        <f t="shared" si="1810"/>
        <v>8975</v>
      </c>
    </row>
    <row r="1817" spans="1:69">
      <c r="A1817" s="28">
        <v>1972</v>
      </c>
      <c r="B1817" s="27" t="s">
        <v>82</v>
      </c>
      <c r="C1817" s="24">
        <f t="shared" si="1831"/>
        <v>1800</v>
      </c>
      <c r="D1817" s="7" t="e">
        <f t="shared" ca="1" si="1811"/>
        <v>#N/A</v>
      </c>
      <c r="E1817" s="26">
        <f t="array" aca="1" ref="E1817" ca="1">AVERAGE(IF(INDIRECT(DatCol&amp;"$"&amp;TEXT(C1817,"###")):INDIRECT(DatCol&amp;"$"&amp;TEXT(C1817+57,"###"))&gt;0,INDIRECT(DatCol&amp;"$"&amp;TEXT(C1817,"###")):INDIRECT(DatCol&amp;"$"&amp;TEXT(C1817+57,"###"))))</f>
        <v>117.12487804878053</v>
      </c>
      <c r="F1817" s="26" t="str">
        <f t="shared" si="1787"/>
        <v>I</v>
      </c>
      <c r="G1817" s="8"/>
      <c r="H1817" s="8">
        <v>0</v>
      </c>
      <c r="K1817" s="9">
        <f t="shared" si="1790"/>
        <v>0</v>
      </c>
      <c r="L1817" s="12">
        <v>128</v>
      </c>
      <c r="M1817" s="11">
        <f t="shared" si="1832"/>
        <v>6400</v>
      </c>
      <c r="O1817" s="11">
        <f t="shared" si="1833"/>
        <v>0</v>
      </c>
      <c r="P1817" s="12">
        <v>289</v>
      </c>
      <c r="Q1817" s="11">
        <f t="shared" si="1834"/>
        <v>17340</v>
      </c>
      <c r="Y1817" s="11">
        <f t="shared" si="1835"/>
        <v>0</v>
      </c>
      <c r="AG1817" s="11">
        <f t="shared" si="1836"/>
        <v>0</v>
      </c>
      <c r="AI1817" s="11">
        <f t="shared" si="1837"/>
        <v>0</v>
      </c>
      <c r="AJ1817" s="12">
        <v>1085</v>
      </c>
      <c r="AK1817" s="13">
        <f t="shared" si="1838"/>
        <v>9765</v>
      </c>
      <c r="AM1817" s="13">
        <f t="shared" si="1839"/>
        <v>0</v>
      </c>
      <c r="AO1817" s="11">
        <f t="shared" si="1840"/>
        <v>0</v>
      </c>
      <c r="AQ1817" s="11">
        <f t="shared" si="1841"/>
        <v>0</v>
      </c>
      <c r="AS1817" s="11">
        <f t="shared" si="1842"/>
        <v>0</v>
      </c>
      <c r="AU1817" s="11">
        <f t="shared" si="1843"/>
        <v>0</v>
      </c>
      <c r="AW1817" s="11">
        <f t="shared" si="1844"/>
        <v>0</v>
      </c>
      <c r="AY1817" s="11">
        <f t="shared" si="1845"/>
        <v>0</v>
      </c>
      <c r="BA1817" s="11">
        <f t="shared" si="1846"/>
        <v>0</v>
      </c>
      <c r="BC1817" s="11">
        <f t="shared" si="1847"/>
        <v>0</v>
      </c>
      <c r="BE1817" s="11">
        <f t="shared" si="1848"/>
        <v>0</v>
      </c>
      <c r="BG1817" s="11">
        <f t="shared" si="1849"/>
        <v>0</v>
      </c>
      <c r="BN1817" s="8">
        <f t="shared" si="1788"/>
        <v>1502</v>
      </c>
      <c r="BO1817" s="8">
        <f t="shared" si="1789"/>
        <v>33505</v>
      </c>
      <c r="BP1817" s="8">
        <f t="shared" si="1809"/>
        <v>0</v>
      </c>
      <c r="BQ1817" s="12">
        <f t="shared" si="1810"/>
        <v>0</v>
      </c>
    </row>
    <row r="1818" spans="1:69">
      <c r="A1818" s="28">
        <v>1973</v>
      </c>
      <c r="B1818" s="27" t="s">
        <v>82</v>
      </c>
      <c r="C1818" s="24">
        <f t="shared" si="1831"/>
        <v>1800</v>
      </c>
      <c r="D1818" s="7" t="e">
        <f t="shared" ca="1" si="1811"/>
        <v>#N/A</v>
      </c>
      <c r="E1818" s="26">
        <f t="array" aca="1" ref="E1818" ca="1">AVERAGE(IF(INDIRECT(DatCol&amp;"$"&amp;TEXT(C1818,"###")):INDIRECT(DatCol&amp;"$"&amp;TEXT(C1818+57,"###"))&gt;0,INDIRECT(DatCol&amp;"$"&amp;TEXT(C1818,"###")):INDIRECT(DatCol&amp;"$"&amp;TEXT(C1818+57,"###"))))</f>
        <v>117.12487804878053</v>
      </c>
      <c r="F1818" s="26" t="str">
        <f t="shared" si="1787"/>
        <v>I</v>
      </c>
      <c r="G1818" s="8"/>
      <c r="H1818" s="8">
        <v>14</v>
      </c>
      <c r="I1818" s="8">
        <v>72</v>
      </c>
      <c r="J1818" s="8">
        <v>535</v>
      </c>
      <c r="K1818" s="9">
        <f t="shared" si="1790"/>
        <v>549</v>
      </c>
      <c r="L1818" s="12">
        <v>20</v>
      </c>
      <c r="M1818" s="11">
        <f t="shared" si="1832"/>
        <v>1000</v>
      </c>
      <c r="N1818" s="12">
        <v>715</v>
      </c>
      <c r="O1818" s="11">
        <f t="shared" si="1833"/>
        <v>35750</v>
      </c>
      <c r="P1818" s="12">
        <v>30</v>
      </c>
      <c r="Q1818" s="11">
        <f t="shared" si="1834"/>
        <v>1800</v>
      </c>
      <c r="X1818" s="12">
        <v>304</v>
      </c>
      <c r="Y1818" s="11">
        <f t="shared" si="1835"/>
        <v>18240</v>
      </c>
      <c r="AG1818" s="11">
        <f t="shared" si="1836"/>
        <v>0</v>
      </c>
      <c r="AH1818" s="12">
        <v>142</v>
      </c>
      <c r="AI1818" s="11">
        <f t="shared" si="1837"/>
        <v>9230</v>
      </c>
      <c r="AJ1818" s="12">
        <v>1942</v>
      </c>
      <c r="AK1818" s="13">
        <f t="shared" si="1838"/>
        <v>17478</v>
      </c>
      <c r="AL1818" s="12">
        <v>200</v>
      </c>
      <c r="AM1818" s="13">
        <f t="shared" si="1839"/>
        <v>1800</v>
      </c>
      <c r="AO1818" s="11">
        <f t="shared" si="1840"/>
        <v>0</v>
      </c>
      <c r="AQ1818" s="11">
        <f t="shared" si="1841"/>
        <v>0</v>
      </c>
      <c r="AS1818" s="11">
        <f t="shared" si="1842"/>
        <v>0</v>
      </c>
      <c r="AT1818" s="12">
        <v>15</v>
      </c>
      <c r="AU1818" s="11">
        <f t="shared" si="1843"/>
        <v>750</v>
      </c>
      <c r="AW1818" s="11">
        <f t="shared" si="1844"/>
        <v>0</v>
      </c>
      <c r="AY1818" s="11">
        <f t="shared" si="1845"/>
        <v>0</v>
      </c>
      <c r="BA1818" s="11">
        <f t="shared" si="1846"/>
        <v>0</v>
      </c>
      <c r="BC1818" s="11">
        <f t="shared" si="1847"/>
        <v>0</v>
      </c>
      <c r="BE1818" s="11">
        <f t="shared" si="1848"/>
        <v>0</v>
      </c>
      <c r="BG1818" s="11">
        <f t="shared" si="1849"/>
        <v>0</v>
      </c>
      <c r="BN1818" s="8">
        <f t="shared" si="1788"/>
        <v>2296</v>
      </c>
      <c r="BO1818" s="8">
        <f t="shared" si="1789"/>
        <v>38518</v>
      </c>
      <c r="BP1818" s="8">
        <f t="shared" si="1809"/>
        <v>1376</v>
      </c>
      <c r="BQ1818" s="12">
        <f t="shared" si="1810"/>
        <v>65770</v>
      </c>
    </row>
    <row r="1819" spans="1:69">
      <c r="A1819" s="28">
        <v>1974</v>
      </c>
      <c r="B1819" s="27" t="s">
        <v>82</v>
      </c>
      <c r="C1819" s="24">
        <f t="shared" si="1831"/>
        <v>1800</v>
      </c>
      <c r="D1819" s="7" t="e">
        <f t="shared" ca="1" si="1811"/>
        <v>#N/A</v>
      </c>
      <c r="E1819" s="26">
        <f t="array" aca="1" ref="E1819" ca="1">AVERAGE(IF(INDIRECT(DatCol&amp;"$"&amp;TEXT(C1819,"###")):INDIRECT(DatCol&amp;"$"&amp;TEXT(C1819+57,"###"))&gt;0,INDIRECT(DatCol&amp;"$"&amp;TEXT(C1819,"###")):INDIRECT(DatCol&amp;"$"&amp;TEXT(C1819+57,"###"))))</f>
        <v>117.12487804878053</v>
      </c>
      <c r="F1819" s="26" t="str">
        <f t="shared" si="1787"/>
        <v>I</v>
      </c>
      <c r="G1819" s="8"/>
      <c r="H1819" s="8">
        <v>13</v>
      </c>
      <c r="I1819" s="8">
        <v>81</v>
      </c>
      <c r="J1819" s="8">
        <v>439</v>
      </c>
      <c r="K1819" s="9">
        <f t="shared" si="1790"/>
        <v>452</v>
      </c>
      <c r="L1819" s="12">
        <v>55</v>
      </c>
      <c r="M1819" s="11">
        <f t="shared" si="1832"/>
        <v>2750</v>
      </c>
      <c r="N1819" s="12">
        <v>76</v>
      </c>
      <c r="O1819" s="11">
        <f t="shared" si="1833"/>
        <v>3800</v>
      </c>
      <c r="P1819" s="12">
        <v>188</v>
      </c>
      <c r="Q1819" s="11">
        <f t="shared" si="1834"/>
        <v>11280</v>
      </c>
      <c r="X1819" s="12">
        <v>317</v>
      </c>
      <c r="Y1819" s="11">
        <f t="shared" si="1835"/>
        <v>19020</v>
      </c>
      <c r="AG1819" s="11">
        <f t="shared" si="1836"/>
        <v>0</v>
      </c>
      <c r="AH1819" s="12">
        <v>22</v>
      </c>
      <c r="AI1819" s="11">
        <f t="shared" si="1837"/>
        <v>1430</v>
      </c>
      <c r="AJ1819" s="12">
        <v>2019</v>
      </c>
      <c r="AK1819" s="13">
        <f t="shared" si="1838"/>
        <v>18171</v>
      </c>
      <c r="AL1819" s="12">
        <v>300</v>
      </c>
      <c r="AM1819" s="13">
        <f t="shared" si="1839"/>
        <v>2700</v>
      </c>
      <c r="AO1819" s="11">
        <f t="shared" si="1840"/>
        <v>0</v>
      </c>
      <c r="AQ1819" s="11">
        <f t="shared" si="1841"/>
        <v>0</v>
      </c>
      <c r="AS1819" s="11">
        <f t="shared" si="1842"/>
        <v>0</v>
      </c>
      <c r="AU1819" s="11">
        <f t="shared" si="1843"/>
        <v>0</v>
      </c>
      <c r="AW1819" s="11">
        <f t="shared" si="1844"/>
        <v>0</v>
      </c>
      <c r="AY1819" s="11">
        <f t="shared" si="1845"/>
        <v>0</v>
      </c>
      <c r="BA1819" s="11">
        <f t="shared" si="1846"/>
        <v>0</v>
      </c>
      <c r="BC1819" s="11">
        <f t="shared" si="1847"/>
        <v>0</v>
      </c>
      <c r="BE1819" s="11">
        <f t="shared" si="1848"/>
        <v>0</v>
      </c>
      <c r="BG1819" s="11">
        <f t="shared" si="1849"/>
        <v>0</v>
      </c>
      <c r="BN1819" s="8">
        <f t="shared" si="1788"/>
        <v>2579</v>
      </c>
      <c r="BO1819" s="8">
        <f t="shared" si="1789"/>
        <v>51221</v>
      </c>
      <c r="BP1819" s="8">
        <f t="shared" si="1809"/>
        <v>715</v>
      </c>
      <c r="BQ1819" s="12">
        <f t="shared" si="1810"/>
        <v>26950</v>
      </c>
    </row>
    <row r="1820" spans="1:69">
      <c r="A1820" s="28">
        <v>1975</v>
      </c>
      <c r="B1820" s="27" t="s">
        <v>82</v>
      </c>
      <c r="C1820" s="24">
        <f t="shared" si="1831"/>
        <v>1800</v>
      </c>
      <c r="D1820" s="7" t="e">
        <f t="shared" ca="1" si="1811"/>
        <v>#N/A</v>
      </c>
      <c r="E1820" s="26">
        <f t="array" aca="1" ref="E1820" ca="1">AVERAGE(IF(INDIRECT(DatCol&amp;"$"&amp;TEXT(C1820,"###")):INDIRECT(DatCol&amp;"$"&amp;TEXT(C1820+57,"###"))&gt;0,INDIRECT(DatCol&amp;"$"&amp;TEXT(C1820,"###")):INDIRECT(DatCol&amp;"$"&amp;TEXT(C1820+57,"###"))))</f>
        <v>117.12487804878053</v>
      </c>
      <c r="F1820" s="26" t="str">
        <f t="shared" si="1787"/>
        <v>I</v>
      </c>
      <c r="G1820" s="8"/>
      <c r="H1820" s="8">
        <v>18</v>
      </c>
      <c r="I1820" s="8">
        <v>100</v>
      </c>
      <c r="J1820" s="8">
        <v>564</v>
      </c>
      <c r="K1820" s="9">
        <f t="shared" si="1790"/>
        <v>582</v>
      </c>
      <c r="L1820" s="12">
        <v>20</v>
      </c>
      <c r="M1820" s="11">
        <f t="shared" si="1832"/>
        <v>1000</v>
      </c>
      <c r="N1820" s="12">
        <v>39</v>
      </c>
      <c r="O1820" s="11">
        <f t="shared" si="1833"/>
        <v>1950</v>
      </c>
      <c r="P1820" s="12">
        <v>473</v>
      </c>
      <c r="Q1820" s="11">
        <f t="shared" si="1834"/>
        <v>28380</v>
      </c>
      <c r="X1820" s="12">
        <v>413</v>
      </c>
      <c r="Y1820" s="11">
        <f t="shared" si="1835"/>
        <v>24780</v>
      </c>
      <c r="AG1820" s="11">
        <f t="shared" si="1836"/>
        <v>0</v>
      </c>
      <c r="AH1820" s="12">
        <v>44</v>
      </c>
      <c r="AI1820" s="11">
        <f t="shared" si="1837"/>
        <v>2860</v>
      </c>
      <c r="AJ1820" s="12">
        <v>2838</v>
      </c>
      <c r="AK1820" s="13">
        <f t="shared" si="1838"/>
        <v>25542</v>
      </c>
      <c r="AL1820" s="12">
        <v>374</v>
      </c>
      <c r="AM1820" s="13">
        <f t="shared" si="1839"/>
        <v>3366</v>
      </c>
      <c r="AO1820" s="11">
        <f t="shared" si="1840"/>
        <v>0</v>
      </c>
      <c r="AQ1820" s="11">
        <f t="shared" si="1841"/>
        <v>0</v>
      </c>
      <c r="AS1820" s="11">
        <f t="shared" si="1842"/>
        <v>0</v>
      </c>
      <c r="AU1820" s="11">
        <f t="shared" si="1843"/>
        <v>0</v>
      </c>
      <c r="AW1820" s="11">
        <f t="shared" si="1844"/>
        <v>0</v>
      </c>
      <c r="AY1820" s="11">
        <f t="shared" si="1845"/>
        <v>0</v>
      </c>
      <c r="BA1820" s="11">
        <f t="shared" si="1846"/>
        <v>0</v>
      </c>
      <c r="BC1820" s="11">
        <f t="shared" si="1847"/>
        <v>0</v>
      </c>
      <c r="BE1820" s="11">
        <f t="shared" si="1848"/>
        <v>0</v>
      </c>
      <c r="BG1820" s="11">
        <f t="shared" si="1849"/>
        <v>0</v>
      </c>
      <c r="BN1820" s="8">
        <f t="shared" si="1788"/>
        <v>3744</v>
      </c>
      <c r="BO1820" s="8">
        <f t="shared" si="1789"/>
        <v>79702</v>
      </c>
      <c r="BP1820" s="8">
        <f t="shared" si="1809"/>
        <v>870</v>
      </c>
      <c r="BQ1820" s="12">
        <f t="shared" si="1810"/>
        <v>32956</v>
      </c>
    </row>
    <row r="1821" spans="1:69">
      <c r="A1821" s="28">
        <v>1976</v>
      </c>
      <c r="B1821" s="27" t="s">
        <v>82</v>
      </c>
      <c r="C1821" s="24">
        <f t="shared" si="1831"/>
        <v>1800</v>
      </c>
      <c r="D1821" s="7" t="e">
        <f t="shared" ca="1" si="1811"/>
        <v>#N/A</v>
      </c>
      <c r="E1821" s="26">
        <f t="array" aca="1" ref="E1821" ca="1">AVERAGE(IF(INDIRECT(DatCol&amp;"$"&amp;TEXT(C1821,"###")):INDIRECT(DatCol&amp;"$"&amp;TEXT(C1821+57,"###"))&gt;0,INDIRECT(DatCol&amp;"$"&amp;TEXT(C1821,"###")):INDIRECT(DatCol&amp;"$"&amp;TEXT(C1821+57,"###"))))</f>
        <v>117.12487804878053</v>
      </c>
      <c r="F1821" s="26" t="str">
        <f t="shared" si="1787"/>
        <v>I</v>
      </c>
      <c r="G1821" s="8"/>
      <c r="H1821" s="8">
        <v>35</v>
      </c>
      <c r="I1821" s="8">
        <v>116</v>
      </c>
      <c r="J1821" s="8">
        <v>535</v>
      </c>
      <c r="K1821" s="9">
        <f t="shared" si="1790"/>
        <v>570</v>
      </c>
      <c r="M1821" s="11">
        <f t="shared" si="1832"/>
        <v>0</v>
      </c>
      <c r="N1821" s="12">
        <v>72</v>
      </c>
      <c r="O1821" s="11">
        <f t="shared" si="1833"/>
        <v>3600</v>
      </c>
      <c r="P1821" s="12">
        <v>911</v>
      </c>
      <c r="Q1821" s="11">
        <f t="shared" si="1834"/>
        <v>54660</v>
      </c>
      <c r="X1821" s="12">
        <v>300</v>
      </c>
      <c r="Y1821" s="11">
        <f t="shared" si="1835"/>
        <v>18000</v>
      </c>
      <c r="AG1821" s="11">
        <f t="shared" si="1836"/>
        <v>0</v>
      </c>
      <c r="AH1821" s="12">
        <v>36</v>
      </c>
      <c r="AI1821" s="11">
        <f t="shared" si="1837"/>
        <v>2340</v>
      </c>
      <c r="AJ1821" s="12">
        <v>2283</v>
      </c>
      <c r="AK1821" s="13">
        <f t="shared" si="1838"/>
        <v>20547</v>
      </c>
      <c r="AL1821" s="12">
        <v>90</v>
      </c>
      <c r="AM1821" s="13">
        <f t="shared" si="1839"/>
        <v>810</v>
      </c>
      <c r="AO1821" s="11">
        <f t="shared" si="1840"/>
        <v>0</v>
      </c>
      <c r="AQ1821" s="11">
        <f t="shared" si="1841"/>
        <v>0</v>
      </c>
      <c r="AS1821" s="11">
        <f t="shared" si="1842"/>
        <v>0</v>
      </c>
      <c r="AU1821" s="11">
        <f t="shared" si="1843"/>
        <v>0</v>
      </c>
      <c r="AW1821" s="11">
        <f t="shared" si="1844"/>
        <v>0</v>
      </c>
      <c r="AY1821" s="11">
        <f t="shared" si="1845"/>
        <v>0</v>
      </c>
      <c r="BA1821" s="11">
        <f t="shared" si="1846"/>
        <v>0</v>
      </c>
      <c r="BC1821" s="11">
        <f t="shared" si="1847"/>
        <v>0</v>
      </c>
      <c r="BE1821" s="11">
        <f t="shared" si="1848"/>
        <v>0</v>
      </c>
      <c r="BG1821" s="11">
        <f t="shared" si="1849"/>
        <v>0</v>
      </c>
      <c r="BN1821" s="8">
        <f t="shared" si="1788"/>
        <v>3494</v>
      </c>
      <c r="BO1821" s="8">
        <f t="shared" si="1789"/>
        <v>93207</v>
      </c>
      <c r="BP1821" s="8">
        <f t="shared" si="1809"/>
        <v>498</v>
      </c>
      <c r="BQ1821" s="12">
        <f t="shared" si="1810"/>
        <v>24750</v>
      </c>
    </row>
    <row r="1822" spans="1:69">
      <c r="A1822" s="28">
        <v>1977</v>
      </c>
      <c r="B1822" s="27" t="s">
        <v>82</v>
      </c>
      <c r="C1822" s="24">
        <f t="shared" si="1831"/>
        <v>1800</v>
      </c>
      <c r="D1822" s="7" t="e">
        <f t="shared" ca="1" si="1811"/>
        <v>#N/A</v>
      </c>
      <c r="E1822" s="26">
        <f t="array" aca="1" ref="E1822" ca="1">AVERAGE(IF(INDIRECT(DatCol&amp;"$"&amp;TEXT(C1822,"###")):INDIRECT(DatCol&amp;"$"&amp;TEXT(C1822+57,"###"))&gt;0,INDIRECT(DatCol&amp;"$"&amp;TEXT(C1822,"###")):INDIRECT(DatCol&amp;"$"&amp;TEXT(C1822+57,"###"))))</f>
        <v>117.12487804878053</v>
      </c>
      <c r="F1822" s="26" t="str">
        <f t="shared" si="1787"/>
        <v>I</v>
      </c>
      <c r="G1822" s="8"/>
      <c r="H1822" s="8">
        <v>29</v>
      </c>
      <c r="I1822" s="8">
        <v>43</v>
      </c>
      <c r="J1822" s="8">
        <v>501</v>
      </c>
      <c r="K1822" s="9">
        <f t="shared" si="1790"/>
        <v>530</v>
      </c>
      <c r="L1822" s="12">
        <v>8</v>
      </c>
      <c r="M1822" s="11">
        <f t="shared" si="1832"/>
        <v>400</v>
      </c>
      <c r="N1822" s="12">
        <v>91</v>
      </c>
      <c r="O1822" s="11">
        <f t="shared" si="1833"/>
        <v>4550</v>
      </c>
      <c r="P1822" s="12">
        <v>800</v>
      </c>
      <c r="Q1822" s="11">
        <f t="shared" si="1834"/>
        <v>48000</v>
      </c>
      <c r="X1822" s="12">
        <v>415</v>
      </c>
      <c r="Y1822" s="11">
        <f t="shared" si="1835"/>
        <v>24900</v>
      </c>
      <c r="AG1822" s="11">
        <f t="shared" si="1836"/>
        <v>0</v>
      </c>
      <c r="AH1822" s="12">
        <v>33</v>
      </c>
      <c r="AI1822" s="11">
        <f t="shared" si="1837"/>
        <v>2145</v>
      </c>
      <c r="AJ1822" s="12">
        <v>707</v>
      </c>
      <c r="AK1822" s="13">
        <f t="shared" si="1838"/>
        <v>6363</v>
      </c>
      <c r="AL1822" s="12">
        <v>174</v>
      </c>
      <c r="AM1822" s="13">
        <f t="shared" si="1839"/>
        <v>1566</v>
      </c>
      <c r="AO1822" s="11">
        <f t="shared" si="1840"/>
        <v>0</v>
      </c>
      <c r="AQ1822" s="11">
        <f t="shared" si="1841"/>
        <v>0</v>
      </c>
      <c r="AS1822" s="11">
        <f t="shared" si="1842"/>
        <v>0</v>
      </c>
      <c r="AT1822" s="12">
        <v>10</v>
      </c>
      <c r="AU1822" s="11">
        <f t="shared" si="1843"/>
        <v>500</v>
      </c>
      <c r="AW1822" s="11">
        <f t="shared" si="1844"/>
        <v>0</v>
      </c>
      <c r="AY1822" s="11">
        <f t="shared" si="1845"/>
        <v>0</v>
      </c>
      <c r="BA1822" s="11">
        <f t="shared" si="1846"/>
        <v>0</v>
      </c>
      <c r="BC1822" s="11">
        <f t="shared" si="1847"/>
        <v>0</v>
      </c>
      <c r="BE1822" s="11">
        <f t="shared" si="1848"/>
        <v>0</v>
      </c>
      <c r="BG1822" s="11">
        <f t="shared" si="1849"/>
        <v>0</v>
      </c>
      <c r="BN1822" s="8">
        <f t="shared" si="1788"/>
        <v>1930</v>
      </c>
      <c r="BO1822" s="8">
        <f t="shared" si="1789"/>
        <v>79663</v>
      </c>
      <c r="BP1822" s="8">
        <f t="shared" si="1809"/>
        <v>723</v>
      </c>
      <c r="BQ1822" s="12">
        <f t="shared" si="1810"/>
        <v>33661</v>
      </c>
    </row>
    <row r="1823" spans="1:69">
      <c r="A1823" s="28">
        <v>1978</v>
      </c>
      <c r="B1823" s="27" t="s">
        <v>82</v>
      </c>
      <c r="C1823" s="24">
        <f t="shared" si="1831"/>
        <v>1800</v>
      </c>
      <c r="D1823" s="7" t="e">
        <f t="shared" ca="1" si="1811"/>
        <v>#N/A</v>
      </c>
      <c r="E1823" s="26">
        <f t="array" aca="1" ref="E1823" ca="1">AVERAGE(IF(INDIRECT(DatCol&amp;"$"&amp;TEXT(C1823,"###")):INDIRECT(DatCol&amp;"$"&amp;TEXT(C1823+57,"###"))&gt;0,INDIRECT(DatCol&amp;"$"&amp;TEXT(C1823,"###")):INDIRECT(DatCol&amp;"$"&amp;TEXT(C1823+57,"###"))))</f>
        <v>117.12487804878053</v>
      </c>
      <c r="F1823" s="26" t="str">
        <f t="shared" ref="F1823:F1889" si="1850">VLOOKUP(B1823,town_region,2,FALSE)</f>
        <v>I</v>
      </c>
      <c r="G1823" s="8"/>
      <c r="H1823" s="8">
        <v>40</v>
      </c>
      <c r="I1823" s="8">
        <v>123</v>
      </c>
      <c r="J1823" s="8">
        <v>430</v>
      </c>
      <c r="K1823" s="9">
        <f t="shared" si="1790"/>
        <v>470</v>
      </c>
      <c r="M1823" s="11">
        <f t="shared" si="1832"/>
        <v>0</v>
      </c>
      <c r="N1823" s="12">
        <v>98</v>
      </c>
      <c r="O1823" s="11">
        <f t="shared" si="1833"/>
        <v>4900</v>
      </c>
      <c r="P1823" s="12">
        <v>1062</v>
      </c>
      <c r="Q1823" s="11">
        <f t="shared" si="1834"/>
        <v>63720</v>
      </c>
      <c r="X1823" s="12">
        <v>455</v>
      </c>
      <c r="Y1823" s="11">
        <f t="shared" si="1835"/>
        <v>27300</v>
      </c>
      <c r="AG1823" s="11">
        <f t="shared" si="1836"/>
        <v>0</v>
      </c>
      <c r="AH1823" s="12">
        <v>69</v>
      </c>
      <c r="AI1823" s="11">
        <f t="shared" si="1837"/>
        <v>4485</v>
      </c>
      <c r="AJ1823" s="12">
        <v>3075</v>
      </c>
      <c r="AK1823" s="13">
        <f t="shared" si="1838"/>
        <v>27675</v>
      </c>
      <c r="AL1823" s="12">
        <v>449</v>
      </c>
      <c r="AM1823" s="13">
        <f t="shared" si="1839"/>
        <v>4041</v>
      </c>
      <c r="AO1823" s="11">
        <f t="shared" si="1840"/>
        <v>0</v>
      </c>
      <c r="AQ1823" s="11">
        <f t="shared" si="1841"/>
        <v>0</v>
      </c>
      <c r="AS1823" s="11">
        <f t="shared" si="1842"/>
        <v>0</v>
      </c>
      <c r="AT1823" s="12">
        <v>11</v>
      </c>
      <c r="AU1823" s="11">
        <f t="shared" si="1843"/>
        <v>550</v>
      </c>
      <c r="AV1823" s="12">
        <v>7000</v>
      </c>
      <c r="AW1823" s="11">
        <f t="shared" si="1844"/>
        <v>420000</v>
      </c>
      <c r="AY1823" s="11">
        <f t="shared" si="1845"/>
        <v>0</v>
      </c>
      <c r="BA1823" s="11">
        <f t="shared" si="1846"/>
        <v>0</v>
      </c>
      <c r="BC1823" s="11">
        <f t="shared" si="1847"/>
        <v>0</v>
      </c>
      <c r="BE1823" s="11">
        <f t="shared" si="1848"/>
        <v>0</v>
      </c>
      <c r="BG1823" s="11">
        <f t="shared" si="1849"/>
        <v>0</v>
      </c>
      <c r="BN1823" s="8">
        <f t="shared" si="1788"/>
        <v>11592</v>
      </c>
      <c r="BO1823" s="8">
        <f t="shared" si="1789"/>
        <v>538695</v>
      </c>
      <c r="BP1823" s="8">
        <f t="shared" si="1809"/>
        <v>1082</v>
      </c>
      <c r="BQ1823" s="12">
        <f t="shared" si="1810"/>
        <v>41276</v>
      </c>
    </row>
    <row r="1824" spans="1:69">
      <c r="A1824" s="28">
        <v>1979</v>
      </c>
      <c r="B1824" s="27" t="s">
        <v>82</v>
      </c>
      <c r="C1824" s="24">
        <f t="shared" si="1831"/>
        <v>1800</v>
      </c>
      <c r="D1824" s="7" t="e">
        <f t="shared" ca="1" si="1811"/>
        <v>#N/A</v>
      </c>
      <c r="E1824" s="26">
        <f t="array" aca="1" ref="E1824" ca="1">AVERAGE(IF(INDIRECT(DatCol&amp;"$"&amp;TEXT(C1824,"###")):INDIRECT(DatCol&amp;"$"&amp;TEXT(C1824+57,"###"))&gt;0,INDIRECT(DatCol&amp;"$"&amp;TEXT(C1824,"###")):INDIRECT(DatCol&amp;"$"&amp;TEXT(C1824+57,"###"))))</f>
        <v>117.12487804878053</v>
      </c>
      <c r="F1824" s="26" t="str">
        <f t="shared" si="1850"/>
        <v>I</v>
      </c>
      <c r="G1824" s="8"/>
      <c r="H1824" s="8">
        <v>38</v>
      </c>
      <c r="I1824" s="8">
        <v>157</v>
      </c>
      <c r="J1824" s="8">
        <v>573</v>
      </c>
      <c r="K1824" s="9">
        <f t="shared" si="1790"/>
        <v>611</v>
      </c>
      <c r="L1824" s="12">
        <v>103</v>
      </c>
      <c r="M1824" s="11">
        <f t="shared" si="1832"/>
        <v>5150</v>
      </c>
      <c r="N1824" s="12">
        <v>241</v>
      </c>
      <c r="O1824" s="11">
        <f t="shared" si="1833"/>
        <v>12050</v>
      </c>
      <c r="P1824" s="12">
        <v>1414</v>
      </c>
      <c r="Q1824" s="11">
        <f t="shared" si="1834"/>
        <v>84840</v>
      </c>
      <c r="X1824" s="12">
        <v>770</v>
      </c>
      <c r="Y1824" s="11">
        <f t="shared" si="1835"/>
        <v>46200</v>
      </c>
      <c r="AG1824" s="11">
        <f t="shared" si="1836"/>
        <v>0</v>
      </c>
      <c r="AH1824" s="12">
        <v>91</v>
      </c>
      <c r="AI1824" s="11">
        <f t="shared" si="1837"/>
        <v>5915</v>
      </c>
      <c r="AJ1824" s="12">
        <v>5818</v>
      </c>
      <c r="AK1824" s="13">
        <f t="shared" si="1838"/>
        <v>52362</v>
      </c>
      <c r="AL1824" s="12">
        <v>1134</v>
      </c>
      <c r="AM1824" s="13">
        <f t="shared" si="1839"/>
        <v>10206</v>
      </c>
      <c r="AO1824" s="11">
        <f t="shared" si="1840"/>
        <v>0</v>
      </c>
      <c r="AQ1824" s="11">
        <f t="shared" si="1841"/>
        <v>0</v>
      </c>
      <c r="AS1824" s="11">
        <f t="shared" si="1842"/>
        <v>0</v>
      </c>
      <c r="AU1824" s="11">
        <f t="shared" si="1843"/>
        <v>0</v>
      </c>
      <c r="AW1824" s="11">
        <f t="shared" si="1844"/>
        <v>0</v>
      </c>
      <c r="AY1824" s="11">
        <f t="shared" si="1845"/>
        <v>0</v>
      </c>
      <c r="BA1824" s="11">
        <f t="shared" si="1846"/>
        <v>0</v>
      </c>
      <c r="BC1824" s="11">
        <f t="shared" si="1847"/>
        <v>0</v>
      </c>
      <c r="BE1824" s="11">
        <f t="shared" si="1848"/>
        <v>0</v>
      </c>
      <c r="BG1824" s="11">
        <f t="shared" si="1849"/>
        <v>0</v>
      </c>
      <c r="BN1824" s="8">
        <f t="shared" ref="BN1824:BN1888" si="1851">(L1824+P1824+R1824+T1824+V1824+X1824+Z1824+AB1824+AD1824+AF1824+AJ1824+AN1824+AR1824+AV1824+AZ1824+BD1824)</f>
        <v>8105</v>
      </c>
      <c r="BO1824" s="8">
        <f t="shared" si="1789"/>
        <v>188552</v>
      </c>
      <c r="BP1824" s="8">
        <f t="shared" si="1809"/>
        <v>2236</v>
      </c>
      <c r="BQ1824" s="12">
        <f t="shared" si="1810"/>
        <v>74371</v>
      </c>
    </row>
    <row r="1825" spans="1:69">
      <c r="A1825" s="28">
        <v>1980</v>
      </c>
      <c r="B1825" s="27" t="s">
        <v>82</v>
      </c>
      <c r="C1825" s="24">
        <f t="shared" si="1831"/>
        <v>1800</v>
      </c>
      <c r="D1825" s="7" t="e">
        <f t="shared" ca="1" si="1811"/>
        <v>#N/A</v>
      </c>
      <c r="E1825" s="26">
        <f t="array" aca="1" ref="E1825" ca="1">AVERAGE(IF(INDIRECT(DatCol&amp;"$"&amp;TEXT(C1825,"###")):INDIRECT(DatCol&amp;"$"&amp;TEXT(C1825+57,"###"))&gt;0,INDIRECT(DatCol&amp;"$"&amp;TEXT(C1825,"###")):INDIRECT(DatCol&amp;"$"&amp;TEXT(C1825+57,"###"))))</f>
        <v>117.12487804878053</v>
      </c>
      <c r="F1825" s="26" t="str">
        <f t="shared" si="1850"/>
        <v>I</v>
      </c>
      <c r="G1825" s="8"/>
      <c r="H1825" s="8">
        <v>56</v>
      </c>
      <c r="I1825" s="8">
        <v>145</v>
      </c>
      <c r="J1825" s="8">
        <v>630</v>
      </c>
      <c r="K1825" s="9">
        <f t="shared" si="1790"/>
        <v>686</v>
      </c>
      <c r="M1825" s="11">
        <f t="shared" si="1832"/>
        <v>0</v>
      </c>
      <c r="N1825" s="12">
        <v>174</v>
      </c>
      <c r="O1825" s="11">
        <f t="shared" si="1833"/>
        <v>8700</v>
      </c>
      <c r="P1825" s="12">
        <v>900</v>
      </c>
      <c r="Q1825" s="11">
        <f t="shared" si="1834"/>
        <v>54000</v>
      </c>
      <c r="X1825" s="12">
        <v>529</v>
      </c>
      <c r="Y1825" s="11">
        <f t="shared" si="1835"/>
        <v>31740</v>
      </c>
      <c r="AG1825" s="11">
        <f t="shared" si="1836"/>
        <v>0</v>
      </c>
      <c r="AH1825" s="12">
        <v>71</v>
      </c>
      <c r="AI1825" s="11">
        <f t="shared" si="1837"/>
        <v>4615</v>
      </c>
      <c r="AJ1825" s="12">
        <v>4191</v>
      </c>
      <c r="AK1825" s="13">
        <f t="shared" si="1838"/>
        <v>37719</v>
      </c>
      <c r="AL1825" s="12">
        <v>367</v>
      </c>
      <c r="AM1825" s="13">
        <f t="shared" si="1839"/>
        <v>3303</v>
      </c>
      <c r="AO1825" s="11">
        <f t="shared" si="1840"/>
        <v>0</v>
      </c>
      <c r="AQ1825" s="11">
        <f t="shared" si="1841"/>
        <v>0</v>
      </c>
      <c r="AS1825" s="11">
        <f t="shared" si="1842"/>
        <v>0</v>
      </c>
      <c r="AT1825" s="12">
        <v>10</v>
      </c>
      <c r="AU1825" s="11">
        <f t="shared" si="1843"/>
        <v>500</v>
      </c>
      <c r="AW1825" s="11">
        <f t="shared" si="1844"/>
        <v>0</v>
      </c>
      <c r="AY1825" s="11">
        <f t="shared" si="1845"/>
        <v>0</v>
      </c>
      <c r="BA1825" s="11">
        <f t="shared" si="1846"/>
        <v>0</v>
      </c>
      <c r="BC1825" s="11">
        <f t="shared" si="1847"/>
        <v>0</v>
      </c>
      <c r="BE1825" s="11">
        <f t="shared" si="1848"/>
        <v>0</v>
      </c>
      <c r="BG1825" s="11">
        <f t="shared" si="1849"/>
        <v>0</v>
      </c>
      <c r="BN1825" s="8">
        <f t="shared" si="1851"/>
        <v>5620</v>
      </c>
      <c r="BO1825" s="8">
        <f t="shared" ref="BO1825:BO1889" si="1852">(M1825+Q1825+S1825+U1825+W1825+Y1825+AA1825+AC1825+AG1825+AK1825+AO1825+AS1825+AW1825+BA1825+BE1825)</f>
        <v>123459</v>
      </c>
      <c r="BP1825" s="8">
        <f t="shared" si="1809"/>
        <v>1151</v>
      </c>
      <c r="BQ1825" s="12">
        <f t="shared" si="1810"/>
        <v>48858</v>
      </c>
    </row>
    <row r="1826" spans="1:69">
      <c r="A1826" s="28">
        <v>1981</v>
      </c>
      <c r="B1826" s="27" t="s">
        <v>82</v>
      </c>
      <c r="C1826" s="24">
        <f t="shared" si="1831"/>
        <v>1800</v>
      </c>
      <c r="D1826" s="7" t="e">
        <f t="shared" ca="1" si="1811"/>
        <v>#N/A</v>
      </c>
      <c r="E1826" s="26">
        <f t="array" aca="1" ref="E1826" ca="1">AVERAGE(IF(INDIRECT(DatCol&amp;"$"&amp;TEXT(C1826,"###")):INDIRECT(DatCol&amp;"$"&amp;TEXT(C1826+57,"###"))&gt;0,INDIRECT(DatCol&amp;"$"&amp;TEXT(C1826,"###")):INDIRECT(DatCol&amp;"$"&amp;TEXT(C1826+57,"###"))))</f>
        <v>117.12487804878053</v>
      </c>
      <c r="F1826" s="26" t="str">
        <f t="shared" si="1850"/>
        <v>I</v>
      </c>
      <c r="G1826" s="8"/>
      <c r="H1826" s="8">
        <v>48</v>
      </c>
      <c r="I1826" s="8">
        <v>42</v>
      </c>
      <c r="J1826" s="8">
        <v>919</v>
      </c>
      <c r="K1826" s="9">
        <f t="shared" ref="K1826:K1890" si="1853">G1826+H1826+J1826</f>
        <v>967</v>
      </c>
      <c r="M1826" s="11">
        <f t="shared" si="1832"/>
        <v>0</v>
      </c>
      <c r="N1826" s="12">
        <v>155</v>
      </c>
      <c r="O1826" s="11">
        <f t="shared" si="1833"/>
        <v>7750</v>
      </c>
      <c r="P1826" s="12">
        <v>600</v>
      </c>
      <c r="Q1826" s="11">
        <f t="shared" si="1834"/>
        <v>36000</v>
      </c>
      <c r="X1826" s="12">
        <v>577</v>
      </c>
      <c r="Y1826" s="11">
        <f t="shared" si="1835"/>
        <v>34620</v>
      </c>
      <c r="AG1826" s="11">
        <f t="shared" si="1836"/>
        <v>0</v>
      </c>
      <c r="AH1826" s="12">
        <v>34</v>
      </c>
      <c r="AI1826" s="11">
        <f t="shared" si="1837"/>
        <v>2210</v>
      </c>
      <c r="AJ1826" s="12">
        <v>2661</v>
      </c>
      <c r="AK1826" s="13">
        <f t="shared" si="1838"/>
        <v>23949</v>
      </c>
      <c r="AL1826" s="12">
        <v>625</v>
      </c>
      <c r="AM1826" s="13">
        <f t="shared" si="1839"/>
        <v>5625</v>
      </c>
      <c r="AO1826" s="11">
        <f t="shared" si="1840"/>
        <v>0</v>
      </c>
      <c r="AQ1826" s="11">
        <f t="shared" si="1841"/>
        <v>0</v>
      </c>
      <c r="AS1826" s="11">
        <f t="shared" si="1842"/>
        <v>0</v>
      </c>
      <c r="AT1826" s="12">
        <v>12</v>
      </c>
      <c r="AU1826" s="11">
        <f t="shared" si="1843"/>
        <v>600</v>
      </c>
      <c r="AW1826" s="11">
        <f t="shared" si="1844"/>
        <v>0</v>
      </c>
      <c r="AY1826" s="11">
        <f t="shared" si="1845"/>
        <v>0</v>
      </c>
      <c r="BA1826" s="11">
        <f t="shared" si="1846"/>
        <v>0</v>
      </c>
      <c r="BC1826" s="11">
        <f t="shared" si="1847"/>
        <v>0</v>
      </c>
      <c r="BE1826" s="11">
        <f t="shared" si="1848"/>
        <v>0</v>
      </c>
      <c r="BG1826" s="11">
        <f t="shared" si="1849"/>
        <v>0</v>
      </c>
      <c r="BN1826" s="8">
        <f t="shared" si="1851"/>
        <v>3838</v>
      </c>
      <c r="BO1826" s="8">
        <f t="shared" si="1852"/>
        <v>94569</v>
      </c>
      <c r="BP1826" s="8">
        <f t="shared" si="1809"/>
        <v>1403</v>
      </c>
      <c r="BQ1826" s="12">
        <f t="shared" si="1810"/>
        <v>50805</v>
      </c>
    </row>
    <row r="1827" spans="1:69">
      <c r="A1827" s="28">
        <v>1982</v>
      </c>
      <c r="B1827" s="27" t="s">
        <v>82</v>
      </c>
      <c r="C1827" s="24">
        <f t="shared" si="1831"/>
        <v>1800</v>
      </c>
      <c r="D1827" s="7" t="e">
        <f t="shared" ca="1" si="1811"/>
        <v>#N/A</v>
      </c>
      <c r="E1827" s="26">
        <f t="array" aca="1" ref="E1827" ca="1">AVERAGE(IF(INDIRECT(DatCol&amp;"$"&amp;TEXT(C1827,"###")):INDIRECT(DatCol&amp;"$"&amp;TEXT(C1827+57,"###"))&gt;0,INDIRECT(DatCol&amp;"$"&amp;TEXT(C1827,"###")):INDIRECT(DatCol&amp;"$"&amp;TEXT(C1827+57,"###"))))</f>
        <v>117.12487804878053</v>
      </c>
      <c r="F1827" s="26" t="str">
        <f t="shared" si="1850"/>
        <v>I</v>
      </c>
      <c r="G1827" s="8"/>
      <c r="H1827" s="8">
        <v>29</v>
      </c>
      <c r="I1827" s="8">
        <v>45</v>
      </c>
      <c r="J1827" s="8">
        <v>597</v>
      </c>
      <c r="K1827" s="9">
        <f t="shared" si="1853"/>
        <v>626</v>
      </c>
      <c r="M1827" s="11">
        <f t="shared" si="1832"/>
        <v>0</v>
      </c>
      <c r="N1827" s="12">
        <v>175</v>
      </c>
      <c r="O1827" s="11">
        <f t="shared" si="1833"/>
        <v>8750</v>
      </c>
      <c r="P1827" s="12">
        <v>1100</v>
      </c>
      <c r="Q1827" s="11">
        <f t="shared" si="1834"/>
        <v>66000</v>
      </c>
      <c r="X1827" s="12">
        <v>528</v>
      </c>
      <c r="Y1827" s="11">
        <f t="shared" si="1835"/>
        <v>31680</v>
      </c>
      <c r="AG1827" s="11">
        <f t="shared" si="1836"/>
        <v>0</v>
      </c>
      <c r="AH1827" s="12">
        <v>30</v>
      </c>
      <c r="AI1827" s="11">
        <f t="shared" si="1837"/>
        <v>1950</v>
      </c>
      <c r="AJ1827" s="12">
        <v>2625</v>
      </c>
      <c r="AK1827" s="13">
        <f t="shared" si="1838"/>
        <v>23625</v>
      </c>
      <c r="AL1827" s="12">
        <v>422</v>
      </c>
      <c r="AM1827" s="13">
        <f t="shared" si="1839"/>
        <v>3798</v>
      </c>
      <c r="AO1827" s="11">
        <f t="shared" si="1840"/>
        <v>0</v>
      </c>
      <c r="AQ1827" s="11">
        <f t="shared" si="1841"/>
        <v>0</v>
      </c>
      <c r="AR1827" s="12">
        <v>1000</v>
      </c>
      <c r="AS1827" s="11">
        <f t="shared" si="1842"/>
        <v>50000</v>
      </c>
      <c r="AT1827" s="12">
        <v>15</v>
      </c>
      <c r="AU1827" s="11">
        <f t="shared" si="1843"/>
        <v>750</v>
      </c>
      <c r="AW1827" s="11">
        <f t="shared" si="1844"/>
        <v>0</v>
      </c>
      <c r="AY1827" s="11">
        <f t="shared" si="1845"/>
        <v>0</v>
      </c>
      <c r="BA1827" s="11">
        <f t="shared" si="1846"/>
        <v>0</v>
      </c>
      <c r="BC1827" s="11">
        <f t="shared" si="1847"/>
        <v>0</v>
      </c>
      <c r="BE1827" s="11">
        <f t="shared" si="1848"/>
        <v>0</v>
      </c>
      <c r="BG1827" s="11">
        <f t="shared" si="1849"/>
        <v>0</v>
      </c>
      <c r="BN1827" s="8">
        <f t="shared" si="1851"/>
        <v>5253</v>
      </c>
      <c r="BO1827" s="8">
        <f t="shared" si="1852"/>
        <v>171305</v>
      </c>
      <c r="BP1827" s="8">
        <f t="shared" si="1809"/>
        <v>1170</v>
      </c>
      <c r="BQ1827" s="12">
        <f t="shared" si="1810"/>
        <v>46928</v>
      </c>
    </row>
    <row r="1828" spans="1:69">
      <c r="A1828" s="28">
        <v>1983</v>
      </c>
      <c r="B1828" s="27" t="s">
        <v>82</v>
      </c>
      <c r="C1828" s="24">
        <f t="shared" si="1831"/>
        <v>1800</v>
      </c>
      <c r="D1828" s="7" t="e">
        <f t="shared" ca="1" si="1811"/>
        <v>#N/A</v>
      </c>
      <c r="E1828" s="26">
        <f t="array" aca="1" ref="E1828" ca="1">AVERAGE(IF(INDIRECT(DatCol&amp;"$"&amp;TEXT(C1828,"###")):INDIRECT(DatCol&amp;"$"&amp;TEXT(C1828+57,"###"))&gt;0,INDIRECT(DatCol&amp;"$"&amp;TEXT(C1828,"###")):INDIRECT(DatCol&amp;"$"&amp;TEXT(C1828+57,"###"))))</f>
        <v>117.12487804878053</v>
      </c>
      <c r="F1828" s="26" t="str">
        <f t="shared" si="1850"/>
        <v>I</v>
      </c>
      <c r="G1828" s="8"/>
      <c r="H1828" s="8">
        <v>37</v>
      </c>
      <c r="I1828" s="8">
        <v>54</v>
      </c>
      <c r="J1828" s="8">
        <v>603</v>
      </c>
      <c r="K1828" s="9">
        <f t="shared" si="1853"/>
        <v>640</v>
      </c>
      <c r="M1828" s="11">
        <f t="shared" ref="M1828:M1858" si="1854">(L1828*50)</f>
        <v>0</v>
      </c>
      <c r="N1828" s="12">
        <v>0</v>
      </c>
      <c r="O1828" s="11">
        <f t="shared" ref="O1828:O1858" si="1855">(N1828*50)</f>
        <v>0</v>
      </c>
      <c r="P1828" s="12">
        <v>675</v>
      </c>
      <c r="Q1828" s="11">
        <f t="shared" ref="Q1828:Q1842" si="1856">((P1828*330)/5.5)</f>
        <v>40500</v>
      </c>
      <c r="X1828" s="12">
        <v>405</v>
      </c>
      <c r="Y1828" s="11">
        <f t="shared" ref="Y1828:Y1858" si="1857">((X1828*330)/5.5)</f>
        <v>24300</v>
      </c>
      <c r="AG1828" s="11">
        <f t="shared" ref="AG1828:AG1858" si="1858">(AF1828*65)</f>
        <v>0</v>
      </c>
      <c r="AH1828" s="12">
        <v>20</v>
      </c>
      <c r="AI1828" s="11">
        <f t="shared" ref="AI1828:AI1858" si="1859">(AH1828*65)</f>
        <v>1300</v>
      </c>
      <c r="AJ1828" s="12">
        <v>4815</v>
      </c>
      <c r="AK1828" s="13">
        <f t="shared" ref="AK1828:AK1858" si="1860">(AJ1828*9)</f>
        <v>43335</v>
      </c>
      <c r="AL1828" s="12">
        <v>755</v>
      </c>
      <c r="AM1828" s="13">
        <f t="shared" ref="AM1828:AM1858" si="1861">(AL1828*9)</f>
        <v>6795</v>
      </c>
      <c r="AO1828" s="11">
        <f t="shared" ref="AO1828:AO1858" si="1862">(AN1828*80)</f>
        <v>0</v>
      </c>
      <c r="AQ1828" s="11">
        <f t="shared" ref="AQ1828:AQ1858" si="1863">(AP1828*80)</f>
        <v>0</v>
      </c>
      <c r="AS1828" s="11">
        <f t="shared" ref="AS1828:AS1858" si="1864">(AR1828*50)</f>
        <v>0</v>
      </c>
      <c r="AU1828" s="11">
        <f t="shared" ref="AU1828:AU1858" si="1865">(AT1828*50)</f>
        <v>0</v>
      </c>
      <c r="AW1828" s="11">
        <f t="shared" ref="AW1828:AW1858" si="1866">(AV1828*60)</f>
        <v>0</v>
      </c>
      <c r="AY1828" s="11">
        <f t="shared" ref="AY1828:AY1858" si="1867">(AX1828*60)</f>
        <v>0</v>
      </c>
      <c r="BA1828" s="11">
        <f t="shared" ref="BA1828:BA1858" si="1868">(AZ1828*40)</f>
        <v>0</v>
      </c>
      <c r="BC1828" s="11">
        <f t="shared" ref="BC1828:BC1858" si="1869">(BB1828*40)</f>
        <v>0</v>
      </c>
      <c r="BE1828" s="11">
        <f t="shared" ref="BE1828:BE1858" si="1870">(BD1828*95)</f>
        <v>0</v>
      </c>
      <c r="BG1828" s="11">
        <f t="shared" ref="BG1828:BG1858" si="1871">(BF1828*95)</f>
        <v>0</v>
      </c>
      <c r="BN1828" s="8">
        <f t="shared" si="1851"/>
        <v>5895</v>
      </c>
      <c r="BO1828" s="8">
        <f t="shared" si="1852"/>
        <v>108135</v>
      </c>
      <c r="BP1828" s="8">
        <f t="shared" si="1809"/>
        <v>1180</v>
      </c>
      <c r="BQ1828" s="12">
        <f t="shared" si="1810"/>
        <v>32395</v>
      </c>
    </row>
    <row r="1829" spans="1:69">
      <c r="A1829" s="28">
        <v>1984</v>
      </c>
      <c r="B1829" s="27" t="s">
        <v>82</v>
      </c>
      <c r="C1829" s="24">
        <f t="shared" si="1831"/>
        <v>1800</v>
      </c>
      <c r="D1829" s="7" t="e">
        <f t="shared" ca="1" si="1811"/>
        <v>#N/A</v>
      </c>
      <c r="E1829" s="26">
        <f t="array" aca="1" ref="E1829" ca="1">AVERAGE(IF(INDIRECT(DatCol&amp;"$"&amp;TEXT(C1829,"###")):INDIRECT(DatCol&amp;"$"&amp;TEXT(C1829+57,"###"))&gt;0,INDIRECT(DatCol&amp;"$"&amp;TEXT(C1829,"###")):INDIRECT(DatCol&amp;"$"&amp;TEXT(C1829+57,"###"))))</f>
        <v>117.12487804878053</v>
      </c>
      <c r="F1829" s="26" t="str">
        <f t="shared" si="1850"/>
        <v>I</v>
      </c>
      <c r="G1829" s="8"/>
      <c r="H1829" s="8">
        <v>30</v>
      </c>
      <c r="I1829" s="8">
        <v>36</v>
      </c>
      <c r="J1829" s="8">
        <v>323</v>
      </c>
      <c r="K1829" s="9">
        <f t="shared" si="1853"/>
        <v>353</v>
      </c>
      <c r="L1829" s="12">
        <v>21</v>
      </c>
      <c r="M1829" s="11">
        <f t="shared" si="1854"/>
        <v>1050</v>
      </c>
      <c r="N1829" s="12">
        <v>125.5</v>
      </c>
      <c r="O1829" s="11">
        <f t="shared" si="1855"/>
        <v>6275</v>
      </c>
      <c r="P1829" s="12">
        <v>115</v>
      </c>
      <c r="Q1829" s="11">
        <f t="shared" si="1856"/>
        <v>6900</v>
      </c>
      <c r="X1829" s="12">
        <v>466.5</v>
      </c>
      <c r="Y1829" s="11">
        <f t="shared" si="1857"/>
        <v>27990</v>
      </c>
      <c r="AG1829" s="11">
        <f t="shared" si="1858"/>
        <v>0</v>
      </c>
      <c r="AH1829" s="12">
        <v>11</v>
      </c>
      <c r="AI1829" s="11">
        <f t="shared" si="1859"/>
        <v>715</v>
      </c>
      <c r="AJ1829" s="12">
        <v>1805.5</v>
      </c>
      <c r="AK1829" s="13">
        <f t="shared" si="1860"/>
        <v>16249.5</v>
      </c>
      <c r="AL1829" s="12">
        <v>423</v>
      </c>
      <c r="AM1829" s="13">
        <f t="shared" si="1861"/>
        <v>3807</v>
      </c>
      <c r="AO1829" s="11">
        <f t="shared" si="1862"/>
        <v>0</v>
      </c>
      <c r="AQ1829" s="11">
        <f t="shared" si="1863"/>
        <v>0</v>
      </c>
      <c r="AS1829" s="11">
        <f t="shared" si="1864"/>
        <v>0</v>
      </c>
      <c r="AT1829" s="12">
        <v>98</v>
      </c>
      <c r="AU1829" s="11">
        <f t="shared" si="1865"/>
        <v>4900</v>
      </c>
      <c r="AW1829" s="11">
        <f t="shared" si="1866"/>
        <v>0</v>
      </c>
      <c r="AY1829" s="11">
        <f t="shared" si="1867"/>
        <v>0</v>
      </c>
      <c r="BA1829" s="11">
        <f t="shared" si="1868"/>
        <v>0</v>
      </c>
      <c r="BC1829" s="11">
        <f t="shared" si="1869"/>
        <v>0</v>
      </c>
      <c r="BE1829" s="11">
        <f t="shared" si="1870"/>
        <v>0</v>
      </c>
      <c r="BG1829" s="11">
        <f t="shared" si="1871"/>
        <v>0</v>
      </c>
      <c r="BN1829" s="8">
        <f t="shared" si="1851"/>
        <v>2408</v>
      </c>
      <c r="BO1829" s="8">
        <f t="shared" si="1852"/>
        <v>52189.5</v>
      </c>
      <c r="BP1829" s="8">
        <f t="shared" si="1809"/>
        <v>1124</v>
      </c>
      <c r="BQ1829" s="12">
        <f t="shared" si="1810"/>
        <v>43687</v>
      </c>
    </row>
    <row r="1830" spans="1:69">
      <c r="A1830" s="28">
        <v>1985</v>
      </c>
      <c r="B1830" s="27" t="s">
        <v>82</v>
      </c>
      <c r="C1830" s="24">
        <f t="shared" si="1831"/>
        <v>1800</v>
      </c>
      <c r="D1830" s="7" t="e">
        <f t="shared" ca="1" si="1811"/>
        <v>#N/A</v>
      </c>
      <c r="E1830" s="26">
        <f t="array" aca="1" ref="E1830" ca="1">AVERAGE(IF(INDIRECT(DatCol&amp;"$"&amp;TEXT(C1830,"###")):INDIRECT(DatCol&amp;"$"&amp;TEXT(C1830+57,"###"))&gt;0,INDIRECT(DatCol&amp;"$"&amp;TEXT(C1830,"###")):INDIRECT(DatCol&amp;"$"&amp;TEXT(C1830+57,"###"))))</f>
        <v>117.12487804878053</v>
      </c>
      <c r="F1830" s="26" t="str">
        <f t="shared" si="1850"/>
        <v>I</v>
      </c>
      <c r="G1830" s="8">
        <v>214</v>
      </c>
      <c r="H1830" s="8">
        <v>0</v>
      </c>
      <c r="I1830" s="8">
        <v>33</v>
      </c>
      <c r="J1830" s="8">
        <v>304</v>
      </c>
      <c r="K1830" s="9">
        <f t="shared" si="1853"/>
        <v>518</v>
      </c>
      <c r="L1830" s="12" t="s">
        <v>83</v>
      </c>
      <c r="M1830" s="11">
        <f t="shared" si="1854"/>
        <v>0</v>
      </c>
      <c r="N1830" s="12" t="s">
        <v>84</v>
      </c>
      <c r="O1830" s="11">
        <f t="shared" si="1855"/>
        <v>0</v>
      </c>
      <c r="P1830" s="12">
        <v>131</v>
      </c>
      <c r="Q1830" s="11">
        <f t="shared" si="1856"/>
        <v>7860</v>
      </c>
      <c r="X1830" s="12">
        <v>423.5</v>
      </c>
      <c r="Y1830" s="11">
        <f t="shared" si="1857"/>
        <v>25410</v>
      </c>
      <c r="AG1830" s="11">
        <f t="shared" si="1858"/>
        <v>0</v>
      </c>
      <c r="AI1830" s="11">
        <f t="shared" si="1859"/>
        <v>0</v>
      </c>
      <c r="AJ1830" s="12">
        <v>1377</v>
      </c>
      <c r="AK1830" s="13">
        <f t="shared" si="1860"/>
        <v>12393</v>
      </c>
      <c r="AL1830" s="12">
        <v>401.5</v>
      </c>
      <c r="AM1830" s="13">
        <f t="shared" si="1861"/>
        <v>3613.5</v>
      </c>
      <c r="AO1830" s="11">
        <f t="shared" si="1862"/>
        <v>0</v>
      </c>
      <c r="AQ1830" s="11">
        <f t="shared" si="1863"/>
        <v>0</v>
      </c>
      <c r="AS1830" s="11">
        <f t="shared" si="1864"/>
        <v>0</v>
      </c>
      <c r="AU1830" s="11">
        <f t="shared" si="1865"/>
        <v>0</v>
      </c>
      <c r="AV1830" s="12">
        <v>1000</v>
      </c>
      <c r="AW1830" s="11">
        <f t="shared" si="1866"/>
        <v>60000</v>
      </c>
      <c r="AY1830" s="11">
        <f t="shared" si="1867"/>
        <v>0</v>
      </c>
      <c r="BA1830" s="11">
        <f t="shared" si="1868"/>
        <v>0</v>
      </c>
      <c r="BC1830" s="11">
        <f t="shared" si="1869"/>
        <v>0</v>
      </c>
      <c r="BE1830" s="11">
        <f t="shared" si="1870"/>
        <v>0</v>
      </c>
      <c r="BG1830" s="11">
        <f t="shared" si="1871"/>
        <v>0</v>
      </c>
      <c r="BN1830" s="8">
        <f t="shared" si="1851"/>
        <v>2931.5</v>
      </c>
      <c r="BO1830" s="8">
        <f t="shared" si="1852"/>
        <v>105663</v>
      </c>
      <c r="BP1830" s="8">
        <f t="shared" si="1809"/>
        <v>825</v>
      </c>
      <c r="BQ1830" s="12">
        <f t="shared" si="1810"/>
        <v>29023.5</v>
      </c>
    </row>
    <row r="1831" spans="1:69">
      <c r="A1831" s="28">
        <v>1986</v>
      </c>
      <c r="B1831" s="27" t="s">
        <v>82</v>
      </c>
      <c r="C1831" s="24">
        <f t="shared" si="1831"/>
        <v>1800</v>
      </c>
      <c r="D1831" s="7" t="e">
        <f t="shared" ca="1" si="1811"/>
        <v>#N/A</v>
      </c>
      <c r="E1831" s="26">
        <f t="array" aca="1" ref="E1831" ca="1">AVERAGE(IF(INDIRECT(DatCol&amp;"$"&amp;TEXT(C1831,"###")):INDIRECT(DatCol&amp;"$"&amp;TEXT(C1831+57,"###"))&gt;0,INDIRECT(DatCol&amp;"$"&amp;TEXT(C1831,"###")):INDIRECT(DatCol&amp;"$"&amp;TEXT(C1831+57,"###"))))</f>
        <v>117.12487804878053</v>
      </c>
      <c r="F1831" s="26" t="str">
        <f t="shared" si="1850"/>
        <v>I</v>
      </c>
      <c r="G1831" s="8">
        <v>240</v>
      </c>
      <c r="H1831" s="8">
        <v>43</v>
      </c>
      <c r="I1831" s="8">
        <v>13</v>
      </c>
      <c r="J1831" s="8">
        <v>284</v>
      </c>
      <c r="K1831" s="9">
        <f t="shared" si="1853"/>
        <v>567</v>
      </c>
      <c r="L1831" s="12">
        <v>48</v>
      </c>
      <c r="M1831" s="11">
        <f t="shared" si="1854"/>
        <v>2400</v>
      </c>
      <c r="N1831" s="12">
        <v>115</v>
      </c>
      <c r="O1831" s="11">
        <f t="shared" si="1855"/>
        <v>5750</v>
      </c>
      <c r="P1831" s="12">
        <v>316</v>
      </c>
      <c r="Q1831" s="11">
        <f t="shared" si="1856"/>
        <v>18960</v>
      </c>
      <c r="X1831" s="12">
        <v>506.5</v>
      </c>
      <c r="Y1831" s="11">
        <f t="shared" si="1857"/>
        <v>30390</v>
      </c>
      <c r="AG1831" s="11">
        <f t="shared" si="1858"/>
        <v>0</v>
      </c>
      <c r="AI1831" s="11">
        <f t="shared" si="1859"/>
        <v>0</v>
      </c>
      <c r="AJ1831" s="12">
        <v>497.5</v>
      </c>
      <c r="AK1831" s="13">
        <f t="shared" si="1860"/>
        <v>4477.5</v>
      </c>
      <c r="AL1831" s="12">
        <v>206.5</v>
      </c>
      <c r="AM1831" s="13">
        <f t="shared" si="1861"/>
        <v>1858.5</v>
      </c>
      <c r="AO1831" s="11">
        <f t="shared" si="1862"/>
        <v>0</v>
      </c>
      <c r="AQ1831" s="11">
        <f t="shared" si="1863"/>
        <v>0</v>
      </c>
      <c r="AS1831" s="11">
        <f t="shared" si="1864"/>
        <v>0</v>
      </c>
      <c r="AT1831" s="12">
        <v>39</v>
      </c>
      <c r="AU1831" s="11">
        <f t="shared" si="1865"/>
        <v>1950</v>
      </c>
      <c r="AV1831" s="12">
        <v>600</v>
      </c>
      <c r="AW1831" s="11">
        <f t="shared" si="1866"/>
        <v>36000</v>
      </c>
      <c r="AY1831" s="11">
        <f t="shared" si="1867"/>
        <v>0</v>
      </c>
      <c r="BA1831" s="11">
        <f t="shared" si="1868"/>
        <v>0</v>
      </c>
      <c r="BC1831" s="11">
        <f t="shared" si="1869"/>
        <v>0</v>
      </c>
      <c r="BE1831" s="11">
        <f t="shared" si="1870"/>
        <v>0</v>
      </c>
      <c r="BG1831" s="11">
        <f t="shared" si="1871"/>
        <v>0</v>
      </c>
      <c r="BN1831" s="8">
        <f t="shared" si="1851"/>
        <v>1968</v>
      </c>
      <c r="BO1831" s="8">
        <f t="shared" si="1852"/>
        <v>92227.5</v>
      </c>
      <c r="BP1831" s="8">
        <f t="shared" si="1809"/>
        <v>867</v>
      </c>
      <c r="BQ1831" s="12">
        <f t="shared" si="1810"/>
        <v>39948.5</v>
      </c>
    </row>
    <row r="1832" spans="1:69">
      <c r="A1832" s="28">
        <v>1987</v>
      </c>
      <c r="B1832" s="27" t="s">
        <v>82</v>
      </c>
      <c r="C1832" s="24">
        <f t="shared" si="1831"/>
        <v>1800</v>
      </c>
      <c r="D1832" s="7" t="e">
        <f t="shared" ca="1" si="1811"/>
        <v>#N/A</v>
      </c>
      <c r="E1832" s="26">
        <f t="array" aca="1" ref="E1832" ca="1">AVERAGE(IF(INDIRECT(DatCol&amp;"$"&amp;TEXT(C1832,"###")):INDIRECT(DatCol&amp;"$"&amp;TEXT(C1832+57,"###"))&gt;0,INDIRECT(DatCol&amp;"$"&amp;TEXT(C1832,"###")):INDIRECT(DatCol&amp;"$"&amp;TEXT(C1832+57,"###"))))</f>
        <v>117.12487804878053</v>
      </c>
      <c r="F1832" s="26" t="str">
        <f t="shared" si="1850"/>
        <v>I</v>
      </c>
      <c r="G1832" s="8">
        <v>254</v>
      </c>
      <c r="H1832" s="8">
        <v>47</v>
      </c>
      <c r="I1832" s="8">
        <v>18</v>
      </c>
      <c r="J1832" s="8">
        <v>285</v>
      </c>
      <c r="K1832" s="9">
        <f t="shared" si="1853"/>
        <v>586</v>
      </c>
      <c r="L1832" s="12">
        <v>67.5</v>
      </c>
      <c r="M1832" s="11">
        <f t="shared" si="1854"/>
        <v>3375</v>
      </c>
      <c r="N1832" s="12">
        <v>104.5</v>
      </c>
      <c r="O1832" s="11">
        <f t="shared" si="1855"/>
        <v>5225</v>
      </c>
      <c r="P1832" s="12">
        <v>519.5</v>
      </c>
      <c r="Q1832" s="11">
        <f t="shared" si="1856"/>
        <v>31170</v>
      </c>
      <c r="X1832" s="12">
        <v>483</v>
      </c>
      <c r="Y1832" s="11">
        <f t="shared" si="1857"/>
        <v>28980</v>
      </c>
      <c r="AG1832" s="11">
        <f t="shared" si="1858"/>
        <v>0</v>
      </c>
      <c r="AI1832" s="11">
        <f t="shared" si="1859"/>
        <v>0</v>
      </c>
      <c r="AJ1832" s="12">
        <v>1484</v>
      </c>
      <c r="AK1832" s="13">
        <f t="shared" si="1860"/>
        <v>13356</v>
      </c>
      <c r="AL1832" s="12">
        <v>591.5</v>
      </c>
      <c r="AM1832" s="13">
        <f t="shared" si="1861"/>
        <v>5323.5</v>
      </c>
      <c r="AO1832" s="11">
        <f t="shared" si="1862"/>
        <v>0</v>
      </c>
      <c r="AQ1832" s="11">
        <f t="shared" si="1863"/>
        <v>0</v>
      </c>
      <c r="AS1832" s="11">
        <f t="shared" si="1864"/>
        <v>0</v>
      </c>
      <c r="AU1832" s="11">
        <f t="shared" si="1865"/>
        <v>0</v>
      </c>
      <c r="AW1832" s="11">
        <f t="shared" si="1866"/>
        <v>0</v>
      </c>
      <c r="AY1832" s="11">
        <f t="shared" si="1867"/>
        <v>0</v>
      </c>
      <c r="BA1832" s="11">
        <f t="shared" si="1868"/>
        <v>0</v>
      </c>
      <c r="BC1832" s="11">
        <f t="shared" si="1869"/>
        <v>0</v>
      </c>
      <c r="BE1832" s="11">
        <f t="shared" si="1870"/>
        <v>0</v>
      </c>
      <c r="BG1832" s="11">
        <f t="shared" si="1871"/>
        <v>0</v>
      </c>
      <c r="BN1832" s="8">
        <f t="shared" si="1851"/>
        <v>2554</v>
      </c>
      <c r="BO1832" s="8">
        <f t="shared" si="1852"/>
        <v>76881</v>
      </c>
      <c r="BP1832" s="8">
        <f t="shared" si="1809"/>
        <v>1179</v>
      </c>
      <c r="BQ1832" s="12">
        <f t="shared" si="1810"/>
        <v>39528.5</v>
      </c>
    </row>
    <row r="1833" spans="1:69">
      <c r="A1833" s="28">
        <v>1988</v>
      </c>
      <c r="B1833" s="27" t="s">
        <v>82</v>
      </c>
      <c r="C1833" s="24">
        <f t="shared" si="1831"/>
        <v>1800</v>
      </c>
      <c r="D1833" s="7" t="e">
        <f t="shared" ca="1" si="1811"/>
        <v>#N/A</v>
      </c>
      <c r="E1833" s="26">
        <f t="array" aca="1" ref="E1833" ca="1">AVERAGE(IF(INDIRECT(DatCol&amp;"$"&amp;TEXT(C1833,"###")):INDIRECT(DatCol&amp;"$"&amp;TEXT(C1833+57,"###"))&gt;0,INDIRECT(DatCol&amp;"$"&amp;TEXT(C1833,"###")):INDIRECT(DatCol&amp;"$"&amp;TEXT(C1833+57,"###"))))</f>
        <v>117.12487804878053</v>
      </c>
      <c r="F1833" s="26" t="str">
        <f t="shared" si="1850"/>
        <v>I</v>
      </c>
      <c r="G1833" s="8">
        <v>219</v>
      </c>
      <c r="H1833" s="8">
        <v>30</v>
      </c>
      <c r="I1833" s="8">
        <v>17</v>
      </c>
      <c r="J1833" s="8">
        <v>271</v>
      </c>
      <c r="K1833" s="9">
        <f t="shared" si="1853"/>
        <v>520</v>
      </c>
      <c r="L1833" s="12">
        <v>37</v>
      </c>
      <c r="M1833" s="11">
        <f t="shared" si="1854"/>
        <v>1850</v>
      </c>
      <c r="N1833" s="12">
        <v>74.5</v>
      </c>
      <c r="O1833" s="11">
        <f t="shared" si="1855"/>
        <v>3725</v>
      </c>
      <c r="P1833" s="12">
        <v>340</v>
      </c>
      <c r="Q1833" s="11">
        <f t="shared" si="1856"/>
        <v>20400</v>
      </c>
      <c r="X1833" s="12">
        <v>423</v>
      </c>
      <c r="Y1833" s="11">
        <f t="shared" si="1857"/>
        <v>25380</v>
      </c>
      <c r="AG1833" s="11">
        <f t="shared" si="1858"/>
        <v>0</v>
      </c>
      <c r="AI1833" s="11">
        <f t="shared" si="1859"/>
        <v>0</v>
      </c>
      <c r="AJ1833" s="12">
        <v>472</v>
      </c>
      <c r="AK1833" s="13">
        <f t="shared" si="1860"/>
        <v>4248</v>
      </c>
      <c r="AL1833" s="12">
        <v>117</v>
      </c>
      <c r="AM1833" s="13">
        <f t="shared" si="1861"/>
        <v>1053</v>
      </c>
      <c r="AO1833" s="11">
        <f t="shared" si="1862"/>
        <v>0</v>
      </c>
      <c r="AQ1833" s="11">
        <f t="shared" si="1863"/>
        <v>0</v>
      </c>
      <c r="AS1833" s="11">
        <f t="shared" si="1864"/>
        <v>0</v>
      </c>
      <c r="AU1833" s="11">
        <f t="shared" si="1865"/>
        <v>0</v>
      </c>
      <c r="AV1833" s="12">
        <f>76000/80</f>
        <v>950</v>
      </c>
      <c r="AW1833" s="11">
        <f t="shared" si="1866"/>
        <v>57000</v>
      </c>
      <c r="AY1833" s="11">
        <f t="shared" si="1867"/>
        <v>0</v>
      </c>
      <c r="BA1833" s="11">
        <f t="shared" si="1868"/>
        <v>0</v>
      </c>
      <c r="BC1833" s="11">
        <f t="shared" si="1869"/>
        <v>0</v>
      </c>
      <c r="BE1833" s="11">
        <f t="shared" si="1870"/>
        <v>0</v>
      </c>
      <c r="BG1833" s="11">
        <f t="shared" si="1871"/>
        <v>0</v>
      </c>
      <c r="BN1833" s="8">
        <f t="shared" si="1851"/>
        <v>2222</v>
      </c>
      <c r="BO1833" s="8">
        <f t="shared" si="1852"/>
        <v>108878</v>
      </c>
      <c r="BP1833" s="8">
        <f t="shared" si="1809"/>
        <v>614.5</v>
      </c>
      <c r="BQ1833" s="12">
        <f t="shared" si="1810"/>
        <v>30158</v>
      </c>
    </row>
    <row r="1834" spans="1:69">
      <c r="A1834" s="28">
        <v>1989</v>
      </c>
      <c r="B1834" s="27" t="s">
        <v>82</v>
      </c>
      <c r="C1834" s="24">
        <f t="shared" si="1831"/>
        <v>1800</v>
      </c>
      <c r="D1834" s="7" t="e">
        <f t="shared" ca="1" si="1811"/>
        <v>#N/A</v>
      </c>
      <c r="E1834" s="26">
        <f t="array" aca="1" ref="E1834" ca="1">AVERAGE(IF(INDIRECT(DatCol&amp;"$"&amp;TEXT(C1834,"###")):INDIRECT(DatCol&amp;"$"&amp;TEXT(C1834+57,"###"))&gt;0,INDIRECT(DatCol&amp;"$"&amp;TEXT(C1834,"###")):INDIRECT(DatCol&amp;"$"&amp;TEXT(C1834+57,"###"))))</f>
        <v>117.12487804878053</v>
      </c>
      <c r="F1834" s="26" t="str">
        <f t="shared" si="1850"/>
        <v>I</v>
      </c>
      <c r="G1834" s="8">
        <v>203</v>
      </c>
      <c r="H1834" s="8">
        <v>16</v>
      </c>
      <c r="I1834" s="8">
        <v>19</v>
      </c>
      <c r="J1834" s="8">
        <v>218</v>
      </c>
      <c r="K1834" s="9">
        <f t="shared" si="1853"/>
        <v>437</v>
      </c>
      <c r="L1834" s="12">
        <v>124</v>
      </c>
      <c r="M1834" s="11">
        <f t="shared" si="1854"/>
        <v>6200</v>
      </c>
      <c r="N1834" s="12">
        <v>84</v>
      </c>
      <c r="O1834" s="11">
        <f t="shared" si="1855"/>
        <v>4200</v>
      </c>
      <c r="P1834" s="12">
        <v>263</v>
      </c>
      <c r="Q1834" s="11">
        <f t="shared" si="1856"/>
        <v>15780</v>
      </c>
      <c r="X1834" s="12">
        <v>253</v>
      </c>
      <c r="Y1834" s="11">
        <f t="shared" si="1857"/>
        <v>15180</v>
      </c>
      <c r="AG1834" s="11">
        <f t="shared" si="1858"/>
        <v>0</v>
      </c>
      <c r="AI1834" s="11">
        <f t="shared" si="1859"/>
        <v>0</v>
      </c>
      <c r="AJ1834" s="12">
        <v>410</v>
      </c>
      <c r="AK1834" s="13">
        <f t="shared" si="1860"/>
        <v>3690</v>
      </c>
      <c r="AL1834" s="12">
        <v>297</v>
      </c>
      <c r="AM1834" s="13">
        <f t="shared" si="1861"/>
        <v>2673</v>
      </c>
      <c r="AO1834" s="11">
        <f t="shared" si="1862"/>
        <v>0</v>
      </c>
      <c r="AQ1834" s="11">
        <f t="shared" si="1863"/>
        <v>0</v>
      </c>
      <c r="AS1834" s="11">
        <f t="shared" si="1864"/>
        <v>0</v>
      </c>
      <c r="AT1834" s="12">
        <v>4</v>
      </c>
      <c r="AU1834" s="11">
        <f t="shared" si="1865"/>
        <v>200</v>
      </c>
      <c r="AW1834" s="11">
        <f t="shared" si="1866"/>
        <v>0</v>
      </c>
      <c r="AY1834" s="11">
        <f t="shared" si="1867"/>
        <v>0</v>
      </c>
      <c r="BA1834" s="11">
        <f t="shared" si="1868"/>
        <v>0</v>
      </c>
      <c r="BC1834" s="11">
        <f t="shared" si="1869"/>
        <v>0</v>
      </c>
      <c r="BE1834" s="11">
        <f t="shared" si="1870"/>
        <v>0</v>
      </c>
      <c r="BG1834" s="11">
        <f t="shared" si="1871"/>
        <v>0</v>
      </c>
      <c r="BN1834" s="8">
        <f t="shared" si="1851"/>
        <v>1050</v>
      </c>
      <c r="BO1834" s="8">
        <f t="shared" si="1852"/>
        <v>40850</v>
      </c>
      <c r="BP1834" s="8">
        <f t="shared" si="1809"/>
        <v>638</v>
      </c>
      <c r="BQ1834" s="12">
        <f t="shared" si="1810"/>
        <v>22253</v>
      </c>
    </row>
    <row r="1835" spans="1:69">
      <c r="A1835" s="28">
        <v>1990</v>
      </c>
      <c r="B1835" s="27" t="s">
        <v>82</v>
      </c>
      <c r="C1835" s="24">
        <f t="shared" si="1831"/>
        <v>1800</v>
      </c>
      <c r="D1835" s="7" t="e">
        <f t="shared" ca="1" si="1811"/>
        <v>#N/A</v>
      </c>
      <c r="E1835" s="26">
        <f t="array" aca="1" ref="E1835" ca="1">AVERAGE(IF(INDIRECT(DatCol&amp;"$"&amp;TEXT(C1835,"###")):INDIRECT(DatCol&amp;"$"&amp;TEXT(C1835+57,"###"))&gt;0,INDIRECT(DatCol&amp;"$"&amp;TEXT(C1835,"###")):INDIRECT(DatCol&amp;"$"&amp;TEXT(C1835+57,"###"))))</f>
        <v>117.12487804878053</v>
      </c>
      <c r="F1835" s="26" t="str">
        <f t="shared" si="1850"/>
        <v>I</v>
      </c>
      <c r="G1835" s="8">
        <v>213</v>
      </c>
      <c r="H1835" s="8">
        <v>16</v>
      </c>
      <c r="I1835" s="8">
        <v>16</v>
      </c>
      <c r="J1835" s="8">
        <v>253</v>
      </c>
      <c r="K1835" s="9">
        <f t="shared" si="1853"/>
        <v>482</v>
      </c>
      <c r="L1835" s="12">
        <v>323</v>
      </c>
      <c r="M1835" s="11">
        <f t="shared" si="1854"/>
        <v>16150</v>
      </c>
      <c r="N1835" s="12">
        <v>105</v>
      </c>
      <c r="O1835" s="11">
        <f t="shared" si="1855"/>
        <v>5250</v>
      </c>
      <c r="P1835" s="12">
        <v>802</v>
      </c>
      <c r="Q1835" s="11">
        <f t="shared" si="1856"/>
        <v>48120</v>
      </c>
      <c r="X1835" s="12">
        <v>369</v>
      </c>
      <c r="Y1835" s="11">
        <f t="shared" si="1857"/>
        <v>22140</v>
      </c>
      <c r="AG1835" s="11">
        <f t="shared" si="1858"/>
        <v>0</v>
      </c>
      <c r="AI1835" s="11">
        <f t="shared" si="1859"/>
        <v>0</v>
      </c>
      <c r="AJ1835" s="12">
        <v>0</v>
      </c>
      <c r="AK1835" s="13">
        <f t="shared" si="1860"/>
        <v>0</v>
      </c>
      <c r="AL1835" s="12">
        <v>120</v>
      </c>
      <c r="AM1835" s="13">
        <f t="shared" si="1861"/>
        <v>1080</v>
      </c>
      <c r="AO1835" s="11">
        <f t="shared" si="1862"/>
        <v>0</v>
      </c>
      <c r="AQ1835" s="11">
        <f t="shared" si="1863"/>
        <v>0</v>
      </c>
      <c r="AS1835" s="11">
        <f t="shared" si="1864"/>
        <v>0</v>
      </c>
      <c r="AT1835" s="12">
        <v>6</v>
      </c>
      <c r="AU1835" s="11">
        <f t="shared" si="1865"/>
        <v>300</v>
      </c>
      <c r="AV1835" s="12">
        <v>0</v>
      </c>
      <c r="AW1835" s="11">
        <f t="shared" si="1866"/>
        <v>0</v>
      </c>
      <c r="AX1835" s="12">
        <v>0</v>
      </c>
      <c r="AY1835" s="11">
        <f t="shared" si="1867"/>
        <v>0</v>
      </c>
      <c r="BA1835" s="11">
        <f t="shared" si="1868"/>
        <v>0</v>
      </c>
      <c r="BC1835" s="11">
        <f t="shared" si="1869"/>
        <v>0</v>
      </c>
      <c r="BE1835" s="11">
        <f t="shared" si="1870"/>
        <v>0</v>
      </c>
      <c r="BG1835" s="11">
        <f t="shared" si="1871"/>
        <v>0</v>
      </c>
      <c r="BN1835" s="8">
        <f t="shared" si="1851"/>
        <v>1494</v>
      </c>
      <c r="BO1835" s="8">
        <f t="shared" si="1852"/>
        <v>86410</v>
      </c>
      <c r="BP1835" s="8">
        <f t="shared" ref="BP1835:BP1899" si="1872">(N1835+X1835+Z1835+AB1835+AD1835+AH1835+AL1835+AP1835+AT1835+AX1835+BB1835+BF1835)</f>
        <v>600</v>
      </c>
      <c r="BQ1835" s="12">
        <f t="shared" ref="BQ1835:BQ1899" si="1873">(O1835+Y1835+AA1835+AC1835+AE1835+AI1835+AM1835+AQ1835+AU1835+AY1835+BC1835+BG1835)</f>
        <v>28770</v>
      </c>
    </row>
    <row r="1836" spans="1:69">
      <c r="A1836" s="28">
        <v>1991</v>
      </c>
      <c r="B1836" s="27" t="s">
        <v>82</v>
      </c>
      <c r="C1836" s="24">
        <f t="shared" si="1831"/>
        <v>1800</v>
      </c>
      <c r="D1836" s="7" t="e">
        <f t="shared" ca="1" si="1811"/>
        <v>#N/A</v>
      </c>
      <c r="E1836" s="26">
        <f t="array" aca="1" ref="E1836" ca="1">AVERAGE(IF(INDIRECT(DatCol&amp;"$"&amp;TEXT(C1836,"###")):INDIRECT(DatCol&amp;"$"&amp;TEXT(C1836+57,"###"))&gt;0,INDIRECT(DatCol&amp;"$"&amp;TEXT(C1836,"###")):INDIRECT(DatCol&amp;"$"&amp;TEXT(C1836+57,"###"))))</f>
        <v>117.12487804878053</v>
      </c>
      <c r="F1836" s="26" t="str">
        <f t="shared" si="1850"/>
        <v>I</v>
      </c>
      <c r="G1836" s="8">
        <v>219</v>
      </c>
      <c r="H1836" s="8">
        <v>29</v>
      </c>
      <c r="I1836" s="8">
        <v>13</v>
      </c>
      <c r="J1836" s="8">
        <v>238</v>
      </c>
      <c r="K1836" s="9">
        <f t="shared" si="1853"/>
        <v>486</v>
      </c>
      <c r="L1836" s="12">
        <v>70</v>
      </c>
      <c r="M1836" s="11">
        <f t="shared" si="1854"/>
        <v>3500</v>
      </c>
      <c r="N1836" s="12">
        <v>122</v>
      </c>
      <c r="O1836" s="11">
        <f t="shared" si="1855"/>
        <v>6100</v>
      </c>
      <c r="P1836" s="12">
        <v>733</v>
      </c>
      <c r="Q1836" s="11">
        <f t="shared" si="1856"/>
        <v>43980</v>
      </c>
      <c r="X1836" s="12">
        <v>411</v>
      </c>
      <c r="Y1836" s="11">
        <f t="shared" si="1857"/>
        <v>24660</v>
      </c>
      <c r="AF1836" s="12">
        <v>0</v>
      </c>
      <c r="AG1836" s="11">
        <f t="shared" si="1858"/>
        <v>0</v>
      </c>
      <c r="AH1836" s="12">
        <v>0</v>
      </c>
      <c r="AI1836" s="11">
        <f t="shared" si="1859"/>
        <v>0</v>
      </c>
      <c r="AJ1836" s="12">
        <v>263</v>
      </c>
      <c r="AK1836" s="13">
        <f t="shared" si="1860"/>
        <v>2367</v>
      </c>
      <c r="AL1836" s="12">
        <v>329</v>
      </c>
      <c r="AM1836" s="13">
        <f t="shared" si="1861"/>
        <v>2961</v>
      </c>
      <c r="AO1836" s="11">
        <f t="shared" si="1862"/>
        <v>0</v>
      </c>
      <c r="AQ1836" s="11">
        <f t="shared" si="1863"/>
        <v>0</v>
      </c>
      <c r="AR1836" s="12">
        <v>0</v>
      </c>
      <c r="AS1836" s="11">
        <f t="shared" si="1864"/>
        <v>0</v>
      </c>
      <c r="AT1836" s="12">
        <v>9</v>
      </c>
      <c r="AU1836" s="11">
        <f t="shared" si="1865"/>
        <v>450</v>
      </c>
      <c r="AW1836" s="11">
        <f t="shared" si="1866"/>
        <v>0</v>
      </c>
      <c r="AY1836" s="11">
        <f t="shared" si="1867"/>
        <v>0</v>
      </c>
      <c r="BA1836" s="11">
        <f t="shared" si="1868"/>
        <v>0</v>
      </c>
      <c r="BC1836" s="11">
        <f t="shared" si="1869"/>
        <v>0</v>
      </c>
      <c r="BE1836" s="11">
        <f t="shared" si="1870"/>
        <v>0</v>
      </c>
      <c r="BG1836" s="11">
        <f t="shared" si="1871"/>
        <v>0</v>
      </c>
      <c r="BN1836" s="8">
        <f t="shared" si="1851"/>
        <v>1477</v>
      </c>
      <c r="BO1836" s="8">
        <f t="shared" si="1852"/>
        <v>74507</v>
      </c>
      <c r="BP1836" s="8">
        <f t="shared" si="1872"/>
        <v>871</v>
      </c>
      <c r="BQ1836" s="12">
        <f t="shared" si="1873"/>
        <v>34171</v>
      </c>
    </row>
    <row r="1837" spans="1:69">
      <c r="A1837" s="28">
        <v>1992</v>
      </c>
      <c r="B1837" s="27" t="s">
        <v>82</v>
      </c>
      <c r="C1837" s="24">
        <f t="shared" si="1831"/>
        <v>1800</v>
      </c>
      <c r="D1837" s="7" t="e">
        <f t="shared" ca="1" si="1811"/>
        <v>#N/A</v>
      </c>
      <c r="E1837" s="26">
        <f t="array" aca="1" ref="E1837" ca="1">AVERAGE(IF(INDIRECT(DatCol&amp;"$"&amp;TEXT(C1837,"###")):INDIRECT(DatCol&amp;"$"&amp;TEXT(C1837+57,"###"))&gt;0,INDIRECT(DatCol&amp;"$"&amp;TEXT(C1837,"###")):INDIRECT(DatCol&amp;"$"&amp;TEXT(C1837+57,"###"))))</f>
        <v>117.12487804878053</v>
      </c>
      <c r="F1837" s="26" t="str">
        <f t="shared" si="1850"/>
        <v>I</v>
      </c>
      <c r="G1837" s="8">
        <v>208</v>
      </c>
      <c r="H1837" s="8">
        <v>41</v>
      </c>
      <c r="I1837" s="8">
        <v>16</v>
      </c>
      <c r="J1837" s="8">
        <v>268</v>
      </c>
      <c r="K1837" s="9">
        <f t="shared" si="1853"/>
        <v>517</v>
      </c>
      <c r="L1837" s="12">
        <v>59</v>
      </c>
      <c r="M1837" s="11">
        <f t="shared" si="1854"/>
        <v>2950</v>
      </c>
      <c r="N1837" s="12">
        <v>86</v>
      </c>
      <c r="O1837" s="11">
        <f t="shared" si="1855"/>
        <v>4300</v>
      </c>
      <c r="P1837" s="12">
        <f>103+146+336+96</f>
        <v>681</v>
      </c>
      <c r="Q1837" s="11">
        <f t="shared" si="1856"/>
        <v>40860</v>
      </c>
      <c r="X1837" s="12">
        <f>182+130+147+101</f>
        <v>560</v>
      </c>
      <c r="Y1837" s="11">
        <f t="shared" si="1857"/>
        <v>33600</v>
      </c>
      <c r="AF1837" s="12">
        <v>0</v>
      </c>
      <c r="AG1837" s="11">
        <f t="shared" si="1858"/>
        <v>0</v>
      </c>
      <c r="AH1837" s="12">
        <v>0</v>
      </c>
      <c r="AI1837" s="11">
        <f t="shared" si="1859"/>
        <v>0</v>
      </c>
      <c r="AJ1837" s="12">
        <v>841</v>
      </c>
      <c r="AK1837" s="13">
        <f t="shared" si="1860"/>
        <v>7569</v>
      </c>
      <c r="AL1837" s="12">
        <v>640</v>
      </c>
      <c r="AM1837" s="13">
        <f t="shared" si="1861"/>
        <v>5760</v>
      </c>
      <c r="AO1837" s="11">
        <f t="shared" si="1862"/>
        <v>0</v>
      </c>
      <c r="AQ1837" s="11">
        <f t="shared" si="1863"/>
        <v>0</v>
      </c>
      <c r="AS1837" s="11">
        <f t="shared" si="1864"/>
        <v>0</v>
      </c>
      <c r="AU1837" s="11">
        <f t="shared" si="1865"/>
        <v>0</v>
      </c>
      <c r="AW1837" s="11">
        <f t="shared" si="1866"/>
        <v>0</v>
      </c>
      <c r="AY1837" s="11">
        <f t="shared" si="1867"/>
        <v>0</v>
      </c>
      <c r="BA1837" s="11">
        <f t="shared" si="1868"/>
        <v>0</v>
      </c>
      <c r="BC1837" s="11">
        <f t="shared" si="1869"/>
        <v>0</v>
      </c>
      <c r="BE1837" s="11">
        <f t="shared" si="1870"/>
        <v>0</v>
      </c>
      <c r="BG1837" s="11">
        <f t="shared" si="1871"/>
        <v>0</v>
      </c>
      <c r="BN1837" s="8">
        <f t="shared" si="1851"/>
        <v>2141</v>
      </c>
      <c r="BO1837" s="8">
        <f t="shared" si="1852"/>
        <v>84979</v>
      </c>
      <c r="BP1837" s="8">
        <f t="shared" si="1872"/>
        <v>1286</v>
      </c>
      <c r="BQ1837" s="12">
        <f t="shared" si="1873"/>
        <v>43660</v>
      </c>
    </row>
    <row r="1838" spans="1:69">
      <c r="A1838" s="28">
        <v>1993</v>
      </c>
      <c r="B1838" s="27" t="s">
        <v>82</v>
      </c>
      <c r="C1838" s="24">
        <f t="shared" si="1831"/>
        <v>1800</v>
      </c>
      <c r="D1838" s="7" t="e">
        <f t="shared" ca="1" si="1811"/>
        <v>#N/A</v>
      </c>
      <c r="E1838" s="26">
        <f t="array" aca="1" ref="E1838" ca="1">AVERAGE(IF(INDIRECT(DatCol&amp;"$"&amp;TEXT(C1838,"###")):INDIRECT(DatCol&amp;"$"&amp;TEXT(C1838+57,"###"))&gt;0,INDIRECT(DatCol&amp;"$"&amp;TEXT(C1838,"###")):INDIRECT(DatCol&amp;"$"&amp;TEXT(C1838+57,"###"))))</f>
        <v>117.12487804878053</v>
      </c>
      <c r="F1838" s="26" t="str">
        <f t="shared" si="1850"/>
        <v>I</v>
      </c>
      <c r="G1838" s="8">
        <v>214</v>
      </c>
      <c r="H1838" s="8">
        <v>34</v>
      </c>
      <c r="I1838" s="8">
        <v>16</v>
      </c>
      <c r="J1838" s="8">
        <v>243</v>
      </c>
      <c r="K1838" s="9">
        <f t="shared" si="1853"/>
        <v>491</v>
      </c>
      <c r="L1838" s="12">
        <v>90</v>
      </c>
      <c r="M1838" s="11">
        <f t="shared" si="1854"/>
        <v>4500</v>
      </c>
      <c r="N1838" s="12">
        <v>70</v>
      </c>
      <c r="O1838" s="11">
        <f t="shared" si="1855"/>
        <v>3500</v>
      </c>
      <c r="P1838" s="12">
        <f>163+194+284+64</f>
        <v>705</v>
      </c>
      <c r="Q1838" s="11">
        <f t="shared" si="1856"/>
        <v>42300</v>
      </c>
      <c r="X1838" s="12">
        <f>260+204+199+271</f>
        <v>934</v>
      </c>
      <c r="Y1838" s="11">
        <f t="shared" si="1857"/>
        <v>56040</v>
      </c>
      <c r="AF1838" s="12">
        <v>0</v>
      </c>
      <c r="AG1838" s="11">
        <f t="shared" si="1858"/>
        <v>0</v>
      </c>
      <c r="AH1838" s="12">
        <v>0</v>
      </c>
      <c r="AI1838" s="11">
        <f t="shared" si="1859"/>
        <v>0</v>
      </c>
      <c r="AJ1838" s="12">
        <v>343</v>
      </c>
      <c r="AK1838" s="13">
        <f t="shared" si="1860"/>
        <v>3087</v>
      </c>
      <c r="AL1838" s="12">
        <v>331</v>
      </c>
      <c r="AM1838" s="13">
        <f t="shared" si="1861"/>
        <v>2979</v>
      </c>
      <c r="AN1838" s="12">
        <v>0</v>
      </c>
      <c r="AO1838" s="11">
        <f t="shared" si="1862"/>
        <v>0</v>
      </c>
      <c r="AP1838" s="12">
        <v>0</v>
      </c>
      <c r="AQ1838" s="11">
        <f t="shared" si="1863"/>
        <v>0</v>
      </c>
      <c r="AR1838" s="12">
        <v>0</v>
      </c>
      <c r="AS1838" s="11">
        <f t="shared" si="1864"/>
        <v>0</v>
      </c>
      <c r="AT1838" s="12">
        <v>8</v>
      </c>
      <c r="AU1838" s="11">
        <f t="shared" si="1865"/>
        <v>400</v>
      </c>
      <c r="AW1838" s="11">
        <f t="shared" si="1866"/>
        <v>0</v>
      </c>
      <c r="AY1838" s="11">
        <f t="shared" si="1867"/>
        <v>0</v>
      </c>
      <c r="BA1838" s="11">
        <f t="shared" si="1868"/>
        <v>0</v>
      </c>
      <c r="BC1838" s="11">
        <f t="shared" si="1869"/>
        <v>0</v>
      </c>
      <c r="BE1838" s="11">
        <f t="shared" si="1870"/>
        <v>0</v>
      </c>
      <c r="BG1838" s="11">
        <f t="shared" si="1871"/>
        <v>0</v>
      </c>
      <c r="BN1838" s="8">
        <f t="shared" si="1851"/>
        <v>2072</v>
      </c>
      <c r="BO1838" s="8">
        <f t="shared" si="1852"/>
        <v>105927</v>
      </c>
      <c r="BP1838" s="8">
        <f t="shared" si="1872"/>
        <v>1343</v>
      </c>
      <c r="BQ1838" s="12">
        <f t="shared" si="1873"/>
        <v>62919</v>
      </c>
    </row>
    <row r="1839" spans="1:69">
      <c r="A1839" s="28">
        <v>1994</v>
      </c>
      <c r="B1839" s="27" t="s">
        <v>82</v>
      </c>
      <c r="C1839" s="24">
        <f t="shared" si="1831"/>
        <v>1800</v>
      </c>
      <c r="D1839" s="7" t="e">
        <f t="shared" ca="1" si="1811"/>
        <v>#N/A</v>
      </c>
      <c r="E1839" s="26">
        <f t="array" aca="1" ref="E1839" ca="1">AVERAGE(IF(INDIRECT(DatCol&amp;"$"&amp;TEXT(C1839,"###")):INDIRECT(DatCol&amp;"$"&amp;TEXT(C1839+57,"###"))&gt;0,INDIRECT(DatCol&amp;"$"&amp;TEXT(C1839,"###")):INDIRECT(DatCol&amp;"$"&amp;TEXT(C1839+57,"###"))))</f>
        <v>117.12487804878053</v>
      </c>
      <c r="F1839" s="26" t="str">
        <f t="shared" si="1850"/>
        <v>I</v>
      </c>
      <c r="G1839" s="8">
        <v>251</v>
      </c>
      <c r="H1839" s="8">
        <v>47</v>
      </c>
      <c r="I1839" s="8">
        <v>10</v>
      </c>
      <c r="J1839" s="8">
        <v>250</v>
      </c>
      <c r="K1839" s="9">
        <f t="shared" si="1853"/>
        <v>548</v>
      </c>
      <c r="L1839" s="12">
        <v>121</v>
      </c>
      <c r="M1839" s="11">
        <f t="shared" si="1854"/>
        <v>6050</v>
      </c>
      <c r="N1839" s="12">
        <v>148</v>
      </c>
      <c r="O1839" s="11">
        <f t="shared" si="1855"/>
        <v>7400</v>
      </c>
      <c r="P1839" s="12">
        <f>80+220+312+130</f>
        <v>742</v>
      </c>
      <c r="Q1839" s="11">
        <f t="shared" si="1856"/>
        <v>44520</v>
      </c>
      <c r="X1839" s="12">
        <f>119+231+280+138</f>
        <v>768</v>
      </c>
      <c r="Y1839" s="11">
        <f t="shared" si="1857"/>
        <v>46080</v>
      </c>
      <c r="AF1839" s="12">
        <v>0</v>
      </c>
      <c r="AG1839" s="11">
        <f t="shared" si="1858"/>
        <v>0</v>
      </c>
      <c r="AH1839" s="12">
        <v>0</v>
      </c>
      <c r="AI1839" s="11">
        <f t="shared" si="1859"/>
        <v>0</v>
      </c>
      <c r="AJ1839" s="12">
        <v>228</v>
      </c>
      <c r="AK1839" s="13">
        <f t="shared" si="1860"/>
        <v>2052</v>
      </c>
      <c r="AL1839" s="12">
        <v>231</v>
      </c>
      <c r="AM1839" s="13">
        <f t="shared" si="1861"/>
        <v>2079</v>
      </c>
      <c r="AN1839" s="12">
        <v>0</v>
      </c>
      <c r="AO1839" s="11">
        <f t="shared" si="1862"/>
        <v>0</v>
      </c>
      <c r="AP1839" s="12">
        <v>0</v>
      </c>
      <c r="AQ1839" s="11">
        <f t="shared" si="1863"/>
        <v>0</v>
      </c>
      <c r="AR1839" s="12">
        <v>0</v>
      </c>
      <c r="AS1839" s="11">
        <f t="shared" si="1864"/>
        <v>0</v>
      </c>
      <c r="AT1839" s="12">
        <v>6</v>
      </c>
      <c r="AU1839" s="11">
        <f t="shared" si="1865"/>
        <v>300</v>
      </c>
      <c r="AW1839" s="11">
        <f t="shared" si="1866"/>
        <v>0</v>
      </c>
      <c r="AY1839" s="11">
        <f t="shared" si="1867"/>
        <v>0</v>
      </c>
      <c r="BA1839" s="11">
        <f t="shared" si="1868"/>
        <v>0</v>
      </c>
      <c r="BC1839" s="11">
        <f t="shared" si="1869"/>
        <v>0</v>
      </c>
      <c r="BE1839" s="11">
        <f t="shared" si="1870"/>
        <v>0</v>
      </c>
      <c r="BG1839" s="11">
        <f t="shared" si="1871"/>
        <v>0</v>
      </c>
      <c r="BN1839" s="8">
        <f t="shared" si="1851"/>
        <v>1859</v>
      </c>
      <c r="BO1839" s="8">
        <f t="shared" si="1852"/>
        <v>98702</v>
      </c>
      <c r="BP1839" s="8">
        <f t="shared" si="1872"/>
        <v>1153</v>
      </c>
      <c r="BQ1839" s="12">
        <f t="shared" si="1873"/>
        <v>55859</v>
      </c>
    </row>
    <row r="1840" spans="1:69">
      <c r="A1840" s="28">
        <v>1995</v>
      </c>
      <c r="B1840" s="27" t="s">
        <v>82</v>
      </c>
      <c r="C1840" s="24">
        <f t="shared" si="1831"/>
        <v>1800</v>
      </c>
      <c r="D1840" s="7" t="e">
        <f t="shared" ca="1" si="1811"/>
        <v>#N/A</v>
      </c>
      <c r="E1840" s="26">
        <f t="array" aca="1" ref="E1840" ca="1">AVERAGE(IF(INDIRECT(DatCol&amp;"$"&amp;TEXT(C1840,"###")):INDIRECT(DatCol&amp;"$"&amp;TEXT(C1840+57,"###"))&gt;0,INDIRECT(DatCol&amp;"$"&amp;TEXT(C1840,"###")):INDIRECT(DatCol&amp;"$"&amp;TEXT(C1840+57,"###"))))</f>
        <v>117.12487804878053</v>
      </c>
      <c r="F1840" s="26" t="str">
        <f t="shared" si="1850"/>
        <v>I</v>
      </c>
      <c r="G1840" s="9">
        <v>226</v>
      </c>
      <c r="H1840" s="9">
        <v>74</v>
      </c>
      <c r="I1840" s="9">
        <v>26</v>
      </c>
      <c r="J1840" s="9">
        <v>222</v>
      </c>
      <c r="K1840" s="9">
        <f t="shared" si="1853"/>
        <v>522</v>
      </c>
      <c r="L1840" s="10">
        <v>97</v>
      </c>
      <c r="M1840" s="11">
        <f t="shared" si="1854"/>
        <v>4850</v>
      </c>
      <c r="N1840" s="10">
        <v>47</v>
      </c>
      <c r="O1840" s="11">
        <f t="shared" si="1855"/>
        <v>2350</v>
      </c>
      <c r="P1840" s="10">
        <f>91+243+182+64</f>
        <v>580</v>
      </c>
      <c r="Q1840" s="11">
        <f t="shared" si="1856"/>
        <v>34800</v>
      </c>
      <c r="X1840" s="10">
        <f>126+105+86+122</f>
        <v>439</v>
      </c>
      <c r="Y1840" s="11">
        <f t="shared" si="1857"/>
        <v>26340</v>
      </c>
      <c r="AF1840" s="10">
        <v>0</v>
      </c>
      <c r="AG1840" s="11">
        <f t="shared" si="1858"/>
        <v>0</v>
      </c>
      <c r="AH1840" s="10">
        <v>0</v>
      </c>
      <c r="AI1840" s="11">
        <f t="shared" si="1859"/>
        <v>0</v>
      </c>
      <c r="AJ1840" s="10">
        <v>1960</v>
      </c>
      <c r="AK1840" s="13">
        <f t="shared" si="1860"/>
        <v>17640</v>
      </c>
      <c r="AL1840" s="10">
        <v>1229</v>
      </c>
      <c r="AM1840" s="13">
        <f t="shared" si="1861"/>
        <v>11061</v>
      </c>
      <c r="AN1840" s="10">
        <v>0</v>
      </c>
      <c r="AO1840" s="11">
        <f t="shared" si="1862"/>
        <v>0</v>
      </c>
      <c r="AP1840" s="10">
        <v>0</v>
      </c>
      <c r="AQ1840" s="11">
        <f t="shared" si="1863"/>
        <v>0</v>
      </c>
      <c r="AR1840" s="10">
        <v>0</v>
      </c>
      <c r="AS1840" s="11">
        <f t="shared" si="1864"/>
        <v>0</v>
      </c>
      <c r="AT1840" s="10">
        <v>12</v>
      </c>
      <c r="AU1840" s="11">
        <f t="shared" si="1865"/>
        <v>600</v>
      </c>
      <c r="AW1840" s="11">
        <f t="shared" si="1866"/>
        <v>0</v>
      </c>
      <c r="AY1840" s="11">
        <f t="shared" si="1867"/>
        <v>0</v>
      </c>
      <c r="BA1840" s="11">
        <f t="shared" si="1868"/>
        <v>0</v>
      </c>
      <c r="BC1840" s="11">
        <f t="shared" si="1869"/>
        <v>0</v>
      </c>
      <c r="BE1840" s="11">
        <f t="shared" si="1870"/>
        <v>0</v>
      </c>
      <c r="BG1840" s="11">
        <f t="shared" si="1871"/>
        <v>0</v>
      </c>
      <c r="BN1840" s="8">
        <f t="shared" si="1851"/>
        <v>3076</v>
      </c>
      <c r="BO1840" s="8">
        <f t="shared" si="1852"/>
        <v>83630</v>
      </c>
      <c r="BP1840" s="8">
        <f t="shared" si="1872"/>
        <v>1727</v>
      </c>
      <c r="BQ1840" s="12">
        <f t="shared" si="1873"/>
        <v>40351</v>
      </c>
    </row>
    <row r="1841" spans="1:69">
      <c r="A1841" s="28">
        <v>1996</v>
      </c>
      <c r="B1841" s="27" t="s">
        <v>82</v>
      </c>
      <c r="C1841" s="24">
        <f t="shared" si="1831"/>
        <v>1800</v>
      </c>
      <c r="D1841" s="7" t="e">
        <f t="shared" ca="1" si="1811"/>
        <v>#N/A</v>
      </c>
      <c r="E1841" s="26">
        <f t="array" aca="1" ref="E1841" ca="1">AVERAGE(IF(INDIRECT(DatCol&amp;"$"&amp;TEXT(C1841,"###")):INDIRECT(DatCol&amp;"$"&amp;TEXT(C1841+57,"###"))&gt;0,INDIRECT(DatCol&amp;"$"&amp;TEXT(C1841,"###")):INDIRECT(DatCol&amp;"$"&amp;TEXT(C1841+57,"###"))))</f>
        <v>117.12487804878053</v>
      </c>
      <c r="F1841" s="26" t="str">
        <f t="shared" si="1850"/>
        <v>I</v>
      </c>
      <c r="G1841" s="9">
        <v>312</v>
      </c>
      <c r="H1841" s="9">
        <v>65</v>
      </c>
      <c r="I1841" s="9">
        <v>22</v>
      </c>
      <c r="J1841" s="9">
        <v>322</v>
      </c>
      <c r="K1841" s="9">
        <f t="shared" si="1853"/>
        <v>699</v>
      </c>
      <c r="L1841" s="10">
        <v>62</v>
      </c>
      <c r="M1841" s="11">
        <f t="shared" si="1854"/>
        <v>3100</v>
      </c>
      <c r="N1841" s="10">
        <v>80</v>
      </c>
      <c r="O1841" s="11">
        <f t="shared" si="1855"/>
        <v>4000</v>
      </c>
      <c r="P1841" s="10">
        <f>322+198+167</f>
        <v>687</v>
      </c>
      <c r="Q1841" s="11">
        <f t="shared" si="1856"/>
        <v>41220</v>
      </c>
      <c r="X1841" s="10">
        <f>74+118+116</f>
        <v>308</v>
      </c>
      <c r="Y1841" s="11">
        <f t="shared" si="1857"/>
        <v>18480</v>
      </c>
      <c r="AF1841" s="10">
        <v>0</v>
      </c>
      <c r="AG1841" s="11">
        <f t="shared" si="1858"/>
        <v>0</v>
      </c>
      <c r="AH1841" s="10">
        <v>0</v>
      </c>
      <c r="AI1841" s="11">
        <f t="shared" si="1859"/>
        <v>0</v>
      </c>
      <c r="AJ1841" s="10">
        <v>1731</v>
      </c>
      <c r="AK1841" s="13">
        <f t="shared" si="1860"/>
        <v>15579</v>
      </c>
      <c r="AL1841" s="10">
        <v>576</v>
      </c>
      <c r="AM1841" s="13">
        <f t="shared" si="1861"/>
        <v>5184</v>
      </c>
      <c r="AN1841" s="10">
        <v>0</v>
      </c>
      <c r="AO1841" s="11">
        <f t="shared" si="1862"/>
        <v>0</v>
      </c>
      <c r="AP1841" s="10">
        <v>0</v>
      </c>
      <c r="AQ1841" s="11">
        <f t="shared" si="1863"/>
        <v>0</v>
      </c>
      <c r="AR1841" s="10">
        <v>0</v>
      </c>
      <c r="AS1841" s="11">
        <f t="shared" si="1864"/>
        <v>0</v>
      </c>
      <c r="AT1841" s="10">
        <v>8</v>
      </c>
      <c r="AU1841" s="11">
        <f t="shared" si="1865"/>
        <v>400</v>
      </c>
      <c r="AW1841" s="11">
        <f t="shared" si="1866"/>
        <v>0</v>
      </c>
      <c r="AY1841" s="11">
        <f t="shared" si="1867"/>
        <v>0</v>
      </c>
      <c r="BA1841" s="11">
        <f t="shared" si="1868"/>
        <v>0</v>
      </c>
      <c r="BC1841" s="11">
        <f t="shared" si="1869"/>
        <v>0</v>
      </c>
      <c r="BE1841" s="11">
        <f t="shared" si="1870"/>
        <v>0</v>
      </c>
      <c r="BG1841" s="11">
        <f t="shared" si="1871"/>
        <v>0</v>
      </c>
      <c r="BH1841" s="11">
        <v>40</v>
      </c>
      <c r="BN1841" s="8">
        <f t="shared" si="1851"/>
        <v>2788</v>
      </c>
      <c r="BO1841" s="8">
        <f t="shared" si="1852"/>
        <v>78379</v>
      </c>
      <c r="BP1841" s="8">
        <f t="shared" si="1872"/>
        <v>972</v>
      </c>
      <c r="BQ1841" s="12">
        <f t="shared" si="1873"/>
        <v>28064</v>
      </c>
    </row>
    <row r="1842" spans="1:69">
      <c r="A1842" s="28">
        <v>1997</v>
      </c>
      <c r="B1842" s="27" t="s">
        <v>82</v>
      </c>
      <c r="C1842" s="24">
        <f t="shared" si="1831"/>
        <v>1800</v>
      </c>
      <c r="D1842" s="7" t="e">
        <f t="shared" ca="1" si="1811"/>
        <v>#N/A</v>
      </c>
      <c r="E1842" s="26">
        <f t="array" aca="1" ref="E1842" ca="1">AVERAGE(IF(INDIRECT(DatCol&amp;"$"&amp;TEXT(C1842,"###")):INDIRECT(DatCol&amp;"$"&amp;TEXT(C1842+57,"###"))&gt;0,INDIRECT(DatCol&amp;"$"&amp;TEXT(C1842,"###")):INDIRECT(DatCol&amp;"$"&amp;TEXT(C1842+57,"###"))))</f>
        <v>117.12487804878053</v>
      </c>
      <c r="F1842" s="26" t="str">
        <f t="shared" si="1850"/>
        <v>I</v>
      </c>
      <c r="G1842" s="9">
        <v>130</v>
      </c>
      <c r="H1842" s="9">
        <v>90</v>
      </c>
      <c r="I1842" s="9">
        <v>30</v>
      </c>
      <c r="J1842" s="9">
        <v>367</v>
      </c>
      <c r="K1842" s="9">
        <f t="shared" si="1853"/>
        <v>587</v>
      </c>
      <c r="L1842" s="10">
        <v>88</v>
      </c>
      <c r="M1842" s="11">
        <f t="shared" si="1854"/>
        <v>4400</v>
      </c>
      <c r="N1842" s="10">
        <v>88</v>
      </c>
      <c r="O1842" s="11">
        <f t="shared" si="1855"/>
        <v>4400</v>
      </c>
      <c r="P1842" s="10">
        <f>420+304+242</f>
        <v>966</v>
      </c>
      <c r="Q1842" s="11">
        <f t="shared" si="1856"/>
        <v>57960</v>
      </c>
      <c r="X1842" s="10">
        <f>180+235+320+160</f>
        <v>895</v>
      </c>
      <c r="Y1842" s="11">
        <f t="shared" si="1857"/>
        <v>53700</v>
      </c>
      <c r="AF1842" s="10">
        <v>0</v>
      </c>
      <c r="AG1842" s="11">
        <f t="shared" si="1858"/>
        <v>0</v>
      </c>
      <c r="AH1842" s="10">
        <v>0</v>
      </c>
      <c r="AI1842" s="11">
        <f t="shared" si="1859"/>
        <v>0</v>
      </c>
      <c r="AJ1842" s="10">
        <v>2790</v>
      </c>
      <c r="AK1842" s="13">
        <f t="shared" si="1860"/>
        <v>25110</v>
      </c>
      <c r="AL1842" s="10">
        <v>1356</v>
      </c>
      <c r="AM1842" s="13">
        <f t="shared" si="1861"/>
        <v>12204</v>
      </c>
      <c r="AN1842" s="10">
        <v>0</v>
      </c>
      <c r="AO1842" s="11">
        <f t="shared" si="1862"/>
        <v>0</v>
      </c>
      <c r="AP1842" s="10">
        <v>0</v>
      </c>
      <c r="AQ1842" s="11">
        <f t="shared" si="1863"/>
        <v>0</v>
      </c>
      <c r="AR1842" s="10">
        <v>0</v>
      </c>
      <c r="AS1842" s="11">
        <f t="shared" si="1864"/>
        <v>0</v>
      </c>
      <c r="AT1842" s="10">
        <v>4</v>
      </c>
      <c r="AU1842" s="11">
        <f t="shared" si="1865"/>
        <v>200</v>
      </c>
      <c r="AW1842" s="11">
        <f t="shared" si="1866"/>
        <v>0</v>
      </c>
      <c r="AY1842" s="11">
        <f t="shared" si="1867"/>
        <v>0</v>
      </c>
      <c r="BA1842" s="11">
        <f t="shared" si="1868"/>
        <v>0</v>
      </c>
      <c r="BC1842" s="11">
        <f t="shared" si="1869"/>
        <v>0</v>
      </c>
      <c r="BE1842" s="11">
        <f t="shared" si="1870"/>
        <v>0</v>
      </c>
      <c r="BG1842" s="11">
        <f t="shared" si="1871"/>
        <v>0</v>
      </c>
      <c r="BH1842" s="11">
        <v>40</v>
      </c>
      <c r="BN1842" s="8">
        <f t="shared" si="1851"/>
        <v>4739</v>
      </c>
      <c r="BO1842" s="8">
        <f t="shared" si="1852"/>
        <v>141170</v>
      </c>
      <c r="BP1842" s="8">
        <f t="shared" si="1872"/>
        <v>2343</v>
      </c>
      <c r="BQ1842" s="12">
        <f t="shared" si="1873"/>
        <v>70504</v>
      </c>
    </row>
    <row r="1843" spans="1:69">
      <c r="A1843" s="28">
        <v>1998</v>
      </c>
      <c r="B1843" s="27" t="s">
        <v>82</v>
      </c>
      <c r="C1843" s="24">
        <f t="shared" si="1831"/>
        <v>1800</v>
      </c>
      <c r="D1843" s="7" t="e">
        <f t="shared" ca="1" si="1811"/>
        <v>#N/A</v>
      </c>
      <c r="E1843" s="26">
        <f t="array" aca="1" ref="E1843" ca="1">AVERAGE(IF(INDIRECT(DatCol&amp;"$"&amp;TEXT(C1843,"###")):INDIRECT(DatCol&amp;"$"&amp;TEXT(C1843+57,"###"))&gt;0,INDIRECT(DatCol&amp;"$"&amp;TEXT(C1843,"###")):INDIRECT(DatCol&amp;"$"&amp;TEXT(C1843+57,"###"))))</f>
        <v>117.12487804878053</v>
      </c>
      <c r="F1843" s="26" t="str">
        <f t="shared" si="1850"/>
        <v>I</v>
      </c>
      <c r="G1843" s="9">
        <v>286</v>
      </c>
      <c r="H1843" s="9">
        <v>61</v>
      </c>
      <c r="I1843" s="9">
        <v>20</v>
      </c>
      <c r="J1843" s="9">
        <v>350</v>
      </c>
      <c r="K1843" s="9">
        <f t="shared" si="1853"/>
        <v>697</v>
      </c>
      <c r="L1843" s="10">
        <f t="shared" ref="L1843:L1848" si="1874">M1843/50</f>
        <v>112.8</v>
      </c>
      <c r="M1843" s="11">
        <v>5640</v>
      </c>
      <c r="N1843" s="10">
        <f t="shared" ref="N1843:N1852" si="1875">O1843/50</f>
        <v>88.8</v>
      </c>
      <c r="O1843" s="11">
        <v>4440</v>
      </c>
      <c r="P1843" s="10">
        <f>Q1843/60</f>
        <v>140</v>
      </c>
      <c r="Q1843" s="11">
        <v>8400</v>
      </c>
      <c r="R1843" s="10">
        <f>S1843/60</f>
        <v>640</v>
      </c>
      <c r="S1843" s="11">
        <v>38400</v>
      </c>
      <c r="T1843" s="10">
        <f>U1843/60</f>
        <v>413.33333333333331</v>
      </c>
      <c r="U1843" s="11">
        <v>24800</v>
      </c>
      <c r="V1843" s="10">
        <f>W1843/60</f>
        <v>326.66666666666669</v>
      </c>
      <c r="W1843" s="11">
        <v>19600</v>
      </c>
      <c r="X1843" s="10">
        <f>Y1843/60</f>
        <v>133.33333333333334</v>
      </c>
      <c r="Y1843" s="11">
        <v>8000</v>
      </c>
      <c r="Z1843" s="10">
        <f>AA1843/60</f>
        <v>261.33333333333331</v>
      </c>
      <c r="AA1843" s="11">
        <v>15680</v>
      </c>
      <c r="AB1843" s="10">
        <f>AC1843/60</f>
        <v>405.33333333333331</v>
      </c>
      <c r="AC1843" s="11">
        <v>24320</v>
      </c>
      <c r="AD1843" s="10">
        <f>AE1843/60</f>
        <v>293.33333333333331</v>
      </c>
      <c r="AE1843" s="11">
        <v>17600</v>
      </c>
      <c r="AF1843" s="10">
        <v>0</v>
      </c>
      <c r="AG1843" s="11">
        <v>0</v>
      </c>
      <c r="AH1843" s="10">
        <v>0</v>
      </c>
      <c r="AI1843" s="11">
        <v>0</v>
      </c>
      <c r="AJ1843" s="10">
        <f t="shared" ref="AJ1843:AJ1852" si="1876">AK1843/9</f>
        <v>7137.7777777777774</v>
      </c>
      <c r="AK1843" s="13">
        <v>64240</v>
      </c>
      <c r="AL1843" s="10">
        <f t="shared" ref="AL1843:AL1852" si="1877">AM1843/9</f>
        <v>3214.4444444444443</v>
      </c>
      <c r="AM1843" s="13">
        <v>28930</v>
      </c>
      <c r="AN1843" s="10">
        <v>0</v>
      </c>
      <c r="AO1843" s="11">
        <v>0</v>
      </c>
      <c r="AP1843" s="10">
        <v>0</v>
      </c>
      <c r="AQ1843" s="11">
        <v>0</v>
      </c>
      <c r="AR1843" s="10">
        <v>0</v>
      </c>
      <c r="AS1843" s="11">
        <v>0</v>
      </c>
      <c r="AT1843" s="10">
        <f>AU1843/55</f>
        <v>6</v>
      </c>
      <c r="AU1843" s="11">
        <v>330</v>
      </c>
      <c r="AV1843" s="10">
        <v>0</v>
      </c>
      <c r="AW1843" s="11">
        <v>0</v>
      </c>
      <c r="AX1843" s="10">
        <v>0</v>
      </c>
      <c r="AY1843" s="11">
        <v>0</v>
      </c>
      <c r="AZ1843" s="10">
        <v>0</v>
      </c>
      <c r="BA1843" s="11">
        <v>0</v>
      </c>
      <c r="BB1843" s="10">
        <v>0</v>
      </c>
      <c r="BC1843" s="11">
        <v>0</v>
      </c>
      <c r="BD1843" s="10">
        <v>0</v>
      </c>
      <c r="BE1843" s="11">
        <v>0</v>
      </c>
      <c r="BF1843" s="10">
        <v>0</v>
      </c>
      <c r="BG1843" s="11">
        <v>0</v>
      </c>
      <c r="BH1843" s="11">
        <v>0</v>
      </c>
      <c r="BI1843" s="11">
        <v>0</v>
      </c>
      <c r="BN1843" s="8">
        <f t="shared" si="1851"/>
        <v>9863.9111111111106</v>
      </c>
      <c r="BO1843" s="8">
        <f t="shared" si="1852"/>
        <v>209080</v>
      </c>
      <c r="BP1843" s="8">
        <f t="shared" si="1872"/>
        <v>4402.5777777777776</v>
      </c>
      <c r="BQ1843" s="12">
        <f t="shared" si="1873"/>
        <v>99300</v>
      </c>
    </row>
    <row r="1844" spans="1:69">
      <c r="A1844" s="28">
        <v>1999</v>
      </c>
      <c r="B1844" s="27" t="s">
        <v>82</v>
      </c>
      <c r="C1844" s="24">
        <f t="shared" si="1831"/>
        <v>1800</v>
      </c>
      <c r="D1844" s="7" t="e">
        <f t="shared" ca="1" si="1811"/>
        <v>#N/A</v>
      </c>
      <c r="E1844" s="26">
        <f t="array" aca="1" ref="E1844" ca="1">AVERAGE(IF(INDIRECT(DatCol&amp;"$"&amp;TEXT(C1844,"###")):INDIRECT(DatCol&amp;"$"&amp;TEXT(C1844+57,"###"))&gt;0,INDIRECT(DatCol&amp;"$"&amp;TEXT(C1844,"###")):INDIRECT(DatCol&amp;"$"&amp;TEXT(C1844+57,"###"))))</f>
        <v>117.12487804878053</v>
      </c>
      <c r="F1844" s="26" t="str">
        <f t="shared" si="1850"/>
        <v>I</v>
      </c>
      <c r="G1844" s="9">
        <v>296</v>
      </c>
      <c r="H1844" s="9">
        <v>136</v>
      </c>
      <c r="I1844" s="9">
        <v>17</v>
      </c>
      <c r="J1844" s="9">
        <v>347</v>
      </c>
      <c r="K1844" s="9">
        <f t="shared" si="1853"/>
        <v>779</v>
      </c>
      <c r="L1844" s="10">
        <f t="shared" si="1874"/>
        <v>29</v>
      </c>
      <c r="M1844" s="11">
        <v>1450</v>
      </c>
      <c r="N1844" s="10">
        <f t="shared" si="1875"/>
        <v>82</v>
      </c>
      <c r="O1844" s="11">
        <v>4100</v>
      </c>
      <c r="P1844" s="10">
        <v>0</v>
      </c>
      <c r="Q1844" s="11">
        <v>0</v>
      </c>
      <c r="R1844" s="10">
        <f>S1844/60</f>
        <v>548</v>
      </c>
      <c r="S1844" s="11">
        <v>32880</v>
      </c>
      <c r="T1844" s="10">
        <f>U1844/60</f>
        <v>280</v>
      </c>
      <c r="U1844" s="11">
        <v>16800</v>
      </c>
      <c r="V1844" s="10">
        <f>W1844/60</f>
        <v>338</v>
      </c>
      <c r="W1844" s="11">
        <v>20280</v>
      </c>
      <c r="X1844" s="10">
        <f>Y1844/60</f>
        <v>690</v>
      </c>
      <c r="Y1844" s="11">
        <v>41400</v>
      </c>
      <c r="Z1844" s="10">
        <v>0</v>
      </c>
      <c r="AA1844" s="11">
        <v>0</v>
      </c>
      <c r="AB1844" s="10">
        <v>0</v>
      </c>
      <c r="AC1844" s="11">
        <v>0</v>
      </c>
      <c r="AD1844" s="10">
        <v>0</v>
      </c>
      <c r="AE1844" s="11">
        <v>0</v>
      </c>
      <c r="AF1844" s="10">
        <v>0</v>
      </c>
      <c r="AG1844" s="11">
        <v>0</v>
      </c>
      <c r="AH1844" s="10">
        <v>0</v>
      </c>
      <c r="AI1844" s="11">
        <v>0</v>
      </c>
      <c r="AJ1844" s="10">
        <f t="shared" si="1876"/>
        <v>104.88888888888889</v>
      </c>
      <c r="AK1844" s="13">
        <v>944</v>
      </c>
      <c r="AL1844" s="10">
        <f t="shared" si="1877"/>
        <v>200.88888888888889</v>
      </c>
      <c r="AM1844" s="13">
        <v>1808</v>
      </c>
      <c r="AN1844" s="10">
        <v>0</v>
      </c>
      <c r="AO1844" s="11">
        <v>0</v>
      </c>
      <c r="AP1844" s="10">
        <v>0</v>
      </c>
      <c r="AQ1844" s="11">
        <v>0</v>
      </c>
      <c r="AR1844" s="10">
        <v>0</v>
      </c>
      <c r="AS1844" s="11">
        <v>0</v>
      </c>
      <c r="AT1844" s="10">
        <v>0</v>
      </c>
      <c r="AU1844" s="11">
        <v>0</v>
      </c>
      <c r="AV1844" s="10">
        <v>0</v>
      </c>
      <c r="AW1844" s="11">
        <v>0</v>
      </c>
      <c r="AX1844" s="10">
        <v>0</v>
      </c>
      <c r="AY1844" s="11">
        <v>0</v>
      </c>
      <c r="AZ1844" s="10">
        <v>0</v>
      </c>
      <c r="BA1844" s="11">
        <v>0</v>
      </c>
      <c r="BB1844" s="10">
        <v>0</v>
      </c>
      <c r="BC1844" s="11">
        <v>0</v>
      </c>
      <c r="BD1844" s="10">
        <v>0</v>
      </c>
      <c r="BE1844" s="11">
        <v>0</v>
      </c>
      <c r="BF1844" s="10">
        <v>0</v>
      </c>
      <c r="BG1844" s="11">
        <v>0</v>
      </c>
      <c r="BN1844" s="8">
        <f t="shared" si="1851"/>
        <v>1989.8888888888889</v>
      </c>
      <c r="BO1844" s="8">
        <f t="shared" si="1852"/>
        <v>113754</v>
      </c>
      <c r="BP1844" s="8">
        <f t="shared" si="1872"/>
        <v>972.88888888888891</v>
      </c>
      <c r="BQ1844" s="12">
        <f t="shared" si="1873"/>
        <v>47308</v>
      </c>
    </row>
    <row r="1845" spans="1:69">
      <c r="A1845" s="28">
        <v>2000</v>
      </c>
      <c r="B1845" s="27" t="s">
        <v>82</v>
      </c>
      <c r="C1845" s="24">
        <f t="shared" si="1831"/>
        <v>1800</v>
      </c>
      <c r="D1845" s="7" t="e">
        <f t="shared" ca="1" si="1811"/>
        <v>#N/A</v>
      </c>
      <c r="E1845" s="26">
        <f t="array" aca="1" ref="E1845" ca="1">AVERAGE(IF(INDIRECT(DatCol&amp;"$"&amp;TEXT(C1845,"###")):INDIRECT(DatCol&amp;"$"&amp;TEXT(C1845+57,"###"))&gt;0,INDIRECT(DatCol&amp;"$"&amp;TEXT(C1845,"###")):INDIRECT(DatCol&amp;"$"&amp;TEXT(C1845+57,"###"))))</f>
        <v>117.12487804878053</v>
      </c>
      <c r="F1845" s="26" t="str">
        <f t="shared" si="1850"/>
        <v>I</v>
      </c>
      <c r="G1845" s="9">
        <v>274</v>
      </c>
      <c r="H1845" s="9">
        <v>98</v>
      </c>
      <c r="I1845" s="9">
        <v>14</v>
      </c>
      <c r="J1845" s="9">
        <v>335</v>
      </c>
      <c r="K1845" s="9">
        <f t="shared" si="1853"/>
        <v>707</v>
      </c>
      <c r="L1845" s="10">
        <f t="shared" si="1874"/>
        <v>9.6</v>
      </c>
      <c r="M1845" s="11">
        <v>480</v>
      </c>
      <c r="N1845" s="10">
        <f t="shared" si="1875"/>
        <v>60.3</v>
      </c>
      <c r="O1845" s="11">
        <v>3015</v>
      </c>
      <c r="P1845" s="10">
        <f>Q1845/49.5</f>
        <v>130.1010101010101</v>
      </c>
      <c r="Q1845" s="11">
        <v>6440</v>
      </c>
      <c r="R1845" s="10">
        <f>S1845/49.7</f>
        <v>366.19718309859155</v>
      </c>
      <c r="S1845" s="11">
        <v>18200</v>
      </c>
      <c r="T1845" s="10">
        <f>U1845/57.5</f>
        <v>164.17391304347825</v>
      </c>
      <c r="U1845" s="11">
        <v>9440</v>
      </c>
      <c r="V1845" s="10">
        <f>W1845/57.5</f>
        <v>155.82608695652175</v>
      </c>
      <c r="W1845" s="11">
        <v>8960</v>
      </c>
      <c r="X1845" s="10">
        <f>Y1845/49.5</f>
        <v>1143.4343434343434</v>
      </c>
      <c r="Y1845" s="11">
        <v>56600</v>
      </c>
      <c r="Z1845" s="10">
        <v>0</v>
      </c>
      <c r="AA1845" s="11">
        <v>0</v>
      </c>
      <c r="AB1845" s="10">
        <v>0</v>
      </c>
      <c r="AC1845" s="11">
        <v>0</v>
      </c>
      <c r="AD1845" s="10">
        <v>0</v>
      </c>
      <c r="AE1845" s="11">
        <v>0</v>
      </c>
      <c r="AF1845" s="10">
        <v>0</v>
      </c>
      <c r="AG1845" s="11">
        <v>0</v>
      </c>
      <c r="AH1845" s="10">
        <v>0</v>
      </c>
      <c r="AI1845" s="11">
        <v>0</v>
      </c>
      <c r="AJ1845" s="10">
        <f t="shared" si="1876"/>
        <v>346.22222222222223</v>
      </c>
      <c r="AK1845" s="13">
        <v>3116</v>
      </c>
      <c r="AL1845" s="10">
        <f t="shared" si="1877"/>
        <v>248.88888888888889</v>
      </c>
      <c r="AM1845" s="13">
        <v>2240</v>
      </c>
      <c r="AN1845" s="10">
        <v>0</v>
      </c>
      <c r="AO1845" s="11">
        <v>0</v>
      </c>
      <c r="AP1845" s="10">
        <v>0</v>
      </c>
      <c r="AQ1845" s="11">
        <v>0</v>
      </c>
      <c r="AR1845" s="10">
        <v>0</v>
      </c>
      <c r="AS1845" s="11">
        <v>0</v>
      </c>
      <c r="AT1845" s="10">
        <v>0</v>
      </c>
      <c r="AU1845" s="11">
        <v>0</v>
      </c>
      <c r="AV1845" s="10">
        <v>0</v>
      </c>
      <c r="AW1845" s="11">
        <v>0</v>
      </c>
      <c r="AX1845" s="10">
        <v>0</v>
      </c>
      <c r="AY1845" s="11">
        <v>0</v>
      </c>
      <c r="AZ1845" s="10">
        <v>0</v>
      </c>
      <c r="BA1845" s="11">
        <v>0</v>
      </c>
      <c r="BB1845" s="10">
        <v>0</v>
      </c>
      <c r="BC1845" s="11">
        <v>0</v>
      </c>
      <c r="BD1845" s="10">
        <v>0</v>
      </c>
      <c r="BE1845" s="11">
        <v>0</v>
      </c>
      <c r="BF1845" s="10">
        <v>0</v>
      </c>
      <c r="BG1845" s="11">
        <v>0</v>
      </c>
      <c r="BH1845" s="11">
        <v>0</v>
      </c>
      <c r="BI1845" s="11">
        <v>0</v>
      </c>
      <c r="BL1845" s="10">
        <v>0</v>
      </c>
      <c r="BM1845" s="11">
        <v>0</v>
      </c>
      <c r="BN1845" s="8">
        <f t="shared" si="1851"/>
        <v>2315.5547588561672</v>
      </c>
      <c r="BO1845" s="8">
        <f t="shared" si="1852"/>
        <v>103236</v>
      </c>
      <c r="BP1845" s="8">
        <f t="shared" si="1872"/>
        <v>1452.6232323232323</v>
      </c>
      <c r="BQ1845" s="12">
        <f t="shared" si="1873"/>
        <v>61855</v>
      </c>
    </row>
    <row r="1846" spans="1:69">
      <c r="A1846" s="28">
        <v>2001</v>
      </c>
      <c r="B1846" s="27" t="s">
        <v>82</v>
      </c>
      <c r="C1846" s="24">
        <f t="shared" si="1831"/>
        <v>1800</v>
      </c>
      <c r="D1846" s="7" t="e">
        <f t="shared" ca="1" si="1811"/>
        <v>#N/A</v>
      </c>
      <c r="E1846" s="26">
        <f t="array" aca="1" ref="E1846" ca="1">AVERAGE(IF(INDIRECT(DatCol&amp;"$"&amp;TEXT(C1846,"###")):INDIRECT(DatCol&amp;"$"&amp;TEXT(C1846+57,"###"))&gt;0,INDIRECT(DatCol&amp;"$"&amp;TEXT(C1846,"###")):INDIRECT(DatCol&amp;"$"&amp;TEXT(C1846+57,"###"))))</f>
        <v>117.12487804878053</v>
      </c>
      <c r="F1846" s="26" t="str">
        <f t="shared" si="1850"/>
        <v>I</v>
      </c>
      <c r="G1846" s="9">
        <v>0</v>
      </c>
      <c r="H1846" s="9">
        <v>93</v>
      </c>
      <c r="I1846" s="9">
        <v>15</v>
      </c>
      <c r="J1846" s="9">
        <v>599</v>
      </c>
      <c r="K1846" s="9">
        <f t="shared" si="1853"/>
        <v>692</v>
      </c>
      <c r="L1846" s="10">
        <f t="shared" si="1874"/>
        <v>19.2</v>
      </c>
      <c r="M1846" s="11">
        <v>960</v>
      </c>
      <c r="N1846" s="10">
        <f t="shared" si="1875"/>
        <v>132</v>
      </c>
      <c r="O1846" s="11">
        <v>6600</v>
      </c>
      <c r="P1846" s="10">
        <f t="shared" ref="P1846:P1852" si="1878">Q1846/75</f>
        <v>49.6</v>
      </c>
      <c r="Q1846" s="11">
        <v>3720</v>
      </c>
      <c r="R1846" s="10">
        <f t="shared" ref="R1846:R1851" si="1879">S1846/75</f>
        <v>428.8</v>
      </c>
      <c r="S1846" s="11">
        <v>32160</v>
      </c>
      <c r="T1846" s="10">
        <f t="shared" ref="T1846:T1851" si="1880">U1846/75</f>
        <v>301.86666666666667</v>
      </c>
      <c r="U1846" s="11">
        <v>22640</v>
      </c>
      <c r="V1846" s="10">
        <f t="shared" ref="V1846:V1851" si="1881">W1846/75</f>
        <v>265.06666666666666</v>
      </c>
      <c r="W1846" s="11">
        <v>19880</v>
      </c>
      <c r="X1846" s="10">
        <f t="shared" ref="X1846:X1852" si="1882">Y1846/75</f>
        <v>672</v>
      </c>
      <c r="Y1846" s="11">
        <v>50400</v>
      </c>
      <c r="Z1846" s="10">
        <v>0</v>
      </c>
      <c r="AA1846" s="11">
        <v>0</v>
      </c>
      <c r="AB1846" s="10">
        <v>0</v>
      </c>
      <c r="AC1846" s="11">
        <v>0</v>
      </c>
      <c r="AD1846" s="10">
        <v>0</v>
      </c>
      <c r="AE1846" s="11">
        <v>0</v>
      </c>
      <c r="AF1846" s="10">
        <v>0</v>
      </c>
      <c r="AG1846" s="11">
        <v>0</v>
      </c>
      <c r="AH1846" s="10">
        <v>0</v>
      </c>
      <c r="AI1846" s="11">
        <v>0</v>
      </c>
      <c r="AJ1846" s="10">
        <f t="shared" si="1876"/>
        <v>351.11111111111109</v>
      </c>
      <c r="AK1846" s="13">
        <v>3160</v>
      </c>
      <c r="AL1846" s="10">
        <f t="shared" si="1877"/>
        <v>131</v>
      </c>
      <c r="AM1846" s="13">
        <v>1179</v>
      </c>
      <c r="AN1846" s="10">
        <v>0</v>
      </c>
      <c r="AO1846" s="11">
        <v>0</v>
      </c>
      <c r="AP1846" s="10">
        <v>0</v>
      </c>
      <c r="AQ1846" s="11">
        <v>0</v>
      </c>
      <c r="AR1846" s="10">
        <v>0</v>
      </c>
      <c r="AS1846" s="11">
        <v>0</v>
      </c>
      <c r="AU1846" s="11">
        <v>1500</v>
      </c>
      <c r="AV1846" s="10">
        <v>0</v>
      </c>
      <c r="AW1846" s="11">
        <v>0</v>
      </c>
      <c r="AX1846" s="10">
        <v>0</v>
      </c>
      <c r="AY1846" s="11">
        <v>0</v>
      </c>
      <c r="AZ1846" s="10">
        <v>0</v>
      </c>
      <c r="BA1846" s="11">
        <v>0</v>
      </c>
      <c r="BB1846" s="10">
        <v>0</v>
      </c>
      <c r="BC1846" s="11">
        <v>0</v>
      </c>
      <c r="BD1846" s="10">
        <v>0</v>
      </c>
      <c r="BE1846" s="11">
        <v>0</v>
      </c>
      <c r="BF1846" s="10">
        <v>0</v>
      </c>
      <c r="BG1846" s="11">
        <v>0</v>
      </c>
      <c r="BH1846" s="11">
        <v>0</v>
      </c>
      <c r="BI1846" s="11">
        <v>0</v>
      </c>
      <c r="BL1846" s="10">
        <v>0</v>
      </c>
      <c r="BM1846" s="11">
        <v>0</v>
      </c>
      <c r="BN1846" s="8">
        <f t="shared" si="1851"/>
        <v>2087.6444444444442</v>
      </c>
      <c r="BO1846" s="8">
        <f t="shared" si="1852"/>
        <v>132920</v>
      </c>
      <c r="BP1846" s="8">
        <f t="shared" si="1872"/>
        <v>935</v>
      </c>
      <c r="BQ1846" s="12">
        <f t="shared" si="1873"/>
        <v>59679</v>
      </c>
    </row>
    <row r="1847" spans="1:69">
      <c r="A1847" s="28">
        <v>2002</v>
      </c>
      <c r="B1847" s="27" t="s">
        <v>82</v>
      </c>
      <c r="C1847" s="24">
        <f t="shared" si="1831"/>
        <v>1800</v>
      </c>
      <c r="D1847" s="7" t="e">
        <f t="shared" ca="1" si="1811"/>
        <v>#N/A</v>
      </c>
      <c r="E1847" s="26">
        <f t="array" aca="1" ref="E1847" ca="1">AVERAGE(IF(INDIRECT(DatCol&amp;"$"&amp;TEXT(C1847,"###")):INDIRECT(DatCol&amp;"$"&amp;TEXT(C1847+57,"###"))&gt;0,INDIRECT(DatCol&amp;"$"&amp;TEXT(C1847,"###")):INDIRECT(DatCol&amp;"$"&amp;TEXT(C1847+57,"###"))))</f>
        <v>117.12487804878053</v>
      </c>
      <c r="F1847" s="26" t="str">
        <f t="shared" si="1850"/>
        <v>I</v>
      </c>
      <c r="G1847" s="9">
        <v>0</v>
      </c>
      <c r="H1847" s="9">
        <v>102</v>
      </c>
      <c r="I1847" s="9">
        <v>13</v>
      </c>
      <c r="J1847" s="9">
        <v>703</v>
      </c>
      <c r="K1847" s="9">
        <f t="shared" si="1853"/>
        <v>805</v>
      </c>
      <c r="L1847" s="10">
        <f t="shared" si="1874"/>
        <v>5.4</v>
      </c>
      <c r="M1847" s="11">
        <v>270</v>
      </c>
      <c r="N1847" s="10">
        <f t="shared" si="1875"/>
        <v>88.92</v>
      </c>
      <c r="O1847" s="11">
        <v>4446</v>
      </c>
      <c r="P1847" s="10">
        <f t="shared" si="1878"/>
        <v>168</v>
      </c>
      <c r="Q1847" s="11">
        <v>12600</v>
      </c>
      <c r="R1847" s="10">
        <f t="shared" si="1879"/>
        <v>188</v>
      </c>
      <c r="S1847" s="11">
        <v>14100</v>
      </c>
      <c r="T1847" s="10">
        <f t="shared" si="1880"/>
        <v>136</v>
      </c>
      <c r="U1847" s="11">
        <v>10200</v>
      </c>
      <c r="V1847" s="10">
        <f t="shared" si="1881"/>
        <v>108</v>
      </c>
      <c r="W1847" s="11">
        <v>8100</v>
      </c>
      <c r="X1847" s="10">
        <f t="shared" si="1882"/>
        <v>642.66666666666663</v>
      </c>
      <c r="Y1847" s="11">
        <v>48200</v>
      </c>
      <c r="Z1847" s="10">
        <v>0</v>
      </c>
      <c r="AA1847" s="11">
        <v>0</v>
      </c>
      <c r="AB1847" s="10">
        <v>0</v>
      </c>
      <c r="AC1847" s="11">
        <v>0</v>
      </c>
      <c r="AD1847" s="10">
        <v>0</v>
      </c>
      <c r="AE1847" s="11">
        <v>0</v>
      </c>
      <c r="AF1847" s="10">
        <v>0</v>
      </c>
      <c r="AG1847" s="11">
        <v>0</v>
      </c>
      <c r="AH1847" s="10">
        <v>0</v>
      </c>
      <c r="AI1847" s="11">
        <v>0</v>
      </c>
      <c r="AJ1847" s="10">
        <f t="shared" si="1876"/>
        <v>609.33333333333337</v>
      </c>
      <c r="AK1847" s="13">
        <v>5484</v>
      </c>
      <c r="AL1847" s="10">
        <f t="shared" si="1877"/>
        <v>205.33333333333334</v>
      </c>
      <c r="AM1847" s="13">
        <v>1848</v>
      </c>
      <c r="AN1847" s="10">
        <v>0</v>
      </c>
      <c r="AO1847" s="11">
        <v>0</v>
      </c>
      <c r="AP1847" s="10">
        <v>0</v>
      </c>
      <c r="AQ1847" s="11">
        <v>0</v>
      </c>
      <c r="AR1847" s="10">
        <v>0</v>
      </c>
      <c r="AS1847" s="11">
        <v>0</v>
      </c>
      <c r="AT1847" s="10">
        <f>AU1847/55</f>
        <v>3.2727272727272729</v>
      </c>
      <c r="AU1847" s="11">
        <v>180</v>
      </c>
      <c r="AV1847" s="10">
        <v>0</v>
      </c>
      <c r="AW1847" s="11">
        <v>0</v>
      </c>
      <c r="AX1847" s="10">
        <v>0</v>
      </c>
      <c r="AY1847" s="11">
        <v>0</v>
      </c>
      <c r="AZ1847" s="10">
        <v>0</v>
      </c>
      <c r="BA1847" s="11">
        <v>0</v>
      </c>
      <c r="BB1847" s="10">
        <v>0</v>
      </c>
      <c r="BC1847" s="11">
        <v>0</v>
      </c>
      <c r="BD1847" s="10">
        <v>0</v>
      </c>
      <c r="BE1847" s="11">
        <v>0</v>
      </c>
      <c r="BF1847" s="10">
        <v>0</v>
      </c>
      <c r="BG1847" s="11">
        <v>0</v>
      </c>
      <c r="BH1847" s="11">
        <v>0</v>
      </c>
      <c r="BI1847" s="11">
        <v>0</v>
      </c>
      <c r="BN1847" s="8">
        <f t="shared" si="1851"/>
        <v>1857.4</v>
      </c>
      <c r="BO1847" s="8">
        <f t="shared" si="1852"/>
        <v>98954</v>
      </c>
      <c r="BP1847" s="8">
        <f t="shared" si="1872"/>
        <v>940.19272727272721</v>
      </c>
      <c r="BQ1847" s="12">
        <f t="shared" si="1873"/>
        <v>54674</v>
      </c>
    </row>
    <row r="1848" spans="1:69">
      <c r="A1848" s="28">
        <v>2003</v>
      </c>
      <c r="B1848" s="27" t="s">
        <v>82</v>
      </c>
      <c r="C1848" s="24">
        <f t="shared" si="1831"/>
        <v>1800</v>
      </c>
      <c r="D1848" s="7" t="e">
        <f t="shared" ca="1" si="1811"/>
        <v>#N/A</v>
      </c>
      <c r="E1848" s="26">
        <f t="array" aca="1" ref="E1848" ca="1">AVERAGE(IF(INDIRECT(DatCol&amp;"$"&amp;TEXT(C1848,"###")):INDIRECT(DatCol&amp;"$"&amp;TEXT(C1848+57,"###"))&gt;0,INDIRECT(DatCol&amp;"$"&amp;TEXT(C1848,"###")):INDIRECT(DatCol&amp;"$"&amp;TEXT(C1848+57,"###"))))</f>
        <v>117.12487804878053</v>
      </c>
      <c r="F1848" s="26" t="str">
        <f t="shared" si="1850"/>
        <v>I</v>
      </c>
      <c r="H1848" s="9">
        <v>130</v>
      </c>
      <c r="I1848" s="9">
        <v>21</v>
      </c>
      <c r="J1848" s="9">
        <v>632</v>
      </c>
      <c r="K1848" s="9">
        <f t="shared" si="1853"/>
        <v>762</v>
      </c>
      <c r="L1848" s="10">
        <f t="shared" si="1874"/>
        <v>6</v>
      </c>
      <c r="M1848" s="11">
        <v>300</v>
      </c>
      <c r="N1848" s="10">
        <f t="shared" si="1875"/>
        <v>86.4</v>
      </c>
      <c r="O1848" s="11">
        <v>4320</v>
      </c>
      <c r="P1848" s="10">
        <f t="shared" si="1878"/>
        <v>96.533333333333331</v>
      </c>
      <c r="Q1848" s="11">
        <v>7240</v>
      </c>
      <c r="R1848" s="10">
        <f t="shared" si="1879"/>
        <v>165.33333333333334</v>
      </c>
      <c r="S1848" s="11">
        <v>12400</v>
      </c>
      <c r="T1848" s="10">
        <f t="shared" si="1880"/>
        <v>99.2</v>
      </c>
      <c r="U1848" s="11">
        <v>7440</v>
      </c>
      <c r="V1848" s="10">
        <f t="shared" si="1881"/>
        <v>64.533333333333331</v>
      </c>
      <c r="W1848" s="11">
        <v>4840</v>
      </c>
      <c r="X1848" s="10">
        <f t="shared" si="1882"/>
        <v>559.4666666666667</v>
      </c>
      <c r="Y1848" s="11">
        <v>41960</v>
      </c>
      <c r="Z1848" s="10">
        <v>0</v>
      </c>
      <c r="AA1848" s="11">
        <v>0</v>
      </c>
      <c r="AB1848" s="10">
        <v>0</v>
      </c>
      <c r="AC1848" s="11">
        <v>0</v>
      </c>
      <c r="AD1848" s="10">
        <v>0</v>
      </c>
      <c r="AE1848" s="11">
        <v>0</v>
      </c>
      <c r="AF1848" s="10">
        <v>0</v>
      </c>
      <c r="AG1848" s="11">
        <v>0</v>
      </c>
      <c r="AH1848" s="10">
        <v>0</v>
      </c>
      <c r="AI1848" s="11">
        <v>0</v>
      </c>
      <c r="AJ1848" s="10">
        <f t="shared" si="1876"/>
        <v>1276.4444444444443</v>
      </c>
      <c r="AK1848" s="13">
        <v>11488</v>
      </c>
      <c r="AL1848" s="10">
        <f t="shared" si="1877"/>
        <v>575.11111111111109</v>
      </c>
      <c r="AM1848" s="13">
        <v>5176</v>
      </c>
      <c r="AN1848" s="10">
        <v>0</v>
      </c>
      <c r="AO1848" s="11">
        <v>0</v>
      </c>
      <c r="AP1848" s="10">
        <v>0</v>
      </c>
      <c r="AQ1848" s="11">
        <v>0</v>
      </c>
      <c r="AR1848" s="10">
        <v>0</v>
      </c>
      <c r="AS1848" s="11">
        <v>0</v>
      </c>
      <c r="AT1848" s="10">
        <v>0</v>
      </c>
      <c r="AU1848" s="11">
        <v>0</v>
      </c>
      <c r="AV1848" s="10">
        <v>0</v>
      </c>
      <c r="AW1848" s="11">
        <v>0</v>
      </c>
      <c r="AX1848" s="10">
        <v>0</v>
      </c>
      <c r="AY1848" s="11">
        <v>0</v>
      </c>
      <c r="AZ1848" s="10">
        <v>0</v>
      </c>
      <c r="BA1848" s="11">
        <v>0</v>
      </c>
      <c r="BB1848" s="10">
        <v>0</v>
      </c>
      <c r="BC1848" s="11">
        <v>0</v>
      </c>
      <c r="BD1848" s="10">
        <v>0</v>
      </c>
      <c r="BE1848" s="11">
        <v>0</v>
      </c>
      <c r="BF1848" s="10">
        <v>0</v>
      </c>
      <c r="BG1848" s="11">
        <v>0</v>
      </c>
      <c r="BH1848" s="11">
        <v>0</v>
      </c>
      <c r="BI1848" s="11">
        <v>0</v>
      </c>
      <c r="BN1848" s="8">
        <f t="shared" si="1851"/>
        <v>2267.5111111111109</v>
      </c>
      <c r="BO1848" s="8">
        <f t="shared" si="1852"/>
        <v>85668</v>
      </c>
      <c r="BP1848" s="8">
        <f t="shared" si="1872"/>
        <v>1220.9777777777776</v>
      </c>
      <c r="BQ1848" s="12">
        <f t="shared" si="1873"/>
        <v>51456</v>
      </c>
    </row>
    <row r="1849" spans="1:69">
      <c r="A1849" s="28">
        <v>2004</v>
      </c>
      <c r="B1849" s="27" t="s">
        <v>82</v>
      </c>
      <c r="C1849" s="24">
        <f t="shared" si="1831"/>
        <v>1800</v>
      </c>
      <c r="D1849" s="7" t="e">
        <f t="shared" ca="1" si="1811"/>
        <v>#N/A</v>
      </c>
      <c r="E1849" s="26">
        <f t="array" aca="1" ref="E1849" ca="1">AVERAGE(IF(INDIRECT(DatCol&amp;"$"&amp;TEXT(C1849,"###")):INDIRECT(DatCol&amp;"$"&amp;TEXT(C1849+57,"###"))&gt;0,INDIRECT(DatCol&amp;"$"&amp;TEXT(C1849,"###")):INDIRECT(DatCol&amp;"$"&amp;TEXT(C1849+57,"###"))))</f>
        <v>117.12487804878053</v>
      </c>
      <c r="F1849" s="26" t="str">
        <f t="shared" si="1850"/>
        <v>I</v>
      </c>
      <c r="H1849" s="9">
        <v>124</v>
      </c>
      <c r="I1849" s="9">
        <v>17</v>
      </c>
      <c r="J1849" s="9">
        <v>595</v>
      </c>
      <c r="K1849" s="9">
        <f t="shared" si="1853"/>
        <v>719</v>
      </c>
      <c r="L1849" s="10">
        <f t="shared" ref="L1849:L1854" si="1883">M1849/50</f>
        <v>8.4</v>
      </c>
      <c r="M1849" s="11">
        <v>420</v>
      </c>
      <c r="N1849" s="10">
        <f t="shared" si="1875"/>
        <v>66</v>
      </c>
      <c r="O1849" s="11">
        <v>3300</v>
      </c>
      <c r="P1849" s="10">
        <f t="shared" si="1878"/>
        <v>208</v>
      </c>
      <c r="Q1849" s="11">
        <v>15600</v>
      </c>
      <c r="R1849" s="10">
        <f t="shared" si="1879"/>
        <v>78.933333333333337</v>
      </c>
      <c r="S1849" s="11">
        <v>5920</v>
      </c>
      <c r="T1849" s="10">
        <f t="shared" si="1880"/>
        <v>44.266666666666666</v>
      </c>
      <c r="U1849" s="11">
        <v>3320</v>
      </c>
      <c r="V1849" s="10">
        <f t="shared" si="1881"/>
        <v>24.533333333333335</v>
      </c>
      <c r="W1849" s="11">
        <v>1840</v>
      </c>
      <c r="X1849" s="10">
        <f t="shared" si="1882"/>
        <v>680.5333333333333</v>
      </c>
      <c r="Y1849" s="11">
        <v>51040</v>
      </c>
      <c r="Z1849" s="10">
        <v>0</v>
      </c>
      <c r="AA1849" s="11">
        <v>0</v>
      </c>
      <c r="AB1849" s="10">
        <v>0</v>
      </c>
      <c r="AC1849" s="11">
        <v>0</v>
      </c>
      <c r="AD1849" s="10">
        <v>0</v>
      </c>
      <c r="AE1849" s="11">
        <v>0</v>
      </c>
      <c r="AF1849" s="10">
        <v>0</v>
      </c>
      <c r="AG1849" s="11">
        <v>0</v>
      </c>
      <c r="AH1849" s="10">
        <v>0</v>
      </c>
      <c r="AI1849" s="11">
        <v>0</v>
      </c>
      <c r="AJ1849" s="10">
        <f t="shared" si="1876"/>
        <v>967</v>
      </c>
      <c r="AK1849" s="13">
        <v>8703</v>
      </c>
      <c r="AL1849" s="10">
        <f t="shared" si="1877"/>
        <v>325</v>
      </c>
      <c r="AM1849" s="13">
        <v>2925</v>
      </c>
      <c r="AN1849" s="10">
        <v>0</v>
      </c>
      <c r="AO1849" s="11">
        <v>0</v>
      </c>
      <c r="AP1849" s="10">
        <v>0</v>
      </c>
      <c r="AQ1849" s="11">
        <v>0</v>
      </c>
      <c r="AR1849" s="10">
        <v>0</v>
      </c>
      <c r="AS1849" s="11">
        <v>0</v>
      </c>
      <c r="AT1849" s="10">
        <v>0</v>
      </c>
      <c r="AU1849" s="11">
        <v>0</v>
      </c>
      <c r="AV1849" s="10">
        <v>0</v>
      </c>
      <c r="AW1849" s="11">
        <v>0</v>
      </c>
      <c r="AX1849" s="10">
        <v>0</v>
      </c>
      <c r="AY1849" s="11">
        <v>0</v>
      </c>
      <c r="AZ1849" s="10">
        <v>0</v>
      </c>
      <c r="BA1849" s="11">
        <v>0</v>
      </c>
      <c r="BB1849" s="10">
        <v>0</v>
      </c>
      <c r="BC1849" s="11">
        <v>0</v>
      </c>
      <c r="BD1849" s="10">
        <v>0</v>
      </c>
      <c r="BE1849" s="11">
        <v>0</v>
      </c>
      <c r="BF1849" s="10">
        <v>0</v>
      </c>
      <c r="BG1849" s="11">
        <v>0</v>
      </c>
      <c r="BH1849" s="11">
        <v>0</v>
      </c>
      <c r="BN1849" s="8">
        <f t="shared" si="1851"/>
        <v>2011.6666666666667</v>
      </c>
      <c r="BO1849" s="8">
        <f t="shared" si="1852"/>
        <v>86843</v>
      </c>
      <c r="BP1849" s="8">
        <f t="shared" si="1872"/>
        <v>1071.5333333333333</v>
      </c>
      <c r="BQ1849" s="12">
        <f t="shared" si="1873"/>
        <v>57265</v>
      </c>
    </row>
    <row r="1850" spans="1:69">
      <c r="A1850" s="28">
        <v>2005</v>
      </c>
      <c r="B1850" s="27" t="s">
        <v>82</v>
      </c>
      <c r="C1850" s="24">
        <f t="shared" si="1831"/>
        <v>1800</v>
      </c>
      <c r="D1850" s="7" t="e">
        <f t="shared" ca="1" si="1811"/>
        <v>#N/A</v>
      </c>
      <c r="E1850" s="26">
        <f t="array" aca="1" ref="E1850" ca="1">AVERAGE(IF(INDIRECT(DatCol&amp;"$"&amp;TEXT(C1850,"###")):INDIRECT(DatCol&amp;"$"&amp;TEXT(C1850+57,"###"))&gt;0,INDIRECT(DatCol&amp;"$"&amp;TEXT(C1850,"###")):INDIRECT(DatCol&amp;"$"&amp;TEXT(C1850+57,"###"))))</f>
        <v>117.12487804878053</v>
      </c>
      <c r="F1850" s="26" t="str">
        <f t="shared" si="1850"/>
        <v>I</v>
      </c>
      <c r="H1850" s="9">
        <v>93</v>
      </c>
      <c r="I1850" s="9">
        <v>16</v>
      </c>
      <c r="J1850" s="9">
        <v>561</v>
      </c>
      <c r="K1850" s="9">
        <f t="shared" si="1853"/>
        <v>654</v>
      </c>
      <c r="L1850" s="10">
        <f t="shared" si="1883"/>
        <v>14.4</v>
      </c>
      <c r="M1850" s="11">
        <v>720</v>
      </c>
      <c r="N1850" s="10">
        <f t="shared" si="1875"/>
        <v>175.2</v>
      </c>
      <c r="O1850" s="11">
        <v>8760</v>
      </c>
      <c r="P1850" s="10">
        <f t="shared" si="1878"/>
        <v>241.06666666666666</v>
      </c>
      <c r="Q1850" s="11">
        <v>18080</v>
      </c>
      <c r="R1850" s="10">
        <f t="shared" si="1879"/>
        <v>283.73333333333335</v>
      </c>
      <c r="S1850" s="11">
        <v>21280</v>
      </c>
      <c r="T1850" s="10">
        <f t="shared" si="1880"/>
        <v>18.666666666666668</v>
      </c>
      <c r="U1850" s="11">
        <v>1400</v>
      </c>
      <c r="V1850" s="10">
        <f t="shared" si="1881"/>
        <v>84.266666666666666</v>
      </c>
      <c r="W1850" s="11">
        <v>6320</v>
      </c>
      <c r="X1850" s="10">
        <f t="shared" si="1882"/>
        <v>752</v>
      </c>
      <c r="Y1850" s="11">
        <v>56400</v>
      </c>
      <c r="Z1850" s="10">
        <v>0</v>
      </c>
      <c r="AA1850" s="11">
        <v>0</v>
      </c>
      <c r="AB1850" s="10">
        <v>0</v>
      </c>
      <c r="AC1850" s="11">
        <v>0</v>
      </c>
      <c r="AD1850" s="10">
        <v>0</v>
      </c>
      <c r="AE1850" s="11">
        <v>0</v>
      </c>
      <c r="AF1850" s="10">
        <v>0</v>
      </c>
      <c r="AG1850" s="11">
        <v>0</v>
      </c>
      <c r="AH1850" s="10">
        <f>AI1850/47.5</f>
        <v>4.2105263157894735</v>
      </c>
      <c r="AI1850" s="11">
        <v>200</v>
      </c>
      <c r="AJ1850" s="10">
        <f t="shared" si="1876"/>
        <v>1030.2222222222222</v>
      </c>
      <c r="AK1850" s="13">
        <v>9272</v>
      </c>
      <c r="AL1850" s="10">
        <f t="shared" si="1877"/>
        <v>517.33333333333337</v>
      </c>
      <c r="AM1850" s="13">
        <v>4656</v>
      </c>
      <c r="AN1850" s="10">
        <v>0</v>
      </c>
      <c r="AO1850" s="11">
        <v>0</v>
      </c>
      <c r="AP1850" s="10">
        <v>0</v>
      </c>
      <c r="AQ1850" s="11">
        <v>0</v>
      </c>
      <c r="AR1850" s="10">
        <v>0</v>
      </c>
      <c r="AS1850" s="11">
        <v>0</v>
      </c>
      <c r="AT1850" s="10">
        <v>0</v>
      </c>
      <c r="AU1850" s="11">
        <v>0</v>
      </c>
      <c r="AV1850" s="10">
        <v>0</v>
      </c>
      <c r="AW1850" s="11">
        <v>0</v>
      </c>
      <c r="AX1850" s="10">
        <v>0</v>
      </c>
      <c r="AY1850" s="11">
        <v>0</v>
      </c>
      <c r="AZ1850" s="10">
        <v>0</v>
      </c>
      <c r="BA1850" s="11">
        <v>0</v>
      </c>
      <c r="BB1850" s="10">
        <v>0</v>
      </c>
      <c r="BC1850" s="11">
        <v>0</v>
      </c>
      <c r="BD1850" s="10">
        <v>0</v>
      </c>
      <c r="BE1850" s="11">
        <v>0</v>
      </c>
      <c r="BF1850" s="10">
        <v>0</v>
      </c>
      <c r="BG1850" s="11">
        <v>0</v>
      </c>
      <c r="BH1850" s="11">
        <v>0</v>
      </c>
      <c r="BI1850" s="11">
        <v>0</v>
      </c>
      <c r="BN1850" s="8">
        <f t="shared" si="1851"/>
        <v>2424.3555555555554</v>
      </c>
      <c r="BO1850" s="8">
        <f t="shared" si="1852"/>
        <v>113472</v>
      </c>
      <c r="BP1850" s="8">
        <f t="shared" si="1872"/>
        <v>1448.7438596491229</v>
      </c>
      <c r="BQ1850" s="12">
        <f t="shared" si="1873"/>
        <v>70016</v>
      </c>
    </row>
    <row r="1851" spans="1:69">
      <c r="A1851" s="28">
        <v>2006</v>
      </c>
      <c r="B1851" s="27" t="s">
        <v>82</v>
      </c>
      <c r="C1851" s="24">
        <f t="shared" si="1831"/>
        <v>1800</v>
      </c>
      <c r="D1851" s="7" t="e">
        <f t="shared" ca="1" si="1811"/>
        <v>#N/A</v>
      </c>
      <c r="E1851" s="26">
        <f t="array" aca="1" ref="E1851" ca="1">AVERAGE(IF(INDIRECT(DatCol&amp;"$"&amp;TEXT(C1851,"###")):INDIRECT(DatCol&amp;"$"&amp;TEXT(C1851+57,"###"))&gt;0,INDIRECT(DatCol&amp;"$"&amp;TEXT(C1851,"###")):INDIRECT(DatCol&amp;"$"&amp;TEXT(C1851+57,"###"))))</f>
        <v>117.12487804878053</v>
      </c>
      <c r="F1851" s="26" t="str">
        <f t="shared" si="1850"/>
        <v>I</v>
      </c>
      <c r="H1851" s="9">
        <v>101</v>
      </c>
      <c r="I1851" s="9">
        <v>15</v>
      </c>
      <c r="J1851" s="9">
        <v>580</v>
      </c>
      <c r="K1851" s="9">
        <f t="shared" si="1853"/>
        <v>681</v>
      </c>
      <c r="L1851" s="10">
        <f t="shared" si="1883"/>
        <v>20.399999999999999</v>
      </c>
      <c r="M1851" s="11">
        <v>1020</v>
      </c>
      <c r="N1851" s="10">
        <f t="shared" si="1875"/>
        <v>171.6</v>
      </c>
      <c r="O1851" s="11">
        <v>8580</v>
      </c>
      <c r="P1851" s="10">
        <f t="shared" si="1878"/>
        <v>130.13333333333333</v>
      </c>
      <c r="Q1851" s="11">
        <v>9760</v>
      </c>
      <c r="R1851" s="10">
        <f t="shared" si="1879"/>
        <v>173.86666666666667</v>
      </c>
      <c r="S1851" s="11">
        <v>13040</v>
      </c>
      <c r="T1851" s="10">
        <f t="shared" si="1880"/>
        <v>72.533333333333331</v>
      </c>
      <c r="U1851" s="11">
        <v>5440</v>
      </c>
      <c r="V1851" s="10">
        <f t="shared" si="1881"/>
        <v>33.06666666666667</v>
      </c>
      <c r="W1851" s="11">
        <v>2480</v>
      </c>
      <c r="X1851" s="10">
        <f t="shared" si="1882"/>
        <v>711.4666666666667</v>
      </c>
      <c r="Y1851" s="11">
        <v>53360</v>
      </c>
      <c r="Z1851" s="10">
        <v>0</v>
      </c>
      <c r="AA1851" s="11">
        <v>0</v>
      </c>
      <c r="AB1851" s="10">
        <v>0</v>
      </c>
      <c r="AC1851" s="11">
        <v>0</v>
      </c>
      <c r="AD1851" s="10">
        <v>0</v>
      </c>
      <c r="AE1851" s="11">
        <v>0</v>
      </c>
      <c r="AF1851" s="10">
        <v>0</v>
      </c>
      <c r="AG1851" s="11">
        <v>0</v>
      </c>
      <c r="AH1851" s="10">
        <f>AI1851/47.5</f>
        <v>2.1052631578947367</v>
      </c>
      <c r="AI1851" s="11">
        <v>100</v>
      </c>
      <c r="AJ1851" s="10">
        <f t="shared" si="1876"/>
        <v>805</v>
      </c>
      <c r="AK1851" s="13">
        <v>7245</v>
      </c>
      <c r="AL1851" s="10">
        <f t="shared" si="1877"/>
        <v>234.44444444444446</v>
      </c>
      <c r="AM1851" s="13">
        <v>2110</v>
      </c>
      <c r="AN1851" s="10">
        <v>0</v>
      </c>
      <c r="AO1851" s="11">
        <v>0</v>
      </c>
      <c r="AP1851" s="10">
        <v>0</v>
      </c>
      <c r="AQ1851" s="11">
        <v>0</v>
      </c>
      <c r="AR1851" s="10">
        <v>0</v>
      </c>
      <c r="AS1851" s="11">
        <v>0</v>
      </c>
      <c r="AT1851" s="10">
        <v>0</v>
      </c>
      <c r="AU1851" s="11">
        <v>0</v>
      </c>
      <c r="AV1851" s="10">
        <v>0</v>
      </c>
      <c r="AW1851" s="11">
        <v>0</v>
      </c>
      <c r="AX1851" s="10">
        <v>0</v>
      </c>
      <c r="AY1851" s="11">
        <v>0</v>
      </c>
      <c r="AZ1851" s="10">
        <v>0</v>
      </c>
      <c r="BA1851" s="11">
        <v>0</v>
      </c>
      <c r="BB1851" s="10">
        <v>0</v>
      </c>
      <c r="BC1851" s="11">
        <v>0</v>
      </c>
      <c r="BD1851" s="10">
        <v>0</v>
      </c>
      <c r="BE1851" s="11">
        <v>0</v>
      </c>
      <c r="BF1851" s="10">
        <v>0</v>
      </c>
      <c r="BG1851" s="11">
        <v>0</v>
      </c>
      <c r="BN1851" s="8">
        <f t="shared" si="1851"/>
        <v>1946.4666666666667</v>
      </c>
      <c r="BO1851" s="8">
        <f t="shared" si="1852"/>
        <v>92345</v>
      </c>
      <c r="BP1851" s="8">
        <f t="shared" si="1872"/>
        <v>1119.616374269006</v>
      </c>
      <c r="BQ1851" s="12">
        <f t="shared" si="1873"/>
        <v>64150</v>
      </c>
    </row>
    <row r="1852" spans="1:69">
      <c r="A1852" s="28">
        <v>2007</v>
      </c>
      <c r="B1852" s="27" t="s">
        <v>82</v>
      </c>
      <c r="C1852" s="24">
        <f t="shared" si="1831"/>
        <v>1800</v>
      </c>
      <c r="D1852" s="7" t="e">
        <f t="shared" ca="1" si="1811"/>
        <v>#N/A</v>
      </c>
      <c r="E1852" s="26">
        <f t="array" aca="1" ref="E1852" ca="1">AVERAGE(IF(INDIRECT(DatCol&amp;"$"&amp;TEXT(C1852,"###")):INDIRECT(DatCol&amp;"$"&amp;TEXT(C1852+57,"###"))&gt;0,INDIRECT(DatCol&amp;"$"&amp;TEXT(C1852,"###")):INDIRECT(DatCol&amp;"$"&amp;TEXT(C1852+57,"###"))))</f>
        <v>117.12487804878053</v>
      </c>
      <c r="F1852" s="26" t="str">
        <f t="shared" si="1850"/>
        <v>I</v>
      </c>
      <c r="H1852" s="9">
        <v>65</v>
      </c>
      <c r="I1852" s="9">
        <v>14</v>
      </c>
      <c r="J1852" s="9">
        <f>265+325</f>
        <v>590</v>
      </c>
      <c r="K1852" s="9">
        <f t="shared" si="1853"/>
        <v>655</v>
      </c>
      <c r="L1852" s="10">
        <f t="shared" si="1883"/>
        <v>16.8</v>
      </c>
      <c r="M1852" s="11">
        <v>840</v>
      </c>
      <c r="N1852" s="10">
        <f t="shared" si="1875"/>
        <v>282.60000000000002</v>
      </c>
      <c r="O1852" s="11">
        <v>14130</v>
      </c>
      <c r="P1852" s="10">
        <f t="shared" si="1878"/>
        <v>340.4</v>
      </c>
      <c r="Q1852" s="11">
        <v>25530</v>
      </c>
      <c r="R1852" s="10">
        <v>0</v>
      </c>
      <c r="S1852" s="11">
        <v>0</v>
      </c>
      <c r="T1852" s="10">
        <v>0</v>
      </c>
      <c r="U1852" s="11">
        <v>0</v>
      </c>
      <c r="V1852" s="10">
        <v>0</v>
      </c>
      <c r="W1852" s="11">
        <v>0</v>
      </c>
      <c r="X1852" s="10">
        <f t="shared" si="1882"/>
        <v>611.20000000000005</v>
      </c>
      <c r="Y1852" s="11">
        <v>45840</v>
      </c>
      <c r="Z1852" s="10">
        <v>0</v>
      </c>
      <c r="AA1852" s="11">
        <v>0</v>
      </c>
      <c r="AB1852" s="10">
        <v>0</v>
      </c>
      <c r="AC1852" s="11">
        <v>0</v>
      </c>
      <c r="AD1852" s="10">
        <v>0</v>
      </c>
      <c r="AE1852" s="11">
        <v>0</v>
      </c>
      <c r="AF1852" s="10">
        <v>0</v>
      </c>
      <c r="AG1852" s="11">
        <v>0</v>
      </c>
      <c r="AH1852" s="10">
        <f>AI1852/47.5</f>
        <v>2.736842105263158</v>
      </c>
      <c r="AI1852" s="11">
        <v>130</v>
      </c>
      <c r="AJ1852" s="10">
        <f t="shared" si="1876"/>
        <v>682.66666666666663</v>
      </c>
      <c r="AK1852" s="13">
        <v>6144</v>
      </c>
      <c r="AL1852" s="10">
        <f t="shared" si="1877"/>
        <v>311.11111111111109</v>
      </c>
      <c r="AM1852" s="13">
        <v>2800</v>
      </c>
      <c r="AN1852" s="10">
        <v>0</v>
      </c>
      <c r="AO1852" s="11">
        <v>0</v>
      </c>
      <c r="AP1852" s="10">
        <v>0</v>
      </c>
      <c r="AQ1852" s="11">
        <v>0</v>
      </c>
      <c r="AR1852" s="10">
        <v>0</v>
      </c>
      <c r="AS1852" s="11">
        <v>0</v>
      </c>
      <c r="AT1852" s="10">
        <v>0</v>
      </c>
      <c r="AU1852" s="11">
        <v>0</v>
      </c>
      <c r="AV1852" s="10">
        <v>0</v>
      </c>
      <c r="AW1852" s="11">
        <v>0</v>
      </c>
      <c r="AX1852" s="10">
        <v>0</v>
      </c>
      <c r="AY1852" s="11">
        <v>0</v>
      </c>
      <c r="AZ1852" s="10">
        <v>0</v>
      </c>
      <c r="BA1852" s="11">
        <v>0</v>
      </c>
      <c r="BB1852" s="10">
        <f>BC1852/40</f>
        <v>1.25</v>
      </c>
      <c r="BC1852" s="11">
        <v>50</v>
      </c>
      <c r="BD1852" s="10">
        <v>0</v>
      </c>
      <c r="BE1852" s="11">
        <v>0</v>
      </c>
      <c r="BF1852" s="10">
        <v>0</v>
      </c>
      <c r="BG1852" s="11">
        <v>0</v>
      </c>
      <c r="BH1852" s="11">
        <v>0</v>
      </c>
      <c r="BN1852" s="8">
        <f t="shared" si="1851"/>
        <v>1651.0666666666666</v>
      </c>
      <c r="BO1852" s="8">
        <f t="shared" si="1852"/>
        <v>78354</v>
      </c>
      <c r="BP1852" s="8">
        <f t="shared" si="1872"/>
        <v>1208.8979532163744</v>
      </c>
      <c r="BQ1852" s="12">
        <f t="shared" si="1873"/>
        <v>62950</v>
      </c>
    </row>
    <row r="1853" spans="1:69">
      <c r="A1853" s="28">
        <v>2008</v>
      </c>
      <c r="B1853" s="27" t="s">
        <v>82</v>
      </c>
      <c r="C1853" s="24">
        <f t="shared" si="1831"/>
        <v>1800</v>
      </c>
      <c r="D1853" s="7" t="e">
        <f t="shared" ca="1" si="1811"/>
        <v>#N/A</v>
      </c>
      <c r="E1853" s="26">
        <f t="array" aca="1" ref="E1853" ca="1">AVERAGE(IF(INDIRECT(DatCol&amp;"$"&amp;TEXT(C1853,"###")):INDIRECT(DatCol&amp;"$"&amp;TEXT(C1853+57,"###"))&gt;0,INDIRECT(DatCol&amp;"$"&amp;TEXT(C1853,"###")):INDIRECT(DatCol&amp;"$"&amp;TEXT(C1853+57,"###"))))</f>
        <v>117.12487804878053</v>
      </c>
      <c r="F1853" s="26" t="str">
        <f t="shared" si="1850"/>
        <v>I</v>
      </c>
      <c r="H1853" s="9">
        <f>5+41+4+1</f>
        <v>51</v>
      </c>
      <c r="I1853" s="9">
        <v>11</v>
      </c>
      <c r="J1853" s="9">
        <f>210+332</f>
        <v>542</v>
      </c>
      <c r="K1853" s="9">
        <f t="shared" si="1853"/>
        <v>593</v>
      </c>
      <c r="L1853" s="10">
        <f t="shared" si="1883"/>
        <v>0</v>
      </c>
      <c r="AK1853" s="13"/>
      <c r="AM1853" s="13"/>
      <c r="BN1853" s="8">
        <f t="shared" si="1851"/>
        <v>0</v>
      </c>
      <c r="BO1853" s="8">
        <f t="shared" si="1852"/>
        <v>0</v>
      </c>
      <c r="BP1853" s="8">
        <f t="shared" si="1872"/>
        <v>0</v>
      </c>
      <c r="BQ1853" s="12">
        <f t="shared" si="1873"/>
        <v>0</v>
      </c>
    </row>
    <row r="1854" spans="1:69">
      <c r="A1854" s="28">
        <v>2009</v>
      </c>
      <c r="B1854" s="27" t="s">
        <v>82</v>
      </c>
      <c r="C1854" s="24">
        <f t="shared" si="1831"/>
        <v>1800</v>
      </c>
      <c r="D1854" s="7" t="e">
        <f t="shared" ca="1" si="1811"/>
        <v>#N/A</v>
      </c>
      <c r="E1854" s="26">
        <f t="array" aca="1" ref="E1854" ca="1">AVERAGE(IF(INDIRECT(DatCol&amp;"$"&amp;TEXT(C1854,"###")):INDIRECT(DatCol&amp;"$"&amp;TEXT(C1854+57,"###"))&gt;0,INDIRECT(DatCol&amp;"$"&amp;TEXT(C1854,"###")):INDIRECT(DatCol&amp;"$"&amp;TEXT(C1854+57,"###"))))</f>
        <v>117.12487804878053</v>
      </c>
      <c r="F1854" s="26" t="str">
        <f t="shared" si="1850"/>
        <v>I</v>
      </c>
      <c r="H1854" s="9">
        <f>5+41+4+75</f>
        <v>125</v>
      </c>
      <c r="I1854" s="9">
        <f>210+332</f>
        <v>542</v>
      </c>
      <c r="J1854" s="9">
        <v>11</v>
      </c>
      <c r="K1854" s="9">
        <f t="shared" si="1853"/>
        <v>136</v>
      </c>
      <c r="L1854" s="10">
        <f t="shared" si="1883"/>
        <v>214.8</v>
      </c>
      <c r="M1854" s="11">
        <v>10740</v>
      </c>
      <c r="N1854" s="10">
        <f>O1854/50</f>
        <v>208.8</v>
      </c>
      <c r="O1854" s="11">
        <v>10440</v>
      </c>
      <c r="P1854" s="10">
        <f>Q1854/75</f>
        <v>2773.3333333333335</v>
      </c>
      <c r="Q1854" s="11">
        <v>208000</v>
      </c>
      <c r="R1854" s="10">
        <f>S1854/75</f>
        <v>163.19999999999999</v>
      </c>
      <c r="S1854" s="11">
        <v>12240</v>
      </c>
      <c r="T1854" s="10">
        <f>U1854/75</f>
        <v>109.86666666666666</v>
      </c>
      <c r="U1854" s="11">
        <v>8240</v>
      </c>
      <c r="V1854" s="10">
        <f>W1854/75</f>
        <v>81.066666666666663</v>
      </c>
      <c r="W1854" s="11">
        <v>6080</v>
      </c>
      <c r="X1854" s="10">
        <f>Y1854/75</f>
        <v>565.33333333333337</v>
      </c>
      <c r="Y1854" s="11">
        <v>42400</v>
      </c>
      <c r="Z1854" s="10">
        <v>0</v>
      </c>
      <c r="AA1854" s="11">
        <v>0</v>
      </c>
      <c r="AB1854" s="10">
        <v>0</v>
      </c>
      <c r="AC1854" s="11">
        <v>0</v>
      </c>
      <c r="AD1854" s="10">
        <v>0</v>
      </c>
      <c r="AE1854" s="11">
        <v>0</v>
      </c>
      <c r="AF1854" s="10">
        <v>0</v>
      </c>
      <c r="AG1854" s="11">
        <v>0</v>
      </c>
      <c r="AH1854" s="10">
        <v>0</v>
      </c>
      <c r="AI1854" s="11">
        <v>0</v>
      </c>
      <c r="AJ1854" s="10">
        <f>AK1854/9</f>
        <v>391.22222222222223</v>
      </c>
      <c r="AK1854" s="13">
        <v>3521</v>
      </c>
      <c r="AL1854" s="10">
        <f>AM1854/9</f>
        <v>267.55555555555554</v>
      </c>
      <c r="AM1854" s="13">
        <v>2408</v>
      </c>
      <c r="AN1854" s="10">
        <v>0</v>
      </c>
      <c r="AO1854" s="11">
        <v>0</v>
      </c>
      <c r="AP1854" s="10">
        <v>0</v>
      </c>
      <c r="AQ1854" s="11">
        <v>0</v>
      </c>
      <c r="AR1854" s="10">
        <v>0</v>
      </c>
      <c r="AS1854" s="11">
        <v>0</v>
      </c>
      <c r="AT1854" s="10">
        <v>0</v>
      </c>
      <c r="AU1854" s="11">
        <v>0</v>
      </c>
      <c r="AV1854" s="10">
        <v>0</v>
      </c>
      <c r="AW1854" s="11">
        <v>0</v>
      </c>
      <c r="AX1854" s="10">
        <v>0</v>
      </c>
      <c r="AY1854" s="11">
        <v>0</v>
      </c>
      <c r="AZ1854" s="10">
        <v>0</v>
      </c>
      <c r="BA1854" s="11">
        <v>0</v>
      </c>
      <c r="BB1854" s="10">
        <v>0</v>
      </c>
      <c r="BC1854" s="11">
        <v>0</v>
      </c>
      <c r="BD1854" s="10">
        <v>0</v>
      </c>
      <c r="BE1854" s="11">
        <v>0</v>
      </c>
      <c r="BF1854" s="10">
        <v>0</v>
      </c>
      <c r="BG1854" s="11">
        <v>0</v>
      </c>
      <c r="BH1854" s="11">
        <v>0</v>
      </c>
      <c r="BI1854" s="11">
        <v>0</v>
      </c>
      <c r="BN1854" s="8">
        <f t="shared" si="1851"/>
        <v>4298.822222222223</v>
      </c>
      <c r="BO1854" s="8">
        <f t="shared" si="1852"/>
        <v>291221</v>
      </c>
      <c r="BP1854" s="8">
        <f t="shared" si="1872"/>
        <v>1041.6888888888889</v>
      </c>
      <c r="BQ1854" s="12">
        <f t="shared" si="1873"/>
        <v>55248</v>
      </c>
    </row>
    <row r="1855" spans="1:69">
      <c r="A1855" s="28">
        <v>2010</v>
      </c>
      <c r="B1855" s="27" t="s">
        <v>82</v>
      </c>
      <c r="C1855" s="24">
        <f t="shared" si="1831"/>
        <v>1800</v>
      </c>
      <c r="D1855" s="7" t="e">
        <f t="shared" ca="1" si="1811"/>
        <v>#N/A</v>
      </c>
      <c r="E1855" s="26">
        <f t="array" aca="1" ref="E1855" ca="1">AVERAGE(IF(INDIRECT(DatCol&amp;"$"&amp;TEXT(C1855,"###")):INDIRECT(DatCol&amp;"$"&amp;TEXT(C1855+57,"###"))&gt;0,INDIRECT(DatCol&amp;"$"&amp;TEXT(C1855,"###")):INDIRECT(DatCol&amp;"$"&amp;TEXT(C1855+57,"###"))))</f>
        <v>117.12487804878053</v>
      </c>
      <c r="F1855" s="26" t="str">
        <f t="shared" ref="F1855:F1857" si="1884">VLOOKUP(B1855,town_region,2,FALSE)</f>
        <v>I</v>
      </c>
      <c r="AK1855" s="13"/>
      <c r="AM1855" s="13"/>
      <c r="BN1855" s="8"/>
      <c r="BO1855" s="8"/>
      <c r="BP1855" s="8"/>
      <c r="BQ1855" s="12"/>
    </row>
    <row r="1856" spans="1:69">
      <c r="A1856" s="28">
        <v>2011</v>
      </c>
      <c r="B1856" s="27" t="s">
        <v>82</v>
      </c>
      <c r="C1856" s="24">
        <f t="shared" si="1831"/>
        <v>1800</v>
      </c>
      <c r="D1856" s="7" t="e">
        <f t="shared" ca="1" si="1811"/>
        <v>#N/A</v>
      </c>
      <c r="E1856" s="26">
        <f t="array" aca="1" ref="E1856" ca="1">AVERAGE(IF(INDIRECT(DatCol&amp;"$"&amp;TEXT(C1856,"###")):INDIRECT(DatCol&amp;"$"&amp;TEXT(C1856+57,"###"))&gt;0,INDIRECT(DatCol&amp;"$"&amp;TEXT(C1856,"###")):INDIRECT(DatCol&amp;"$"&amp;TEXT(C1856+57,"###"))))</f>
        <v>117.12487804878053</v>
      </c>
      <c r="F1856" s="26" t="str">
        <f t="shared" si="1884"/>
        <v>I</v>
      </c>
      <c r="AK1856" s="13"/>
      <c r="AM1856" s="13"/>
      <c r="BN1856" s="8"/>
      <c r="BO1856" s="8"/>
      <c r="BP1856" s="8"/>
      <c r="BQ1856" s="12"/>
    </row>
    <row r="1857" spans="1:69">
      <c r="A1857" s="28">
        <v>2012</v>
      </c>
      <c r="B1857" s="27" t="s">
        <v>82</v>
      </c>
      <c r="C1857" s="24">
        <f t="shared" si="1831"/>
        <v>1800</v>
      </c>
      <c r="D1857" s="7" t="e">
        <f t="shared" ca="1" si="1811"/>
        <v>#N/A</v>
      </c>
      <c r="E1857" s="26">
        <f t="array" aca="1" ref="E1857" ca="1">AVERAGE(IF(INDIRECT(DatCol&amp;"$"&amp;TEXT(C1857,"###")):INDIRECT(DatCol&amp;"$"&amp;TEXT(C1857+57,"###"))&gt;0,INDIRECT(DatCol&amp;"$"&amp;TEXT(C1857,"###")):INDIRECT(DatCol&amp;"$"&amp;TEXT(C1857+57,"###"))))</f>
        <v>117.12487804878053</v>
      </c>
      <c r="F1857" s="26" t="str">
        <f t="shared" si="1884"/>
        <v>I</v>
      </c>
      <c r="AK1857" s="13"/>
      <c r="AM1857" s="13"/>
      <c r="BN1857" s="8"/>
      <c r="BO1857" s="8"/>
      <c r="BP1857" s="8"/>
      <c r="BQ1857" s="12"/>
    </row>
    <row r="1858" spans="1:69">
      <c r="A1858" s="28">
        <v>1955</v>
      </c>
      <c r="B1858" s="27" t="s">
        <v>85</v>
      </c>
      <c r="C1858" s="24">
        <f>ROW()</f>
        <v>1858</v>
      </c>
      <c r="D1858" s="7" t="e">
        <f t="shared" ref="D1858:D1921" ca="1" si="1885">IF(AND((INDIRECT(DatCol&amp;TEXT(ROW(),"###"))&gt;0),((F1858=RegionSelect)+(RegionSelect="A"))),INDIRECT(DatCol&amp;TEXT(ROW(),"###"))/E1858,NA())</f>
        <v>#N/A</v>
      </c>
      <c r="E1858" s="26">
        <f t="array" aca="1" ref="E1858" ca="1">AVERAGE(IF(INDIRECT(DatCol&amp;"$"&amp;TEXT(C1858,"###")):INDIRECT(DatCol&amp;"$"&amp;TEXT(C1858+57,"###"))&gt;0,INDIRECT(DatCol&amp;"$"&amp;TEXT(C1858,"###")):INDIRECT(DatCol&amp;"$"&amp;TEXT(C1858+57,"###"))))</f>
        <v>631.72100000000012</v>
      </c>
      <c r="F1858" s="26" t="str">
        <f t="shared" si="1850"/>
        <v>C</v>
      </c>
      <c r="G1858" s="8"/>
      <c r="K1858" s="9">
        <f t="shared" si="1853"/>
        <v>0</v>
      </c>
      <c r="M1858" s="11">
        <f t="shared" si="1854"/>
        <v>0</v>
      </c>
      <c r="O1858" s="11">
        <f t="shared" si="1855"/>
        <v>0</v>
      </c>
      <c r="Q1858" s="11">
        <f>((P1858*330)/5.5)</f>
        <v>0</v>
      </c>
      <c r="Y1858" s="11">
        <f t="shared" si="1857"/>
        <v>0</v>
      </c>
      <c r="AG1858" s="11">
        <f t="shared" si="1858"/>
        <v>0</v>
      </c>
      <c r="AI1858" s="11">
        <f t="shared" si="1859"/>
        <v>0</v>
      </c>
      <c r="AK1858" s="13">
        <f t="shared" si="1860"/>
        <v>0</v>
      </c>
      <c r="AM1858" s="13">
        <f t="shared" si="1861"/>
        <v>0</v>
      </c>
      <c r="AO1858" s="11">
        <f t="shared" si="1862"/>
        <v>0</v>
      </c>
      <c r="AQ1858" s="11">
        <f t="shared" si="1863"/>
        <v>0</v>
      </c>
      <c r="AS1858" s="11">
        <f t="shared" si="1864"/>
        <v>0</v>
      </c>
      <c r="AU1858" s="11">
        <f t="shared" si="1865"/>
        <v>0</v>
      </c>
      <c r="AW1858" s="11">
        <f t="shared" si="1866"/>
        <v>0</v>
      </c>
      <c r="AY1858" s="11">
        <f t="shared" si="1867"/>
        <v>0</v>
      </c>
      <c r="BA1858" s="11">
        <f t="shared" si="1868"/>
        <v>0</v>
      </c>
      <c r="BC1858" s="11">
        <f t="shared" si="1869"/>
        <v>0</v>
      </c>
      <c r="BE1858" s="11">
        <f t="shared" si="1870"/>
        <v>0</v>
      </c>
      <c r="BG1858" s="11">
        <f t="shared" si="1871"/>
        <v>0</v>
      </c>
      <c r="BN1858" s="8">
        <f t="shared" si="1851"/>
        <v>0</v>
      </c>
      <c r="BO1858" s="8">
        <f t="shared" si="1852"/>
        <v>0</v>
      </c>
      <c r="BP1858" s="8">
        <f t="shared" si="1872"/>
        <v>0</v>
      </c>
      <c r="BQ1858" s="12">
        <f t="shared" si="1873"/>
        <v>0</v>
      </c>
    </row>
    <row r="1859" spans="1:69">
      <c r="A1859" s="28">
        <v>1956</v>
      </c>
      <c r="B1859" s="27" t="s">
        <v>85</v>
      </c>
      <c r="C1859" s="24">
        <f t="shared" ref="C1859:C1915" si="1886">C1858</f>
        <v>1858</v>
      </c>
      <c r="D1859" s="7" t="e">
        <f t="shared" ca="1" si="1885"/>
        <v>#N/A</v>
      </c>
      <c r="E1859" s="26">
        <f t="array" aca="1" ref="E1859" ca="1">AVERAGE(IF(INDIRECT(DatCol&amp;"$"&amp;TEXT(C1859,"###")):INDIRECT(DatCol&amp;"$"&amp;TEXT(C1859+57,"###"))&gt;0,INDIRECT(DatCol&amp;"$"&amp;TEXT(C1859,"###")):INDIRECT(DatCol&amp;"$"&amp;TEXT(C1859+57,"###"))))</f>
        <v>631.72100000000012</v>
      </c>
      <c r="F1859" s="26" t="str">
        <f t="shared" si="1850"/>
        <v>C</v>
      </c>
      <c r="G1859" s="8"/>
      <c r="K1859" s="9">
        <f t="shared" si="1853"/>
        <v>0</v>
      </c>
      <c r="M1859" s="11">
        <f t="shared" ref="M1859:M1874" si="1887">(L1859*50)</f>
        <v>0</v>
      </c>
      <c r="O1859" s="11">
        <f t="shared" ref="O1859:O1874" si="1888">(N1859*50)</f>
        <v>0</v>
      </c>
      <c r="Q1859" s="11">
        <f t="shared" ref="Q1859:Q1874" si="1889">((P1859*330)/5.5)</f>
        <v>0</v>
      </c>
      <c r="Y1859" s="11">
        <f t="shared" ref="Y1859:Y1874" si="1890">((X1859*330)/5.5)</f>
        <v>0</v>
      </c>
      <c r="AG1859" s="11">
        <f t="shared" ref="AG1859:AG1874" si="1891">(AF1859*65)</f>
        <v>0</v>
      </c>
      <c r="AI1859" s="11">
        <f t="shared" ref="AI1859:AI1874" si="1892">(AH1859*65)</f>
        <v>0</v>
      </c>
      <c r="AK1859" s="13">
        <f t="shared" ref="AK1859:AK1874" si="1893">(AJ1859*9)</f>
        <v>0</v>
      </c>
      <c r="AM1859" s="13">
        <f t="shared" ref="AM1859:AM1874" si="1894">(AL1859*9)</f>
        <v>0</v>
      </c>
      <c r="AO1859" s="11">
        <f t="shared" ref="AO1859:AO1874" si="1895">(AN1859*80)</f>
        <v>0</v>
      </c>
      <c r="AQ1859" s="11">
        <f t="shared" ref="AQ1859:AQ1874" si="1896">(AP1859*80)</f>
        <v>0</v>
      </c>
      <c r="AS1859" s="11">
        <f t="shared" ref="AS1859:AS1874" si="1897">(AR1859*50)</f>
        <v>0</v>
      </c>
      <c r="AU1859" s="11">
        <f t="shared" ref="AU1859:AU1874" si="1898">(AT1859*50)</f>
        <v>0</v>
      </c>
      <c r="AW1859" s="11">
        <f t="shared" ref="AW1859:AW1874" si="1899">(AV1859*60)</f>
        <v>0</v>
      </c>
      <c r="AY1859" s="11">
        <f t="shared" ref="AY1859:AY1874" si="1900">(AX1859*60)</f>
        <v>0</v>
      </c>
      <c r="BA1859" s="11">
        <f t="shared" ref="BA1859:BA1874" si="1901">(AZ1859*40)</f>
        <v>0</v>
      </c>
      <c r="BC1859" s="11">
        <f t="shared" ref="BC1859:BC1874" si="1902">(BB1859*40)</f>
        <v>0</v>
      </c>
      <c r="BE1859" s="11">
        <f t="shared" ref="BE1859:BE1874" si="1903">(BD1859*95)</f>
        <v>0</v>
      </c>
      <c r="BG1859" s="11">
        <f t="shared" ref="BG1859:BG1874" si="1904">(BF1859*95)</f>
        <v>0</v>
      </c>
      <c r="BN1859" s="8">
        <f t="shared" si="1851"/>
        <v>0</v>
      </c>
      <c r="BO1859" s="8">
        <f t="shared" si="1852"/>
        <v>0</v>
      </c>
      <c r="BP1859" s="8">
        <f t="shared" si="1872"/>
        <v>0</v>
      </c>
      <c r="BQ1859" s="12">
        <f t="shared" si="1873"/>
        <v>0</v>
      </c>
    </row>
    <row r="1860" spans="1:69">
      <c r="A1860" s="28">
        <v>1957</v>
      </c>
      <c r="B1860" s="27" t="s">
        <v>85</v>
      </c>
      <c r="C1860" s="24">
        <f t="shared" si="1886"/>
        <v>1858</v>
      </c>
      <c r="D1860" s="7" t="e">
        <f t="shared" ca="1" si="1885"/>
        <v>#N/A</v>
      </c>
      <c r="E1860" s="26">
        <f t="array" aca="1" ref="E1860" ca="1">AVERAGE(IF(INDIRECT(DatCol&amp;"$"&amp;TEXT(C1860,"###")):INDIRECT(DatCol&amp;"$"&amp;TEXT(C1860+57,"###"))&gt;0,INDIRECT(DatCol&amp;"$"&amp;TEXT(C1860,"###")):INDIRECT(DatCol&amp;"$"&amp;TEXT(C1860+57,"###"))))</f>
        <v>631.72100000000012</v>
      </c>
      <c r="F1860" s="26" t="str">
        <f t="shared" si="1850"/>
        <v>C</v>
      </c>
      <c r="G1860" s="8"/>
      <c r="K1860" s="9">
        <f t="shared" si="1853"/>
        <v>0</v>
      </c>
      <c r="M1860" s="11">
        <f t="shared" si="1887"/>
        <v>0</v>
      </c>
      <c r="O1860" s="11">
        <f t="shared" si="1888"/>
        <v>0</v>
      </c>
      <c r="Q1860" s="11">
        <f t="shared" si="1889"/>
        <v>0</v>
      </c>
      <c r="Y1860" s="11">
        <f t="shared" si="1890"/>
        <v>0</v>
      </c>
      <c r="AG1860" s="11">
        <f t="shared" si="1891"/>
        <v>0</v>
      </c>
      <c r="AI1860" s="11">
        <f t="shared" si="1892"/>
        <v>0</v>
      </c>
      <c r="AK1860" s="13">
        <f t="shared" si="1893"/>
        <v>0</v>
      </c>
      <c r="AM1860" s="13">
        <f t="shared" si="1894"/>
        <v>0</v>
      </c>
      <c r="AO1860" s="11">
        <f t="shared" si="1895"/>
        <v>0</v>
      </c>
      <c r="AQ1860" s="11">
        <f t="shared" si="1896"/>
        <v>0</v>
      </c>
      <c r="AS1860" s="11">
        <f t="shared" si="1897"/>
        <v>0</v>
      </c>
      <c r="AU1860" s="11">
        <f t="shared" si="1898"/>
        <v>0</v>
      </c>
      <c r="AW1860" s="11">
        <f t="shared" si="1899"/>
        <v>0</v>
      </c>
      <c r="AY1860" s="11">
        <f t="shared" si="1900"/>
        <v>0</v>
      </c>
      <c r="BA1860" s="11">
        <f t="shared" si="1901"/>
        <v>0</v>
      </c>
      <c r="BC1860" s="11">
        <f t="shared" si="1902"/>
        <v>0</v>
      </c>
      <c r="BE1860" s="11">
        <f t="shared" si="1903"/>
        <v>0</v>
      </c>
      <c r="BG1860" s="11">
        <f t="shared" si="1904"/>
        <v>0</v>
      </c>
      <c r="BN1860" s="8">
        <f t="shared" si="1851"/>
        <v>0</v>
      </c>
      <c r="BO1860" s="8">
        <f t="shared" si="1852"/>
        <v>0</v>
      </c>
      <c r="BP1860" s="8">
        <f t="shared" si="1872"/>
        <v>0</v>
      </c>
      <c r="BQ1860" s="12">
        <f t="shared" si="1873"/>
        <v>0</v>
      </c>
    </row>
    <row r="1861" spans="1:69">
      <c r="A1861" s="28">
        <v>1958</v>
      </c>
      <c r="B1861" s="27" t="s">
        <v>85</v>
      </c>
      <c r="C1861" s="24">
        <f t="shared" si="1886"/>
        <v>1858</v>
      </c>
      <c r="D1861" s="7" t="e">
        <f t="shared" ca="1" si="1885"/>
        <v>#N/A</v>
      </c>
      <c r="E1861" s="26">
        <f t="array" aca="1" ref="E1861" ca="1">AVERAGE(IF(INDIRECT(DatCol&amp;"$"&amp;TEXT(C1861,"###")):INDIRECT(DatCol&amp;"$"&amp;TEXT(C1861+57,"###"))&gt;0,INDIRECT(DatCol&amp;"$"&amp;TEXT(C1861,"###")):INDIRECT(DatCol&amp;"$"&amp;TEXT(C1861+57,"###"))))</f>
        <v>631.72100000000012</v>
      </c>
      <c r="F1861" s="26" t="str">
        <f t="shared" si="1850"/>
        <v>C</v>
      </c>
      <c r="G1861" s="8"/>
      <c r="K1861" s="9">
        <f t="shared" si="1853"/>
        <v>0</v>
      </c>
      <c r="M1861" s="11">
        <f t="shared" si="1887"/>
        <v>0</v>
      </c>
      <c r="O1861" s="11">
        <f t="shared" si="1888"/>
        <v>0</v>
      </c>
      <c r="Q1861" s="11">
        <f t="shared" si="1889"/>
        <v>0</v>
      </c>
      <c r="Y1861" s="11">
        <f t="shared" si="1890"/>
        <v>0</v>
      </c>
      <c r="AG1861" s="11">
        <f t="shared" si="1891"/>
        <v>0</v>
      </c>
      <c r="AI1861" s="11">
        <f t="shared" si="1892"/>
        <v>0</v>
      </c>
      <c r="AK1861" s="13">
        <f t="shared" si="1893"/>
        <v>0</v>
      </c>
      <c r="AM1861" s="13">
        <f t="shared" si="1894"/>
        <v>0</v>
      </c>
      <c r="AO1861" s="11">
        <f t="shared" si="1895"/>
        <v>0</v>
      </c>
      <c r="AQ1861" s="11">
        <f t="shared" si="1896"/>
        <v>0</v>
      </c>
      <c r="AS1861" s="11">
        <f t="shared" si="1897"/>
        <v>0</v>
      </c>
      <c r="AU1861" s="11">
        <f t="shared" si="1898"/>
        <v>0</v>
      </c>
      <c r="AW1861" s="11">
        <f t="shared" si="1899"/>
        <v>0</v>
      </c>
      <c r="AY1861" s="11">
        <f t="shared" si="1900"/>
        <v>0</v>
      </c>
      <c r="BA1861" s="11">
        <f t="shared" si="1901"/>
        <v>0</v>
      </c>
      <c r="BC1861" s="11">
        <f t="shared" si="1902"/>
        <v>0</v>
      </c>
      <c r="BE1861" s="11">
        <f t="shared" si="1903"/>
        <v>0</v>
      </c>
      <c r="BG1861" s="11">
        <f t="shared" si="1904"/>
        <v>0</v>
      </c>
      <c r="BN1861" s="8">
        <f t="shared" si="1851"/>
        <v>0</v>
      </c>
      <c r="BO1861" s="8">
        <f t="shared" si="1852"/>
        <v>0</v>
      </c>
      <c r="BP1861" s="8">
        <f t="shared" si="1872"/>
        <v>0</v>
      </c>
      <c r="BQ1861" s="12">
        <f t="shared" si="1873"/>
        <v>0</v>
      </c>
    </row>
    <row r="1862" spans="1:69">
      <c r="A1862" s="28">
        <v>1959</v>
      </c>
      <c r="B1862" s="27" t="s">
        <v>85</v>
      </c>
      <c r="C1862" s="24">
        <f t="shared" si="1886"/>
        <v>1858</v>
      </c>
      <c r="D1862" s="7" t="e">
        <f t="shared" ca="1" si="1885"/>
        <v>#N/A</v>
      </c>
      <c r="E1862" s="26">
        <f t="array" aca="1" ref="E1862" ca="1">AVERAGE(IF(INDIRECT(DatCol&amp;"$"&amp;TEXT(C1862,"###")):INDIRECT(DatCol&amp;"$"&amp;TEXT(C1862+57,"###"))&gt;0,INDIRECT(DatCol&amp;"$"&amp;TEXT(C1862,"###")):INDIRECT(DatCol&amp;"$"&amp;TEXT(C1862+57,"###"))))</f>
        <v>631.72100000000012</v>
      </c>
      <c r="F1862" s="26" t="str">
        <f t="shared" si="1850"/>
        <v>C</v>
      </c>
      <c r="G1862" s="8"/>
      <c r="K1862" s="9">
        <f t="shared" si="1853"/>
        <v>0</v>
      </c>
      <c r="M1862" s="11">
        <f t="shared" si="1887"/>
        <v>0</v>
      </c>
      <c r="O1862" s="11">
        <f t="shared" si="1888"/>
        <v>0</v>
      </c>
      <c r="Q1862" s="11">
        <f t="shared" si="1889"/>
        <v>0</v>
      </c>
      <c r="Y1862" s="11">
        <f t="shared" si="1890"/>
        <v>0</v>
      </c>
      <c r="AG1862" s="11">
        <f t="shared" si="1891"/>
        <v>0</v>
      </c>
      <c r="AI1862" s="11">
        <f t="shared" si="1892"/>
        <v>0</v>
      </c>
      <c r="AK1862" s="13">
        <f t="shared" si="1893"/>
        <v>0</v>
      </c>
      <c r="AM1862" s="13">
        <f t="shared" si="1894"/>
        <v>0</v>
      </c>
      <c r="AO1862" s="11">
        <f t="shared" si="1895"/>
        <v>0</v>
      </c>
      <c r="AQ1862" s="11">
        <f t="shared" si="1896"/>
        <v>0</v>
      </c>
      <c r="AS1862" s="11">
        <f t="shared" si="1897"/>
        <v>0</v>
      </c>
      <c r="AU1862" s="11">
        <f t="shared" si="1898"/>
        <v>0</v>
      </c>
      <c r="AW1862" s="11">
        <f t="shared" si="1899"/>
        <v>0</v>
      </c>
      <c r="AY1862" s="11">
        <f t="shared" si="1900"/>
        <v>0</v>
      </c>
      <c r="BA1862" s="11">
        <f t="shared" si="1901"/>
        <v>0</v>
      </c>
      <c r="BC1862" s="11">
        <f t="shared" si="1902"/>
        <v>0</v>
      </c>
      <c r="BE1862" s="11">
        <f t="shared" si="1903"/>
        <v>0</v>
      </c>
      <c r="BG1862" s="11">
        <f t="shared" si="1904"/>
        <v>0</v>
      </c>
      <c r="BN1862" s="8">
        <f t="shared" si="1851"/>
        <v>0</v>
      </c>
      <c r="BO1862" s="8">
        <f t="shared" si="1852"/>
        <v>0</v>
      </c>
      <c r="BP1862" s="8">
        <f t="shared" si="1872"/>
        <v>0</v>
      </c>
      <c r="BQ1862" s="12">
        <f t="shared" si="1873"/>
        <v>0</v>
      </c>
    </row>
    <row r="1863" spans="1:69">
      <c r="A1863" s="28">
        <v>1960</v>
      </c>
      <c r="B1863" s="27" t="s">
        <v>85</v>
      </c>
      <c r="C1863" s="24">
        <f t="shared" si="1886"/>
        <v>1858</v>
      </c>
      <c r="D1863" s="7" t="e">
        <f t="shared" ca="1" si="1885"/>
        <v>#N/A</v>
      </c>
      <c r="E1863" s="26">
        <f t="array" aca="1" ref="E1863" ca="1">AVERAGE(IF(INDIRECT(DatCol&amp;"$"&amp;TEXT(C1863,"###")):INDIRECT(DatCol&amp;"$"&amp;TEXT(C1863+57,"###"))&gt;0,INDIRECT(DatCol&amp;"$"&amp;TEXT(C1863,"###")):INDIRECT(DatCol&amp;"$"&amp;TEXT(C1863+57,"###"))))</f>
        <v>631.72100000000012</v>
      </c>
      <c r="F1863" s="26" t="str">
        <f t="shared" si="1850"/>
        <v>C</v>
      </c>
      <c r="G1863" s="8"/>
      <c r="K1863" s="9">
        <f t="shared" si="1853"/>
        <v>0</v>
      </c>
      <c r="M1863" s="11">
        <f t="shared" si="1887"/>
        <v>0</v>
      </c>
      <c r="O1863" s="11">
        <f t="shared" si="1888"/>
        <v>0</v>
      </c>
      <c r="Q1863" s="11">
        <f t="shared" si="1889"/>
        <v>0</v>
      </c>
      <c r="Y1863" s="11">
        <f t="shared" si="1890"/>
        <v>0</v>
      </c>
      <c r="AG1863" s="11">
        <f t="shared" si="1891"/>
        <v>0</v>
      </c>
      <c r="AI1863" s="11">
        <f t="shared" si="1892"/>
        <v>0</v>
      </c>
      <c r="AK1863" s="13">
        <f t="shared" si="1893"/>
        <v>0</v>
      </c>
      <c r="AM1863" s="13">
        <f t="shared" si="1894"/>
        <v>0</v>
      </c>
      <c r="AO1863" s="11">
        <f t="shared" si="1895"/>
        <v>0</v>
      </c>
      <c r="AQ1863" s="11">
        <f t="shared" si="1896"/>
        <v>0</v>
      </c>
      <c r="AS1863" s="11">
        <f t="shared" si="1897"/>
        <v>0</v>
      </c>
      <c r="AU1863" s="11">
        <f t="shared" si="1898"/>
        <v>0</v>
      </c>
      <c r="AW1863" s="11">
        <f t="shared" si="1899"/>
        <v>0</v>
      </c>
      <c r="AY1863" s="11">
        <f t="shared" si="1900"/>
        <v>0</v>
      </c>
      <c r="BA1863" s="11">
        <f t="shared" si="1901"/>
        <v>0</v>
      </c>
      <c r="BC1863" s="11">
        <f t="shared" si="1902"/>
        <v>0</v>
      </c>
      <c r="BE1863" s="11">
        <f t="shared" si="1903"/>
        <v>0</v>
      </c>
      <c r="BG1863" s="11">
        <f t="shared" si="1904"/>
        <v>0</v>
      </c>
      <c r="BN1863" s="8">
        <f t="shared" si="1851"/>
        <v>0</v>
      </c>
      <c r="BO1863" s="8">
        <f t="shared" si="1852"/>
        <v>0</v>
      </c>
      <c r="BP1863" s="8">
        <f t="shared" si="1872"/>
        <v>0</v>
      </c>
      <c r="BQ1863" s="12">
        <f t="shared" si="1873"/>
        <v>0</v>
      </c>
    </row>
    <row r="1864" spans="1:69">
      <c r="A1864" s="28">
        <v>1961</v>
      </c>
      <c r="B1864" s="27" t="s">
        <v>85</v>
      </c>
      <c r="C1864" s="24">
        <f t="shared" si="1886"/>
        <v>1858</v>
      </c>
      <c r="D1864" s="7" t="e">
        <f t="shared" ca="1" si="1885"/>
        <v>#N/A</v>
      </c>
      <c r="E1864" s="26">
        <f t="array" aca="1" ref="E1864" ca="1">AVERAGE(IF(INDIRECT(DatCol&amp;"$"&amp;TEXT(C1864,"###")):INDIRECT(DatCol&amp;"$"&amp;TEXT(C1864+57,"###"))&gt;0,INDIRECT(DatCol&amp;"$"&amp;TEXT(C1864,"###")):INDIRECT(DatCol&amp;"$"&amp;TEXT(C1864+57,"###"))))</f>
        <v>631.72100000000012</v>
      </c>
      <c r="F1864" s="26" t="str">
        <f t="shared" si="1850"/>
        <v>C</v>
      </c>
      <c r="G1864" s="8"/>
      <c r="K1864" s="9">
        <f t="shared" si="1853"/>
        <v>0</v>
      </c>
      <c r="M1864" s="11">
        <f t="shared" si="1887"/>
        <v>0</v>
      </c>
      <c r="O1864" s="11">
        <f t="shared" si="1888"/>
        <v>0</v>
      </c>
      <c r="Q1864" s="11">
        <f t="shared" si="1889"/>
        <v>0</v>
      </c>
      <c r="Y1864" s="11">
        <f t="shared" si="1890"/>
        <v>0</v>
      </c>
      <c r="AG1864" s="11">
        <f t="shared" si="1891"/>
        <v>0</v>
      </c>
      <c r="AI1864" s="11">
        <f t="shared" si="1892"/>
        <v>0</v>
      </c>
      <c r="AK1864" s="13">
        <f t="shared" si="1893"/>
        <v>0</v>
      </c>
      <c r="AM1864" s="13">
        <f t="shared" si="1894"/>
        <v>0</v>
      </c>
      <c r="AO1864" s="11">
        <f t="shared" si="1895"/>
        <v>0</v>
      </c>
      <c r="AQ1864" s="11">
        <f t="shared" si="1896"/>
        <v>0</v>
      </c>
      <c r="AS1864" s="11">
        <f t="shared" si="1897"/>
        <v>0</v>
      </c>
      <c r="AU1864" s="11">
        <f t="shared" si="1898"/>
        <v>0</v>
      </c>
      <c r="AW1864" s="11">
        <f t="shared" si="1899"/>
        <v>0</v>
      </c>
      <c r="AY1864" s="11">
        <f t="shared" si="1900"/>
        <v>0</v>
      </c>
      <c r="BA1864" s="11">
        <f t="shared" si="1901"/>
        <v>0</v>
      </c>
      <c r="BC1864" s="11">
        <f t="shared" si="1902"/>
        <v>0</v>
      </c>
      <c r="BE1864" s="11">
        <f t="shared" si="1903"/>
        <v>0</v>
      </c>
      <c r="BG1864" s="11">
        <f t="shared" si="1904"/>
        <v>0</v>
      </c>
      <c r="BN1864" s="8">
        <f t="shared" si="1851"/>
        <v>0</v>
      </c>
      <c r="BO1864" s="8">
        <f t="shared" si="1852"/>
        <v>0</v>
      </c>
      <c r="BP1864" s="8">
        <f t="shared" si="1872"/>
        <v>0</v>
      </c>
      <c r="BQ1864" s="12">
        <f t="shared" si="1873"/>
        <v>0</v>
      </c>
    </row>
    <row r="1865" spans="1:69">
      <c r="A1865" s="28">
        <v>1962</v>
      </c>
      <c r="B1865" s="27" t="s">
        <v>85</v>
      </c>
      <c r="C1865" s="24">
        <f t="shared" si="1886"/>
        <v>1858</v>
      </c>
      <c r="D1865" s="7" t="e">
        <f t="shared" ca="1" si="1885"/>
        <v>#N/A</v>
      </c>
      <c r="E1865" s="26">
        <f t="array" aca="1" ref="E1865" ca="1">AVERAGE(IF(INDIRECT(DatCol&amp;"$"&amp;TEXT(C1865,"###")):INDIRECT(DatCol&amp;"$"&amp;TEXT(C1865+57,"###"))&gt;0,INDIRECT(DatCol&amp;"$"&amp;TEXT(C1865,"###")):INDIRECT(DatCol&amp;"$"&amp;TEXT(C1865+57,"###"))))</f>
        <v>631.72100000000012</v>
      </c>
      <c r="F1865" s="26" t="str">
        <f t="shared" si="1850"/>
        <v>C</v>
      </c>
      <c r="G1865" s="8"/>
      <c r="K1865" s="9">
        <f t="shared" si="1853"/>
        <v>0</v>
      </c>
      <c r="M1865" s="11">
        <f t="shared" si="1887"/>
        <v>0</v>
      </c>
      <c r="O1865" s="11">
        <f t="shared" si="1888"/>
        <v>0</v>
      </c>
      <c r="Q1865" s="11">
        <f t="shared" si="1889"/>
        <v>0</v>
      </c>
      <c r="Y1865" s="11">
        <f t="shared" si="1890"/>
        <v>0</v>
      </c>
      <c r="AG1865" s="11">
        <f t="shared" si="1891"/>
        <v>0</v>
      </c>
      <c r="AI1865" s="11">
        <f t="shared" si="1892"/>
        <v>0</v>
      </c>
      <c r="AK1865" s="13">
        <f t="shared" si="1893"/>
        <v>0</v>
      </c>
      <c r="AM1865" s="13">
        <f t="shared" si="1894"/>
        <v>0</v>
      </c>
      <c r="AO1865" s="11">
        <f t="shared" si="1895"/>
        <v>0</v>
      </c>
      <c r="AQ1865" s="11">
        <f t="shared" si="1896"/>
        <v>0</v>
      </c>
      <c r="AS1865" s="11">
        <f t="shared" si="1897"/>
        <v>0</v>
      </c>
      <c r="AU1865" s="11">
        <f t="shared" si="1898"/>
        <v>0</v>
      </c>
      <c r="AW1865" s="11">
        <f t="shared" si="1899"/>
        <v>0</v>
      </c>
      <c r="AY1865" s="11">
        <f t="shared" si="1900"/>
        <v>0</v>
      </c>
      <c r="BA1865" s="11">
        <f t="shared" si="1901"/>
        <v>0</v>
      </c>
      <c r="BC1865" s="11">
        <f t="shared" si="1902"/>
        <v>0</v>
      </c>
      <c r="BE1865" s="11">
        <f t="shared" si="1903"/>
        <v>0</v>
      </c>
      <c r="BG1865" s="11">
        <f t="shared" si="1904"/>
        <v>0</v>
      </c>
      <c r="BN1865" s="8">
        <f t="shared" si="1851"/>
        <v>0</v>
      </c>
      <c r="BO1865" s="8">
        <f t="shared" si="1852"/>
        <v>0</v>
      </c>
      <c r="BP1865" s="8">
        <f t="shared" si="1872"/>
        <v>0</v>
      </c>
      <c r="BQ1865" s="12">
        <f t="shared" si="1873"/>
        <v>0</v>
      </c>
    </row>
    <row r="1866" spans="1:69">
      <c r="A1866" s="28">
        <v>1963</v>
      </c>
      <c r="B1866" s="27" t="s">
        <v>85</v>
      </c>
      <c r="C1866" s="24">
        <f t="shared" si="1886"/>
        <v>1858</v>
      </c>
      <c r="D1866" s="7" t="e">
        <f t="shared" ca="1" si="1885"/>
        <v>#N/A</v>
      </c>
      <c r="E1866" s="26">
        <f t="array" aca="1" ref="E1866" ca="1">AVERAGE(IF(INDIRECT(DatCol&amp;"$"&amp;TEXT(C1866,"###")):INDIRECT(DatCol&amp;"$"&amp;TEXT(C1866+57,"###"))&gt;0,INDIRECT(DatCol&amp;"$"&amp;TEXT(C1866,"###")):INDIRECT(DatCol&amp;"$"&amp;TEXT(C1866+57,"###"))))</f>
        <v>631.72100000000012</v>
      </c>
      <c r="F1866" s="26" t="str">
        <f t="shared" si="1850"/>
        <v>C</v>
      </c>
      <c r="G1866" s="8"/>
      <c r="K1866" s="9">
        <f t="shared" si="1853"/>
        <v>0</v>
      </c>
      <c r="M1866" s="11">
        <f t="shared" si="1887"/>
        <v>0</v>
      </c>
      <c r="O1866" s="11">
        <f t="shared" si="1888"/>
        <v>0</v>
      </c>
      <c r="Q1866" s="11">
        <f t="shared" si="1889"/>
        <v>0</v>
      </c>
      <c r="Y1866" s="11">
        <f t="shared" si="1890"/>
        <v>0</v>
      </c>
      <c r="AG1866" s="11">
        <f t="shared" si="1891"/>
        <v>0</v>
      </c>
      <c r="AI1866" s="11">
        <f t="shared" si="1892"/>
        <v>0</v>
      </c>
      <c r="AK1866" s="13">
        <f t="shared" si="1893"/>
        <v>0</v>
      </c>
      <c r="AM1866" s="13">
        <f t="shared" si="1894"/>
        <v>0</v>
      </c>
      <c r="AO1866" s="11">
        <f t="shared" si="1895"/>
        <v>0</v>
      </c>
      <c r="AQ1866" s="11">
        <f t="shared" si="1896"/>
        <v>0</v>
      </c>
      <c r="AS1866" s="11">
        <f t="shared" si="1897"/>
        <v>0</v>
      </c>
      <c r="AU1866" s="11">
        <f t="shared" si="1898"/>
        <v>0</v>
      </c>
      <c r="AW1866" s="11">
        <f t="shared" si="1899"/>
        <v>0</v>
      </c>
      <c r="AY1866" s="11">
        <f t="shared" si="1900"/>
        <v>0</v>
      </c>
      <c r="BA1866" s="11">
        <f t="shared" si="1901"/>
        <v>0</v>
      </c>
      <c r="BC1866" s="11">
        <f t="shared" si="1902"/>
        <v>0</v>
      </c>
      <c r="BE1866" s="11">
        <f t="shared" si="1903"/>
        <v>0</v>
      </c>
      <c r="BG1866" s="11">
        <f t="shared" si="1904"/>
        <v>0</v>
      </c>
      <c r="BN1866" s="8">
        <f t="shared" si="1851"/>
        <v>0</v>
      </c>
      <c r="BO1866" s="8">
        <f t="shared" si="1852"/>
        <v>0</v>
      </c>
      <c r="BP1866" s="8">
        <f t="shared" si="1872"/>
        <v>0</v>
      </c>
      <c r="BQ1866" s="12">
        <f t="shared" si="1873"/>
        <v>0</v>
      </c>
    </row>
    <row r="1867" spans="1:69">
      <c r="A1867" s="28">
        <v>1964</v>
      </c>
      <c r="B1867" s="27" t="s">
        <v>85</v>
      </c>
      <c r="C1867" s="24">
        <f t="shared" si="1886"/>
        <v>1858</v>
      </c>
      <c r="D1867" s="7" t="e">
        <f t="shared" ca="1" si="1885"/>
        <v>#N/A</v>
      </c>
      <c r="E1867" s="26">
        <f t="array" aca="1" ref="E1867" ca="1">AVERAGE(IF(INDIRECT(DatCol&amp;"$"&amp;TEXT(C1867,"###")):INDIRECT(DatCol&amp;"$"&amp;TEXT(C1867+57,"###"))&gt;0,INDIRECT(DatCol&amp;"$"&amp;TEXT(C1867,"###")):INDIRECT(DatCol&amp;"$"&amp;TEXT(C1867+57,"###"))))</f>
        <v>631.72100000000012</v>
      </c>
      <c r="F1867" s="26" t="str">
        <f t="shared" si="1850"/>
        <v>C</v>
      </c>
      <c r="G1867" s="8"/>
      <c r="I1867" s="8">
        <v>87</v>
      </c>
      <c r="J1867" s="8">
        <v>1581</v>
      </c>
      <c r="K1867" s="9">
        <f t="shared" si="1853"/>
        <v>1581</v>
      </c>
      <c r="M1867" s="11">
        <f t="shared" si="1887"/>
        <v>0</v>
      </c>
      <c r="O1867" s="11">
        <f t="shared" si="1888"/>
        <v>0</v>
      </c>
      <c r="Q1867" s="11">
        <f t="shared" si="1889"/>
        <v>0</v>
      </c>
      <c r="Y1867" s="11">
        <f t="shared" si="1890"/>
        <v>0</v>
      </c>
      <c r="AG1867" s="11">
        <f t="shared" si="1891"/>
        <v>0</v>
      </c>
      <c r="AI1867" s="11">
        <f t="shared" si="1892"/>
        <v>0</v>
      </c>
      <c r="AK1867" s="13">
        <f t="shared" si="1893"/>
        <v>0</v>
      </c>
      <c r="AM1867" s="13">
        <f t="shared" si="1894"/>
        <v>0</v>
      </c>
      <c r="AO1867" s="11">
        <f t="shared" si="1895"/>
        <v>0</v>
      </c>
      <c r="AQ1867" s="11">
        <f t="shared" si="1896"/>
        <v>0</v>
      </c>
      <c r="AS1867" s="11">
        <f t="shared" si="1897"/>
        <v>0</v>
      </c>
      <c r="AU1867" s="11">
        <f t="shared" si="1898"/>
        <v>0</v>
      </c>
      <c r="AW1867" s="11">
        <f t="shared" si="1899"/>
        <v>0</v>
      </c>
      <c r="AY1867" s="11">
        <f t="shared" si="1900"/>
        <v>0</v>
      </c>
      <c r="BA1867" s="11">
        <f t="shared" si="1901"/>
        <v>0</v>
      </c>
      <c r="BC1867" s="11">
        <f t="shared" si="1902"/>
        <v>0</v>
      </c>
      <c r="BE1867" s="11">
        <f t="shared" si="1903"/>
        <v>0</v>
      </c>
      <c r="BG1867" s="11">
        <f t="shared" si="1904"/>
        <v>0</v>
      </c>
      <c r="BN1867" s="8">
        <f t="shared" si="1851"/>
        <v>0</v>
      </c>
      <c r="BO1867" s="8">
        <f t="shared" si="1852"/>
        <v>0</v>
      </c>
      <c r="BP1867" s="8">
        <f t="shared" si="1872"/>
        <v>0</v>
      </c>
      <c r="BQ1867" s="12">
        <f t="shared" si="1873"/>
        <v>0</v>
      </c>
    </row>
    <row r="1868" spans="1:69">
      <c r="A1868" s="28">
        <v>1965</v>
      </c>
      <c r="B1868" s="27" t="s">
        <v>85</v>
      </c>
      <c r="C1868" s="24">
        <f t="shared" si="1886"/>
        <v>1858</v>
      </c>
      <c r="D1868" s="7" t="e">
        <f t="shared" ca="1" si="1885"/>
        <v>#N/A</v>
      </c>
      <c r="E1868" s="26">
        <f t="array" aca="1" ref="E1868" ca="1">AVERAGE(IF(INDIRECT(DatCol&amp;"$"&amp;TEXT(C1868,"###")):INDIRECT(DatCol&amp;"$"&amp;TEXT(C1868+57,"###"))&gt;0,INDIRECT(DatCol&amp;"$"&amp;TEXT(C1868,"###")):INDIRECT(DatCol&amp;"$"&amp;TEXT(C1868+57,"###"))))</f>
        <v>631.72100000000012</v>
      </c>
      <c r="F1868" s="26" t="str">
        <f t="shared" si="1850"/>
        <v>C</v>
      </c>
      <c r="G1868" s="8"/>
      <c r="K1868" s="9">
        <f t="shared" si="1853"/>
        <v>0</v>
      </c>
      <c r="M1868" s="11">
        <f t="shared" si="1887"/>
        <v>0</v>
      </c>
      <c r="O1868" s="11">
        <f t="shared" si="1888"/>
        <v>0</v>
      </c>
      <c r="Q1868" s="11">
        <f t="shared" si="1889"/>
        <v>0</v>
      </c>
      <c r="Y1868" s="11">
        <f t="shared" si="1890"/>
        <v>0</v>
      </c>
      <c r="AG1868" s="11">
        <f t="shared" si="1891"/>
        <v>0</v>
      </c>
      <c r="AI1868" s="11">
        <f t="shared" si="1892"/>
        <v>0</v>
      </c>
      <c r="AK1868" s="13">
        <f t="shared" si="1893"/>
        <v>0</v>
      </c>
      <c r="AM1868" s="13">
        <f t="shared" si="1894"/>
        <v>0</v>
      </c>
      <c r="AO1868" s="11">
        <f t="shared" si="1895"/>
        <v>0</v>
      </c>
      <c r="AQ1868" s="11">
        <f t="shared" si="1896"/>
        <v>0</v>
      </c>
      <c r="AS1868" s="11">
        <f t="shared" si="1897"/>
        <v>0</v>
      </c>
      <c r="AU1868" s="11">
        <f t="shared" si="1898"/>
        <v>0</v>
      </c>
      <c r="AW1868" s="11">
        <f t="shared" si="1899"/>
        <v>0</v>
      </c>
      <c r="AY1868" s="11">
        <f t="shared" si="1900"/>
        <v>0</v>
      </c>
      <c r="BA1868" s="11">
        <f t="shared" si="1901"/>
        <v>0</v>
      </c>
      <c r="BC1868" s="11">
        <f t="shared" si="1902"/>
        <v>0</v>
      </c>
      <c r="BE1868" s="11">
        <f t="shared" si="1903"/>
        <v>0</v>
      </c>
      <c r="BG1868" s="11">
        <f t="shared" si="1904"/>
        <v>0</v>
      </c>
      <c r="BN1868" s="8">
        <f t="shared" si="1851"/>
        <v>0</v>
      </c>
      <c r="BO1868" s="8">
        <f t="shared" si="1852"/>
        <v>0</v>
      </c>
      <c r="BP1868" s="8">
        <f t="shared" si="1872"/>
        <v>0</v>
      </c>
      <c r="BQ1868" s="12">
        <f t="shared" si="1873"/>
        <v>0</v>
      </c>
    </row>
    <row r="1869" spans="1:69">
      <c r="A1869" s="28">
        <v>1966</v>
      </c>
      <c r="B1869" s="27" t="s">
        <v>85</v>
      </c>
      <c r="C1869" s="24">
        <f t="shared" si="1886"/>
        <v>1858</v>
      </c>
      <c r="D1869" s="7" t="e">
        <f t="shared" ca="1" si="1885"/>
        <v>#N/A</v>
      </c>
      <c r="E1869" s="26">
        <f t="array" aca="1" ref="E1869" ca="1">AVERAGE(IF(INDIRECT(DatCol&amp;"$"&amp;TEXT(C1869,"###")):INDIRECT(DatCol&amp;"$"&amp;TEXT(C1869+57,"###"))&gt;0,INDIRECT(DatCol&amp;"$"&amp;TEXT(C1869,"###")):INDIRECT(DatCol&amp;"$"&amp;TEXT(C1869+57,"###"))))</f>
        <v>631.72100000000012</v>
      </c>
      <c r="F1869" s="26" t="str">
        <f t="shared" si="1850"/>
        <v>C</v>
      </c>
      <c r="G1869" s="8"/>
      <c r="K1869" s="9">
        <f t="shared" si="1853"/>
        <v>0</v>
      </c>
      <c r="M1869" s="11">
        <f t="shared" si="1887"/>
        <v>0</v>
      </c>
      <c r="O1869" s="11">
        <f t="shared" si="1888"/>
        <v>0</v>
      </c>
      <c r="Q1869" s="11">
        <f t="shared" si="1889"/>
        <v>0</v>
      </c>
      <c r="Y1869" s="11">
        <f t="shared" si="1890"/>
        <v>0</v>
      </c>
      <c r="AG1869" s="11">
        <f t="shared" si="1891"/>
        <v>0</v>
      </c>
      <c r="AI1869" s="11">
        <f t="shared" si="1892"/>
        <v>0</v>
      </c>
      <c r="AK1869" s="13">
        <f t="shared" si="1893"/>
        <v>0</v>
      </c>
      <c r="AM1869" s="13">
        <f t="shared" si="1894"/>
        <v>0</v>
      </c>
      <c r="AO1869" s="11">
        <f t="shared" si="1895"/>
        <v>0</v>
      </c>
      <c r="AQ1869" s="11">
        <f t="shared" si="1896"/>
        <v>0</v>
      </c>
      <c r="AS1869" s="11">
        <f t="shared" si="1897"/>
        <v>0</v>
      </c>
      <c r="AU1869" s="11">
        <f t="shared" si="1898"/>
        <v>0</v>
      </c>
      <c r="AW1869" s="11">
        <f t="shared" si="1899"/>
        <v>0</v>
      </c>
      <c r="AY1869" s="11">
        <f t="shared" si="1900"/>
        <v>0</v>
      </c>
      <c r="BA1869" s="11">
        <f t="shared" si="1901"/>
        <v>0</v>
      </c>
      <c r="BC1869" s="11">
        <f t="shared" si="1902"/>
        <v>0</v>
      </c>
      <c r="BE1869" s="11">
        <f t="shared" si="1903"/>
        <v>0</v>
      </c>
      <c r="BG1869" s="11">
        <f t="shared" si="1904"/>
        <v>0</v>
      </c>
      <c r="BN1869" s="8">
        <f t="shared" si="1851"/>
        <v>0</v>
      </c>
      <c r="BO1869" s="8">
        <f t="shared" si="1852"/>
        <v>0</v>
      </c>
      <c r="BP1869" s="8">
        <f t="shared" si="1872"/>
        <v>0</v>
      </c>
      <c r="BQ1869" s="12">
        <f t="shared" si="1873"/>
        <v>0</v>
      </c>
    </row>
    <row r="1870" spans="1:69">
      <c r="A1870" s="28">
        <v>1967</v>
      </c>
      <c r="B1870" s="27" t="s">
        <v>85</v>
      </c>
      <c r="C1870" s="24">
        <f t="shared" si="1886"/>
        <v>1858</v>
      </c>
      <c r="D1870" s="7" t="e">
        <f t="shared" ca="1" si="1885"/>
        <v>#N/A</v>
      </c>
      <c r="E1870" s="26">
        <f t="array" aca="1" ref="E1870" ca="1">AVERAGE(IF(INDIRECT(DatCol&amp;"$"&amp;TEXT(C1870,"###")):INDIRECT(DatCol&amp;"$"&amp;TEXT(C1870+57,"###"))&gt;0,INDIRECT(DatCol&amp;"$"&amp;TEXT(C1870,"###")):INDIRECT(DatCol&amp;"$"&amp;TEXT(C1870+57,"###"))))</f>
        <v>631.72100000000012</v>
      </c>
      <c r="F1870" s="26" t="str">
        <f t="shared" si="1850"/>
        <v>C</v>
      </c>
      <c r="G1870" s="8"/>
      <c r="I1870" s="8">
        <v>103</v>
      </c>
      <c r="J1870" s="8">
        <v>1385</v>
      </c>
      <c r="K1870" s="9">
        <f t="shared" si="1853"/>
        <v>1385</v>
      </c>
      <c r="L1870" s="12">
        <v>600</v>
      </c>
      <c r="M1870" s="11">
        <f t="shared" si="1887"/>
        <v>30000</v>
      </c>
      <c r="N1870" s="12">
        <v>450</v>
      </c>
      <c r="O1870" s="11">
        <f t="shared" si="1888"/>
        <v>22500</v>
      </c>
      <c r="Q1870" s="11">
        <f t="shared" si="1889"/>
        <v>0</v>
      </c>
      <c r="X1870" s="12">
        <v>500</v>
      </c>
      <c r="Y1870" s="11">
        <f t="shared" si="1890"/>
        <v>30000</v>
      </c>
      <c r="AG1870" s="11">
        <f t="shared" si="1891"/>
        <v>0</v>
      </c>
      <c r="AI1870" s="11">
        <f t="shared" si="1892"/>
        <v>0</v>
      </c>
      <c r="AJ1870" s="12">
        <v>7000</v>
      </c>
      <c r="AK1870" s="13">
        <f t="shared" si="1893"/>
        <v>63000</v>
      </c>
      <c r="AL1870" s="12">
        <v>500</v>
      </c>
      <c r="AM1870" s="13">
        <f t="shared" si="1894"/>
        <v>4500</v>
      </c>
      <c r="AO1870" s="11">
        <f t="shared" si="1895"/>
        <v>0</v>
      </c>
      <c r="AQ1870" s="11">
        <f t="shared" si="1896"/>
        <v>0</v>
      </c>
      <c r="AR1870" s="12">
        <v>620</v>
      </c>
      <c r="AS1870" s="11">
        <f t="shared" si="1897"/>
        <v>31000</v>
      </c>
      <c r="AT1870" s="12">
        <v>50</v>
      </c>
      <c r="AU1870" s="11">
        <f t="shared" si="1898"/>
        <v>2500</v>
      </c>
      <c r="AW1870" s="11">
        <f t="shared" si="1899"/>
        <v>0</v>
      </c>
      <c r="AY1870" s="11">
        <f t="shared" si="1900"/>
        <v>0</v>
      </c>
      <c r="BA1870" s="11">
        <f t="shared" si="1901"/>
        <v>0</v>
      </c>
      <c r="BB1870" s="12">
        <v>20</v>
      </c>
      <c r="BC1870" s="11">
        <f t="shared" si="1902"/>
        <v>800</v>
      </c>
      <c r="BE1870" s="11">
        <f t="shared" si="1903"/>
        <v>0</v>
      </c>
      <c r="BG1870" s="11">
        <f t="shared" si="1904"/>
        <v>0</v>
      </c>
      <c r="BN1870" s="8">
        <f t="shared" si="1851"/>
        <v>8720</v>
      </c>
      <c r="BO1870" s="8">
        <f t="shared" si="1852"/>
        <v>154000</v>
      </c>
      <c r="BP1870" s="8">
        <f t="shared" si="1872"/>
        <v>1520</v>
      </c>
      <c r="BQ1870" s="12">
        <f t="shared" si="1873"/>
        <v>60300</v>
      </c>
    </row>
    <row r="1871" spans="1:69">
      <c r="A1871" s="28">
        <v>1968</v>
      </c>
      <c r="B1871" s="27" t="s">
        <v>85</v>
      </c>
      <c r="C1871" s="24">
        <f t="shared" si="1886"/>
        <v>1858</v>
      </c>
      <c r="D1871" s="7" t="e">
        <f t="shared" ca="1" si="1885"/>
        <v>#N/A</v>
      </c>
      <c r="E1871" s="26">
        <f t="array" aca="1" ref="E1871" ca="1">AVERAGE(IF(INDIRECT(DatCol&amp;"$"&amp;TEXT(C1871,"###")):INDIRECT(DatCol&amp;"$"&amp;TEXT(C1871+57,"###"))&gt;0,INDIRECT(DatCol&amp;"$"&amp;TEXT(C1871,"###")):INDIRECT(DatCol&amp;"$"&amp;TEXT(C1871+57,"###"))))</f>
        <v>631.72100000000012</v>
      </c>
      <c r="F1871" s="26" t="str">
        <f t="shared" si="1850"/>
        <v>C</v>
      </c>
      <c r="G1871" s="8"/>
      <c r="H1871" s="8">
        <v>259</v>
      </c>
      <c r="I1871" s="8">
        <v>107</v>
      </c>
      <c r="J1871" s="8">
        <v>1033</v>
      </c>
      <c r="K1871" s="9">
        <f t="shared" si="1853"/>
        <v>1292</v>
      </c>
      <c r="L1871" s="12">
        <v>450</v>
      </c>
      <c r="M1871" s="11">
        <f t="shared" si="1887"/>
        <v>22500</v>
      </c>
      <c r="N1871" s="12">
        <v>500</v>
      </c>
      <c r="O1871" s="11">
        <f t="shared" si="1888"/>
        <v>25000</v>
      </c>
      <c r="P1871" s="12">
        <v>26000</v>
      </c>
      <c r="Q1871" s="11">
        <f t="shared" si="1889"/>
        <v>1560000</v>
      </c>
      <c r="X1871" s="12">
        <v>350</v>
      </c>
      <c r="Y1871" s="11">
        <f t="shared" si="1890"/>
        <v>21000</v>
      </c>
      <c r="AG1871" s="11">
        <f t="shared" si="1891"/>
        <v>0</v>
      </c>
      <c r="AI1871" s="11">
        <f t="shared" si="1892"/>
        <v>0</v>
      </c>
      <c r="AJ1871" s="12">
        <v>5000</v>
      </c>
      <c r="AK1871" s="13">
        <f t="shared" si="1893"/>
        <v>45000</v>
      </c>
      <c r="AL1871" s="12">
        <v>250</v>
      </c>
      <c r="AM1871" s="13">
        <f t="shared" si="1894"/>
        <v>2250</v>
      </c>
      <c r="AN1871" s="12">
        <v>200</v>
      </c>
      <c r="AO1871" s="11">
        <f t="shared" si="1895"/>
        <v>16000</v>
      </c>
      <c r="AP1871" s="12">
        <v>20</v>
      </c>
      <c r="AQ1871" s="11">
        <f t="shared" si="1896"/>
        <v>1600</v>
      </c>
      <c r="AR1871" s="12">
        <v>2000</v>
      </c>
      <c r="AS1871" s="11">
        <f t="shared" si="1897"/>
        <v>100000</v>
      </c>
      <c r="AU1871" s="11">
        <f t="shared" si="1898"/>
        <v>0</v>
      </c>
      <c r="AW1871" s="11">
        <f t="shared" si="1899"/>
        <v>0</v>
      </c>
      <c r="AY1871" s="11">
        <f t="shared" si="1900"/>
        <v>0</v>
      </c>
      <c r="BA1871" s="11">
        <f t="shared" si="1901"/>
        <v>0</v>
      </c>
      <c r="BC1871" s="11">
        <f t="shared" si="1902"/>
        <v>0</v>
      </c>
      <c r="BE1871" s="11">
        <f t="shared" si="1903"/>
        <v>0</v>
      </c>
      <c r="BG1871" s="11">
        <f t="shared" si="1904"/>
        <v>0</v>
      </c>
      <c r="BN1871" s="8">
        <f t="shared" si="1851"/>
        <v>34000</v>
      </c>
      <c r="BO1871" s="8">
        <f t="shared" si="1852"/>
        <v>1764500</v>
      </c>
      <c r="BP1871" s="8">
        <f t="shared" si="1872"/>
        <v>1120</v>
      </c>
      <c r="BQ1871" s="12">
        <f t="shared" si="1873"/>
        <v>49850</v>
      </c>
    </row>
    <row r="1872" spans="1:69">
      <c r="A1872" s="28">
        <v>1969</v>
      </c>
      <c r="B1872" s="27" t="s">
        <v>85</v>
      </c>
      <c r="C1872" s="24">
        <f t="shared" si="1886"/>
        <v>1858</v>
      </c>
      <c r="D1872" s="7" t="e">
        <f t="shared" ca="1" si="1885"/>
        <v>#N/A</v>
      </c>
      <c r="E1872" s="26">
        <f t="array" aca="1" ref="E1872" ca="1">AVERAGE(IF(INDIRECT(DatCol&amp;"$"&amp;TEXT(C1872,"###")):INDIRECT(DatCol&amp;"$"&amp;TEXT(C1872+57,"###"))&gt;0,INDIRECT(DatCol&amp;"$"&amp;TEXT(C1872,"###")):INDIRECT(DatCol&amp;"$"&amp;TEXT(C1872+57,"###"))))</f>
        <v>631.72100000000012</v>
      </c>
      <c r="F1872" s="26" t="str">
        <f t="shared" si="1850"/>
        <v>C</v>
      </c>
      <c r="G1872" s="8"/>
      <c r="H1872" s="8">
        <v>280</v>
      </c>
      <c r="I1872" s="8">
        <v>149</v>
      </c>
      <c r="J1872" s="8">
        <v>1141</v>
      </c>
      <c r="K1872" s="9">
        <f t="shared" si="1853"/>
        <v>1421</v>
      </c>
      <c r="L1872" s="12">
        <v>1169</v>
      </c>
      <c r="M1872" s="11">
        <f t="shared" si="1887"/>
        <v>58450</v>
      </c>
      <c r="N1872" s="12">
        <v>780</v>
      </c>
      <c r="O1872" s="11">
        <f t="shared" si="1888"/>
        <v>39000</v>
      </c>
      <c r="P1872" s="12">
        <v>27440</v>
      </c>
      <c r="Q1872" s="11">
        <f t="shared" si="1889"/>
        <v>1646400</v>
      </c>
      <c r="X1872" s="12">
        <v>280</v>
      </c>
      <c r="Y1872" s="11">
        <f t="shared" si="1890"/>
        <v>16800</v>
      </c>
      <c r="AG1872" s="11">
        <f t="shared" si="1891"/>
        <v>0</v>
      </c>
      <c r="AI1872" s="11">
        <f t="shared" si="1892"/>
        <v>0</v>
      </c>
      <c r="AJ1872" s="12">
        <v>6638</v>
      </c>
      <c r="AK1872" s="13">
        <f t="shared" si="1893"/>
        <v>59742</v>
      </c>
      <c r="AL1872" s="12">
        <v>3004</v>
      </c>
      <c r="AM1872" s="13">
        <f t="shared" si="1894"/>
        <v>27036</v>
      </c>
      <c r="AN1872" s="12">
        <v>300</v>
      </c>
      <c r="AO1872" s="11">
        <f t="shared" si="1895"/>
        <v>24000</v>
      </c>
      <c r="AP1872" s="12">
        <v>24</v>
      </c>
      <c r="AQ1872" s="11">
        <f t="shared" si="1896"/>
        <v>1920</v>
      </c>
      <c r="AR1872" s="12">
        <v>1440</v>
      </c>
      <c r="AS1872" s="11">
        <f t="shared" si="1897"/>
        <v>72000</v>
      </c>
      <c r="AT1872" s="12">
        <v>75</v>
      </c>
      <c r="AU1872" s="11">
        <f t="shared" si="1898"/>
        <v>3750</v>
      </c>
      <c r="AW1872" s="11">
        <f t="shared" si="1899"/>
        <v>0</v>
      </c>
      <c r="AY1872" s="11">
        <f t="shared" si="1900"/>
        <v>0</v>
      </c>
      <c r="BA1872" s="11">
        <f t="shared" si="1901"/>
        <v>0</v>
      </c>
      <c r="BC1872" s="11">
        <f t="shared" si="1902"/>
        <v>0</v>
      </c>
      <c r="BE1872" s="11">
        <f t="shared" si="1903"/>
        <v>0</v>
      </c>
      <c r="BG1872" s="11">
        <f t="shared" si="1904"/>
        <v>0</v>
      </c>
      <c r="BN1872" s="8">
        <f t="shared" si="1851"/>
        <v>37267</v>
      </c>
      <c r="BO1872" s="8">
        <f t="shared" si="1852"/>
        <v>1877392</v>
      </c>
      <c r="BP1872" s="8">
        <f t="shared" si="1872"/>
        <v>4163</v>
      </c>
      <c r="BQ1872" s="12">
        <f t="shared" si="1873"/>
        <v>88506</v>
      </c>
    </row>
    <row r="1873" spans="1:69">
      <c r="A1873" s="28">
        <v>1970</v>
      </c>
      <c r="B1873" s="27" t="s">
        <v>85</v>
      </c>
      <c r="C1873" s="24">
        <f t="shared" si="1886"/>
        <v>1858</v>
      </c>
      <c r="D1873" s="7" t="e">
        <f t="shared" ca="1" si="1885"/>
        <v>#N/A</v>
      </c>
      <c r="E1873" s="26">
        <f t="array" aca="1" ref="E1873" ca="1">AVERAGE(IF(INDIRECT(DatCol&amp;"$"&amp;TEXT(C1873,"###")):INDIRECT(DatCol&amp;"$"&amp;TEXT(C1873+57,"###"))&gt;0,INDIRECT(DatCol&amp;"$"&amp;TEXT(C1873,"###")):INDIRECT(DatCol&amp;"$"&amp;TEXT(C1873+57,"###"))))</f>
        <v>631.72100000000012</v>
      </c>
      <c r="F1873" s="26" t="str">
        <f t="shared" si="1850"/>
        <v>C</v>
      </c>
      <c r="G1873" s="8"/>
      <c r="H1873" s="8">
        <v>284</v>
      </c>
      <c r="I1873" s="8">
        <v>154</v>
      </c>
      <c r="J1873" s="8">
        <v>1217</v>
      </c>
      <c r="K1873" s="9">
        <f t="shared" si="1853"/>
        <v>1501</v>
      </c>
      <c r="L1873" s="12">
        <v>750</v>
      </c>
      <c r="M1873" s="11">
        <f t="shared" si="1887"/>
        <v>37500</v>
      </c>
      <c r="N1873" s="12">
        <v>930</v>
      </c>
      <c r="O1873" s="11">
        <f t="shared" si="1888"/>
        <v>46500</v>
      </c>
      <c r="P1873" s="12">
        <v>17025</v>
      </c>
      <c r="Q1873" s="11">
        <f t="shared" si="1889"/>
        <v>1021500</v>
      </c>
      <c r="X1873" s="12">
        <v>140</v>
      </c>
      <c r="Y1873" s="11">
        <f t="shared" si="1890"/>
        <v>8400</v>
      </c>
      <c r="AG1873" s="11">
        <f t="shared" si="1891"/>
        <v>0</v>
      </c>
      <c r="AI1873" s="11">
        <f t="shared" si="1892"/>
        <v>0</v>
      </c>
      <c r="AJ1873" s="12">
        <v>995</v>
      </c>
      <c r="AK1873" s="13">
        <f t="shared" si="1893"/>
        <v>8955</v>
      </c>
      <c r="AL1873" s="12">
        <v>745</v>
      </c>
      <c r="AM1873" s="13">
        <f t="shared" si="1894"/>
        <v>6705</v>
      </c>
      <c r="AN1873" s="12">
        <v>5098</v>
      </c>
      <c r="AO1873" s="11">
        <f t="shared" si="1895"/>
        <v>407840</v>
      </c>
      <c r="AP1873" s="12">
        <v>35</v>
      </c>
      <c r="AQ1873" s="11">
        <f t="shared" si="1896"/>
        <v>2800</v>
      </c>
      <c r="AR1873" s="12">
        <v>6100</v>
      </c>
      <c r="AS1873" s="11">
        <f t="shared" si="1897"/>
        <v>305000</v>
      </c>
      <c r="AT1873" s="12">
        <v>125</v>
      </c>
      <c r="AU1873" s="11">
        <f t="shared" si="1898"/>
        <v>6250</v>
      </c>
      <c r="AW1873" s="11">
        <f t="shared" si="1899"/>
        <v>0</v>
      </c>
      <c r="AY1873" s="11">
        <f t="shared" si="1900"/>
        <v>0</v>
      </c>
      <c r="BA1873" s="11">
        <f t="shared" si="1901"/>
        <v>0</v>
      </c>
      <c r="BC1873" s="11">
        <f t="shared" si="1902"/>
        <v>0</v>
      </c>
      <c r="BE1873" s="11">
        <f t="shared" si="1903"/>
        <v>0</v>
      </c>
      <c r="BG1873" s="11">
        <f t="shared" si="1904"/>
        <v>0</v>
      </c>
      <c r="BN1873" s="8">
        <f t="shared" si="1851"/>
        <v>30108</v>
      </c>
      <c r="BO1873" s="8">
        <f t="shared" si="1852"/>
        <v>1789195</v>
      </c>
      <c r="BP1873" s="8">
        <f t="shared" si="1872"/>
        <v>1975</v>
      </c>
      <c r="BQ1873" s="12">
        <f t="shared" si="1873"/>
        <v>70655</v>
      </c>
    </row>
    <row r="1874" spans="1:69">
      <c r="A1874" s="28">
        <v>1971</v>
      </c>
      <c r="B1874" s="27" t="s">
        <v>85</v>
      </c>
      <c r="C1874" s="24">
        <f t="shared" si="1886"/>
        <v>1858</v>
      </c>
      <c r="D1874" s="7" t="e">
        <f t="shared" ca="1" si="1885"/>
        <v>#N/A</v>
      </c>
      <c r="E1874" s="26">
        <f t="array" aca="1" ref="E1874" ca="1">AVERAGE(IF(INDIRECT(DatCol&amp;"$"&amp;TEXT(C1874,"###")):INDIRECT(DatCol&amp;"$"&amp;TEXT(C1874+57,"###"))&gt;0,INDIRECT(DatCol&amp;"$"&amp;TEXT(C1874,"###")):INDIRECT(DatCol&amp;"$"&amp;TEXT(C1874+57,"###"))))</f>
        <v>631.72100000000012</v>
      </c>
      <c r="F1874" s="26" t="str">
        <f t="shared" si="1850"/>
        <v>C</v>
      </c>
      <c r="G1874" s="8"/>
      <c r="H1874" s="8">
        <v>246</v>
      </c>
      <c r="I1874" s="8">
        <v>146</v>
      </c>
      <c r="J1874" s="8">
        <v>978</v>
      </c>
      <c r="K1874" s="9">
        <f t="shared" si="1853"/>
        <v>1224</v>
      </c>
      <c r="L1874" s="12">
        <v>418</v>
      </c>
      <c r="M1874" s="11">
        <f t="shared" si="1887"/>
        <v>20900</v>
      </c>
      <c r="N1874" s="12">
        <v>966</v>
      </c>
      <c r="O1874" s="11">
        <f t="shared" si="1888"/>
        <v>48300</v>
      </c>
      <c r="P1874" s="12">
        <v>14186</v>
      </c>
      <c r="Q1874" s="11">
        <f t="shared" si="1889"/>
        <v>851160</v>
      </c>
      <c r="X1874" s="12">
        <v>250</v>
      </c>
      <c r="Y1874" s="11">
        <f t="shared" si="1890"/>
        <v>15000</v>
      </c>
      <c r="AG1874" s="11">
        <f t="shared" si="1891"/>
        <v>0</v>
      </c>
      <c r="AI1874" s="11">
        <f t="shared" si="1892"/>
        <v>0</v>
      </c>
      <c r="AJ1874" s="12">
        <v>5770</v>
      </c>
      <c r="AK1874" s="13">
        <f t="shared" si="1893"/>
        <v>51930</v>
      </c>
      <c r="AL1874" s="12">
        <v>286</v>
      </c>
      <c r="AM1874" s="13">
        <f t="shared" si="1894"/>
        <v>2574</v>
      </c>
      <c r="AN1874" s="12">
        <v>255</v>
      </c>
      <c r="AO1874" s="11">
        <f t="shared" si="1895"/>
        <v>20400</v>
      </c>
      <c r="AP1874" s="12">
        <v>44</v>
      </c>
      <c r="AQ1874" s="11">
        <f t="shared" si="1896"/>
        <v>3520</v>
      </c>
      <c r="AR1874" s="12">
        <v>9150</v>
      </c>
      <c r="AS1874" s="11">
        <f t="shared" si="1897"/>
        <v>457500</v>
      </c>
      <c r="AT1874" s="12">
        <v>125</v>
      </c>
      <c r="AU1874" s="11">
        <f t="shared" si="1898"/>
        <v>6250</v>
      </c>
      <c r="AW1874" s="11">
        <f t="shared" si="1899"/>
        <v>0</v>
      </c>
      <c r="AY1874" s="11">
        <f t="shared" si="1900"/>
        <v>0</v>
      </c>
      <c r="BA1874" s="11">
        <f t="shared" si="1901"/>
        <v>0</v>
      </c>
      <c r="BC1874" s="11">
        <f t="shared" si="1902"/>
        <v>0</v>
      </c>
      <c r="BE1874" s="11">
        <f t="shared" si="1903"/>
        <v>0</v>
      </c>
      <c r="BG1874" s="11">
        <f t="shared" si="1904"/>
        <v>0</v>
      </c>
      <c r="BN1874" s="8">
        <f t="shared" si="1851"/>
        <v>30029</v>
      </c>
      <c r="BO1874" s="8">
        <f t="shared" si="1852"/>
        <v>1416890</v>
      </c>
      <c r="BP1874" s="8">
        <f t="shared" si="1872"/>
        <v>1671</v>
      </c>
      <c r="BQ1874" s="12">
        <f t="shared" si="1873"/>
        <v>75644</v>
      </c>
    </row>
    <row r="1875" spans="1:69">
      <c r="A1875" s="28">
        <v>1972</v>
      </c>
      <c r="B1875" s="27" t="s">
        <v>85</v>
      </c>
      <c r="C1875" s="24">
        <f t="shared" si="1886"/>
        <v>1858</v>
      </c>
      <c r="D1875" s="7" t="e">
        <f t="shared" ca="1" si="1885"/>
        <v>#N/A</v>
      </c>
      <c r="E1875" s="26">
        <f t="array" aca="1" ref="E1875" ca="1">AVERAGE(IF(INDIRECT(DatCol&amp;"$"&amp;TEXT(C1875,"###")):INDIRECT(DatCol&amp;"$"&amp;TEXT(C1875+57,"###"))&gt;0,INDIRECT(DatCol&amp;"$"&amp;TEXT(C1875,"###")):INDIRECT(DatCol&amp;"$"&amp;TEXT(C1875+57,"###"))))</f>
        <v>631.72100000000012</v>
      </c>
      <c r="F1875" s="26" t="str">
        <f t="shared" si="1850"/>
        <v>C</v>
      </c>
      <c r="G1875" s="8"/>
      <c r="H1875" s="8">
        <v>239</v>
      </c>
      <c r="I1875" s="8">
        <v>122</v>
      </c>
      <c r="J1875" s="8">
        <v>1105</v>
      </c>
      <c r="K1875" s="9">
        <f t="shared" si="1853"/>
        <v>1344</v>
      </c>
      <c r="L1875" s="12">
        <v>617</v>
      </c>
      <c r="M1875" s="11">
        <f t="shared" ref="M1875:M1890" si="1905">(L1875*50)</f>
        <v>30850</v>
      </c>
      <c r="N1875" s="12">
        <v>524</v>
      </c>
      <c r="O1875" s="11">
        <f t="shared" ref="O1875:O1890" si="1906">(N1875*50)</f>
        <v>26200</v>
      </c>
      <c r="P1875" s="12">
        <v>5840</v>
      </c>
      <c r="Q1875" s="11">
        <f t="shared" ref="Q1875:Q1890" si="1907">((P1875*330)/5.5)</f>
        <v>350400</v>
      </c>
      <c r="X1875" s="12">
        <v>151</v>
      </c>
      <c r="Y1875" s="11">
        <f t="shared" ref="Y1875:Y1890" si="1908">((X1875*330)/5.5)</f>
        <v>9060</v>
      </c>
      <c r="AG1875" s="11">
        <f t="shared" ref="AG1875:AG1890" si="1909">(AF1875*65)</f>
        <v>0</v>
      </c>
      <c r="AI1875" s="11">
        <f t="shared" ref="AI1875:AI1890" si="1910">(AH1875*65)</f>
        <v>0</v>
      </c>
      <c r="AJ1875" s="12">
        <v>3567</v>
      </c>
      <c r="AK1875" s="13">
        <f t="shared" ref="AK1875:AK1890" si="1911">(AJ1875*9)</f>
        <v>32103</v>
      </c>
      <c r="AL1875" s="12">
        <v>700</v>
      </c>
      <c r="AM1875" s="13">
        <f t="shared" ref="AM1875:AM1890" si="1912">(AL1875*9)</f>
        <v>6300</v>
      </c>
      <c r="AO1875" s="11">
        <f t="shared" ref="AO1875:AO1890" si="1913">(AN1875*80)</f>
        <v>0</v>
      </c>
      <c r="AQ1875" s="11">
        <f t="shared" ref="AQ1875:AQ1890" si="1914">(AP1875*80)</f>
        <v>0</v>
      </c>
      <c r="AS1875" s="11">
        <f t="shared" ref="AS1875:AS1890" si="1915">(AR1875*50)</f>
        <v>0</v>
      </c>
      <c r="AT1875" s="12">
        <v>35</v>
      </c>
      <c r="AU1875" s="11">
        <f t="shared" ref="AU1875:AU1890" si="1916">(AT1875*50)</f>
        <v>1750</v>
      </c>
      <c r="AW1875" s="11">
        <f t="shared" ref="AW1875:AW1890" si="1917">(AV1875*60)</f>
        <v>0</v>
      </c>
      <c r="AY1875" s="11">
        <f t="shared" ref="AY1875:AY1890" si="1918">(AX1875*60)</f>
        <v>0</v>
      </c>
      <c r="BA1875" s="11">
        <f t="shared" ref="BA1875:BA1890" si="1919">(AZ1875*40)</f>
        <v>0</v>
      </c>
      <c r="BC1875" s="11">
        <f t="shared" ref="BC1875:BC1890" si="1920">(BB1875*40)</f>
        <v>0</v>
      </c>
      <c r="BE1875" s="11">
        <f t="shared" ref="BE1875:BE1890" si="1921">(BD1875*95)</f>
        <v>0</v>
      </c>
      <c r="BG1875" s="11">
        <f t="shared" ref="BG1875:BG1890" si="1922">(BF1875*95)</f>
        <v>0</v>
      </c>
      <c r="BN1875" s="8">
        <f t="shared" si="1851"/>
        <v>10175</v>
      </c>
      <c r="BO1875" s="8">
        <f t="shared" si="1852"/>
        <v>422413</v>
      </c>
      <c r="BP1875" s="8">
        <f t="shared" si="1872"/>
        <v>1410</v>
      </c>
      <c r="BQ1875" s="12">
        <f t="shared" si="1873"/>
        <v>43310</v>
      </c>
    </row>
    <row r="1876" spans="1:69">
      <c r="A1876" s="28">
        <v>1973</v>
      </c>
      <c r="B1876" s="27" t="s">
        <v>85</v>
      </c>
      <c r="C1876" s="24">
        <f t="shared" si="1886"/>
        <v>1858</v>
      </c>
      <c r="D1876" s="7" t="e">
        <f t="shared" ca="1" si="1885"/>
        <v>#N/A</v>
      </c>
      <c r="E1876" s="26">
        <f t="array" aca="1" ref="E1876" ca="1">AVERAGE(IF(INDIRECT(DatCol&amp;"$"&amp;TEXT(C1876,"###")):INDIRECT(DatCol&amp;"$"&amp;TEXT(C1876+57,"###"))&gt;0,INDIRECT(DatCol&amp;"$"&amp;TEXT(C1876,"###")):INDIRECT(DatCol&amp;"$"&amp;TEXT(C1876+57,"###"))))</f>
        <v>631.72100000000012</v>
      </c>
      <c r="F1876" s="26" t="str">
        <f t="shared" si="1850"/>
        <v>C</v>
      </c>
      <c r="G1876" s="8"/>
      <c r="H1876" s="8">
        <v>218</v>
      </c>
      <c r="I1876" s="8">
        <v>81</v>
      </c>
      <c r="J1876" s="8">
        <v>931</v>
      </c>
      <c r="K1876" s="9">
        <f t="shared" si="1853"/>
        <v>1149</v>
      </c>
      <c r="M1876" s="11">
        <f t="shared" si="1905"/>
        <v>0</v>
      </c>
      <c r="N1876" s="12">
        <v>195</v>
      </c>
      <c r="O1876" s="11">
        <f t="shared" si="1906"/>
        <v>9750</v>
      </c>
      <c r="P1876" s="12">
        <v>17395</v>
      </c>
      <c r="Q1876" s="11">
        <f t="shared" si="1907"/>
        <v>1043700</v>
      </c>
      <c r="X1876" s="12">
        <v>95</v>
      </c>
      <c r="Y1876" s="11">
        <f t="shared" si="1908"/>
        <v>5700</v>
      </c>
      <c r="AG1876" s="11">
        <f t="shared" si="1909"/>
        <v>0</v>
      </c>
      <c r="AI1876" s="11">
        <f t="shared" si="1910"/>
        <v>0</v>
      </c>
      <c r="AK1876" s="13">
        <f t="shared" si="1911"/>
        <v>0</v>
      </c>
      <c r="AL1876" s="12">
        <v>5</v>
      </c>
      <c r="AM1876" s="13">
        <f t="shared" si="1912"/>
        <v>45</v>
      </c>
      <c r="AN1876" s="12">
        <v>500</v>
      </c>
      <c r="AO1876" s="11">
        <f t="shared" si="1913"/>
        <v>40000</v>
      </c>
      <c r="AP1876" s="12">
        <v>5</v>
      </c>
      <c r="AQ1876" s="11">
        <f t="shared" si="1914"/>
        <v>400</v>
      </c>
      <c r="AS1876" s="11">
        <f t="shared" si="1915"/>
        <v>0</v>
      </c>
      <c r="AU1876" s="11">
        <f t="shared" si="1916"/>
        <v>0</v>
      </c>
      <c r="AW1876" s="11">
        <f t="shared" si="1917"/>
        <v>0</v>
      </c>
      <c r="AY1876" s="11">
        <f t="shared" si="1918"/>
        <v>0</v>
      </c>
      <c r="BA1876" s="11">
        <f t="shared" si="1919"/>
        <v>0</v>
      </c>
      <c r="BC1876" s="11">
        <f t="shared" si="1920"/>
        <v>0</v>
      </c>
      <c r="BE1876" s="11">
        <f t="shared" si="1921"/>
        <v>0</v>
      </c>
      <c r="BG1876" s="11">
        <f t="shared" si="1922"/>
        <v>0</v>
      </c>
      <c r="BN1876" s="8">
        <f t="shared" si="1851"/>
        <v>17990</v>
      </c>
      <c r="BO1876" s="8">
        <f t="shared" si="1852"/>
        <v>1089400</v>
      </c>
      <c r="BP1876" s="8">
        <f t="shared" si="1872"/>
        <v>300</v>
      </c>
      <c r="BQ1876" s="12">
        <f t="shared" si="1873"/>
        <v>15895</v>
      </c>
    </row>
    <row r="1877" spans="1:69">
      <c r="A1877" s="28">
        <v>1974</v>
      </c>
      <c r="B1877" s="27" t="s">
        <v>85</v>
      </c>
      <c r="C1877" s="24">
        <f t="shared" si="1886"/>
        <v>1858</v>
      </c>
      <c r="D1877" s="7" t="e">
        <f t="shared" ca="1" si="1885"/>
        <v>#N/A</v>
      </c>
      <c r="E1877" s="26">
        <f t="array" aca="1" ref="E1877" ca="1">AVERAGE(IF(INDIRECT(DatCol&amp;"$"&amp;TEXT(C1877,"###")):INDIRECT(DatCol&amp;"$"&amp;TEXT(C1877+57,"###"))&gt;0,INDIRECT(DatCol&amp;"$"&amp;TEXT(C1877,"###")):INDIRECT(DatCol&amp;"$"&amp;TEXT(C1877+57,"###"))))</f>
        <v>631.72100000000012</v>
      </c>
      <c r="F1877" s="26" t="str">
        <f t="shared" si="1850"/>
        <v>C</v>
      </c>
      <c r="G1877" s="8"/>
      <c r="H1877" s="8">
        <v>152</v>
      </c>
      <c r="I1877" s="8">
        <v>270</v>
      </c>
      <c r="J1877" s="8">
        <v>517</v>
      </c>
      <c r="K1877" s="9">
        <f t="shared" si="1853"/>
        <v>669</v>
      </c>
      <c r="L1877" s="12">
        <v>5699</v>
      </c>
      <c r="M1877" s="11">
        <f t="shared" si="1905"/>
        <v>284950</v>
      </c>
      <c r="N1877" s="12">
        <v>2200</v>
      </c>
      <c r="O1877" s="11">
        <f t="shared" si="1906"/>
        <v>110000</v>
      </c>
      <c r="P1877" s="12">
        <v>12480</v>
      </c>
      <c r="Q1877" s="11">
        <f t="shared" si="1907"/>
        <v>748800</v>
      </c>
      <c r="X1877" s="12">
        <v>1145</v>
      </c>
      <c r="Y1877" s="11">
        <f t="shared" si="1908"/>
        <v>68700</v>
      </c>
      <c r="AG1877" s="11">
        <f t="shared" si="1909"/>
        <v>0</v>
      </c>
      <c r="AI1877" s="11">
        <f t="shared" si="1910"/>
        <v>0</v>
      </c>
      <c r="AJ1877" s="12">
        <v>2050</v>
      </c>
      <c r="AK1877" s="13">
        <f t="shared" si="1911"/>
        <v>18450</v>
      </c>
      <c r="AL1877" s="12">
        <v>210</v>
      </c>
      <c r="AM1877" s="13">
        <f t="shared" si="1912"/>
        <v>1890</v>
      </c>
      <c r="AN1877" s="12">
        <v>50</v>
      </c>
      <c r="AO1877" s="11">
        <f t="shared" si="1913"/>
        <v>4000</v>
      </c>
      <c r="AP1877" s="12">
        <v>10</v>
      </c>
      <c r="AQ1877" s="11">
        <f t="shared" si="1914"/>
        <v>800</v>
      </c>
      <c r="AR1877" s="12">
        <v>1200</v>
      </c>
      <c r="AS1877" s="11">
        <f t="shared" si="1915"/>
        <v>60000</v>
      </c>
      <c r="AT1877" s="12">
        <v>10</v>
      </c>
      <c r="AU1877" s="11">
        <f t="shared" si="1916"/>
        <v>500</v>
      </c>
      <c r="AW1877" s="11">
        <f t="shared" si="1917"/>
        <v>0</v>
      </c>
      <c r="AY1877" s="11">
        <f t="shared" si="1918"/>
        <v>0</v>
      </c>
      <c r="BA1877" s="11">
        <f t="shared" si="1919"/>
        <v>0</v>
      </c>
      <c r="BC1877" s="11">
        <f t="shared" si="1920"/>
        <v>0</v>
      </c>
      <c r="BE1877" s="11">
        <f t="shared" si="1921"/>
        <v>0</v>
      </c>
      <c r="BG1877" s="11">
        <f t="shared" si="1922"/>
        <v>0</v>
      </c>
      <c r="BN1877" s="8">
        <f t="shared" si="1851"/>
        <v>22624</v>
      </c>
      <c r="BO1877" s="8">
        <f t="shared" si="1852"/>
        <v>1184900</v>
      </c>
      <c r="BP1877" s="8">
        <f t="shared" si="1872"/>
        <v>3575</v>
      </c>
      <c r="BQ1877" s="12">
        <f t="shared" si="1873"/>
        <v>181890</v>
      </c>
    </row>
    <row r="1878" spans="1:69">
      <c r="A1878" s="28">
        <v>1975</v>
      </c>
      <c r="B1878" s="27" t="s">
        <v>85</v>
      </c>
      <c r="C1878" s="24">
        <f t="shared" si="1886"/>
        <v>1858</v>
      </c>
      <c r="D1878" s="7" t="e">
        <f t="shared" ca="1" si="1885"/>
        <v>#N/A</v>
      </c>
      <c r="E1878" s="26">
        <f t="array" aca="1" ref="E1878" ca="1">AVERAGE(IF(INDIRECT(DatCol&amp;"$"&amp;TEXT(C1878,"###")):INDIRECT(DatCol&amp;"$"&amp;TEXT(C1878+57,"###"))&gt;0,INDIRECT(DatCol&amp;"$"&amp;TEXT(C1878,"###")):INDIRECT(DatCol&amp;"$"&amp;TEXT(C1878+57,"###"))))</f>
        <v>631.72100000000012</v>
      </c>
      <c r="F1878" s="26" t="str">
        <f t="shared" si="1850"/>
        <v>C</v>
      </c>
      <c r="G1878" s="8"/>
      <c r="H1878" s="8">
        <v>151</v>
      </c>
      <c r="I1878" s="8">
        <v>91</v>
      </c>
      <c r="J1878" s="8">
        <v>639</v>
      </c>
      <c r="K1878" s="9">
        <f t="shared" si="1853"/>
        <v>790</v>
      </c>
      <c r="L1878" s="12">
        <v>1760</v>
      </c>
      <c r="M1878" s="11">
        <f t="shared" si="1905"/>
        <v>88000</v>
      </c>
      <c r="N1878" s="12">
        <v>1740</v>
      </c>
      <c r="O1878" s="11">
        <f t="shared" si="1906"/>
        <v>87000</v>
      </c>
      <c r="P1878" s="12">
        <v>12577</v>
      </c>
      <c r="Q1878" s="11">
        <f t="shared" si="1907"/>
        <v>754620</v>
      </c>
      <c r="X1878" s="12">
        <v>855</v>
      </c>
      <c r="Y1878" s="11">
        <f t="shared" si="1908"/>
        <v>51300</v>
      </c>
      <c r="AG1878" s="11">
        <f t="shared" si="1909"/>
        <v>0</v>
      </c>
      <c r="AI1878" s="11">
        <f t="shared" si="1910"/>
        <v>0</v>
      </c>
      <c r="AJ1878" s="12">
        <v>915</v>
      </c>
      <c r="AK1878" s="13">
        <f t="shared" si="1911"/>
        <v>8235</v>
      </c>
      <c r="AL1878" s="12">
        <v>110</v>
      </c>
      <c r="AM1878" s="13">
        <f t="shared" si="1912"/>
        <v>990</v>
      </c>
      <c r="AN1878" s="12">
        <v>10</v>
      </c>
      <c r="AO1878" s="11">
        <f t="shared" si="1913"/>
        <v>800</v>
      </c>
      <c r="AP1878" s="12">
        <v>280</v>
      </c>
      <c r="AQ1878" s="11">
        <f t="shared" si="1914"/>
        <v>22400</v>
      </c>
      <c r="AR1878" s="12">
        <v>1800</v>
      </c>
      <c r="AS1878" s="11">
        <f t="shared" si="1915"/>
        <v>90000</v>
      </c>
      <c r="AT1878" s="12">
        <v>50</v>
      </c>
      <c r="AU1878" s="11">
        <f t="shared" si="1916"/>
        <v>2500</v>
      </c>
      <c r="AW1878" s="11">
        <f t="shared" si="1917"/>
        <v>0</v>
      </c>
      <c r="AY1878" s="11">
        <f t="shared" si="1918"/>
        <v>0</v>
      </c>
      <c r="AZ1878" s="12">
        <v>15</v>
      </c>
      <c r="BA1878" s="11">
        <f t="shared" si="1919"/>
        <v>600</v>
      </c>
      <c r="BB1878" s="12">
        <v>5</v>
      </c>
      <c r="BC1878" s="11">
        <f t="shared" si="1920"/>
        <v>200</v>
      </c>
      <c r="BE1878" s="11">
        <f t="shared" si="1921"/>
        <v>0</v>
      </c>
      <c r="BG1878" s="11">
        <f t="shared" si="1922"/>
        <v>0</v>
      </c>
      <c r="BN1878" s="8">
        <f t="shared" si="1851"/>
        <v>17932</v>
      </c>
      <c r="BO1878" s="8">
        <f t="shared" si="1852"/>
        <v>993555</v>
      </c>
      <c r="BP1878" s="8">
        <f t="shared" si="1872"/>
        <v>3040</v>
      </c>
      <c r="BQ1878" s="12">
        <f t="shared" si="1873"/>
        <v>164390</v>
      </c>
    </row>
    <row r="1879" spans="1:69">
      <c r="A1879" s="28">
        <v>1976</v>
      </c>
      <c r="B1879" s="27" t="s">
        <v>85</v>
      </c>
      <c r="C1879" s="24">
        <f t="shared" si="1886"/>
        <v>1858</v>
      </c>
      <c r="D1879" s="7" t="e">
        <f t="shared" ca="1" si="1885"/>
        <v>#N/A</v>
      </c>
      <c r="E1879" s="26">
        <f t="array" aca="1" ref="E1879" ca="1">AVERAGE(IF(INDIRECT(DatCol&amp;"$"&amp;TEXT(C1879,"###")):INDIRECT(DatCol&amp;"$"&amp;TEXT(C1879+57,"###"))&gt;0,INDIRECT(DatCol&amp;"$"&amp;TEXT(C1879,"###")):INDIRECT(DatCol&amp;"$"&amp;TEXT(C1879+57,"###"))))</f>
        <v>631.72100000000012</v>
      </c>
      <c r="F1879" s="26" t="str">
        <f t="shared" si="1850"/>
        <v>C</v>
      </c>
      <c r="G1879" s="8"/>
      <c r="H1879" s="8">
        <v>116</v>
      </c>
      <c r="I1879" s="8">
        <v>140</v>
      </c>
      <c r="J1879" s="8">
        <v>808</v>
      </c>
      <c r="K1879" s="9">
        <f t="shared" si="1853"/>
        <v>924</v>
      </c>
      <c r="L1879" s="12">
        <v>2603</v>
      </c>
      <c r="M1879" s="11">
        <f t="shared" si="1905"/>
        <v>130150</v>
      </c>
      <c r="N1879" s="12">
        <v>893</v>
      </c>
      <c r="O1879" s="11">
        <f t="shared" si="1906"/>
        <v>44650</v>
      </c>
      <c r="P1879" s="12">
        <v>10945</v>
      </c>
      <c r="Q1879" s="11">
        <f t="shared" si="1907"/>
        <v>656700</v>
      </c>
      <c r="X1879" s="12">
        <v>716</v>
      </c>
      <c r="Y1879" s="11">
        <f t="shared" si="1908"/>
        <v>42960</v>
      </c>
      <c r="AG1879" s="11">
        <f t="shared" si="1909"/>
        <v>0</v>
      </c>
      <c r="AI1879" s="11">
        <f t="shared" si="1910"/>
        <v>0</v>
      </c>
      <c r="AJ1879" s="12">
        <v>31490</v>
      </c>
      <c r="AK1879" s="13">
        <f t="shared" si="1911"/>
        <v>283410</v>
      </c>
      <c r="AL1879" s="12">
        <v>757</v>
      </c>
      <c r="AM1879" s="13">
        <f t="shared" si="1912"/>
        <v>6813</v>
      </c>
      <c r="AN1879" s="12">
        <v>95</v>
      </c>
      <c r="AO1879" s="11">
        <f t="shared" si="1913"/>
        <v>7600</v>
      </c>
      <c r="AP1879" s="12">
        <v>325</v>
      </c>
      <c r="AQ1879" s="11">
        <f t="shared" si="1914"/>
        <v>26000</v>
      </c>
      <c r="AR1879" s="12">
        <v>5030</v>
      </c>
      <c r="AS1879" s="11">
        <f t="shared" si="1915"/>
        <v>251500</v>
      </c>
      <c r="AT1879" s="12">
        <v>450</v>
      </c>
      <c r="AU1879" s="11">
        <f t="shared" si="1916"/>
        <v>22500</v>
      </c>
      <c r="AW1879" s="11">
        <f t="shared" si="1917"/>
        <v>0</v>
      </c>
      <c r="AY1879" s="11">
        <f t="shared" si="1918"/>
        <v>0</v>
      </c>
      <c r="BA1879" s="11">
        <f t="shared" si="1919"/>
        <v>0</v>
      </c>
      <c r="BC1879" s="11">
        <f t="shared" si="1920"/>
        <v>0</v>
      </c>
      <c r="BE1879" s="11">
        <f t="shared" si="1921"/>
        <v>0</v>
      </c>
      <c r="BG1879" s="11">
        <f t="shared" si="1922"/>
        <v>0</v>
      </c>
      <c r="BN1879" s="8">
        <f t="shared" si="1851"/>
        <v>50879</v>
      </c>
      <c r="BO1879" s="8">
        <f t="shared" si="1852"/>
        <v>1372320</v>
      </c>
      <c r="BP1879" s="8">
        <f t="shared" si="1872"/>
        <v>3141</v>
      </c>
      <c r="BQ1879" s="12">
        <f t="shared" si="1873"/>
        <v>142923</v>
      </c>
    </row>
    <row r="1880" spans="1:69">
      <c r="A1880" s="28">
        <v>1977</v>
      </c>
      <c r="B1880" s="27" t="s">
        <v>85</v>
      </c>
      <c r="C1880" s="24">
        <f t="shared" si="1886"/>
        <v>1858</v>
      </c>
      <c r="D1880" s="7" t="e">
        <f t="shared" ca="1" si="1885"/>
        <v>#N/A</v>
      </c>
      <c r="E1880" s="26">
        <f t="array" aca="1" ref="E1880" ca="1">AVERAGE(IF(INDIRECT(DatCol&amp;"$"&amp;TEXT(C1880,"###")):INDIRECT(DatCol&amp;"$"&amp;TEXT(C1880+57,"###"))&gt;0,INDIRECT(DatCol&amp;"$"&amp;TEXT(C1880,"###")):INDIRECT(DatCol&amp;"$"&amp;TEXT(C1880+57,"###"))))</f>
        <v>631.72100000000012</v>
      </c>
      <c r="F1880" s="26" t="str">
        <f t="shared" si="1850"/>
        <v>C</v>
      </c>
      <c r="G1880" s="8"/>
      <c r="H1880" s="8">
        <v>143</v>
      </c>
      <c r="I1880" s="8">
        <v>107</v>
      </c>
      <c r="J1880" s="8">
        <v>773</v>
      </c>
      <c r="K1880" s="9">
        <f t="shared" si="1853"/>
        <v>916</v>
      </c>
      <c r="L1880" s="12">
        <v>3093</v>
      </c>
      <c r="M1880" s="11">
        <f t="shared" si="1905"/>
        <v>154650</v>
      </c>
      <c r="N1880" s="12">
        <v>712</v>
      </c>
      <c r="O1880" s="11">
        <f t="shared" si="1906"/>
        <v>35600</v>
      </c>
      <c r="P1880" s="12">
        <v>9905</v>
      </c>
      <c r="Q1880" s="11">
        <f t="shared" si="1907"/>
        <v>594300</v>
      </c>
      <c r="X1880" s="12">
        <v>1182</v>
      </c>
      <c r="Y1880" s="11">
        <f t="shared" si="1908"/>
        <v>70920</v>
      </c>
      <c r="AG1880" s="11">
        <f t="shared" si="1909"/>
        <v>0</v>
      </c>
      <c r="AI1880" s="11">
        <f t="shared" si="1910"/>
        <v>0</v>
      </c>
      <c r="AJ1880" s="12">
        <v>7514</v>
      </c>
      <c r="AK1880" s="13">
        <f t="shared" si="1911"/>
        <v>67626</v>
      </c>
      <c r="AL1880" s="12">
        <v>110</v>
      </c>
      <c r="AM1880" s="13">
        <f t="shared" si="1912"/>
        <v>990</v>
      </c>
      <c r="AO1880" s="11">
        <f t="shared" si="1913"/>
        <v>0</v>
      </c>
      <c r="AP1880" s="12">
        <v>207</v>
      </c>
      <c r="AQ1880" s="11">
        <f t="shared" si="1914"/>
        <v>16560</v>
      </c>
      <c r="AR1880" s="12">
        <v>12532</v>
      </c>
      <c r="AS1880" s="11">
        <f t="shared" si="1915"/>
        <v>626600</v>
      </c>
      <c r="AT1880" s="12">
        <v>158</v>
      </c>
      <c r="AU1880" s="11">
        <f t="shared" si="1916"/>
        <v>7900</v>
      </c>
      <c r="AW1880" s="11">
        <f t="shared" si="1917"/>
        <v>0</v>
      </c>
      <c r="AY1880" s="11">
        <f t="shared" si="1918"/>
        <v>0</v>
      </c>
      <c r="BA1880" s="11">
        <f t="shared" si="1919"/>
        <v>0</v>
      </c>
      <c r="BC1880" s="11">
        <f t="shared" si="1920"/>
        <v>0</v>
      </c>
      <c r="BE1880" s="11">
        <f t="shared" si="1921"/>
        <v>0</v>
      </c>
      <c r="BG1880" s="11">
        <f t="shared" si="1922"/>
        <v>0</v>
      </c>
      <c r="BN1880" s="8">
        <f t="shared" si="1851"/>
        <v>34226</v>
      </c>
      <c r="BO1880" s="8">
        <f t="shared" si="1852"/>
        <v>1514096</v>
      </c>
      <c r="BP1880" s="8">
        <f t="shared" si="1872"/>
        <v>2369</v>
      </c>
      <c r="BQ1880" s="12">
        <f t="shared" si="1873"/>
        <v>131970</v>
      </c>
    </row>
    <row r="1881" spans="1:69">
      <c r="A1881" s="28">
        <v>1978</v>
      </c>
      <c r="B1881" s="27" t="s">
        <v>85</v>
      </c>
      <c r="C1881" s="24">
        <f t="shared" si="1886"/>
        <v>1858</v>
      </c>
      <c r="D1881" s="7" t="e">
        <f t="shared" ca="1" si="1885"/>
        <v>#N/A</v>
      </c>
      <c r="E1881" s="26">
        <f t="array" aca="1" ref="E1881" ca="1">AVERAGE(IF(INDIRECT(DatCol&amp;"$"&amp;TEXT(C1881,"###")):INDIRECT(DatCol&amp;"$"&amp;TEXT(C1881+57,"###"))&gt;0,INDIRECT(DatCol&amp;"$"&amp;TEXT(C1881,"###")):INDIRECT(DatCol&amp;"$"&amp;TEXT(C1881+57,"###"))))</f>
        <v>631.72100000000012</v>
      </c>
      <c r="F1881" s="26" t="str">
        <f t="shared" si="1850"/>
        <v>C</v>
      </c>
      <c r="G1881" s="8"/>
      <c r="H1881" s="8">
        <v>104</v>
      </c>
      <c r="I1881" s="8">
        <v>165</v>
      </c>
      <c r="J1881" s="8">
        <v>959</v>
      </c>
      <c r="K1881" s="9">
        <f t="shared" si="1853"/>
        <v>1063</v>
      </c>
      <c r="L1881" s="12">
        <v>2404</v>
      </c>
      <c r="M1881" s="11">
        <f t="shared" si="1905"/>
        <v>120200</v>
      </c>
      <c r="N1881" s="12">
        <v>981</v>
      </c>
      <c r="O1881" s="11">
        <f t="shared" si="1906"/>
        <v>49050</v>
      </c>
      <c r="P1881" s="12">
        <v>5563</v>
      </c>
      <c r="Q1881" s="11">
        <f t="shared" si="1907"/>
        <v>333780</v>
      </c>
      <c r="X1881" s="12">
        <v>764</v>
      </c>
      <c r="Y1881" s="11">
        <f t="shared" si="1908"/>
        <v>45840</v>
      </c>
      <c r="AG1881" s="11">
        <f t="shared" si="1909"/>
        <v>0</v>
      </c>
      <c r="AI1881" s="11">
        <f t="shared" si="1910"/>
        <v>0</v>
      </c>
      <c r="AJ1881" s="12">
        <v>160</v>
      </c>
      <c r="AK1881" s="13">
        <f t="shared" si="1911"/>
        <v>1440</v>
      </c>
      <c r="AL1881" s="12">
        <v>38</v>
      </c>
      <c r="AM1881" s="13">
        <f t="shared" si="1912"/>
        <v>342</v>
      </c>
      <c r="AN1881" s="12">
        <v>250</v>
      </c>
      <c r="AO1881" s="11">
        <f t="shared" si="1913"/>
        <v>20000</v>
      </c>
      <c r="AP1881" s="12">
        <v>38</v>
      </c>
      <c r="AQ1881" s="11">
        <f t="shared" si="1914"/>
        <v>3040</v>
      </c>
      <c r="AR1881" s="12">
        <v>3090</v>
      </c>
      <c r="AS1881" s="11">
        <f t="shared" si="1915"/>
        <v>154500</v>
      </c>
      <c r="AT1881" s="12">
        <v>231</v>
      </c>
      <c r="AU1881" s="11">
        <f t="shared" si="1916"/>
        <v>11550</v>
      </c>
      <c r="AV1881" s="12">
        <v>100</v>
      </c>
      <c r="AW1881" s="11">
        <f t="shared" si="1917"/>
        <v>6000</v>
      </c>
      <c r="AX1881" s="12">
        <v>10</v>
      </c>
      <c r="AY1881" s="11">
        <f t="shared" si="1918"/>
        <v>600</v>
      </c>
      <c r="AZ1881" s="12">
        <v>15</v>
      </c>
      <c r="BA1881" s="11">
        <f t="shared" si="1919"/>
        <v>600</v>
      </c>
      <c r="BB1881" s="12">
        <v>5</v>
      </c>
      <c r="BC1881" s="11">
        <f t="shared" si="1920"/>
        <v>200</v>
      </c>
      <c r="BE1881" s="11">
        <f t="shared" si="1921"/>
        <v>0</v>
      </c>
      <c r="BG1881" s="11">
        <f t="shared" si="1922"/>
        <v>0</v>
      </c>
      <c r="BN1881" s="8">
        <f t="shared" si="1851"/>
        <v>12346</v>
      </c>
      <c r="BO1881" s="8">
        <f t="shared" si="1852"/>
        <v>682360</v>
      </c>
      <c r="BP1881" s="8">
        <f t="shared" si="1872"/>
        <v>2067</v>
      </c>
      <c r="BQ1881" s="12">
        <f t="shared" si="1873"/>
        <v>110622</v>
      </c>
    </row>
    <row r="1882" spans="1:69">
      <c r="A1882" s="28">
        <v>1979</v>
      </c>
      <c r="B1882" s="27" t="s">
        <v>85</v>
      </c>
      <c r="C1882" s="24">
        <f t="shared" si="1886"/>
        <v>1858</v>
      </c>
      <c r="D1882" s="7" t="e">
        <f t="shared" ca="1" si="1885"/>
        <v>#N/A</v>
      </c>
      <c r="E1882" s="26">
        <f t="array" aca="1" ref="E1882" ca="1">AVERAGE(IF(INDIRECT(DatCol&amp;"$"&amp;TEXT(C1882,"###")):INDIRECT(DatCol&amp;"$"&amp;TEXT(C1882+57,"###"))&gt;0,INDIRECT(DatCol&amp;"$"&amp;TEXT(C1882,"###")):INDIRECT(DatCol&amp;"$"&amp;TEXT(C1882+57,"###"))))</f>
        <v>631.72100000000012</v>
      </c>
      <c r="F1882" s="26" t="str">
        <f t="shared" si="1850"/>
        <v>C</v>
      </c>
      <c r="G1882" s="8"/>
      <c r="H1882" s="8">
        <v>249</v>
      </c>
      <c r="I1882" s="8">
        <v>142</v>
      </c>
      <c r="J1882" s="8">
        <v>840</v>
      </c>
      <c r="K1882" s="9">
        <f t="shared" si="1853"/>
        <v>1089</v>
      </c>
      <c r="L1882" s="12">
        <v>6118</v>
      </c>
      <c r="M1882" s="11">
        <f t="shared" si="1905"/>
        <v>305900</v>
      </c>
      <c r="N1882" s="12">
        <v>1344</v>
      </c>
      <c r="O1882" s="11">
        <f t="shared" si="1906"/>
        <v>67200</v>
      </c>
      <c r="P1882" s="12">
        <v>2331</v>
      </c>
      <c r="Q1882" s="11">
        <f t="shared" si="1907"/>
        <v>139860</v>
      </c>
      <c r="X1882" s="12">
        <v>1339</v>
      </c>
      <c r="Y1882" s="11">
        <f t="shared" si="1908"/>
        <v>80340</v>
      </c>
      <c r="AG1882" s="11">
        <f t="shared" si="1909"/>
        <v>0</v>
      </c>
      <c r="AI1882" s="11">
        <f t="shared" si="1910"/>
        <v>0</v>
      </c>
      <c r="AJ1882" s="12">
        <v>240</v>
      </c>
      <c r="AK1882" s="13">
        <f t="shared" si="1911"/>
        <v>2160</v>
      </c>
      <c r="AL1882" s="12">
        <v>60</v>
      </c>
      <c r="AM1882" s="13">
        <f t="shared" si="1912"/>
        <v>540</v>
      </c>
      <c r="AN1882" s="12">
        <v>12</v>
      </c>
      <c r="AO1882" s="11">
        <f t="shared" si="1913"/>
        <v>960</v>
      </c>
      <c r="AP1882" s="12">
        <v>72</v>
      </c>
      <c r="AQ1882" s="11">
        <f t="shared" si="1914"/>
        <v>5760</v>
      </c>
      <c r="AR1882" s="12">
        <v>1440</v>
      </c>
      <c r="AS1882" s="11">
        <f t="shared" si="1915"/>
        <v>72000</v>
      </c>
      <c r="AT1882" s="12">
        <v>406</v>
      </c>
      <c r="AU1882" s="11">
        <f t="shared" si="1916"/>
        <v>20300</v>
      </c>
      <c r="AW1882" s="11">
        <f t="shared" si="1917"/>
        <v>0</v>
      </c>
      <c r="AY1882" s="11">
        <f t="shared" si="1918"/>
        <v>0</v>
      </c>
      <c r="BA1882" s="11">
        <f t="shared" si="1919"/>
        <v>0</v>
      </c>
      <c r="BC1882" s="11">
        <f t="shared" si="1920"/>
        <v>0</v>
      </c>
      <c r="BE1882" s="11">
        <f t="shared" si="1921"/>
        <v>0</v>
      </c>
      <c r="BG1882" s="11">
        <f t="shared" si="1922"/>
        <v>0</v>
      </c>
      <c r="BN1882" s="8">
        <f t="shared" si="1851"/>
        <v>11480</v>
      </c>
      <c r="BO1882" s="8">
        <f t="shared" si="1852"/>
        <v>601220</v>
      </c>
      <c r="BP1882" s="8">
        <f t="shared" si="1872"/>
        <v>3221</v>
      </c>
      <c r="BQ1882" s="12">
        <f t="shared" si="1873"/>
        <v>174140</v>
      </c>
    </row>
    <row r="1883" spans="1:69">
      <c r="A1883" s="28">
        <v>1980</v>
      </c>
      <c r="B1883" s="27" t="s">
        <v>85</v>
      </c>
      <c r="C1883" s="24">
        <f t="shared" si="1886"/>
        <v>1858</v>
      </c>
      <c r="D1883" s="7" t="e">
        <f t="shared" ca="1" si="1885"/>
        <v>#N/A</v>
      </c>
      <c r="E1883" s="26">
        <f t="array" aca="1" ref="E1883" ca="1">AVERAGE(IF(INDIRECT(DatCol&amp;"$"&amp;TEXT(C1883,"###")):INDIRECT(DatCol&amp;"$"&amp;TEXT(C1883+57,"###"))&gt;0,INDIRECT(DatCol&amp;"$"&amp;TEXT(C1883,"###")):INDIRECT(DatCol&amp;"$"&amp;TEXT(C1883+57,"###"))))</f>
        <v>631.72100000000012</v>
      </c>
      <c r="F1883" s="26" t="str">
        <f t="shared" si="1850"/>
        <v>C</v>
      </c>
      <c r="G1883" s="8"/>
      <c r="H1883" s="8">
        <v>387</v>
      </c>
      <c r="I1883" s="8">
        <v>396</v>
      </c>
      <c r="J1883" s="8">
        <v>1146</v>
      </c>
      <c r="K1883" s="9">
        <f t="shared" si="1853"/>
        <v>1533</v>
      </c>
      <c r="L1883" s="12">
        <v>6499</v>
      </c>
      <c r="M1883" s="11">
        <f t="shared" si="1905"/>
        <v>324950</v>
      </c>
      <c r="N1883" s="12">
        <v>1336</v>
      </c>
      <c r="O1883" s="11">
        <f t="shared" si="1906"/>
        <v>66800</v>
      </c>
      <c r="P1883" s="12">
        <v>5612</v>
      </c>
      <c r="Q1883" s="11">
        <f t="shared" si="1907"/>
        <v>336720</v>
      </c>
      <c r="X1883" s="12">
        <v>971</v>
      </c>
      <c r="Y1883" s="11">
        <f t="shared" si="1908"/>
        <v>58260</v>
      </c>
      <c r="AG1883" s="11">
        <f t="shared" si="1909"/>
        <v>0</v>
      </c>
      <c r="AI1883" s="11">
        <f t="shared" si="1910"/>
        <v>0</v>
      </c>
      <c r="AJ1883" s="12">
        <v>15230</v>
      </c>
      <c r="AK1883" s="13">
        <f t="shared" si="1911"/>
        <v>137070</v>
      </c>
      <c r="AL1883" s="12">
        <v>612</v>
      </c>
      <c r="AM1883" s="13">
        <f t="shared" si="1912"/>
        <v>5508</v>
      </c>
      <c r="AN1883" s="12">
        <v>15</v>
      </c>
      <c r="AO1883" s="11">
        <f t="shared" si="1913"/>
        <v>1200</v>
      </c>
      <c r="AP1883" s="12">
        <v>25</v>
      </c>
      <c r="AQ1883" s="11">
        <f t="shared" si="1914"/>
        <v>2000</v>
      </c>
      <c r="AR1883" s="12">
        <v>6150</v>
      </c>
      <c r="AS1883" s="11">
        <f t="shared" si="1915"/>
        <v>307500</v>
      </c>
      <c r="AT1883" s="12">
        <v>550</v>
      </c>
      <c r="AU1883" s="11">
        <f t="shared" si="1916"/>
        <v>27500</v>
      </c>
      <c r="AW1883" s="11">
        <f t="shared" si="1917"/>
        <v>0</v>
      </c>
      <c r="AY1883" s="11">
        <f t="shared" si="1918"/>
        <v>0</v>
      </c>
      <c r="BA1883" s="11">
        <f t="shared" si="1919"/>
        <v>0</v>
      </c>
      <c r="BC1883" s="11">
        <f t="shared" si="1920"/>
        <v>0</v>
      </c>
      <c r="BE1883" s="11">
        <f t="shared" si="1921"/>
        <v>0</v>
      </c>
      <c r="BG1883" s="11">
        <f t="shared" si="1922"/>
        <v>0</v>
      </c>
      <c r="BN1883" s="8">
        <f t="shared" si="1851"/>
        <v>34477</v>
      </c>
      <c r="BO1883" s="8">
        <f t="shared" si="1852"/>
        <v>1165700</v>
      </c>
      <c r="BP1883" s="8">
        <f t="shared" si="1872"/>
        <v>3494</v>
      </c>
      <c r="BQ1883" s="12">
        <f t="shared" si="1873"/>
        <v>160068</v>
      </c>
    </row>
    <row r="1884" spans="1:69">
      <c r="A1884" s="28">
        <v>1981</v>
      </c>
      <c r="B1884" s="27" t="s">
        <v>85</v>
      </c>
      <c r="C1884" s="24">
        <f t="shared" si="1886"/>
        <v>1858</v>
      </c>
      <c r="D1884" s="7" t="e">
        <f t="shared" ca="1" si="1885"/>
        <v>#N/A</v>
      </c>
      <c r="E1884" s="26">
        <f t="array" aca="1" ref="E1884" ca="1">AVERAGE(IF(INDIRECT(DatCol&amp;"$"&amp;TEXT(C1884,"###")):INDIRECT(DatCol&amp;"$"&amp;TEXT(C1884+57,"###"))&gt;0,INDIRECT(DatCol&amp;"$"&amp;TEXT(C1884,"###")):INDIRECT(DatCol&amp;"$"&amp;TEXT(C1884+57,"###"))))</f>
        <v>631.72100000000012</v>
      </c>
      <c r="F1884" s="26" t="str">
        <f t="shared" si="1850"/>
        <v>C</v>
      </c>
      <c r="G1884" s="8"/>
      <c r="H1884" s="8">
        <v>336</v>
      </c>
      <c r="I1884" s="8">
        <v>136</v>
      </c>
      <c r="J1884" s="8">
        <v>1245</v>
      </c>
      <c r="K1884" s="9">
        <f t="shared" si="1853"/>
        <v>1581</v>
      </c>
      <c r="L1884" s="12">
        <v>5285</v>
      </c>
      <c r="M1884" s="11">
        <f t="shared" si="1905"/>
        <v>264250</v>
      </c>
      <c r="N1884" s="12">
        <v>718</v>
      </c>
      <c r="O1884" s="11">
        <f t="shared" si="1906"/>
        <v>35900</v>
      </c>
      <c r="P1884" s="12">
        <v>3665</v>
      </c>
      <c r="Q1884" s="11">
        <f t="shared" si="1907"/>
        <v>219900</v>
      </c>
      <c r="X1884" s="12">
        <v>738</v>
      </c>
      <c r="Y1884" s="11">
        <f t="shared" si="1908"/>
        <v>44280</v>
      </c>
      <c r="AG1884" s="11">
        <f t="shared" si="1909"/>
        <v>0</v>
      </c>
      <c r="AI1884" s="11">
        <f t="shared" si="1910"/>
        <v>0</v>
      </c>
      <c r="AJ1884" s="12">
        <v>3400</v>
      </c>
      <c r="AK1884" s="13">
        <f t="shared" si="1911"/>
        <v>30600</v>
      </c>
      <c r="AL1884" s="12">
        <v>55</v>
      </c>
      <c r="AM1884" s="13">
        <f t="shared" si="1912"/>
        <v>495</v>
      </c>
      <c r="AN1884" s="12">
        <v>75</v>
      </c>
      <c r="AO1884" s="11">
        <f t="shared" si="1913"/>
        <v>6000</v>
      </c>
      <c r="AP1884" s="12">
        <v>25</v>
      </c>
      <c r="AQ1884" s="11">
        <f t="shared" si="1914"/>
        <v>2000</v>
      </c>
      <c r="AR1884" s="12">
        <v>10100</v>
      </c>
      <c r="AS1884" s="11">
        <f t="shared" si="1915"/>
        <v>505000</v>
      </c>
      <c r="AT1884" s="12">
        <v>800</v>
      </c>
      <c r="AU1884" s="11">
        <f t="shared" si="1916"/>
        <v>40000</v>
      </c>
      <c r="AW1884" s="11">
        <f t="shared" si="1917"/>
        <v>0</v>
      </c>
      <c r="AY1884" s="11">
        <f t="shared" si="1918"/>
        <v>0</v>
      </c>
      <c r="BA1884" s="11">
        <f t="shared" si="1919"/>
        <v>0</v>
      </c>
      <c r="BC1884" s="11">
        <f t="shared" si="1920"/>
        <v>0</v>
      </c>
      <c r="BE1884" s="11">
        <f t="shared" si="1921"/>
        <v>0</v>
      </c>
      <c r="BG1884" s="11">
        <f t="shared" si="1922"/>
        <v>0</v>
      </c>
      <c r="BN1884" s="8">
        <f t="shared" si="1851"/>
        <v>23263</v>
      </c>
      <c r="BO1884" s="8">
        <f t="shared" si="1852"/>
        <v>1070030</v>
      </c>
      <c r="BP1884" s="8">
        <f t="shared" si="1872"/>
        <v>2336</v>
      </c>
      <c r="BQ1884" s="12">
        <f t="shared" si="1873"/>
        <v>122675</v>
      </c>
    </row>
    <row r="1885" spans="1:69">
      <c r="A1885" s="28">
        <v>1982</v>
      </c>
      <c r="B1885" s="27" t="s">
        <v>85</v>
      </c>
      <c r="C1885" s="24">
        <f t="shared" si="1886"/>
        <v>1858</v>
      </c>
      <c r="D1885" s="7" t="e">
        <f t="shared" ca="1" si="1885"/>
        <v>#N/A</v>
      </c>
      <c r="E1885" s="26">
        <f t="array" aca="1" ref="E1885" ca="1">AVERAGE(IF(INDIRECT(DatCol&amp;"$"&amp;TEXT(C1885,"###")):INDIRECT(DatCol&amp;"$"&amp;TEXT(C1885+57,"###"))&gt;0,INDIRECT(DatCol&amp;"$"&amp;TEXT(C1885,"###")):INDIRECT(DatCol&amp;"$"&amp;TEXT(C1885+57,"###"))))</f>
        <v>631.72100000000012</v>
      </c>
      <c r="F1885" s="26" t="str">
        <f t="shared" si="1850"/>
        <v>C</v>
      </c>
      <c r="G1885" s="8"/>
      <c r="H1885" s="8">
        <v>195</v>
      </c>
      <c r="I1885" s="8">
        <v>256</v>
      </c>
      <c r="J1885" s="8">
        <v>1139</v>
      </c>
      <c r="K1885" s="9">
        <f t="shared" si="1853"/>
        <v>1334</v>
      </c>
      <c r="L1885" s="12">
        <v>2750</v>
      </c>
      <c r="M1885" s="11">
        <f t="shared" si="1905"/>
        <v>137500</v>
      </c>
      <c r="N1885" s="12">
        <v>552</v>
      </c>
      <c r="O1885" s="11">
        <f t="shared" si="1906"/>
        <v>27600</v>
      </c>
      <c r="P1885" s="12">
        <v>3264</v>
      </c>
      <c r="Q1885" s="11">
        <f t="shared" si="1907"/>
        <v>195840</v>
      </c>
      <c r="X1885" s="12">
        <v>727</v>
      </c>
      <c r="Y1885" s="11">
        <f t="shared" si="1908"/>
        <v>43620</v>
      </c>
      <c r="AG1885" s="11">
        <f t="shared" si="1909"/>
        <v>0</v>
      </c>
      <c r="AI1885" s="11">
        <f t="shared" si="1910"/>
        <v>0</v>
      </c>
      <c r="AJ1885" s="12">
        <v>4958</v>
      </c>
      <c r="AK1885" s="13">
        <f t="shared" si="1911"/>
        <v>44622</v>
      </c>
      <c r="AL1885" s="12">
        <v>760</v>
      </c>
      <c r="AM1885" s="13">
        <f t="shared" si="1912"/>
        <v>6840</v>
      </c>
      <c r="AN1885" s="12">
        <v>1505</v>
      </c>
      <c r="AO1885" s="11">
        <f t="shared" si="1913"/>
        <v>120400</v>
      </c>
      <c r="AP1885" s="12">
        <v>21</v>
      </c>
      <c r="AQ1885" s="11">
        <f t="shared" si="1914"/>
        <v>1680</v>
      </c>
      <c r="AR1885" s="12">
        <v>19400</v>
      </c>
      <c r="AS1885" s="11">
        <f t="shared" si="1915"/>
        <v>970000</v>
      </c>
      <c r="AT1885" s="12">
        <v>540</v>
      </c>
      <c r="AU1885" s="11">
        <f t="shared" si="1916"/>
        <v>27000</v>
      </c>
      <c r="AV1885" s="12">
        <v>0</v>
      </c>
      <c r="AW1885" s="11">
        <f t="shared" si="1917"/>
        <v>0</v>
      </c>
      <c r="AX1885" s="12">
        <v>0</v>
      </c>
      <c r="AY1885" s="11">
        <f t="shared" si="1918"/>
        <v>0</v>
      </c>
      <c r="BA1885" s="11">
        <f t="shared" si="1919"/>
        <v>0</v>
      </c>
      <c r="BC1885" s="11">
        <f t="shared" si="1920"/>
        <v>0</v>
      </c>
      <c r="BE1885" s="11">
        <f t="shared" si="1921"/>
        <v>0</v>
      </c>
      <c r="BG1885" s="11">
        <f t="shared" si="1922"/>
        <v>0</v>
      </c>
      <c r="BH1885" s="13" t="s">
        <v>86</v>
      </c>
      <c r="BN1885" s="8">
        <f t="shared" si="1851"/>
        <v>32604</v>
      </c>
      <c r="BO1885" s="8">
        <f t="shared" si="1852"/>
        <v>1511982</v>
      </c>
      <c r="BP1885" s="8">
        <f t="shared" si="1872"/>
        <v>2600</v>
      </c>
      <c r="BQ1885" s="12">
        <f t="shared" si="1873"/>
        <v>106740</v>
      </c>
    </row>
    <row r="1886" spans="1:69">
      <c r="A1886" s="28">
        <v>1983</v>
      </c>
      <c r="B1886" s="27" t="s">
        <v>85</v>
      </c>
      <c r="C1886" s="24">
        <f t="shared" si="1886"/>
        <v>1858</v>
      </c>
      <c r="D1886" s="7" t="e">
        <f t="shared" ca="1" si="1885"/>
        <v>#N/A</v>
      </c>
      <c r="E1886" s="26">
        <f t="array" aca="1" ref="E1886" ca="1">AVERAGE(IF(INDIRECT(DatCol&amp;"$"&amp;TEXT(C1886,"###")):INDIRECT(DatCol&amp;"$"&amp;TEXT(C1886+57,"###"))&gt;0,INDIRECT(DatCol&amp;"$"&amp;TEXT(C1886,"###")):INDIRECT(DatCol&amp;"$"&amp;TEXT(C1886+57,"###"))))</f>
        <v>631.72100000000012</v>
      </c>
      <c r="F1886" s="26" t="str">
        <f t="shared" si="1850"/>
        <v>C</v>
      </c>
      <c r="G1886" s="8"/>
      <c r="H1886" s="8">
        <v>515</v>
      </c>
      <c r="I1886" s="8">
        <v>335</v>
      </c>
      <c r="J1886" s="8">
        <v>1423</v>
      </c>
      <c r="K1886" s="9">
        <f t="shared" si="1853"/>
        <v>1938</v>
      </c>
      <c r="L1886" s="12">
        <v>3684</v>
      </c>
      <c r="M1886" s="11">
        <f t="shared" si="1905"/>
        <v>184200</v>
      </c>
      <c r="N1886" s="12">
        <v>206</v>
      </c>
      <c r="O1886" s="11">
        <f t="shared" si="1906"/>
        <v>10300</v>
      </c>
      <c r="P1886" s="12">
        <v>3746</v>
      </c>
      <c r="Q1886" s="11">
        <f t="shared" si="1907"/>
        <v>224760</v>
      </c>
      <c r="X1886" s="12">
        <v>592</v>
      </c>
      <c r="Y1886" s="11">
        <f t="shared" si="1908"/>
        <v>35520</v>
      </c>
      <c r="AG1886" s="11">
        <f t="shared" si="1909"/>
        <v>0</v>
      </c>
      <c r="AI1886" s="11">
        <f t="shared" si="1910"/>
        <v>0</v>
      </c>
      <c r="AJ1886" s="12">
        <v>40000</v>
      </c>
      <c r="AK1886" s="13">
        <f t="shared" si="1911"/>
        <v>360000</v>
      </c>
      <c r="AL1886" s="12">
        <v>4000</v>
      </c>
      <c r="AM1886" s="13">
        <f t="shared" si="1912"/>
        <v>36000</v>
      </c>
      <c r="AO1886" s="11">
        <f t="shared" si="1913"/>
        <v>0</v>
      </c>
      <c r="AP1886" s="12">
        <v>25</v>
      </c>
      <c r="AQ1886" s="11">
        <f t="shared" si="1914"/>
        <v>2000</v>
      </c>
      <c r="AR1886" s="12">
        <v>10200</v>
      </c>
      <c r="AS1886" s="11">
        <f t="shared" si="1915"/>
        <v>510000</v>
      </c>
      <c r="AT1886" s="12">
        <v>340</v>
      </c>
      <c r="AU1886" s="11">
        <f t="shared" si="1916"/>
        <v>17000</v>
      </c>
      <c r="AW1886" s="11">
        <f t="shared" si="1917"/>
        <v>0</v>
      </c>
      <c r="AY1886" s="11">
        <f t="shared" si="1918"/>
        <v>0</v>
      </c>
      <c r="BA1886" s="11">
        <f t="shared" si="1919"/>
        <v>0</v>
      </c>
      <c r="BC1886" s="11">
        <f t="shared" si="1920"/>
        <v>0</v>
      </c>
      <c r="BE1886" s="11">
        <f t="shared" si="1921"/>
        <v>0</v>
      </c>
      <c r="BG1886" s="11">
        <f t="shared" si="1922"/>
        <v>0</v>
      </c>
      <c r="BN1886" s="8">
        <f t="shared" si="1851"/>
        <v>58222</v>
      </c>
      <c r="BO1886" s="8">
        <f t="shared" si="1852"/>
        <v>1314480</v>
      </c>
      <c r="BP1886" s="8">
        <f t="shared" si="1872"/>
        <v>5163</v>
      </c>
      <c r="BQ1886" s="12">
        <f t="shared" si="1873"/>
        <v>100820</v>
      </c>
    </row>
    <row r="1887" spans="1:69">
      <c r="A1887" s="28">
        <v>1984</v>
      </c>
      <c r="B1887" s="27" t="s">
        <v>85</v>
      </c>
      <c r="C1887" s="24">
        <f t="shared" si="1886"/>
        <v>1858</v>
      </c>
      <c r="D1887" s="7" t="e">
        <f t="shared" ca="1" si="1885"/>
        <v>#N/A</v>
      </c>
      <c r="E1887" s="26">
        <f t="array" aca="1" ref="E1887" ca="1">AVERAGE(IF(INDIRECT(DatCol&amp;"$"&amp;TEXT(C1887,"###")):INDIRECT(DatCol&amp;"$"&amp;TEXT(C1887+57,"###"))&gt;0,INDIRECT(DatCol&amp;"$"&amp;TEXT(C1887,"###")):INDIRECT(DatCol&amp;"$"&amp;TEXT(C1887+57,"###"))))</f>
        <v>631.72100000000012</v>
      </c>
      <c r="F1887" s="26" t="str">
        <f t="shared" si="1850"/>
        <v>C</v>
      </c>
      <c r="G1887" s="8"/>
      <c r="H1887" s="8">
        <v>278</v>
      </c>
      <c r="I1887" s="8">
        <v>354</v>
      </c>
      <c r="J1887" s="8">
        <v>783</v>
      </c>
      <c r="K1887" s="9">
        <f t="shared" si="1853"/>
        <v>1061</v>
      </c>
      <c r="L1887" s="12">
        <v>2599</v>
      </c>
      <c r="M1887" s="11">
        <f t="shared" si="1905"/>
        <v>129950</v>
      </c>
      <c r="N1887" s="12">
        <v>193</v>
      </c>
      <c r="O1887" s="11">
        <f t="shared" si="1906"/>
        <v>9650</v>
      </c>
      <c r="P1887" s="12">
        <v>2458</v>
      </c>
      <c r="Q1887" s="11">
        <f t="shared" si="1907"/>
        <v>147480</v>
      </c>
      <c r="X1887" s="12">
        <v>342</v>
      </c>
      <c r="Y1887" s="11">
        <f t="shared" si="1908"/>
        <v>20520</v>
      </c>
      <c r="AG1887" s="11">
        <f t="shared" si="1909"/>
        <v>0</v>
      </c>
      <c r="AI1887" s="11">
        <f t="shared" si="1910"/>
        <v>0</v>
      </c>
      <c r="AJ1887" s="12">
        <v>821</v>
      </c>
      <c r="AK1887" s="13">
        <f t="shared" si="1911"/>
        <v>7389</v>
      </c>
      <c r="AL1887" s="12">
        <v>70</v>
      </c>
      <c r="AM1887" s="13">
        <f t="shared" si="1912"/>
        <v>630</v>
      </c>
      <c r="AO1887" s="11">
        <f t="shared" si="1913"/>
        <v>0</v>
      </c>
      <c r="AP1887" s="12">
        <v>15</v>
      </c>
      <c r="AQ1887" s="11">
        <f t="shared" si="1914"/>
        <v>1200</v>
      </c>
      <c r="AR1887" s="12">
        <v>1145</v>
      </c>
      <c r="AS1887" s="11">
        <f t="shared" si="1915"/>
        <v>57250</v>
      </c>
      <c r="AT1887" s="12">
        <v>104</v>
      </c>
      <c r="AU1887" s="11">
        <f t="shared" si="1916"/>
        <v>5200</v>
      </c>
      <c r="AW1887" s="11">
        <f t="shared" si="1917"/>
        <v>0</v>
      </c>
      <c r="AY1887" s="11">
        <f t="shared" si="1918"/>
        <v>0</v>
      </c>
      <c r="BA1887" s="11">
        <f t="shared" si="1919"/>
        <v>0</v>
      </c>
      <c r="BC1887" s="11">
        <f t="shared" si="1920"/>
        <v>0</v>
      </c>
      <c r="BE1887" s="11">
        <f t="shared" si="1921"/>
        <v>0</v>
      </c>
      <c r="BG1887" s="11">
        <f t="shared" si="1922"/>
        <v>0</v>
      </c>
      <c r="BN1887" s="8">
        <f t="shared" si="1851"/>
        <v>7365</v>
      </c>
      <c r="BO1887" s="8">
        <f t="shared" si="1852"/>
        <v>362589</v>
      </c>
      <c r="BP1887" s="8">
        <f t="shared" si="1872"/>
        <v>724</v>
      </c>
      <c r="BQ1887" s="12">
        <f t="shared" si="1873"/>
        <v>37200</v>
      </c>
    </row>
    <row r="1888" spans="1:69">
      <c r="A1888" s="28">
        <v>1985</v>
      </c>
      <c r="B1888" s="27" t="s">
        <v>85</v>
      </c>
      <c r="C1888" s="24">
        <f t="shared" si="1886"/>
        <v>1858</v>
      </c>
      <c r="D1888" s="7" t="e">
        <f t="shared" ca="1" si="1885"/>
        <v>#N/A</v>
      </c>
      <c r="E1888" s="26">
        <f t="array" aca="1" ref="E1888" ca="1">AVERAGE(IF(INDIRECT(DatCol&amp;"$"&amp;TEXT(C1888,"###")):INDIRECT(DatCol&amp;"$"&amp;TEXT(C1888+57,"###"))&gt;0,INDIRECT(DatCol&amp;"$"&amp;TEXT(C1888,"###")):INDIRECT(DatCol&amp;"$"&amp;TEXT(C1888+57,"###"))))</f>
        <v>631.72100000000012</v>
      </c>
      <c r="F1888" s="26" t="str">
        <f t="shared" si="1850"/>
        <v>C</v>
      </c>
      <c r="G1888" s="8">
        <v>379</v>
      </c>
      <c r="H1888" s="8">
        <v>254</v>
      </c>
      <c r="I1888" s="8">
        <v>244</v>
      </c>
      <c r="J1888" s="8">
        <v>735</v>
      </c>
      <c r="K1888" s="9">
        <f t="shared" si="1853"/>
        <v>1368</v>
      </c>
      <c r="L1888" s="12">
        <v>1186</v>
      </c>
      <c r="M1888" s="11">
        <f t="shared" si="1905"/>
        <v>59300</v>
      </c>
      <c r="N1888" s="12">
        <v>111</v>
      </c>
      <c r="O1888" s="11">
        <f t="shared" si="1906"/>
        <v>5550</v>
      </c>
      <c r="P1888" s="12">
        <v>2924</v>
      </c>
      <c r="Q1888" s="11">
        <f t="shared" si="1907"/>
        <v>175440</v>
      </c>
      <c r="X1888" s="12">
        <v>489</v>
      </c>
      <c r="Y1888" s="11">
        <f t="shared" si="1908"/>
        <v>29340</v>
      </c>
      <c r="AG1888" s="11">
        <f t="shared" si="1909"/>
        <v>0</v>
      </c>
      <c r="AI1888" s="11">
        <f t="shared" si="1910"/>
        <v>0</v>
      </c>
      <c r="AJ1888" s="12">
        <v>6000</v>
      </c>
      <c r="AK1888" s="13">
        <f t="shared" si="1911"/>
        <v>54000</v>
      </c>
      <c r="AL1888" s="12">
        <v>3545</v>
      </c>
      <c r="AM1888" s="13">
        <f t="shared" si="1912"/>
        <v>31905</v>
      </c>
      <c r="AO1888" s="11">
        <f t="shared" si="1913"/>
        <v>0</v>
      </c>
      <c r="AP1888" s="12">
        <v>5</v>
      </c>
      <c r="AQ1888" s="11">
        <f t="shared" si="1914"/>
        <v>400</v>
      </c>
      <c r="AR1888" s="12">
        <v>8105</v>
      </c>
      <c r="AS1888" s="11">
        <f t="shared" si="1915"/>
        <v>405250</v>
      </c>
      <c r="AT1888" s="12">
        <v>115</v>
      </c>
      <c r="AU1888" s="11">
        <f t="shared" si="1916"/>
        <v>5750</v>
      </c>
      <c r="AW1888" s="11">
        <f t="shared" si="1917"/>
        <v>0</v>
      </c>
      <c r="AY1888" s="11">
        <f t="shared" si="1918"/>
        <v>0</v>
      </c>
      <c r="BA1888" s="11">
        <f t="shared" si="1919"/>
        <v>0</v>
      </c>
      <c r="BC1888" s="11">
        <f t="shared" si="1920"/>
        <v>0</v>
      </c>
      <c r="BE1888" s="11">
        <f t="shared" si="1921"/>
        <v>0</v>
      </c>
      <c r="BG1888" s="11">
        <f t="shared" si="1922"/>
        <v>0</v>
      </c>
      <c r="BH1888" s="13">
        <v>1000</v>
      </c>
      <c r="BN1888" s="8">
        <f t="shared" si="1851"/>
        <v>18704</v>
      </c>
      <c r="BO1888" s="8">
        <f t="shared" si="1852"/>
        <v>723330</v>
      </c>
      <c r="BP1888" s="8">
        <f t="shared" si="1872"/>
        <v>4265</v>
      </c>
      <c r="BQ1888" s="12">
        <f t="shared" si="1873"/>
        <v>72945</v>
      </c>
    </row>
    <row r="1889" spans="1:69">
      <c r="A1889" s="28">
        <v>1986</v>
      </c>
      <c r="B1889" s="27" t="s">
        <v>85</v>
      </c>
      <c r="C1889" s="24">
        <f t="shared" si="1886"/>
        <v>1858</v>
      </c>
      <c r="D1889" s="7" t="e">
        <f t="shared" ca="1" si="1885"/>
        <v>#N/A</v>
      </c>
      <c r="E1889" s="26">
        <f t="array" aca="1" ref="E1889" ca="1">AVERAGE(IF(INDIRECT(DatCol&amp;"$"&amp;TEXT(C1889,"###")):INDIRECT(DatCol&amp;"$"&amp;TEXT(C1889+57,"###"))&gt;0,INDIRECT(DatCol&amp;"$"&amp;TEXT(C1889,"###")):INDIRECT(DatCol&amp;"$"&amp;TEXT(C1889+57,"###"))))</f>
        <v>631.72100000000012</v>
      </c>
      <c r="F1889" s="26" t="str">
        <f t="shared" si="1850"/>
        <v>C</v>
      </c>
      <c r="G1889" s="8">
        <v>346</v>
      </c>
      <c r="H1889" s="8">
        <v>234</v>
      </c>
      <c r="I1889" s="8">
        <v>225</v>
      </c>
      <c r="J1889" s="8">
        <v>673</v>
      </c>
      <c r="K1889" s="9">
        <f t="shared" si="1853"/>
        <v>1253</v>
      </c>
      <c r="L1889" s="12">
        <v>648</v>
      </c>
      <c r="M1889" s="11">
        <f t="shared" si="1905"/>
        <v>32400</v>
      </c>
      <c r="N1889" s="12">
        <v>79</v>
      </c>
      <c r="O1889" s="11">
        <f t="shared" si="1906"/>
        <v>3950</v>
      </c>
      <c r="P1889" s="12">
        <v>2171</v>
      </c>
      <c r="Q1889" s="11">
        <f t="shared" si="1907"/>
        <v>130260</v>
      </c>
      <c r="X1889" s="12">
        <v>268</v>
      </c>
      <c r="Y1889" s="11">
        <f t="shared" si="1908"/>
        <v>16080</v>
      </c>
      <c r="AG1889" s="11">
        <f t="shared" si="1909"/>
        <v>0</v>
      </c>
      <c r="AI1889" s="11">
        <f t="shared" si="1910"/>
        <v>0</v>
      </c>
      <c r="AJ1889" s="12">
        <v>235</v>
      </c>
      <c r="AK1889" s="13">
        <f t="shared" si="1911"/>
        <v>2115</v>
      </c>
      <c r="AL1889" s="12">
        <v>50</v>
      </c>
      <c r="AM1889" s="13">
        <f t="shared" si="1912"/>
        <v>450</v>
      </c>
      <c r="AO1889" s="11">
        <f t="shared" si="1913"/>
        <v>0</v>
      </c>
      <c r="AP1889" s="12">
        <v>4</v>
      </c>
      <c r="AQ1889" s="11">
        <f t="shared" si="1914"/>
        <v>320</v>
      </c>
      <c r="AR1889" s="12">
        <v>2300</v>
      </c>
      <c r="AS1889" s="11">
        <f t="shared" si="1915"/>
        <v>115000</v>
      </c>
      <c r="AT1889" s="12">
        <v>215</v>
      </c>
      <c r="AU1889" s="11">
        <f t="shared" si="1916"/>
        <v>10750</v>
      </c>
      <c r="AW1889" s="11">
        <f t="shared" si="1917"/>
        <v>0</v>
      </c>
      <c r="AY1889" s="11">
        <f t="shared" si="1918"/>
        <v>0</v>
      </c>
      <c r="BA1889" s="11">
        <f t="shared" si="1919"/>
        <v>0</v>
      </c>
      <c r="BC1889" s="11">
        <f t="shared" si="1920"/>
        <v>0</v>
      </c>
      <c r="BE1889" s="11">
        <f t="shared" si="1921"/>
        <v>0</v>
      </c>
      <c r="BG1889" s="11">
        <f t="shared" si="1922"/>
        <v>0</v>
      </c>
      <c r="BH1889" s="13">
        <v>100</v>
      </c>
      <c r="BN1889" s="8">
        <f t="shared" ref="BN1889:BN1953" si="1923">(L1889+P1889+R1889+T1889+V1889+X1889+Z1889+AB1889+AD1889+AF1889+AJ1889+AN1889+AR1889+AV1889+AZ1889+BD1889)</f>
        <v>5622</v>
      </c>
      <c r="BO1889" s="8">
        <f t="shared" si="1852"/>
        <v>295855</v>
      </c>
      <c r="BP1889" s="8">
        <f t="shared" si="1872"/>
        <v>616</v>
      </c>
      <c r="BQ1889" s="12">
        <f t="shared" si="1873"/>
        <v>31550</v>
      </c>
    </row>
    <row r="1890" spans="1:69">
      <c r="A1890" s="28">
        <v>1987</v>
      </c>
      <c r="B1890" s="27" t="s">
        <v>85</v>
      </c>
      <c r="C1890" s="24">
        <f t="shared" si="1886"/>
        <v>1858</v>
      </c>
      <c r="D1890" s="7" t="e">
        <f t="shared" ca="1" si="1885"/>
        <v>#N/A</v>
      </c>
      <c r="E1890" s="26">
        <f t="array" aca="1" ref="E1890" ca="1">AVERAGE(IF(INDIRECT(DatCol&amp;"$"&amp;TEXT(C1890,"###")):INDIRECT(DatCol&amp;"$"&amp;TEXT(C1890+57,"###"))&gt;0,INDIRECT(DatCol&amp;"$"&amp;TEXT(C1890,"###")):INDIRECT(DatCol&amp;"$"&amp;TEXT(C1890+57,"###"))))</f>
        <v>631.72100000000012</v>
      </c>
      <c r="F1890" s="26" t="str">
        <f t="shared" ref="F1890:F1956" si="1924">VLOOKUP(B1890,town_region,2,FALSE)</f>
        <v>C</v>
      </c>
      <c r="G1890" s="8">
        <v>335</v>
      </c>
      <c r="H1890" s="8">
        <v>231</v>
      </c>
      <c r="I1890" s="8">
        <v>181</v>
      </c>
      <c r="J1890" s="8">
        <v>628</v>
      </c>
      <c r="K1890" s="9">
        <f t="shared" si="1853"/>
        <v>1194</v>
      </c>
      <c r="L1890" s="12">
        <v>874</v>
      </c>
      <c r="M1890" s="11">
        <f t="shared" si="1905"/>
        <v>43700</v>
      </c>
      <c r="N1890" s="12">
        <v>88</v>
      </c>
      <c r="O1890" s="11">
        <f t="shared" si="1906"/>
        <v>4400</v>
      </c>
      <c r="P1890" s="12">
        <v>2023</v>
      </c>
      <c r="Q1890" s="11">
        <f t="shared" si="1907"/>
        <v>121380</v>
      </c>
      <c r="X1890" s="12">
        <v>427</v>
      </c>
      <c r="Y1890" s="11">
        <f t="shared" si="1908"/>
        <v>25620</v>
      </c>
      <c r="AG1890" s="11">
        <f t="shared" si="1909"/>
        <v>0</v>
      </c>
      <c r="AI1890" s="11">
        <f t="shared" si="1910"/>
        <v>0</v>
      </c>
      <c r="AJ1890" s="12">
        <v>0</v>
      </c>
      <c r="AK1890" s="13">
        <f t="shared" si="1911"/>
        <v>0</v>
      </c>
      <c r="AL1890" s="12">
        <v>0</v>
      </c>
      <c r="AM1890" s="13">
        <f t="shared" si="1912"/>
        <v>0</v>
      </c>
      <c r="AN1890" s="12">
        <v>0</v>
      </c>
      <c r="AO1890" s="11">
        <f t="shared" si="1913"/>
        <v>0</v>
      </c>
      <c r="AP1890" s="12">
        <v>3</v>
      </c>
      <c r="AQ1890" s="11">
        <f t="shared" si="1914"/>
        <v>240</v>
      </c>
      <c r="AR1890" s="12">
        <v>605</v>
      </c>
      <c r="AS1890" s="11">
        <f t="shared" si="1915"/>
        <v>30250</v>
      </c>
      <c r="AT1890" s="12">
        <v>103</v>
      </c>
      <c r="AU1890" s="11">
        <f t="shared" si="1916"/>
        <v>5150</v>
      </c>
      <c r="AW1890" s="11">
        <f t="shared" si="1917"/>
        <v>0</v>
      </c>
      <c r="AY1890" s="11">
        <f t="shared" si="1918"/>
        <v>0</v>
      </c>
      <c r="BA1890" s="11">
        <f t="shared" si="1919"/>
        <v>0</v>
      </c>
      <c r="BC1890" s="11">
        <f t="shared" si="1920"/>
        <v>0</v>
      </c>
      <c r="BE1890" s="11">
        <f t="shared" si="1921"/>
        <v>0</v>
      </c>
      <c r="BG1890" s="11">
        <f t="shared" si="1922"/>
        <v>0</v>
      </c>
      <c r="BH1890" s="13">
        <v>506</v>
      </c>
      <c r="BN1890" s="8">
        <f t="shared" si="1923"/>
        <v>3929</v>
      </c>
      <c r="BO1890" s="8">
        <f t="shared" ref="BO1890:BO1954" si="1925">(M1890+Q1890+S1890+U1890+W1890+Y1890+AA1890+AC1890+AG1890+AK1890+AO1890+AS1890+AW1890+BA1890+BE1890)</f>
        <v>220950</v>
      </c>
      <c r="BP1890" s="8">
        <f t="shared" si="1872"/>
        <v>621</v>
      </c>
      <c r="BQ1890" s="12">
        <f t="shared" si="1873"/>
        <v>35410</v>
      </c>
    </row>
    <row r="1891" spans="1:69">
      <c r="A1891" s="28">
        <v>1988</v>
      </c>
      <c r="B1891" s="27" t="s">
        <v>85</v>
      </c>
      <c r="C1891" s="24">
        <f t="shared" si="1886"/>
        <v>1858</v>
      </c>
      <c r="D1891" s="7" t="e">
        <f t="shared" ca="1" si="1885"/>
        <v>#N/A</v>
      </c>
      <c r="E1891" s="26">
        <f t="array" aca="1" ref="E1891" ca="1">AVERAGE(IF(INDIRECT(DatCol&amp;"$"&amp;TEXT(C1891,"###")):INDIRECT(DatCol&amp;"$"&amp;TEXT(C1891+57,"###"))&gt;0,INDIRECT(DatCol&amp;"$"&amp;TEXT(C1891,"###")):INDIRECT(DatCol&amp;"$"&amp;TEXT(C1891+57,"###"))))</f>
        <v>631.72100000000012</v>
      </c>
      <c r="F1891" s="26" t="str">
        <f t="shared" si="1924"/>
        <v>C</v>
      </c>
      <c r="G1891" s="8">
        <v>311</v>
      </c>
      <c r="H1891" s="8">
        <v>233</v>
      </c>
      <c r="I1891" s="8">
        <v>181</v>
      </c>
      <c r="J1891" s="8">
        <v>515</v>
      </c>
      <c r="K1891" s="9">
        <f t="shared" ref="K1891:K1955" si="1926">G1891+H1891+J1891</f>
        <v>1059</v>
      </c>
      <c r="L1891" s="12">
        <v>665</v>
      </c>
      <c r="M1891" s="11">
        <f t="shared" ref="M1891:M1921" si="1927">(L1891*50)</f>
        <v>33250</v>
      </c>
      <c r="N1891" s="12">
        <v>50</v>
      </c>
      <c r="O1891" s="11">
        <f t="shared" ref="O1891:O1921" si="1928">(N1891*50)</f>
        <v>2500</v>
      </c>
      <c r="P1891" s="12">
        <v>2310</v>
      </c>
      <c r="Q1891" s="11">
        <f t="shared" ref="Q1891:Q1921" si="1929">((P1891*330)/5.5)</f>
        <v>138600</v>
      </c>
      <c r="X1891" s="12">
        <v>382</v>
      </c>
      <c r="Y1891" s="11">
        <f t="shared" ref="Y1891:Y1921" si="1930">((X1891*330)/5.5)</f>
        <v>22920</v>
      </c>
      <c r="AG1891" s="11">
        <f t="shared" ref="AG1891:AG1921" si="1931">(AF1891*65)</f>
        <v>0</v>
      </c>
      <c r="AI1891" s="11">
        <f t="shared" ref="AI1891:AI1921" si="1932">(AH1891*65)</f>
        <v>0</v>
      </c>
      <c r="AJ1891" s="12">
        <v>2530</v>
      </c>
      <c r="AK1891" s="13">
        <f t="shared" ref="AK1891:AK1921" si="1933">(AJ1891*9)</f>
        <v>22770</v>
      </c>
      <c r="AL1891" s="12">
        <v>101</v>
      </c>
      <c r="AM1891" s="13">
        <f t="shared" ref="AM1891:AM1921" si="1934">(AL1891*9)</f>
        <v>909</v>
      </c>
      <c r="AN1891" s="12">
        <v>0</v>
      </c>
      <c r="AO1891" s="11">
        <f t="shared" ref="AO1891:AO1921" si="1935">(AN1891*80)</f>
        <v>0</v>
      </c>
      <c r="AP1891" s="12">
        <v>100</v>
      </c>
      <c r="AQ1891" s="11">
        <f t="shared" ref="AQ1891:AQ1921" si="1936">(AP1891*80)</f>
        <v>8000</v>
      </c>
      <c r="AR1891" s="12">
        <v>500</v>
      </c>
      <c r="AS1891" s="11">
        <f t="shared" ref="AS1891:AS1921" si="1937">(AR1891*50)</f>
        <v>25000</v>
      </c>
      <c r="AT1891" s="12">
        <v>100</v>
      </c>
      <c r="AU1891" s="11">
        <f t="shared" ref="AU1891:AU1921" si="1938">(AT1891*50)</f>
        <v>5000</v>
      </c>
      <c r="AW1891" s="11">
        <f t="shared" ref="AW1891:AW1921" si="1939">(AV1891*60)</f>
        <v>0</v>
      </c>
      <c r="AY1891" s="11">
        <f t="shared" ref="AY1891:AY1921" si="1940">(AX1891*60)</f>
        <v>0</v>
      </c>
      <c r="BA1891" s="11">
        <f t="shared" ref="BA1891:BA1921" si="1941">(AZ1891*40)</f>
        <v>0</v>
      </c>
      <c r="BC1891" s="11">
        <f t="shared" ref="BC1891:BC1921" si="1942">(BB1891*40)</f>
        <v>0</v>
      </c>
      <c r="BE1891" s="11">
        <f t="shared" ref="BE1891:BE1921" si="1943">(BD1891*95)</f>
        <v>0</v>
      </c>
      <c r="BG1891" s="11">
        <f t="shared" ref="BG1891:BG1921" si="1944">(BF1891*95)</f>
        <v>0</v>
      </c>
      <c r="BH1891" s="13" t="s">
        <v>87</v>
      </c>
      <c r="BN1891" s="8">
        <f t="shared" si="1923"/>
        <v>6387</v>
      </c>
      <c r="BO1891" s="8">
        <f t="shared" si="1925"/>
        <v>242540</v>
      </c>
      <c r="BP1891" s="8">
        <f t="shared" si="1872"/>
        <v>733</v>
      </c>
      <c r="BQ1891" s="12">
        <f t="shared" si="1873"/>
        <v>39329</v>
      </c>
    </row>
    <row r="1892" spans="1:69">
      <c r="A1892" s="28">
        <v>1989</v>
      </c>
      <c r="B1892" s="27" t="s">
        <v>85</v>
      </c>
      <c r="C1892" s="24">
        <f t="shared" si="1886"/>
        <v>1858</v>
      </c>
      <c r="D1892" s="7" t="e">
        <f t="shared" ca="1" si="1885"/>
        <v>#N/A</v>
      </c>
      <c r="E1892" s="26">
        <f t="array" aca="1" ref="E1892" ca="1">AVERAGE(IF(INDIRECT(DatCol&amp;"$"&amp;TEXT(C1892,"###")):INDIRECT(DatCol&amp;"$"&amp;TEXT(C1892+57,"###"))&gt;0,INDIRECT(DatCol&amp;"$"&amp;TEXT(C1892,"###")):INDIRECT(DatCol&amp;"$"&amp;TEXT(C1892+57,"###"))))</f>
        <v>631.72100000000012</v>
      </c>
      <c r="F1892" s="26" t="str">
        <f t="shared" si="1924"/>
        <v>C</v>
      </c>
      <c r="G1892" s="8">
        <v>361</v>
      </c>
      <c r="H1892" s="8">
        <v>218</v>
      </c>
      <c r="I1892" s="8">
        <v>285</v>
      </c>
      <c r="J1892" s="8">
        <v>534</v>
      </c>
      <c r="K1892" s="9">
        <f t="shared" si="1926"/>
        <v>1113</v>
      </c>
      <c r="L1892" s="12">
        <v>545</v>
      </c>
      <c r="M1892" s="11">
        <f t="shared" si="1927"/>
        <v>27250</v>
      </c>
      <c r="N1892" s="12">
        <v>50</v>
      </c>
      <c r="O1892" s="11">
        <f t="shared" si="1928"/>
        <v>2500</v>
      </c>
      <c r="P1892" s="12">
        <v>3800</v>
      </c>
      <c r="Q1892" s="11">
        <f t="shared" si="1929"/>
        <v>228000</v>
      </c>
      <c r="X1892" s="12">
        <v>350</v>
      </c>
      <c r="Y1892" s="11">
        <f t="shared" si="1930"/>
        <v>21000</v>
      </c>
      <c r="AG1892" s="11">
        <f t="shared" si="1931"/>
        <v>0</v>
      </c>
      <c r="AI1892" s="11">
        <f t="shared" si="1932"/>
        <v>0</v>
      </c>
      <c r="AJ1892" s="12">
        <v>990</v>
      </c>
      <c r="AK1892" s="13">
        <f t="shared" si="1933"/>
        <v>8910</v>
      </c>
      <c r="AL1892" s="12">
        <v>50</v>
      </c>
      <c r="AM1892" s="13">
        <f t="shared" si="1934"/>
        <v>450</v>
      </c>
      <c r="AN1892" s="12">
        <v>0</v>
      </c>
      <c r="AO1892" s="11">
        <f t="shared" si="1935"/>
        <v>0</v>
      </c>
      <c r="AP1892" s="12">
        <v>0</v>
      </c>
      <c r="AQ1892" s="11">
        <f t="shared" si="1936"/>
        <v>0</v>
      </c>
      <c r="AR1892" s="12">
        <v>3510</v>
      </c>
      <c r="AS1892" s="11">
        <f t="shared" si="1937"/>
        <v>175500</v>
      </c>
      <c r="AT1892" s="12">
        <v>20</v>
      </c>
      <c r="AU1892" s="11">
        <f t="shared" si="1938"/>
        <v>1000</v>
      </c>
      <c r="AW1892" s="11">
        <f t="shared" si="1939"/>
        <v>0</v>
      </c>
      <c r="AX1892" s="12">
        <v>0</v>
      </c>
      <c r="AY1892" s="11">
        <f t="shared" si="1940"/>
        <v>0</v>
      </c>
      <c r="AZ1892" s="12">
        <v>10</v>
      </c>
      <c r="BA1892" s="11">
        <f t="shared" si="1941"/>
        <v>400</v>
      </c>
      <c r="BC1892" s="11">
        <f t="shared" si="1942"/>
        <v>0</v>
      </c>
      <c r="BE1892" s="11">
        <f t="shared" si="1943"/>
        <v>0</v>
      </c>
      <c r="BG1892" s="11">
        <f t="shared" si="1944"/>
        <v>0</v>
      </c>
      <c r="BN1892" s="8">
        <f t="shared" si="1923"/>
        <v>9205</v>
      </c>
      <c r="BO1892" s="8">
        <f t="shared" si="1925"/>
        <v>461060</v>
      </c>
      <c r="BP1892" s="8">
        <f t="shared" si="1872"/>
        <v>470</v>
      </c>
      <c r="BQ1892" s="12">
        <f t="shared" si="1873"/>
        <v>24950</v>
      </c>
    </row>
    <row r="1893" spans="1:69">
      <c r="A1893" s="28">
        <v>1990</v>
      </c>
      <c r="B1893" s="27" t="s">
        <v>85</v>
      </c>
      <c r="C1893" s="24">
        <f t="shared" si="1886"/>
        <v>1858</v>
      </c>
      <c r="D1893" s="7" t="e">
        <f t="shared" ca="1" si="1885"/>
        <v>#N/A</v>
      </c>
      <c r="E1893" s="26">
        <f t="array" aca="1" ref="E1893" ca="1">AVERAGE(IF(INDIRECT(DatCol&amp;"$"&amp;TEXT(C1893,"###")):INDIRECT(DatCol&amp;"$"&amp;TEXT(C1893+57,"###"))&gt;0,INDIRECT(DatCol&amp;"$"&amp;TEXT(C1893,"###")):INDIRECT(DatCol&amp;"$"&amp;TEXT(C1893+57,"###"))))</f>
        <v>631.72100000000012</v>
      </c>
      <c r="F1893" s="26" t="str">
        <f t="shared" si="1924"/>
        <v>C</v>
      </c>
      <c r="G1893" s="8">
        <v>383</v>
      </c>
      <c r="H1893" s="8">
        <v>327</v>
      </c>
      <c r="I1893" s="8">
        <v>195</v>
      </c>
      <c r="J1893" s="8">
        <v>538</v>
      </c>
      <c r="K1893" s="9">
        <f t="shared" si="1926"/>
        <v>1248</v>
      </c>
      <c r="L1893" s="12">
        <v>803</v>
      </c>
      <c r="M1893" s="11">
        <f t="shared" si="1927"/>
        <v>40150</v>
      </c>
      <c r="N1893" s="12">
        <v>75</v>
      </c>
      <c r="O1893" s="11">
        <f t="shared" si="1928"/>
        <v>3750</v>
      </c>
      <c r="P1893" s="12">
        <v>4164</v>
      </c>
      <c r="Q1893" s="11">
        <f t="shared" si="1929"/>
        <v>249840</v>
      </c>
      <c r="X1893" s="12">
        <v>375</v>
      </c>
      <c r="Y1893" s="11">
        <f t="shared" si="1930"/>
        <v>22500</v>
      </c>
      <c r="AG1893" s="11">
        <f t="shared" si="1931"/>
        <v>0</v>
      </c>
      <c r="AI1893" s="11">
        <f t="shared" si="1932"/>
        <v>0</v>
      </c>
      <c r="AJ1893" s="12">
        <v>860</v>
      </c>
      <c r="AK1893" s="13">
        <f t="shared" si="1933"/>
        <v>7740</v>
      </c>
      <c r="AL1893" s="12">
        <v>50</v>
      </c>
      <c r="AM1893" s="13">
        <f t="shared" si="1934"/>
        <v>450</v>
      </c>
      <c r="AN1893" s="12">
        <v>0</v>
      </c>
      <c r="AO1893" s="11">
        <f t="shared" si="1935"/>
        <v>0</v>
      </c>
      <c r="AP1893" s="12">
        <v>0</v>
      </c>
      <c r="AQ1893" s="11">
        <f t="shared" si="1936"/>
        <v>0</v>
      </c>
      <c r="AR1893" s="12">
        <v>3261</v>
      </c>
      <c r="AS1893" s="11">
        <f t="shared" si="1937"/>
        <v>163050</v>
      </c>
      <c r="AT1893" s="12">
        <v>20</v>
      </c>
      <c r="AU1893" s="11">
        <f t="shared" si="1938"/>
        <v>1000</v>
      </c>
      <c r="AW1893" s="11">
        <f t="shared" si="1939"/>
        <v>0</v>
      </c>
      <c r="AX1893" s="12">
        <v>3</v>
      </c>
      <c r="AY1893" s="11">
        <f t="shared" si="1940"/>
        <v>180</v>
      </c>
      <c r="BA1893" s="11">
        <f t="shared" si="1941"/>
        <v>0</v>
      </c>
      <c r="BC1893" s="11">
        <f t="shared" si="1942"/>
        <v>0</v>
      </c>
      <c r="BE1893" s="11">
        <f t="shared" si="1943"/>
        <v>0</v>
      </c>
      <c r="BG1893" s="11">
        <f t="shared" si="1944"/>
        <v>0</v>
      </c>
      <c r="BN1893" s="8">
        <f t="shared" si="1923"/>
        <v>9463</v>
      </c>
      <c r="BO1893" s="8">
        <f t="shared" si="1925"/>
        <v>483280</v>
      </c>
      <c r="BP1893" s="8">
        <f t="shared" si="1872"/>
        <v>523</v>
      </c>
      <c r="BQ1893" s="12">
        <f t="shared" si="1873"/>
        <v>27880</v>
      </c>
    </row>
    <row r="1894" spans="1:69">
      <c r="A1894" s="28">
        <v>1991</v>
      </c>
      <c r="B1894" s="27" t="s">
        <v>85</v>
      </c>
      <c r="C1894" s="24">
        <f t="shared" si="1886"/>
        <v>1858</v>
      </c>
      <c r="D1894" s="7" t="e">
        <f t="shared" ca="1" si="1885"/>
        <v>#N/A</v>
      </c>
      <c r="E1894" s="26">
        <f t="array" aca="1" ref="E1894" ca="1">AVERAGE(IF(INDIRECT(DatCol&amp;"$"&amp;TEXT(C1894,"###")):INDIRECT(DatCol&amp;"$"&amp;TEXT(C1894+57,"###"))&gt;0,INDIRECT(DatCol&amp;"$"&amp;TEXT(C1894,"###")):INDIRECT(DatCol&amp;"$"&amp;TEXT(C1894+57,"###"))))</f>
        <v>631.72100000000012</v>
      </c>
      <c r="F1894" s="26" t="str">
        <f t="shared" si="1924"/>
        <v>C</v>
      </c>
      <c r="G1894" s="8">
        <v>389</v>
      </c>
      <c r="H1894" s="8">
        <v>365</v>
      </c>
      <c r="I1894" s="8">
        <v>172</v>
      </c>
      <c r="J1894" s="8">
        <v>489</v>
      </c>
      <c r="K1894" s="9">
        <f t="shared" si="1926"/>
        <v>1243</v>
      </c>
      <c r="L1894" s="12">
        <v>1826</v>
      </c>
      <c r="M1894" s="11">
        <f t="shared" si="1927"/>
        <v>91300</v>
      </c>
      <c r="N1894" s="12">
        <v>75</v>
      </c>
      <c r="O1894" s="11">
        <f t="shared" si="1928"/>
        <v>3750</v>
      </c>
      <c r="P1894" s="12">
        <v>2898</v>
      </c>
      <c r="Q1894" s="11">
        <f t="shared" si="1929"/>
        <v>173880</v>
      </c>
      <c r="X1894" s="12">
        <v>400</v>
      </c>
      <c r="Y1894" s="11">
        <f t="shared" si="1930"/>
        <v>24000</v>
      </c>
      <c r="AG1894" s="11">
        <f t="shared" si="1931"/>
        <v>0</v>
      </c>
      <c r="AI1894" s="11">
        <f t="shared" si="1932"/>
        <v>0</v>
      </c>
      <c r="AJ1894" s="12">
        <v>1888</v>
      </c>
      <c r="AK1894" s="13">
        <f t="shared" si="1933"/>
        <v>16992</v>
      </c>
      <c r="AL1894" s="12">
        <v>475</v>
      </c>
      <c r="AM1894" s="13">
        <f t="shared" si="1934"/>
        <v>4275</v>
      </c>
      <c r="AO1894" s="11">
        <f t="shared" si="1935"/>
        <v>0</v>
      </c>
      <c r="AQ1894" s="11">
        <f t="shared" si="1936"/>
        <v>0</v>
      </c>
      <c r="AR1894" s="12">
        <v>4740</v>
      </c>
      <c r="AS1894" s="11">
        <f t="shared" si="1937"/>
        <v>237000</v>
      </c>
      <c r="AT1894" s="12">
        <v>50</v>
      </c>
      <c r="AU1894" s="11">
        <f t="shared" si="1938"/>
        <v>2500</v>
      </c>
      <c r="AW1894" s="11">
        <f t="shared" si="1939"/>
        <v>0</v>
      </c>
      <c r="AY1894" s="11">
        <f t="shared" si="1940"/>
        <v>0</v>
      </c>
      <c r="BA1894" s="11">
        <f t="shared" si="1941"/>
        <v>0</v>
      </c>
      <c r="BC1894" s="11">
        <f t="shared" si="1942"/>
        <v>0</v>
      </c>
      <c r="BE1894" s="11">
        <f t="shared" si="1943"/>
        <v>0</v>
      </c>
      <c r="BG1894" s="11">
        <f t="shared" si="1944"/>
        <v>0</v>
      </c>
      <c r="BH1894" s="13">
        <v>5500</v>
      </c>
      <c r="BN1894" s="8">
        <f t="shared" si="1923"/>
        <v>11752</v>
      </c>
      <c r="BO1894" s="8">
        <f t="shared" si="1925"/>
        <v>543172</v>
      </c>
      <c r="BP1894" s="8">
        <f t="shared" si="1872"/>
        <v>1000</v>
      </c>
      <c r="BQ1894" s="12">
        <f t="shared" si="1873"/>
        <v>34525</v>
      </c>
    </row>
    <row r="1895" spans="1:69">
      <c r="A1895" s="28">
        <v>1992</v>
      </c>
      <c r="B1895" s="27" t="s">
        <v>85</v>
      </c>
      <c r="C1895" s="24">
        <f t="shared" si="1886"/>
        <v>1858</v>
      </c>
      <c r="D1895" s="7" t="e">
        <f t="shared" ca="1" si="1885"/>
        <v>#N/A</v>
      </c>
      <c r="E1895" s="26">
        <f t="array" aca="1" ref="E1895" ca="1">AVERAGE(IF(INDIRECT(DatCol&amp;"$"&amp;TEXT(C1895,"###")):INDIRECT(DatCol&amp;"$"&amp;TEXT(C1895+57,"###"))&gt;0,INDIRECT(DatCol&amp;"$"&amp;TEXT(C1895,"###")):INDIRECT(DatCol&amp;"$"&amp;TEXT(C1895+57,"###"))))</f>
        <v>631.72100000000012</v>
      </c>
      <c r="F1895" s="26" t="str">
        <f t="shared" si="1924"/>
        <v>C</v>
      </c>
      <c r="G1895" s="8">
        <v>350</v>
      </c>
      <c r="H1895" s="9">
        <v>347</v>
      </c>
      <c r="I1895" s="9">
        <v>172</v>
      </c>
      <c r="J1895" s="9">
        <v>473</v>
      </c>
      <c r="K1895" s="9">
        <f t="shared" si="1926"/>
        <v>1170</v>
      </c>
      <c r="L1895" s="10">
        <v>2325</v>
      </c>
      <c r="M1895" s="11">
        <f t="shared" si="1927"/>
        <v>116250</v>
      </c>
      <c r="N1895" s="10">
        <v>100</v>
      </c>
      <c r="O1895" s="11">
        <f t="shared" si="1928"/>
        <v>5000</v>
      </c>
      <c r="P1895" s="10">
        <v>3258</v>
      </c>
      <c r="Q1895" s="11">
        <f t="shared" si="1929"/>
        <v>195480</v>
      </c>
      <c r="X1895" s="10">
        <v>250</v>
      </c>
      <c r="Y1895" s="11">
        <f t="shared" si="1930"/>
        <v>15000</v>
      </c>
      <c r="AF1895" s="10">
        <v>0</v>
      </c>
      <c r="AG1895" s="11">
        <f t="shared" si="1931"/>
        <v>0</v>
      </c>
      <c r="AH1895" s="10">
        <v>0</v>
      </c>
      <c r="AI1895" s="11">
        <f t="shared" si="1932"/>
        <v>0</v>
      </c>
      <c r="AJ1895" s="10">
        <v>2450</v>
      </c>
      <c r="AK1895" s="13">
        <f t="shared" si="1933"/>
        <v>22050</v>
      </c>
      <c r="AL1895" s="10">
        <v>250</v>
      </c>
      <c r="AM1895" s="13">
        <f t="shared" si="1934"/>
        <v>2250</v>
      </c>
      <c r="AO1895" s="11">
        <f t="shared" si="1935"/>
        <v>0</v>
      </c>
      <c r="AQ1895" s="11">
        <f t="shared" si="1936"/>
        <v>0</v>
      </c>
      <c r="AR1895" s="10">
        <v>4375</v>
      </c>
      <c r="AS1895" s="11">
        <f t="shared" si="1937"/>
        <v>218750</v>
      </c>
      <c r="AT1895" s="10">
        <v>50</v>
      </c>
      <c r="AU1895" s="11">
        <f t="shared" si="1938"/>
        <v>2500</v>
      </c>
      <c r="AW1895" s="11">
        <f t="shared" si="1939"/>
        <v>0</v>
      </c>
      <c r="AY1895" s="11">
        <f t="shared" si="1940"/>
        <v>0</v>
      </c>
      <c r="BA1895" s="11">
        <f t="shared" si="1941"/>
        <v>0</v>
      </c>
      <c r="BC1895" s="11">
        <f t="shared" si="1942"/>
        <v>0</v>
      </c>
      <c r="BE1895" s="11">
        <f t="shared" si="1943"/>
        <v>0</v>
      </c>
      <c r="BG1895" s="11">
        <f t="shared" si="1944"/>
        <v>0</v>
      </c>
      <c r="BN1895" s="8">
        <f t="shared" si="1923"/>
        <v>12658</v>
      </c>
      <c r="BO1895" s="8">
        <f t="shared" si="1925"/>
        <v>567530</v>
      </c>
      <c r="BP1895" s="8">
        <f t="shared" si="1872"/>
        <v>650</v>
      </c>
      <c r="BQ1895" s="12">
        <f t="shared" si="1873"/>
        <v>24750</v>
      </c>
    </row>
    <row r="1896" spans="1:69">
      <c r="A1896" s="28">
        <v>1993</v>
      </c>
      <c r="B1896" s="27" t="s">
        <v>85</v>
      </c>
      <c r="C1896" s="24">
        <f t="shared" si="1886"/>
        <v>1858</v>
      </c>
      <c r="D1896" s="7" t="e">
        <f t="shared" ca="1" si="1885"/>
        <v>#N/A</v>
      </c>
      <c r="E1896" s="26">
        <f t="array" aca="1" ref="E1896" ca="1">AVERAGE(IF(INDIRECT(DatCol&amp;"$"&amp;TEXT(C1896,"###")):INDIRECT(DatCol&amp;"$"&amp;TEXT(C1896+57,"###"))&gt;0,INDIRECT(DatCol&amp;"$"&amp;TEXT(C1896,"###")):INDIRECT(DatCol&amp;"$"&amp;TEXT(C1896+57,"###"))))</f>
        <v>631.72100000000012</v>
      </c>
      <c r="F1896" s="26" t="str">
        <f t="shared" si="1924"/>
        <v>C</v>
      </c>
      <c r="G1896" s="8">
        <v>350</v>
      </c>
      <c r="H1896" s="8">
        <v>423</v>
      </c>
      <c r="I1896" s="8">
        <v>220</v>
      </c>
      <c r="J1896" s="8">
        <v>537</v>
      </c>
      <c r="K1896" s="9">
        <f t="shared" si="1926"/>
        <v>1310</v>
      </c>
      <c r="L1896" s="12">
        <v>1187</v>
      </c>
      <c r="M1896" s="11">
        <f t="shared" si="1927"/>
        <v>59350</v>
      </c>
      <c r="N1896" s="12">
        <v>100</v>
      </c>
      <c r="O1896" s="11">
        <f t="shared" si="1928"/>
        <v>5000</v>
      </c>
      <c r="P1896" s="12">
        <v>3006</v>
      </c>
      <c r="Q1896" s="11">
        <f t="shared" si="1929"/>
        <v>180360</v>
      </c>
      <c r="X1896" s="12">
        <v>300</v>
      </c>
      <c r="Y1896" s="11">
        <f t="shared" si="1930"/>
        <v>18000</v>
      </c>
      <c r="AF1896" s="12">
        <v>0</v>
      </c>
      <c r="AG1896" s="11">
        <f t="shared" si="1931"/>
        <v>0</v>
      </c>
      <c r="AH1896" s="12">
        <v>0</v>
      </c>
      <c r="AI1896" s="11">
        <f t="shared" si="1932"/>
        <v>0</v>
      </c>
      <c r="AJ1896" s="12">
        <v>355</v>
      </c>
      <c r="AK1896" s="13">
        <f t="shared" si="1933"/>
        <v>3195</v>
      </c>
      <c r="AL1896" s="12">
        <v>25</v>
      </c>
      <c r="AM1896" s="13">
        <f t="shared" si="1934"/>
        <v>225</v>
      </c>
      <c r="AN1896" s="12">
        <v>0</v>
      </c>
      <c r="AO1896" s="11">
        <f t="shared" si="1935"/>
        <v>0</v>
      </c>
      <c r="AP1896" s="12">
        <v>0</v>
      </c>
      <c r="AQ1896" s="11">
        <f t="shared" si="1936"/>
        <v>0</v>
      </c>
      <c r="AR1896" s="12">
        <v>2866</v>
      </c>
      <c r="AS1896" s="11">
        <f t="shared" si="1937"/>
        <v>143300</v>
      </c>
      <c r="AT1896" s="12">
        <v>25</v>
      </c>
      <c r="AU1896" s="11">
        <f t="shared" si="1938"/>
        <v>1250</v>
      </c>
      <c r="AV1896" s="12">
        <v>0</v>
      </c>
      <c r="AW1896" s="11">
        <f t="shared" si="1939"/>
        <v>0</v>
      </c>
      <c r="AX1896" s="12">
        <v>0</v>
      </c>
      <c r="AY1896" s="11">
        <f t="shared" si="1940"/>
        <v>0</v>
      </c>
      <c r="AZ1896" s="12">
        <v>0</v>
      </c>
      <c r="BA1896" s="11">
        <f t="shared" si="1941"/>
        <v>0</v>
      </c>
      <c r="BB1896" s="12">
        <v>0</v>
      </c>
      <c r="BC1896" s="11">
        <f t="shared" si="1942"/>
        <v>0</v>
      </c>
      <c r="BD1896" s="12">
        <v>0</v>
      </c>
      <c r="BE1896" s="11">
        <f t="shared" si="1943"/>
        <v>0</v>
      </c>
      <c r="BF1896" s="12">
        <v>0</v>
      </c>
      <c r="BG1896" s="11">
        <f t="shared" si="1944"/>
        <v>0</v>
      </c>
      <c r="BH1896" s="13">
        <v>3390</v>
      </c>
      <c r="BN1896" s="8">
        <f t="shared" si="1923"/>
        <v>7714</v>
      </c>
      <c r="BO1896" s="8">
        <f t="shared" si="1925"/>
        <v>404205</v>
      </c>
      <c r="BP1896" s="8">
        <f t="shared" si="1872"/>
        <v>450</v>
      </c>
      <c r="BQ1896" s="12">
        <f t="shared" si="1873"/>
        <v>24475</v>
      </c>
    </row>
    <row r="1897" spans="1:69">
      <c r="A1897" s="28">
        <v>1994</v>
      </c>
      <c r="B1897" s="27" t="s">
        <v>85</v>
      </c>
      <c r="C1897" s="24">
        <f t="shared" si="1886"/>
        <v>1858</v>
      </c>
      <c r="D1897" s="7" t="e">
        <f t="shared" ca="1" si="1885"/>
        <v>#N/A</v>
      </c>
      <c r="E1897" s="26">
        <f t="array" aca="1" ref="E1897" ca="1">AVERAGE(IF(INDIRECT(DatCol&amp;"$"&amp;TEXT(C1897,"###")):INDIRECT(DatCol&amp;"$"&amp;TEXT(C1897+57,"###"))&gt;0,INDIRECT(DatCol&amp;"$"&amp;TEXT(C1897,"###")):INDIRECT(DatCol&amp;"$"&amp;TEXT(C1897+57,"###"))))</f>
        <v>631.72100000000012</v>
      </c>
      <c r="F1897" s="26" t="str">
        <f t="shared" si="1924"/>
        <v>C</v>
      </c>
      <c r="G1897" s="8">
        <v>350</v>
      </c>
      <c r="H1897" s="8">
        <v>437</v>
      </c>
      <c r="I1897" s="8">
        <v>213</v>
      </c>
      <c r="J1897" s="8">
        <v>548</v>
      </c>
      <c r="K1897" s="9">
        <f t="shared" si="1926"/>
        <v>1335</v>
      </c>
      <c r="L1897" s="12">
        <v>1867</v>
      </c>
      <c r="M1897" s="11">
        <f t="shared" si="1927"/>
        <v>93350</v>
      </c>
      <c r="N1897" s="12">
        <v>175</v>
      </c>
      <c r="O1897" s="11">
        <f t="shared" si="1928"/>
        <v>8750</v>
      </c>
      <c r="P1897" s="12">
        <v>3588</v>
      </c>
      <c r="Q1897" s="11">
        <f t="shared" si="1929"/>
        <v>215280</v>
      </c>
      <c r="X1897" s="12">
        <v>450</v>
      </c>
      <c r="Y1897" s="11">
        <f t="shared" si="1930"/>
        <v>27000</v>
      </c>
      <c r="AF1897" s="12">
        <v>0</v>
      </c>
      <c r="AG1897" s="11">
        <f t="shared" si="1931"/>
        <v>0</v>
      </c>
      <c r="AH1897" s="12">
        <v>0</v>
      </c>
      <c r="AI1897" s="11">
        <f t="shared" si="1932"/>
        <v>0</v>
      </c>
      <c r="AJ1897" s="12">
        <v>701</v>
      </c>
      <c r="AK1897" s="13">
        <f t="shared" si="1933"/>
        <v>6309</v>
      </c>
      <c r="AL1897" s="12">
        <v>5</v>
      </c>
      <c r="AM1897" s="13">
        <f t="shared" si="1934"/>
        <v>45</v>
      </c>
      <c r="AN1897" s="12">
        <v>47</v>
      </c>
      <c r="AO1897" s="11">
        <f t="shared" si="1935"/>
        <v>3760</v>
      </c>
      <c r="AP1897" s="12">
        <v>0</v>
      </c>
      <c r="AQ1897" s="11">
        <f t="shared" si="1936"/>
        <v>0</v>
      </c>
      <c r="AR1897" s="12">
        <v>1635</v>
      </c>
      <c r="AS1897" s="11">
        <f t="shared" si="1937"/>
        <v>81750</v>
      </c>
      <c r="AT1897" s="12">
        <v>15</v>
      </c>
      <c r="AU1897" s="11">
        <f t="shared" si="1938"/>
        <v>750</v>
      </c>
      <c r="AV1897" s="12">
        <v>0</v>
      </c>
      <c r="AW1897" s="11">
        <f t="shared" si="1939"/>
        <v>0</v>
      </c>
      <c r="AX1897" s="12">
        <v>0</v>
      </c>
      <c r="AY1897" s="11">
        <f t="shared" si="1940"/>
        <v>0</v>
      </c>
      <c r="AZ1897" s="12">
        <v>1</v>
      </c>
      <c r="BA1897" s="11">
        <f t="shared" si="1941"/>
        <v>40</v>
      </c>
      <c r="BB1897" s="12">
        <v>0</v>
      </c>
      <c r="BC1897" s="11">
        <f t="shared" si="1942"/>
        <v>0</v>
      </c>
      <c r="BD1897" s="12">
        <v>0</v>
      </c>
      <c r="BE1897" s="11">
        <f t="shared" si="1943"/>
        <v>0</v>
      </c>
      <c r="BF1897" s="12">
        <v>0</v>
      </c>
      <c r="BG1897" s="11">
        <f t="shared" si="1944"/>
        <v>0</v>
      </c>
      <c r="BN1897" s="8">
        <f t="shared" si="1923"/>
        <v>8289</v>
      </c>
      <c r="BO1897" s="8">
        <f t="shared" si="1925"/>
        <v>427489</v>
      </c>
      <c r="BP1897" s="8">
        <f t="shared" si="1872"/>
        <v>645</v>
      </c>
      <c r="BQ1897" s="12">
        <f t="shared" si="1873"/>
        <v>36545</v>
      </c>
    </row>
    <row r="1898" spans="1:69">
      <c r="A1898" s="28">
        <v>1995</v>
      </c>
      <c r="B1898" s="27" t="s">
        <v>85</v>
      </c>
      <c r="C1898" s="24">
        <f t="shared" si="1886"/>
        <v>1858</v>
      </c>
      <c r="D1898" s="7" t="e">
        <f t="shared" ca="1" si="1885"/>
        <v>#N/A</v>
      </c>
      <c r="E1898" s="26">
        <f t="array" aca="1" ref="E1898" ca="1">AVERAGE(IF(INDIRECT(DatCol&amp;"$"&amp;TEXT(C1898,"###")):INDIRECT(DatCol&amp;"$"&amp;TEXT(C1898+57,"###"))&gt;0,INDIRECT(DatCol&amp;"$"&amp;TEXT(C1898,"###")):INDIRECT(DatCol&amp;"$"&amp;TEXT(C1898+57,"###"))))</f>
        <v>631.72100000000012</v>
      </c>
      <c r="F1898" s="26" t="str">
        <f t="shared" si="1924"/>
        <v>C</v>
      </c>
      <c r="G1898" s="9">
        <v>300</v>
      </c>
      <c r="H1898" s="9">
        <v>616</v>
      </c>
      <c r="I1898" s="9">
        <v>415</v>
      </c>
      <c r="J1898" s="9">
        <v>646</v>
      </c>
      <c r="K1898" s="9">
        <f t="shared" si="1926"/>
        <v>1562</v>
      </c>
      <c r="L1898" s="10">
        <v>9233</v>
      </c>
      <c r="M1898" s="11">
        <f t="shared" si="1927"/>
        <v>461650</v>
      </c>
      <c r="N1898" s="10">
        <v>500</v>
      </c>
      <c r="O1898" s="11">
        <f t="shared" si="1928"/>
        <v>25000</v>
      </c>
      <c r="P1898" s="10">
        <v>4072</v>
      </c>
      <c r="Q1898" s="11">
        <f t="shared" si="1929"/>
        <v>244320</v>
      </c>
      <c r="X1898" s="10">
        <v>450</v>
      </c>
      <c r="Y1898" s="11">
        <f t="shared" si="1930"/>
        <v>27000</v>
      </c>
      <c r="AF1898" s="10">
        <v>0</v>
      </c>
      <c r="AG1898" s="11">
        <f t="shared" si="1931"/>
        <v>0</v>
      </c>
      <c r="AH1898" s="10">
        <v>0</v>
      </c>
      <c r="AI1898" s="11">
        <f t="shared" si="1932"/>
        <v>0</v>
      </c>
      <c r="AJ1898" s="10">
        <v>298</v>
      </c>
      <c r="AK1898" s="13">
        <f t="shared" si="1933"/>
        <v>2682</v>
      </c>
      <c r="AL1898" s="10">
        <v>4</v>
      </c>
      <c r="AM1898" s="13">
        <f t="shared" si="1934"/>
        <v>36</v>
      </c>
      <c r="AN1898" s="10">
        <v>0</v>
      </c>
      <c r="AO1898" s="11">
        <f t="shared" si="1935"/>
        <v>0</v>
      </c>
      <c r="AP1898" s="10">
        <v>0</v>
      </c>
      <c r="AQ1898" s="11">
        <f t="shared" si="1936"/>
        <v>0</v>
      </c>
      <c r="AR1898" s="10">
        <v>1659</v>
      </c>
      <c r="AS1898" s="11">
        <f t="shared" si="1937"/>
        <v>82950</v>
      </c>
      <c r="AT1898" s="10">
        <v>10</v>
      </c>
      <c r="AU1898" s="11">
        <f t="shared" si="1938"/>
        <v>500</v>
      </c>
      <c r="AW1898" s="11">
        <f t="shared" si="1939"/>
        <v>0</v>
      </c>
      <c r="AY1898" s="11">
        <f t="shared" si="1940"/>
        <v>0</v>
      </c>
      <c r="BA1898" s="11">
        <f t="shared" si="1941"/>
        <v>0</v>
      </c>
      <c r="BC1898" s="11">
        <f t="shared" si="1942"/>
        <v>0</v>
      </c>
      <c r="BE1898" s="11">
        <f t="shared" si="1943"/>
        <v>0</v>
      </c>
      <c r="BG1898" s="11">
        <f t="shared" si="1944"/>
        <v>0</v>
      </c>
      <c r="BN1898" s="8">
        <f t="shared" si="1923"/>
        <v>15712</v>
      </c>
      <c r="BO1898" s="8">
        <f t="shared" si="1925"/>
        <v>818602</v>
      </c>
      <c r="BP1898" s="8">
        <f t="shared" si="1872"/>
        <v>964</v>
      </c>
      <c r="BQ1898" s="12">
        <f t="shared" si="1873"/>
        <v>52536</v>
      </c>
    </row>
    <row r="1899" spans="1:69">
      <c r="A1899" s="28">
        <v>1996</v>
      </c>
      <c r="B1899" s="27" t="s">
        <v>85</v>
      </c>
      <c r="C1899" s="24">
        <f t="shared" si="1886"/>
        <v>1858</v>
      </c>
      <c r="D1899" s="7" t="e">
        <f t="shared" ca="1" si="1885"/>
        <v>#N/A</v>
      </c>
      <c r="E1899" s="26">
        <f t="array" aca="1" ref="E1899" ca="1">AVERAGE(IF(INDIRECT(DatCol&amp;"$"&amp;TEXT(C1899,"###")):INDIRECT(DatCol&amp;"$"&amp;TEXT(C1899+57,"###"))&gt;0,INDIRECT(DatCol&amp;"$"&amp;TEXT(C1899,"###")):INDIRECT(DatCol&amp;"$"&amp;TEXT(C1899+57,"###"))))</f>
        <v>631.72100000000012</v>
      </c>
      <c r="F1899" s="26" t="str">
        <f t="shared" si="1924"/>
        <v>C</v>
      </c>
      <c r="G1899" s="9">
        <v>279</v>
      </c>
      <c r="H1899" s="9">
        <v>630</v>
      </c>
      <c r="I1899" s="9">
        <v>415</v>
      </c>
      <c r="J1899" s="9">
        <v>615</v>
      </c>
      <c r="K1899" s="9">
        <f t="shared" si="1926"/>
        <v>1524</v>
      </c>
      <c r="L1899" s="10">
        <v>5080</v>
      </c>
      <c r="M1899" s="11">
        <f t="shared" si="1927"/>
        <v>254000</v>
      </c>
      <c r="N1899" s="10">
        <v>1550</v>
      </c>
      <c r="O1899" s="11">
        <f t="shared" si="1928"/>
        <v>77500</v>
      </c>
      <c r="P1899" s="10">
        <v>13567</v>
      </c>
      <c r="Q1899" s="11">
        <f t="shared" si="1929"/>
        <v>814020</v>
      </c>
      <c r="X1899" s="10">
        <v>625</v>
      </c>
      <c r="Y1899" s="11">
        <f t="shared" si="1930"/>
        <v>37500</v>
      </c>
      <c r="AF1899" s="10">
        <v>0</v>
      </c>
      <c r="AG1899" s="11">
        <f t="shared" si="1931"/>
        <v>0</v>
      </c>
      <c r="AH1899" s="10">
        <v>0</v>
      </c>
      <c r="AI1899" s="11">
        <f t="shared" si="1932"/>
        <v>0</v>
      </c>
      <c r="AJ1899" s="10">
        <v>1286</v>
      </c>
      <c r="AK1899" s="13">
        <f t="shared" si="1933"/>
        <v>11574</v>
      </c>
      <c r="AL1899" s="10">
        <v>110</v>
      </c>
      <c r="AM1899" s="13">
        <f t="shared" si="1934"/>
        <v>990</v>
      </c>
      <c r="AN1899" s="10">
        <v>0</v>
      </c>
      <c r="AO1899" s="11">
        <f t="shared" si="1935"/>
        <v>0</v>
      </c>
      <c r="AP1899" s="10">
        <v>0</v>
      </c>
      <c r="AQ1899" s="11">
        <f t="shared" si="1936"/>
        <v>0</v>
      </c>
      <c r="AR1899" s="10">
        <v>1112</v>
      </c>
      <c r="AS1899" s="11">
        <f t="shared" si="1937"/>
        <v>55600</v>
      </c>
      <c r="AT1899" s="10">
        <v>10</v>
      </c>
      <c r="AU1899" s="11">
        <f t="shared" si="1938"/>
        <v>500</v>
      </c>
      <c r="AV1899" s="10">
        <v>0</v>
      </c>
      <c r="AW1899" s="11">
        <f t="shared" si="1939"/>
        <v>0</v>
      </c>
      <c r="AX1899" s="10">
        <v>0</v>
      </c>
      <c r="AY1899" s="11">
        <f t="shared" si="1940"/>
        <v>0</v>
      </c>
      <c r="AZ1899" s="10">
        <v>2158</v>
      </c>
      <c r="BA1899" s="11">
        <f t="shared" si="1941"/>
        <v>86320</v>
      </c>
      <c r="BB1899" s="10">
        <v>55</v>
      </c>
      <c r="BC1899" s="11">
        <f t="shared" si="1942"/>
        <v>2200</v>
      </c>
      <c r="BD1899" s="10">
        <v>0</v>
      </c>
      <c r="BE1899" s="11">
        <f t="shared" si="1943"/>
        <v>0</v>
      </c>
      <c r="BF1899" s="10">
        <v>0</v>
      </c>
      <c r="BG1899" s="11">
        <f t="shared" si="1944"/>
        <v>0</v>
      </c>
      <c r="BH1899" s="11">
        <v>1610</v>
      </c>
      <c r="BN1899" s="8">
        <f t="shared" si="1923"/>
        <v>23828</v>
      </c>
      <c r="BO1899" s="8">
        <f t="shared" si="1925"/>
        <v>1259014</v>
      </c>
      <c r="BP1899" s="8">
        <f t="shared" si="1872"/>
        <v>2350</v>
      </c>
      <c r="BQ1899" s="12">
        <f t="shared" si="1873"/>
        <v>118690</v>
      </c>
    </row>
    <row r="1900" spans="1:69">
      <c r="A1900" s="28">
        <v>1997</v>
      </c>
      <c r="B1900" s="27" t="s">
        <v>85</v>
      </c>
      <c r="C1900" s="24">
        <f t="shared" si="1886"/>
        <v>1858</v>
      </c>
      <c r="D1900" s="7" t="e">
        <f t="shared" ca="1" si="1885"/>
        <v>#N/A</v>
      </c>
      <c r="E1900" s="26">
        <f t="array" aca="1" ref="E1900" ca="1">AVERAGE(IF(INDIRECT(DatCol&amp;"$"&amp;TEXT(C1900,"###")):INDIRECT(DatCol&amp;"$"&amp;TEXT(C1900+57,"###"))&gt;0,INDIRECT(DatCol&amp;"$"&amp;TEXT(C1900,"###")):INDIRECT(DatCol&amp;"$"&amp;TEXT(C1900+57,"###"))))</f>
        <v>631.72100000000012</v>
      </c>
      <c r="F1900" s="26" t="str">
        <f t="shared" si="1924"/>
        <v>C</v>
      </c>
      <c r="G1900" s="9">
        <v>108</v>
      </c>
      <c r="H1900" s="9">
        <v>704</v>
      </c>
      <c r="I1900" s="9">
        <v>330</v>
      </c>
      <c r="J1900" s="9">
        <v>591</v>
      </c>
      <c r="K1900" s="9">
        <f t="shared" si="1926"/>
        <v>1403</v>
      </c>
      <c r="L1900" s="10">
        <v>3538</v>
      </c>
      <c r="M1900" s="11">
        <f t="shared" si="1927"/>
        <v>176900</v>
      </c>
      <c r="N1900" s="10">
        <v>1717</v>
      </c>
      <c r="O1900" s="11">
        <f t="shared" si="1928"/>
        <v>85850</v>
      </c>
      <c r="P1900" s="10">
        <v>10247</v>
      </c>
      <c r="Q1900" s="11">
        <f t="shared" si="1929"/>
        <v>614820</v>
      </c>
      <c r="X1900" s="10">
        <v>680</v>
      </c>
      <c r="Y1900" s="11">
        <f t="shared" si="1930"/>
        <v>40800</v>
      </c>
      <c r="AF1900" s="10">
        <v>0</v>
      </c>
      <c r="AG1900" s="11">
        <f t="shared" si="1931"/>
        <v>0</v>
      </c>
      <c r="AH1900" s="10">
        <v>0</v>
      </c>
      <c r="AI1900" s="11">
        <f t="shared" si="1932"/>
        <v>0</v>
      </c>
      <c r="AJ1900" s="10">
        <v>635</v>
      </c>
      <c r="AK1900" s="13">
        <f t="shared" si="1933"/>
        <v>5715</v>
      </c>
      <c r="AL1900" s="10">
        <v>74</v>
      </c>
      <c r="AM1900" s="13">
        <f t="shared" si="1934"/>
        <v>666</v>
      </c>
      <c r="AN1900" s="10">
        <v>0</v>
      </c>
      <c r="AO1900" s="11">
        <f t="shared" si="1935"/>
        <v>0</v>
      </c>
      <c r="AP1900" s="10">
        <v>0</v>
      </c>
      <c r="AQ1900" s="11">
        <f t="shared" si="1936"/>
        <v>0</v>
      </c>
      <c r="AR1900" s="10">
        <v>1231</v>
      </c>
      <c r="AS1900" s="11">
        <f t="shared" si="1937"/>
        <v>61550</v>
      </c>
      <c r="AT1900" s="10">
        <v>8</v>
      </c>
      <c r="AU1900" s="11">
        <f t="shared" si="1938"/>
        <v>400</v>
      </c>
      <c r="AV1900" s="10">
        <v>0</v>
      </c>
      <c r="AW1900" s="11">
        <f t="shared" si="1939"/>
        <v>0</v>
      </c>
      <c r="AX1900" s="10">
        <v>0</v>
      </c>
      <c r="AY1900" s="11">
        <f t="shared" si="1940"/>
        <v>0</v>
      </c>
      <c r="AZ1900" s="10">
        <v>1350</v>
      </c>
      <c r="BA1900" s="11">
        <f t="shared" si="1941"/>
        <v>54000</v>
      </c>
      <c r="BB1900" s="10">
        <v>22</v>
      </c>
      <c r="BC1900" s="11">
        <f t="shared" si="1942"/>
        <v>880</v>
      </c>
      <c r="BD1900" s="10">
        <v>0</v>
      </c>
      <c r="BE1900" s="11">
        <f t="shared" si="1943"/>
        <v>0</v>
      </c>
      <c r="BF1900" s="10">
        <v>0</v>
      </c>
      <c r="BG1900" s="11">
        <f t="shared" si="1944"/>
        <v>0</v>
      </c>
      <c r="BH1900" s="11">
        <v>800</v>
      </c>
      <c r="BN1900" s="8">
        <f t="shared" si="1923"/>
        <v>17681</v>
      </c>
      <c r="BO1900" s="8">
        <f t="shared" si="1925"/>
        <v>953785</v>
      </c>
      <c r="BP1900" s="8">
        <f t="shared" ref="BP1900:BP1964" si="1945">(N1900+X1900+Z1900+AB1900+AD1900+AH1900+AL1900+AP1900+AT1900+AX1900+BB1900+BF1900)</f>
        <v>2501</v>
      </c>
      <c r="BQ1900" s="12">
        <f t="shared" ref="BQ1900:BQ1964" si="1946">(O1900+Y1900+AA1900+AC1900+AE1900+AI1900+AM1900+AQ1900+AU1900+AY1900+BC1900+BG1900)</f>
        <v>128596</v>
      </c>
    </row>
    <row r="1901" spans="1:69">
      <c r="A1901" s="28">
        <v>1998</v>
      </c>
      <c r="B1901" s="27" t="s">
        <v>85</v>
      </c>
      <c r="C1901" s="24">
        <f t="shared" si="1886"/>
        <v>1858</v>
      </c>
      <c r="D1901" s="7" t="e">
        <f t="shared" ca="1" si="1885"/>
        <v>#N/A</v>
      </c>
      <c r="E1901" s="26">
        <f t="array" aca="1" ref="E1901" ca="1">AVERAGE(IF(INDIRECT(DatCol&amp;"$"&amp;TEXT(C1901,"###")):INDIRECT(DatCol&amp;"$"&amp;TEXT(C1901+57,"###"))&gt;0,INDIRECT(DatCol&amp;"$"&amp;TEXT(C1901,"###")):INDIRECT(DatCol&amp;"$"&amp;TEXT(C1901+57,"###"))))</f>
        <v>631.72100000000012</v>
      </c>
      <c r="F1901" s="26" t="str">
        <f t="shared" si="1924"/>
        <v>C</v>
      </c>
      <c r="G1901" s="9">
        <v>79</v>
      </c>
      <c r="H1901" s="9">
        <v>660</v>
      </c>
      <c r="I1901" s="9">
        <v>280</v>
      </c>
      <c r="J1901" s="9">
        <v>575</v>
      </c>
      <c r="K1901" s="9">
        <f t="shared" si="1926"/>
        <v>1314</v>
      </c>
      <c r="L1901" s="10">
        <f>M1901/50</f>
        <v>3970</v>
      </c>
      <c r="M1901" s="11">
        <v>198500</v>
      </c>
      <c r="N1901" s="10">
        <f t="shared" ref="N1901:N1908" si="1947">O1901/50</f>
        <v>985</v>
      </c>
      <c r="O1901" s="11">
        <v>49250</v>
      </c>
      <c r="P1901" s="10">
        <f>Q1901/60</f>
        <v>4980</v>
      </c>
      <c r="Q1901" s="11">
        <v>298800</v>
      </c>
      <c r="R1901" s="10">
        <v>0</v>
      </c>
      <c r="S1901" s="11">
        <v>0</v>
      </c>
      <c r="T1901" s="10">
        <v>0</v>
      </c>
      <c r="U1901" s="11">
        <v>0</v>
      </c>
      <c r="V1901" s="10">
        <v>0</v>
      </c>
      <c r="W1901" s="11">
        <v>0</v>
      </c>
      <c r="X1901" s="10">
        <f>Y1901/60</f>
        <v>770</v>
      </c>
      <c r="Y1901" s="11">
        <v>46200</v>
      </c>
      <c r="Z1901" s="10">
        <v>0</v>
      </c>
      <c r="AA1901" s="11">
        <v>0</v>
      </c>
      <c r="AB1901" s="10">
        <v>0</v>
      </c>
      <c r="AC1901" s="11">
        <v>0</v>
      </c>
      <c r="AD1901" s="10">
        <v>0</v>
      </c>
      <c r="AE1901" s="11">
        <v>0</v>
      </c>
      <c r="AF1901" s="10">
        <v>0</v>
      </c>
      <c r="AG1901" s="11">
        <v>0</v>
      </c>
      <c r="AH1901" s="10">
        <v>0</v>
      </c>
      <c r="AI1901" s="11">
        <v>0</v>
      </c>
      <c r="AJ1901" s="10">
        <f>AK1901/50</f>
        <v>14</v>
      </c>
      <c r="AK1901" s="13">
        <v>700</v>
      </c>
      <c r="AL1901" s="10">
        <v>0</v>
      </c>
      <c r="AM1901" s="13">
        <v>0</v>
      </c>
      <c r="AN1901" s="10">
        <v>0</v>
      </c>
      <c r="AO1901" s="11">
        <v>0</v>
      </c>
      <c r="AP1901" s="10">
        <v>0</v>
      </c>
      <c r="AQ1901" s="11">
        <v>0</v>
      </c>
      <c r="AR1901" s="10">
        <f t="shared" ref="AR1901:AR1908" si="1948">AS1901/55</f>
        <v>2031</v>
      </c>
      <c r="AS1901" s="11">
        <v>111705</v>
      </c>
      <c r="AT1901" s="10">
        <f>AU1901/55</f>
        <v>15</v>
      </c>
      <c r="AU1901" s="11">
        <v>825</v>
      </c>
      <c r="AV1901" s="10">
        <v>0</v>
      </c>
      <c r="AW1901" s="11">
        <v>0</v>
      </c>
      <c r="AX1901" s="10">
        <v>0</v>
      </c>
      <c r="AY1901" s="11">
        <v>0</v>
      </c>
      <c r="AZ1901" s="10">
        <f>BA1901/40</f>
        <v>134</v>
      </c>
      <c r="BA1901" s="11">
        <v>5360</v>
      </c>
      <c r="BB1901" s="10">
        <f>BC1901/40</f>
        <v>11</v>
      </c>
      <c r="BC1901" s="11">
        <v>440</v>
      </c>
      <c r="BD1901" s="10">
        <v>0</v>
      </c>
      <c r="BE1901" s="11">
        <v>0</v>
      </c>
      <c r="BF1901" s="10">
        <v>0</v>
      </c>
      <c r="BG1901" s="11">
        <v>0</v>
      </c>
      <c r="BN1901" s="8">
        <f t="shared" si="1923"/>
        <v>11899</v>
      </c>
      <c r="BO1901" s="8">
        <f t="shared" si="1925"/>
        <v>661265</v>
      </c>
      <c r="BP1901" s="8">
        <f t="shared" si="1945"/>
        <v>1781</v>
      </c>
      <c r="BQ1901" s="12">
        <f t="shared" si="1946"/>
        <v>96715</v>
      </c>
    </row>
    <row r="1902" spans="1:69">
      <c r="A1902" s="28">
        <v>1999</v>
      </c>
      <c r="B1902" s="27" t="s">
        <v>85</v>
      </c>
      <c r="C1902" s="24">
        <f t="shared" si="1886"/>
        <v>1858</v>
      </c>
      <c r="D1902" s="7" t="e">
        <f t="shared" ca="1" si="1885"/>
        <v>#N/A</v>
      </c>
      <c r="E1902" s="26">
        <f t="array" aca="1" ref="E1902" ca="1">AVERAGE(IF(INDIRECT(DatCol&amp;"$"&amp;TEXT(C1902,"###")):INDIRECT(DatCol&amp;"$"&amp;TEXT(C1902+57,"###"))&gt;0,INDIRECT(DatCol&amp;"$"&amp;TEXT(C1902,"###")):INDIRECT(DatCol&amp;"$"&amp;TEXT(C1902+57,"###"))))</f>
        <v>631.72100000000012</v>
      </c>
      <c r="F1902" s="26" t="str">
        <f t="shared" si="1924"/>
        <v>C</v>
      </c>
      <c r="G1902" s="9">
        <v>44</v>
      </c>
      <c r="H1902" s="9">
        <v>658</v>
      </c>
      <c r="I1902" s="9">
        <v>233</v>
      </c>
      <c r="J1902" s="9">
        <v>574</v>
      </c>
      <c r="K1902" s="9">
        <f t="shared" si="1926"/>
        <v>1276</v>
      </c>
      <c r="L1902" s="10">
        <f>M1902/50</f>
        <v>2992</v>
      </c>
      <c r="M1902" s="11">
        <v>149600</v>
      </c>
      <c r="N1902" s="10">
        <f t="shared" si="1947"/>
        <v>661.9</v>
      </c>
      <c r="O1902" s="11">
        <v>33095</v>
      </c>
      <c r="P1902" s="10">
        <f>Q1902/60</f>
        <v>2345</v>
      </c>
      <c r="Q1902" s="11">
        <v>140700</v>
      </c>
      <c r="R1902" s="10">
        <v>0</v>
      </c>
      <c r="S1902" s="11">
        <v>0</v>
      </c>
      <c r="T1902" s="10">
        <v>0</v>
      </c>
      <c r="U1902" s="11">
        <v>0</v>
      </c>
      <c r="V1902" s="10">
        <v>0</v>
      </c>
      <c r="W1902" s="11">
        <v>0</v>
      </c>
      <c r="X1902" s="10">
        <f>Y1902/60</f>
        <v>357.5</v>
      </c>
      <c r="Y1902" s="11">
        <v>21450</v>
      </c>
      <c r="Z1902" s="10">
        <v>0</v>
      </c>
      <c r="AA1902" s="11">
        <v>0</v>
      </c>
      <c r="AB1902" s="10">
        <v>0</v>
      </c>
      <c r="AC1902" s="11">
        <v>0</v>
      </c>
      <c r="AD1902" s="10">
        <v>0</v>
      </c>
      <c r="AE1902" s="11">
        <v>0</v>
      </c>
      <c r="AF1902" s="10">
        <v>0</v>
      </c>
      <c r="AG1902" s="11">
        <v>0</v>
      </c>
      <c r="AH1902" s="10">
        <v>0</v>
      </c>
      <c r="AI1902" s="11">
        <v>0</v>
      </c>
      <c r="AJ1902" s="10">
        <f>AK1902/9</f>
        <v>11.111111111111111</v>
      </c>
      <c r="AK1902" s="13">
        <v>100</v>
      </c>
      <c r="AL1902" s="10">
        <v>0</v>
      </c>
      <c r="AM1902" s="13">
        <v>0</v>
      </c>
      <c r="AN1902" s="10">
        <v>0</v>
      </c>
      <c r="AO1902" s="11">
        <v>0</v>
      </c>
      <c r="AP1902" s="10">
        <v>0</v>
      </c>
      <c r="AQ1902" s="11">
        <v>0</v>
      </c>
      <c r="AR1902" s="10">
        <f t="shared" si="1948"/>
        <v>2387</v>
      </c>
      <c r="AS1902" s="11">
        <v>131285</v>
      </c>
      <c r="AT1902" s="10">
        <f>AU1902/55</f>
        <v>7.8181818181818183</v>
      </c>
      <c r="AU1902" s="11">
        <v>430</v>
      </c>
      <c r="AV1902" s="10">
        <v>0</v>
      </c>
      <c r="AW1902" s="11">
        <v>0</v>
      </c>
      <c r="AX1902" s="10">
        <v>0</v>
      </c>
      <c r="AY1902" s="11">
        <v>0</v>
      </c>
      <c r="AZ1902" s="10">
        <v>134</v>
      </c>
      <c r="BA1902" s="11">
        <v>5360</v>
      </c>
      <c r="BB1902" s="10">
        <v>0</v>
      </c>
      <c r="BC1902" s="11">
        <v>0</v>
      </c>
      <c r="BD1902" s="10">
        <v>0</v>
      </c>
      <c r="BE1902" s="11">
        <v>0</v>
      </c>
      <c r="BF1902" s="10">
        <v>0</v>
      </c>
      <c r="BG1902" s="11">
        <v>0</v>
      </c>
      <c r="BH1902" s="11">
        <v>400</v>
      </c>
      <c r="BI1902" s="11">
        <v>0</v>
      </c>
      <c r="BN1902" s="8">
        <f t="shared" si="1923"/>
        <v>8226.6111111111113</v>
      </c>
      <c r="BO1902" s="8">
        <f t="shared" si="1925"/>
        <v>448495</v>
      </c>
      <c r="BP1902" s="8">
        <f t="shared" si="1945"/>
        <v>1027.2181818181818</v>
      </c>
      <c r="BQ1902" s="12">
        <f t="shared" si="1946"/>
        <v>54975</v>
      </c>
    </row>
    <row r="1903" spans="1:69">
      <c r="A1903" s="28">
        <v>2000</v>
      </c>
      <c r="B1903" s="27" t="s">
        <v>85</v>
      </c>
      <c r="C1903" s="24">
        <f t="shared" si="1886"/>
        <v>1858</v>
      </c>
      <c r="D1903" s="7" t="e">
        <f t="shared" ca="1" si="1885"/>
        <v>#N/A</v>
      </c>
      <c r="E1903" s="26">
        <f t="array" aca="1" ref="E1903" ca="1">AVERAGE(IF(INDIRECT(DatCol&amp;"$"&amp;TEXT(C1903,"###")):INDIRECT(DatCol&amp;"$"&amp;TEXT(C1903+57,"###"))&gt;0,INDIRECT(DatCol&amp;"$"&amp;TEXT(C1903,"###")):INDIRECT(DatCol&amp;"$"&amp;TEXT(C1903+57,"###"))))</f>
        <v>631.72100000000012</v>
      </c>
      <c r="F1903" s="26" t="str">
        <f t="shared" si="1924"/>
        <v>C</v>
      </c>
      <c r="G1903" s="9">
        <v>25</v>
      </c>
      <c r="H1903" s="9">
        <v>620</v>
      </c>
      <c r="I1903" s="9">
        <v>221</v>
      </c>
      <c r="J1903" s="9">
        <v>566</v>
      </c>
      <c r="K1903" s="9">
        <f t="shared" si="1926"/>
        <v>1211</v>
      </c>
      <c r="L1903" s="10">
        <f>M1903/49.5</f>
        <v>2814.7474747474748</v>
      </c>
      <c r="M1903" s="11">
        <v>139330</v>
      </c>
      <c r="N1903" s="10">
        <f t="shared" si="1947"/>
        <v>540</v>
      </c>
      <c r="O1903" s="11">
        <v>27000</v>
      </c>
      <c r="P1903" s="10">
        <f>Q1903/49.5</f>
        <v>3116.4242424242425</v>
      </c>
      <c r="Q1903" s="11">
        <v>154263</v>
      </c>
      <c r="R1903" s="10">
        <v>0</v>
      </c>
      <c r="S1903" s="11">
        <v>0</v>
      </c>
      <c r="T1903" s="10">
        <v>0</v>
      </c>
      <c r="U1903" s="11">
        <v>0</v>
      </c>
      <c r="V1903" s="10">
        <v>0</v>
      </c>
      <c r="X1903" s="10">
        <f>Y1903/49.5</f>
        <v>468.68686868686871</v>
      </c>
      <c r="Y1903" s="11">
        <v>23200</v>
      </c>
      <c r="Z1903" s="10">
        <v>0</v>
      </c>
      <c r="AA1903" s="11">
        <v>0</v>
      </c>
      <c r="AB1903" s="10">
        <v>0</v>
      </c>
      <c r="AC1903" s="11">
        <v>0</v>
      </c>
      <c r="AD1903" s="10">
        <v>0</v>
      </c>
      <c r="AE1903" s="11">
        <v>0</v>
      </c>
      <c r="AF1903" s="10">
        <v>0</v>
      </c>
      <c r="AG1903" s="11">
        <v>0</v>
      </c>
      <c r="AH1903" s="10">
        <v>0</v>
      </c>
      <c r="AI1903" s="11">
        <v>0</v>
      </c>
      <c r="AJ1903" s="10">
        <f>AK1903/9</f>
        <v>102.11111111111111</v>
      </c>
      <c r="AK1903" s="13">
        <v>919</v>
      </c>
      <c r="AL1903" s="10">
        <v>0</v>
      </c>
      <c r="AM1903" s="13">
        <v>0</v>
      </c>
      <c r="AN1903" s="10">
        <v>0</v>
      </c>
      <c r="AO1903" s="11">
        <v>0</v>
      </c>
      <c r="AP1903" s="10">
        <v>0</v>
      </c>
      <c r="AQ1903" s="11">
        <v>0</v>
      </c>
      <c r="AR1903" s="10">
        <f t="shared" si="1948"/>
        <v>688.63636363636363</v>
      </c>
      <c r="AS1903" s="11">
        <v>37875</v>
      </c>
      <c r="AT1903" s="10">
        <f>AU1903/55</f>
        <v>6.8181818181818183</v>
      </c>
      <c r="AU1903" s="11">
        <v>375</v>
      </c>
      <c r="AV1903" s="10">
        <v>0</v>
      </c>
      <c r="AW1903" s="11">
        <v>0</v>
      </c>
      <c r="AX1903" s="10">
        <v>0</v>
      </c>
      <c r="AY1903" s="11">
        <v>0</v>
      </c>
      <c r="AZ1903" s="10">
        <f t="shared" ref="AZ1903:AZ1908" si="1949">BA1903/40</f>
        <v>546.07500000000005</v>
      </c>
      <c r="BA1903" s="11">
        <v>21843</v>
      </c>
      <c r="BB1903" s="10">
        <v>0</v>
      </c>
      <c r="BC1903" s="11">
        <v>0</v>
      </c>
      <c r="BD1903" s="10">
        <v>0</v>
      </c>
      <c r="BE1903" s="11">
        <v>0</v>
      </c>
      <c r="BF1903" s="10">
        <v>0</v>
      </c>
      <c r="BG1903" s="11">
        <v>0</v>
      </c>
      <c r="BH1903" s="11">
        <v>350</v>
      </c>
      <c r="BI1903" s="11">
        <v>0</v>
      </c>
      <c r="BN1903" s="8">
        <f t="shared" si="1923"/>
        <v>7736.6810606060608</v>
      </c>
      <c r="BO1903" s="8">
        <f t="shared" si="1925"/>
        <v>377430</v>
      </c>
      <c r="BP1903" s="8">
        <f t="shared" si="1945"/>
        <v>1015.5050505050506</v>
      </c>
      <c r="BQ1903" s="12">
        <f t="shared" si="1946"/>
        <v>50575</v>
      </c>
    </row>
    <row r="1904" spans="1:69">
      <c r="A1904" s="28">
        <v>2001</v>
      </c>
      <c r="B1904" s="27" t="s">
        <v>85</v>
      </c>
      <c r="C1904" s="24">
        <f t="shared" si="1886"/>
        <v>1858</v>
      </c>
      <c r="D1904" s="7" t="e">
        <f t="shared" ca="1" si="1885"/>
        <v>#N/A</v>
      </c>
      <c r="E1904" s="26">
        <f t="array" aca="1" ref="E1904" ca="1">AVERAGE(IF(INDIRECT(DatCol&amp;"$"&amp;TEXT(C1904,"###")):INDIRECT(DatCol&amp;"$"&amp;TEXT(C1904+57,"###"))&gt;0,INDIRECT(DatCol&amp;"$"&amp;TEXT(C1904,"###")):INDIRECT(DatCol&amp;"$"&amp;TEXT(C1904+57,"###"))))</f>
        <v>631.72100000000012</v>
      </c>
      <c r="F1904" s="26" t="str">
        <f t="shared" si="1924"/>
        <v>C</v>
      </c>
      <c r="H1904" s="9">
        <v>455</v>
      </c>
      <c r="I1904" s="9">
        <v>173</v>
      </c>
      <c r="J1904" s="9">
        <v>553</v>
      </c>
      <c r="K1904" s="9">
        <f t="shared" si="1926"/>
        <v>1008</v>
      </c>
      <c r="L1904" s="10">
        <f>M1904/50</f>
        <v>2580.16</v>
      </c>
      <c r="M1904" s="11">
        <v>129008</v>
      </c>
      <c r="N1904" s="10">
        <f t="shared" si="1947"/>
        <v>595.5</v>
      </c>
      <c r="O1904" s="11">
        <v>29775</v>
      </c>
      <c r="P1904" s="10">
        <f>Q1904/75</f>
        <v>1652.7066666666667</v>
      </c>
      <c r="Q1904" s="11">
        <v>123953</v>
      </c>
      <c r="R1904" s="10">
        <v>0</v>
      </c>
      <c r="S1904" s="11">
        <v>0</v>
      </c>
      <c r="T1904" s="10">
        <v>0</v>
      </c>
      <c r="U1904" s="11">
        <v>0</v>
      </c>
      <c r="V1904" s="10">
        <v>0</v>
      </c>
      <c r="W1904" s="11">
        <v>0</v>
      </c>
      <c r="X1904" s="10">
        <f>Y1904/75</f>
        <v>306</v>
      </c>
      <c r="Y1904" s="11">
        <v>22950</v>
      </c>
      <c r="Z1904" s="10">
        <v>0</v>
      </c>
      <c r="AA1904" s="11">
        <v>0</v>
      </c>
      <c r="AB1904" s="10">
        <v>0</v>
      </c>
      <c r="AC1904" s="11">
        <v>0</v>
      </c>
      <c r="AD1904" s="10">
        <v>0</v>
      </c>
      <c r="AE1904" s="11">
        <v>0</v>
      </c>
      <c r="AF1904" s="10">
        <v>0</v>
      </c>
      <c r="AG1904" s="11">
        <v>0</v>
      </c>
      <c r="AH1904" s="10">
        <v>0</v>
      </c>
      <c r="AI1904" s="11">
        <v>0</v>
      </c>
      <c r="AJ1904" s="10">
        <v>0</v>
      </c>
      <c r="AK1904" s="13">
        <v>0</v>
      </c>
      <c r="AL1904" s="10">
        <v>0</v>
      </c>
      <c r="AM1904" s="13">
        <v>0</v>
      </c>
      <c r="AN1904" s="10">
        <v>0</v>
      </c>
      <c r="AO1904" s="11">
        <v>0</v>
      </c>
      <c r="AP1904" s="10">
        <v>0</v>
      </c>
      <c r="AQ1904" s="11">
        <v>0</v>
      </c>
      <c r="AR1904" s="10">
        <f t="shared" si="1948"/>
        <v>1631.909090909091</v>
      </c>
      <c r="AS1904" s="11">
        <v>89755</v>
      </c>
      <c r="AT1904" s="10">
        <f>AU1904/55</f>
        <v>4.0909090909090908</v>
      </c>
      <c r="AU1904" s="11">
        <v>225</v>
      </c>
      <c r="AV1904" s="10">
        <v>0</v>
      </c>
      <c r="AW1904" s="11">
        <v>0</v>
      </c>
      <c r="AX1904" s="10">
        <f>AY1904/40</f>
        <v>0.5</v>
      </c>
      <c r="AY1904" s="11">
        <v>20</v>
      </c>
      <c r="AZ1904" s="10">
        <f t="shared" si="1949"/>
        <v>224.07499999999999</v>
      </c>
      <c r="BA1904" s="11">
        <v>8963</v>
      </c>
      <c r="BB1904" s="10">
        <f>BC1904/40</f>
        <v>1.625</v>
      </c>
      <c r="BC1904" s="11">
        <v>65</v>
      </c>
      <c r="BD1904" s="10">
        <v>0</v>
      </c>
      <c r="BE1904" s="11">
        <v>0</v>
      </c>
      <c r="BF1904" s="10">
        <v>0</v>
      </c>
      <c r="BG1904" s="11">
        <v>0</v>
      </c>
      <c r="BH1904" s="11">
        <v>620</v>
      </c>
      <c r="BI1904" s="11">
        <v>35</v>
      </c>
      <c r="BN1904" s="8">
        <f t="shared" si="1923"/>
        <v>6394.8507575757576</v>
      </c>
      <c r="BO1904" s="8">
        <f t="shared" si="1925"/>
        <v>374629</v>
      </c>
      <c r="BP1904" s="8">
        <f t="shared" si="1945"/>
        <v>907.71590909090912</v>
      </c>
      <c r="BQ1904" s="12">
        <f t="shared" si="1946"/>
        <v>53035</v>
      </c>
    </row>
    <row r="1905" spans="1:69">
      <c r="A1905" s="28">
        <v>2002</v>
      </c>
      <c r="B1905" s="27" t="s">
        <v>85</v>
      </c>
      <c r="C1905" s="24">
        <f t="shared" si="1886"/>
        <v>1858</v>
      </c>
      <c r="D1905" s="7" t="e">
        <f t="shared" ca="1" si="1885"/>
        <v>#N/A</v>
      </c>
      <c r="E1905" s="26">
        <f t="array" aca="1" ref="E1905" ca="1">AVERAGE(IF(INDIRECT(DatCol&amp;"$"&amp;TEXT(C1905,"###")):INDIRECT(DatCol&amp;"$"&amp;TEXT(C1905+57,"###"))&gt;0,INDIRECT(DatCol&amp;"$"&amp;TEXT(C1905,"###")):INDIRECT(DatCol&amp;"$"&amp;TEXT(C1905+57,"###"))))</f>
        <v>631.72100000000012</v>
      </c>
      <c r="F1905" s="26" t="str">
        <f t="shared" si="1924"/>
        <v>C</v>
      </c>
      <c r="H1905" s="9">
        <v>464</v>
      </c>
      <c r="I1905" s="9">
        <v>163</v>
      </c>
      <c r="J1905" s="9">
        <v>520</v>
      </c>
      <c r="K1905" s="9">
        <f t="shared" si="1926"/>
        <v>984</v>
      </c>
      <c r="L1905" s="10">
        <f>M1905/50</f>
        <v>2808.02</v>
      </c>
      <c r="M1905" s="11">
        <v>140401</v>
      </c>
      <c r="N1905" s="10">
        <f t="shared" si="1947"/>
        <v>624.5</v>
      </c>
      <c r="O1905" s="11">
        <v>31225</v>
      </c>
      <c r="P1905" s="10">
        <f>Q1905/75</f>
        <v>2537.0933333333332</v>
      </c>
      <c r="Q1905" s="11">
        <v>190282</v>
      </c>
      <c r="R1905" s="10">
        <v>0</v>
      </c>
      <c r="S1905" s="11">
        <v>0</v>
      </c>
      <c r="T1905" s="10">
        <v>0</v>
      </c>
      <c r="U1905" s="11">
        <v>0</v>
      </c>
      <c r="V1905" s="10">
        <v>0</v>
      </c>
      <c r="W1905" s="11">
        <v>0</v>
      </c>
      <c r="X1905" s="10">
        <f>Y1905/75</f>
        <v>308.06666666666666</v>
      </c>
      <c r="Y1905" s="11">
        <v>23105</v>
      </c>
      <c r="Z1905" s="10">
        <v>0</v>
      </c>
      <c r="AA1905" s="11">
        <v>0</v>
      </c>
      <c r="AB1905" s="10">
        <v>0</v>
      </c>
      <c r="AC1905" s="11">
        <v>0</v>
      </c>
      <c r="AD1905" s="10">
        <v>0</v>
      </c>
      <c r="AE1905" s="11">
        <v>0</v>
      </c>
      <c r="AF1905" s="10">
        <v>0</v>
      </c>
      <c r="AG1905" s="11">
        <v>0</v>
      </c>
      <c r="AH1905" s="10">
        <v>0</v>
      </c>
      <c r="AI1905" s="11">
        <v>0</v>
      </c>
      <c r="AJ1905" s="10">
        <v>0</v>
      </c>
      <c r="AK1905" s="13">
        <v>0</v>
      </c>
      <c r="AL1905" s="10">
        <f>AM1905/50</f>
        <v>298</v>
      </c>
      <c r="AM1905" s="13">
        <v>14900</v>
      </c>
      <c r="AN1905" s="10">
        <v>0</v>
      </c>
      <c r="AO1905" s="11">
        <v>0</v>
      </c>
      <c r="AP1905" s="10">
        <v>0</v>
      </c>
      <c r="AQ1905" s="11">
        <v>0</v>
      </c>
      <c r="AR1905" s="10">
        <f t="shared" si="1948"/>
        <v>421.03636363636366</v>
      </c>
      <c r="AS1905" s="11">
        <v>23157</v>
      </c>
      <c r="AT1905" s="10">
        <f>AU1905/55</f>
        <v>1.3636363636363635</v>
      </c>
      <c r="AU1905" s="11">
        <v>75</v>
      </c>
      <c r="AV1905" s="10">
        <v>0</v>
      </c>
      <c r="AW1905" s="11">
        <v>0</v>
      </c>
      <c r="AX1905" s="10">
        <f>AY1905/40</f>
        <v>0.375</v>
      </c>
      <c r="AY1905" s="11">
        <v>15</v>
      </c>
      <c r="AZ1905" s="10">
        <f t="shared" si="1949"/>
        <v>1926.2</v>
      </c>
      <c r="BA1905" s="11">
        <v>77048</v>
      </c>
      <c r="BB1905" s="10">
        <f>BC1905/40</f>
        <v>1.25</v>
      </c>
      <c r="BC1905" s="11">
        <v>50</v>
      </c>
      <c r="BN1905" s="8">
        <f t="shared" si="1923"/>
        <v>8000.4163636363628</v>
      </c>
      <c r="BO1905" s="8">
        <f t="shared" si="1925"/>
        <v>453993</v>
      </c>
      <c r="BP1905" s="8">
        <f t="shared" si="1945"/>
        <v>1233.5553030303029</v>
      </c>
      <c r="BQ1905" s="12">
        <f t="shared" si="1946"/>
        <v>69370</v>
      </c>
    </row>
    <row r="1906" spans="1:69">
      <c r="A1906" s="28">
        <v>2003</v>
      </c>
      <c r="B1906" s="27" t="s">
        <v>85</v>
      </c>
      <c r="C1906" s="24">
        <f t="shared" si="1886"/>
        <v>1858</v>
      </c>
      <c r="D1906" s="7" t="e">
        <f t="shared" ca="1" si="1885"/>
        <v>#N/A</v>
      </c>
      <c r="E1906" s="26">
        <f t="array" aca="1" ref="E1906" ca="1">AVERAGE(IF(INDIRECT(DatCol&amp;"$"&amp;TEXT(C1906,"###")):INDIRECT(DatCol&amp;"$"&amp;TEXT(C1906+57,"###"))&gt;0,INDIRECT(DatCol&amp;"$"&amp;TEXT(C1906,"###")):INDIRECT(DatCol&amp;"$"&amp;TEXT(C1906+57,"###"))))</f>
        <v>631.72100000000012</v>
      </c>
      <c r="F1906" s="26" t="str">
        <f t="shared" si="1924"/>
        <v>C</v>
      </c>
      <c r="H1906" s="9">
        <v>475</v>
      </c>
      <c r="I1906" s="9">
        <v>198</v>
      </c>
      <c r="J1906" s="9">
        <v>550</v>
      </c>
      <c r="K1906" s="9">
        <f t="shared" si="1926"/>
        <v>1025</v>
      </c>
      <c r="L1906" s="10">
        <f>M1906/50</f>
        <v>4504.4799999999996</v>
      </c>
      <c r="M1906" s="11">
        <v>225224</v>
      </c>
      <c r="N1906" s="10">
        <f t="shared" si="1947"/>
        <v>499.7</v>
      </c>
      <c r="O1906" s="11">
        <v>24985</v>
      </c>
      <c r="P1906" s="10">
        <f>Q1906/75</f>
        <v>3457.6666666666665</v>
      </c>
      <c r="Q1906" s="11">
        <v>259325</v>
      </c>
      <c r="R1906" s="10">
        <v>0</v>
      </c>
      <c r="S1906" s="11">
        <v>0</v>
      </c>
      <c r="T1906" s="10">
        <v>0</v>
      </c>
      <c r="U1906" s="11">
        <v>0</v>
      </c>
      <c r="V1906" s="10">
        <v>0</v>
      </c>
      <c r="W1906" s="11">
        <v>0</v>
      </c>
      <c r="X1906" s="10">
        <f>Y1906/75</f>
        <v>360.53333333333336</v>
      </c>
      <c r="Y1906" s="11">
        <v>27040</v>
      </c>
      <c r="Z1906" s="10">
        <v>0</v>
      </c>
      <c r="AA1906" s="11">
        <v>0</v>
      </c>
      <c r="AB1906" s="10">
        <v>0</v>
      </c>
      <c r="AC1906" s="11">
        <v>0</v>
      </c>
      <c r="AD1906" s="10">
        <v>0</v>
      </c>
      <c r="AE1906" s="11">
        <v>0</v>
      </c>
      <c r="AF1906" s="10">
        <v>0</v>
      </c>
      <c r="AG1906" s="11">
        <v>0</v>
      </c>
      <c r="AH1906" s="10">
        <v>0</v>
      </c>
      <c r="AI1906" s="11">
        <v>0</v>
      </c>
      <c r="AJ1906" s="10">
        <f>AK1906/9</f>
        <v>2507.8888888888887</v>
      </c>
      <c r="AK1906" s="13">
        <v>22571</v>
      </c>
      <c r="AL1906" s="10">
        <v>0</v>
      </c>
      <c r="AM1906" s="13">
        <v>0</v>
      </c>
      <c r="AN1906" s="10">
        <v>0</v>
      </c>
      <c r="AO1906" s="11">
        <v>0</v>
      </c>
      <c r="AP1906" s="10">
        <v>0</v>
      </c>
      <c r="AQ1906" s="11">
        <v>0</v>
      </c>
      <c r="AR1906" s="10">
        <f t="shared" si="1948"/>
        <v>662.18181818181813</v>
      </c>
      <c r="AS1906" s="11">
        <v>36420</v>
      </c>
      <c r="AT1906" s="10">
        <v>0</v>
      </c>
      <c r="AU1906" s="11">
        <v>0</v>
      </c>
      <c r="AV1906" s="10">
        <v>0</v>
      </c>
      <c r="AW1906" s="11">
        <v>0</v>
      </c>
      <c r="AX1906" s="10">
        <v>0</v>
      </c>
      <c r="AY1906" s="11">
        <v>0</v>
      </c>
      <c r="AZ1906" s="10">
        <f t="shared" si="1949"/>
        <v>7451.95</v>
      </c>
      <c r="BA1906" s="11">
        <v>298078</v>
      </c>
      <c r="BB1906" s="10">
        <v>0</v>
      </c>
      <c r="BC1906" s="11">
        <v>0</v>
      </c>
      <c r="BD1906" s="10">
        <v>0</v>
      </c>
      <c r="BE1906" s="11">
        <v>0</v>
      </c>
      <c r="BF1906" s="10">
        <v>0</v>
      </c>
      <c r="BG1906" s="11">
        <v>0</v>
      </c>
      <c r="BH1906" s="11">
        <v>0</v>
      </c>
      <c r="BI1906" s="11">
        <v>0</v>
      </c>
      <c r="BN1906" s="8">
        <f t="shared" si="1923"/>
        <v>18944.700707070704</v>
      </c>
      <c r="BO1906" s="8">
        <f t="shared" si="1925"/>
        <v>868658</v>
      </c>
      <c r="BP1906" s="8">
        <f t="shared" si="1945"/>
        <v>860.23333333333335</v>
      </c>
      <c r="BQ1906" s="12">
        <f t="shared" si="1946"/>
        <v>52025</v>
      </c>
    </row>
    <row r="1907" spans="1:69">
      <c r="A1907" s="28">
        <v>2004</v>
      </c>
      <c r="B1907" s="27" t="s">
        <v>85</v>
      </c>
      <c r="C1907" s="24">
        <f t="shared" si="1886"/>
        <v>1858</v>
      </c>
      <c r="D1907" s="7" t="e">
        <f t="shared" ca="1" si="1885"/>
        <v>#N/A</v>
      </c>
      <c r="E1907" s="26">
        <f t="array" aca="1" ref="E1907" ca="1">AVERAGE(IF(INDIRECT(DatCol&amp;"$"&amp;TEXT(C1907,"###")):INDIRECT(DatCol&amp;"$"&amp;TEXT(C1907+57,"###"))&gt;0,INDIRECT(DatCol&amp;"$"&amp;TEXT(C1907,"###")):INDIRECT(DatCol&amp;"$"&amp;TEXT(C1907+57,"###"))))</f>
        <v>631.72100000000012</v>
      </c>
      <c r="F1907" s="26" t="str">
        <f t="shared" si="1924"/>
        <v>C</v>
      </c>
      <c r="H1907" s="9">
        <v>475</v>
      </c>
      <c r="I1907" s="9">
        <v>206</v>
      </c>
      <c r="J1907" s="9">
        <v>550</v>
      </c>
      <c r="K1907" s="9">
        <f t="shared" si="1926"/>
        <v>1025</v>
      </c>
      <c r="L1907" s="10">
        <f>M1907/50</f>
        <v>1751.12</v>
      </c>
      <c r="M1907" s="11">
        <v>87556</v>
      </c>
      <c r="N1907" s="10">
        <f t="shared" si="1947"/>
        <v>424.4</v>
      </c>
      <c r="O1907" s="11">
        <v>21220</v>
      </c>
      <c r="P1907" s="10">
        <f>Q1907/75</f>
        <v>5758.96</v>
      </c>
      <c r="Q1907" s="11">
        <v>431922</v>
      </c>
      <c r="R1907" s="10">
        <v>0</v>
      </c>
      <c r="S1907" s="11">
        <v>0</v>
      </c>
      <c r="T1907" s="10">
        <v>0</v>
      </c>
      <c r="U1907" s="11">
        <v>0</v>
      </c>
      <c r="V1907" s="10">
        <v>0</v>
      </c>
      <c r="W1907" s="11">
        <v>0</v>
      </c>
      <c r="X1907" s="10">
        <f>Y1907/75</f>
        <v>375.44</v>
      </c>
      <c r="Y1907" s="11">
        <v>28158</v>
      </c>
      <c r="Z1907" s="10">
        <v>0</v>
      </c>
      <c r="AA1907" s="11">
        <v>0</v>
      </c>
      <c r="AB1907" s="10">
        <v>0</v>
      </c>
      <c r="AC1907" s="11">
        <v>0</v>
      </c>
      <c r="AD1907" s="10">
        <v>0</v>
      </c>
      <c r="AE1907" s="11">
        <v>0</v>
      </c>
      <c r="AF1907" s="10">
        <v>0</v>
      </c>
      <c r="AG1907" s="11">
        <v>0</v>
      </c>
      <c r="AH1907" s="10">
        <v>0</v>
      </c>
      <c r="AI1907" s="11">
        <v>0</v>
      </c>
      <c r="AJ1907" s="10">
        <f>AK1907/9</f>
        <v>544.88888888888891</v>
      </c>
      <c r="AK1907" s="13">
        <v>4904</v>
      </c>
      <c r="AL1907" s="10">
        <v>0</v>
      </c>
      <c r="AM1907" s="13">
        <v>0</v>
      </c>
      <c r="AN1907" s="10">
        <v>0</v>
      </c>
      <c r="AO1907" s="11">
        <v>0</v>
      </c>
      <c r="AP1907" s="10">
        <v>0</v>
      </c>
      <c r="AQ1907" s="11">
        <v>0</v>
      </c>
      <c r="AR1907" s="10">
        <f t="shared" si="1948"/>
        <v>934</v>
      </c>
      <c r="AS1907" s="11">
        <v>51370</v>
      </c>
      <c r="AT1907" s="10">
        <f>AU1907/55</f>
        <v>102.90909090909091</v>
      </c>
      <c r="AU1907" s="11">
        <v>5660</v>
      </c>
      <c r="AV1907" s="10">
        <v>0</v>
      </c>
      <c r="AW1907" s="11">
        <v>0</v>
      </c>
      <c r="AX1907" s="10">
        <v>0</v>
      </c>
      <c r="AY1907" s="11">
        <v>0</v>
      </c>
      <c r="AZ1907" s="10">
        <f t="shared" si="1949"/>
        <v>7869.9750000000004</v>
      </c>
      <c r="BA1907" s="11">
        <v>314799</v>
      </c>
      <c r="BB1907" s="10">
        <f>BC1907/40</f>
        <v>6.25</v>
      </c>
      <c r="BC1907" s="11">
        <v>250</v>
      </c>
      <c r="BD1907" s="10">
        <v>0</v>
      </c>
      <c r="BE1907" s="11">
        <v>0</v>
      </c>
      <c r="BF1907" s="10">
        <v>0</v>
      </c>
      <c r="BG1907" s="11">
        <v>0</v>
      </c>
      <c r="BH1907" s="11">
        <v>2</v>
      </c>
      <c r="BI1907" s="11">
        <v>0</v>
      </c>
      <c r="BN1907" s="8">
        <f t="shared" si="1923"/>
        <v>17234.383888888889</v>
      </c>
      <c r="BO1907" s="8">
        <f t="shared" si="1925"/>
        <v>918709</v>
      </c>
      <c r="BP1907" s="8">
        <f t="shared" si="1945"/>
        <v>908.9990909090908</v>
      </c>
      <c r="BQ1907" s="12">
        <f t="shared" si="1946"/>
        <v>55288</v>
      </c>
    </row>
    <row r="1908" spans="1:69">
      <c r="A1908" s="28">
        <v>2005</v>
      </c>
      <c r="B1908" s="27" t="s">
        <v>85</v>
      </c>
      <c r="C1908" s="24">
        <f t="shared" si="1886"/>
        <v>1858</v>
      </c>
      <c r="D1908" s="7" t="e">
        <f t="shared" ca="1" si="1885"/>
        <v>#N/A</v>
      </c>
      <c r="E1908" s="26">
        <f t="array" aca="1" ref="E1908" ca="1">AVERAGE(IF(INDIRECT(DatCol&amp;"$"&amp;TEXT(C1908,"###")):INDIRECT(DatCol&amp;"$"&amp;TEXT(C1908+57,"###"))&gt;0,INDIRECT(DatCol&amp;"$"&amp;TEXT(C1908,"###")):INDIRECT(DatCol&amp;"$"&amp;TEXT(C1908+57,"###"))))</f>
        <v>631.72100000000012</v>
      </c>
      <c r="F1908" s="26" t="str">
        <f t="shared" si="1924"/>
        <v>C</v>
      </c>
      <c r="H1908" s="9">
        <v>400</v>
      </c>
      <c r="I1908" s="9">
        <v>177</v>
      </c>
      <c r="J1908" s="9">
        <v>468</v>
      </c>
      <c r="K1908" s="9">
        <f t="shared" si="1926"/>
        <v>868</v>
      </c>
      <c r="L1908" s="10">
        <f>M1908/50</f>
        <v>1800.24</v>
      </c>
      <c r="M1908" s="11">
        <v>90012</v>
      </c>
      <c r="N1908" s="10">
        <f t="shared" si="1947"/>
        <v>545.88</v>
      </c>
      <c r="O1908" s="11">
        <v>27294</v>
      </c>
      <c r="P1908" s="10">
        <f>Q1908/75</f>
        <v>3304.7733333333335</v>
      </c>
      <c r="Q1908" s="11">
        <v>247858</v>
      </c>
      <c r="R1908" s="10">
        <v>0</v>
      </c>
      <c r="S1908" s="11">
        <v>0</v>
      </c>
      <c r="T1908" s="10">
        <v>0</v>
      </c>
      <c r="U1908" s="11">
        <v>0</v>
      </c>
      <c r="V1908" s="10">
        <v>0</v>
      </c>
      <c r="W1908" s="11">
        <v>0</v>
      </c>
      <c r="X1908" s="10">
        <f>Y1908/75</f>
        <v>466.18666666666667</v>
      </c>
      <c r="Y1908" s="11">
        <v>34964</v>
      </c>
      <c r="Z1908" s="10">
        <v>0</v>
      </c>
      <c r="AA1908" s="11">
        <v>0</v>
      </c>
      <c r="AB1908" s="10">
        <v>0</v>
      </c>
      <c r="AC1908" s="11">
        <v>0</v>
      </c>
      <c r="AD1908" s="10">
        <v>0</v>
      </c>
      <c r="AE1908" s="11">
        <v>0</v>
      </c>
      <c r="AF1908" s="10">
        <v>0</v>
      </c>
      <c r="AG1908" s="11">
        <v>0</v>
      </c>
      <c r="AH1908" s="10">
        <v>0</v>
      </c>
      <c r="AI1908" s="11">
        <v>0</v>
      </c>
      <c r="AJ1908" s="10">
        <f>AK1908/9</f>
        <v>808.88888888888891</v>
      </c>
      <c r="AK1908" s="13">
        <v>7280</v>
      </c>
      <c r="AL1908" s="10">
        <f>AM1908/9</f>
        <v>9.3333333333333339</v>
      </c>
      <c r="AM1908" s="13">
        <v>84</v>
      </c>
      <c r="AN1908" s="10">
        <v>0</v>
      </c>
      <c r="AO1908" s="11">
        <v>0</v>
      </c>
      <c r="AP1908" s="10">
        <f>AQ1908/80</f>
        <v>0.75</v>
      </c>
      <c r="AQ1908" s="11">
        <v>60</v>
      </c>
      <c r="AR1908" s="10">
        <f t="shared" si="1948"/>
        <v>500.72727272727275</v>
      </c>
      <c r="AS1908" s="11">
        <v>27540</v>
      </c>
      <c r="AT1908" s="10">
        <f>AU1908/55</f>
        <v>76.472727272727269</v>
      </c>
      <c r="AU1908" s="11">
        <v>4206</v>
      </c>
      <c r="AW1908" s="11">
        <v>163</v>
      </c>
      <c r="AY1908" s="11">
        <v>0</v>
      </c>
      <c r="AZ1908" s="10">
        <f t="shared" si="1949"/>
        <v>2163.65</v>
      </c>
      <c r="BA1908" s="11">
        <v>86546</v>
      </c>
      <c r="BB1908" s="10">
        <f>BC1908/40</f>
        <v>2</v>
      </c>
      <c r="BC1908" s="11">
        <v>80</v>
      </c>
      <c r="BD1908" s="10">
        <v>0</v>
      </c>
      <c r="BE1908" s="11">
        <v>0</v>
      </c>
      <c r="BF1908" s="10">
        <v>0</v>
      </c>
      <c r="BG1908" s="11">
        <v>0</v>
      </c>
      <c r="BN1908" s="8">
        <f t="shared" si="1923"/>
        <v>9044.4661616161611</v>
      </c>
      <c r="BO1908" s="8">
        <f t="shared" si="1925"/>
        <v>494363</v>
      </c>
      <c r="BP1908" s="8">
        <f t="shared" si="1945"/>
        <v>1100.6227272727272</v>
      </c>
      <c r="BQ1908" s="12">
        <f t="shared" si="1946"/>
        <v>66688</v>
      </c>
    </row>
    <row r="1909" spans="1:69">
      <c r="A1909" s="28">
        <v>2006</v>
      </c>
      <c r="B1909" s="27" t="s">
        <v>85</v>
      </c>
      <c r="C1909" s="24">
        <f t="shared" si="1886"/>
        <v>1858</v>
      </c>
      <c r="D1909" s="7" t="e">
        <f t="shared" ca="1" si="1885"/>
        <v>#N/A</v>
      </c>
      <c r="E1909" s="26">
        <f t="array" aca="1" ref="E1909" ca="1">AVERAGE(IF(INDIRECT(DatCol&amp;"$"&amp;TEXT(C1909,"###")):INDIRECT(DatCol&amp;"$"&amp;TEXT(C1909+57,"###"))&gt;0,INDIRECT(DatCol&amp;"$"&amp;TEXT(C1909,"###")):INDIRECT(DatCol&amp;"$"&amp;TEXT(C1909+57,"###"))))</f>
        <v>631.72100000000012</v>
      </c>
      <c r="F1909" s="26" t="str">
        <f t="shared" si="1924"/>
        <v>C</v>
      </c>
      <c r="K1909" s="9">
        <f t="shared" si="1926"/>
        <v>0</v>
      </c>
      <c r="AK1909" s="13"/>
      <c r="AM1909" s="13"/>
      <c r="BN1909" s="8">
        <f t="shared" si="1923"/>
        <v>0</v>
      </c>
      <c r="BO1909" s="8">
        <f t="shared" si="1925"/>
        <v>0</v>
      </c>
      <c r="BP1909" s="8">
        <f t="shared" si="1945"/>
        <v>0</v>
      </c>
      <c r="BQ1909" s="12">
        <f t="shared" si="1946"/>
        <v>0</v>
      </c>
    </row>
    <row r="1910" spans="1:69">
      <c r="A1910" s="28">
        <v>2007</v>
      </c>
      <c r="B1910" s="27" t="s">
        <v>85</v>
      </c>
      <c r="C1910" s="24">
        <f t="shared" si="1886"/>
        <v>1858</v>
      </c>
      <c r="D1910" s="7" t="e">
        <f t="shared" ca="1" si="1885"/>
        <v>#N/A</v>
      </c>
      <c r="E1910" s="26">
        <f t="array" aca="1" ref="E1910" ca="1">AVERAGE(IF(INDIRECT(DatCol&amp;"$"&amp;TEXT(C1910,"###")):INDIRECT(DatCol&amp;"$"&amp;TEXT(C1910+57,"###"))&gt;0,INDIRECT(DatCol&amp;"$"&amp;TEXT(C1910,"###")):INDIRECT(DatCol&amp;"$"&amp;TEXT(C1910+57,"###"))))</f>
        <v>631.72100000000012</v>
      </c>
      <c r="F1910" s="26" t="str">
        <f t="shared" si="1924"/>
        <v>C</v>
      </c>
      <c r="H1910" s="9">
        <v>488</v>
      </c>
      <c r="I1910" s="9">
        <v>219</v>
      </c>
      <c r="J1910" s="9">
        <v>609</v>
      </c>
      <c r="K1910" s="9">
        <f t="shared" si="1926"/>
        <v>1097</v>
      </c>
      <c r="L1910" s="10">
        <f>M1910/50</f>
        <v>3615.78</v>
      </c>
      <c r="M1910" s="11">
        <v>180789</v>
      </c>
      <c r="N1910" s="10">
        <f>O1910/50</f>
        <v>501.96</v>
      </c>
      <c r="O1910" s="11">
        <v>25098</v>
      </c>
      <c r="P1910" s="10">
        <f>Q1910/75</f>
        <v>3477.9866666666667</v>
      </c>
      <c r="Q1910" s="11">
        <v>260849</v>
      </c>
      <c r="X1910" s="10">
        <f>Y1910/75</f>
        <v>662.6</v>
      </c>
      <c r="Y1910" s="11">
        <v>49695</v>
      </c>
      <c r="AF1910" s="10">
        <v>0</v>
      </c>
      <c r="AG1910" s="11">
        <v>0</v>
      </c>
      <c r="AH1910" s="10">
        <v>0</v>
      </c>
      <c r="AI1910" s="11">
        <v>0</v>
      </c>
      <c r="AJ1910" s="10">
        <f>AK1910/9</f>
        <v>7.8888888888888893</v>
      </c>
      <c r="AK1910" s="13">
        <v>71</v>
      </c>
      <c r="AL1910" s="10">
        <f>AM1910/9</f>
        <v>14.444444444444445</v>
      </c>
      <c r="AM1910" s="13">
        <v>130</v>
      </c>
      <c r="AN1910" s="10">
        <f>AO1910/80</f>
        <v>16</v>
      </c>
      <c r="AO1910" s="11">
        <v>1280</v>
      </c>
      <c r="AP1910" s="10">
        <f>AQ1910/80</f>
        <v>3.9375</v>
      </c>
      <c r="AQ1910" s="11">
        <v>315</v>
      </c>
      <c r="AR1910" s="10">
        <f>AS1910/55</f>
        <v>1245.090909090909</v>
      </c>
      <c r="AS1910" s="11">
        <v>68480</v>
      </c>
      <c r="AT1910" s="10">
        <f>AU1910/80</f>
        <v>169.6875</v>
      </c>
      <c r="AU1910" s="11">
        <v>13575</v>
      </c>
      <c r="AV1910" s="10">
        <v>0</v>
      </c>
      <c r="AW1910" s="11">
        <v>0</v>
      </c>
      <c r="AX1910" s="10">
        <v>0</v>
      </c>
      <c r="AY1910" s="11">
        <v>0</v>
      </c>
      <c r="AZ1910" s="10">
        <f>BA1910/40</f>
        <v>352.125</v>
      </c>
      <c r="BA1910" s="11">
        <v>14085</v>
      </c>
      <c r="BB1910" s="10">
        <f>BC1910/40</f>
        <v>1.125</v>
      </c>
      <c r="BC1910" s="11">
        <v>45</v>
      </c>
      <c r="BN1910" s="8">
        <f t="shared" si="1923"/>
        <v>9377.4714646464636</v>
      </c>
      <c r="BO1910" s="8">
        <f t="shared" si="1925"/>
        <v>575249</v>
      </c>
      <c r="BP1910" s="8">
        <f t="shared" si="1945"/>
        <v>1353.7544444444443</v>
      </c>
      <c r="BQ1910" s="12">
        <f t="shared" si="1946"/>
        <v>88858</v>
      </c>
    </row>
    <row r="1911" spans="1:69">
      <c r="A1911" s="28">
        <v>2008</v>
      </c>
      <c r="B1911" s="27" t="s">
        <v>85</v>
      </c>
      <c r="C1911" s="24">
        <f t="shared" si="1886"/>
        <v>1858</v>
      </c>
      <c r="D1911" s="7" t="e">
        <f t="shared" ca="1" si="1885"/>
        <v>#N/A</v>
      </c>
      <c r="E1911" s="26">
        <f t="array" aca="1" ref="E1911" ca="1">AVERAGE(IF(INDIRECT(DatCol&amp;"$"&amp;TEXT(C1911,"###")):INDIRECT(DatCol&amp;"$"&amp;TEXT(C1911+57,"###"))&gt;0,INDIRECT(DatCol&amp;"$"&amp;TEXT(C1911,"###")):INDIRECT(DatCol&amp;"$"&amp;TEXT(C1911+57,"###"))))</f>
        <v>631.72100000000012</v>
      </c>
      <c r="F1911" s="26" t="str">
        <f t="shared" si="1924"/>
        <v>C</v>
      </c>
      <c r="K1911" s="9">
        <f t="shared" si="1926"/>
        <v>0</v>
      </c>
      <c r="AK1911" s="13"/>
      <c r="AM1911" s="13"/>
      <c r="BN1911" s="8">
        <f t="shared" si="1923"/>
        <v>0</v>
      </c>
      <c r="BO1911" s="8">
        <f t="shared" si="1925"/>
        <v>0</v>
      </c>
      <c r="BP1911" s="8">
        <f t="shared" si="1945"/>
        <v>0</v>
      </c>
      <c r="BQ1911" s="12">
        <f t="shared" si="1946"/>
        <v>0</v>
      </c>
    </row>
    <row r="1912" spans="1:69">
      <c r="A1912" s="28">
        <v>2009</v>
      </c>
      <c r="B1912" s="27" t="s">
        <v>85</v>
      </c>
      <c r="C1912" s="24">
        <f t="shared" si="1886"/>
        <v>1858</v>
      </c>
      <c r="D1912" s="7" t="e">
        <f t="shared" ca="1" si="1885"/>
        <v>#N/A</v>
      </c>
      <c r="E1912" s="26">
        <f t="array" aca="1" ref="E1912" ca="1">AVERAGE(IF(INDIRECT(DatCol&amp;"$"&amp;TEXT(C1912,"###")):INDIRECT(DatCol&amp;"$"&amp;TEXT(C1912+57,"###"))&gt;0,INDIRECT(DatCol&amp;"$"&amp;TEXT(C1912,"###")):INDIRECT(DatCol&amp;"$"&amp;TEXT(C1912+57,"###"))))</f>
        <v>631.72100000000012</v>
      </c>
      <c r="F1912" s="26" t="str">
        <f t="shared" si="1924"/>
        <v>C</v>
      </c>
      <c r="K1912" s="9">
        <f t="shared" si="1926"/>
        <v>0</v>
      </c>
      <c r="AK1912" s="13"/>
      <c r="AM1912" s="13"/>
      <c r="BN1912" s="8">
        <f t="shared" si="1923"/>
        <v>0</v>
      </c>
      <c r="BO1912" s="8">
        <f t="shared" si="1925"/>
        <v>0</v>
      </c>
      <c r="BP1912" s="8">
        <f t="shared" si="1945"/>
        <v>0</v>
      </c>
      <c r="BQ1912" s="12">
        <f t="shared" si="1946"/>
        <v>0</v>
      </c>
    </row>
    <row r="1913" spans="1:69">
      <c r="A1913" s="28">
        <v>2010</v>
      </c>
      <c r="B1913" s="27" t="s">
        <v>85</v>
      </c>
      <c r="C1913" s="24">
        <f t="shared" si="1886"/>
        <v>1858</v>
      </c>
      <c r="D1913" s="7" t="e">
        <f t="shared" ca="1" si="1885"/>
        <v>#N/A</v>
      </c>
      <c r="E1913" s="26">
        <f t="array" aca="1" ref="E1913" ca="1">AVERAGE(IF(INDIRECT(DatCol&amp;"$"&amp;TEXT(C1913,"###")):INDIRECT(DatCol&amp;"$"&amp;TEXT(C1913+57,"###"))&gt;0,INDIRECT(DatCol&amp;"$"&amp;TEXT(C1913,"###")):INDIRECT(DatCol&amp;"$"&amp;TEXT(C1913+57,"###"))))</f>
        <v>631.72100000000012</v>
      </c>
      <c r="F1913" s="26" t="str">
        <f t="shared" ref="F1913:F1915" si="1950">VLOOKUP(B1913,town_region,2,FALSE)</f>
        <v>C</v>
      </c>
      <c r="AK1913" s="13"/>
      <c r="AM1913" s="13"/>
      <c r="BN1913" s="8"/>
      <c r="BO1913" s="8"/>
      <c r="BP1913" s="8"/>
      <c r="BQ1913" s="12"/>
    </row>
    <row r="1914" spans="1:69">
      <c r="A1914" s="28">
        <v>2011</v>
      </c>
      <c r="B1914" s="27" t="s">
        <v>85</v>
      </c>
      <c r="C1914" s="24">
        <f t="shared" si="1886"/>
        <v>1858</v>
      </c>
      <c r="D1914" s="7" t="e">
        <f t="shared" ca="1" si="1885"/>
        <v>#N/A</v>
      </c>
      <c r="E1914" s="26">
        <f t="array" aca="1" ref="E1914" ca="1">AVERAGE(IF(INDIRECT(DatCol&amp;"$"&amp;TEXT(C1914,"###")):INDIRECT(DatCol&amp;"$"&amp;TEXT(C1914+57,"###"))&gt;0,INDIRECT(DatCol&amp;"$"&amp;TEXT(C1914,"###")):INDIRECT(DatCol&amp;"$"&amp;TEXT(C1914+57,"###"))))</f>
        <v>631.72100000000012</v>
      </c>
      <c r="F1914" s="26" t="str">
        <f t="shared" si="1950"/>
        <v>C</v>
      </c>
      <c r="AK1914" s="13"/>
      <c r="AM1914" s="13"/>
      <c r="BN1914" s="8"/>
      <c r="BO1914" s="8"/>
      <c r="BP1914" s="8"/>
      <c r="BQ1914" s="12"/>
    </row>
    <row r="1915" spans="1:69">
      <c r="A1915" s="28">
        <v>2012</v>
      </c>
      <c r="B1915" s="27" t="s">
        <v>85</v>
      </c>
      <c r="C1915" s="24">
        <f t="shared" si="1886"/>
        <v>1858</v>
      </c>
      <c r="D1915" s="7" t="e">
        <f t="shared" ca="1" si="1885"/>
        <v>#N/A</v>
      </c>
      <c r="E1915" s="26">
        <f t="array" aca="1" ref="E1915" ca="1">AVERAGE(IF(INDIRECT(DatCol&amp;"$"&amp;TEXT(C1915,"###")):INDIRECT(DatCol&amp;"$"&amp;TEXT(C1915+57,"###"))&gt;0,INDIRECT(DatCol&amp;"$"&amp;TEXT(C1915,"###")):INDIRECT(DatCol&amp;"$"&amp;TEXT(C1915+57,"###"))))</f>
        <v>631.72100000000012</v>
      </c>
      <c r="F1915" s="26" t="str">
        <f t="shared" si="1950"/>
        <v>C</v>
      </c>
      <c r="AK1915" s="13"/>
      <c r="AM1915" s="13"/>
      <c r="BN1915" s="8"/>
      <c r="BO1915" s="8"/>
      <c r="BP1915" s="8"/>
      <c r="BQ1915" s="12"/>
    </row>
    <row r="1916" spans="1:69">
      <c r="A1916" s="28">
        <v>1955</v>
      </c>
      <c r="B1916" s="27" t="s">
        <v>88</v>
      </c>
      <c r="C1916" s="24">
        <f>ROW()</f>
        <v>1916</v>
      </c>
      <c r="D1916" s="7" t="e">
        <f t="shared" ca="1" si="1885"/>
        <v>#N/A</v>
      </c>
      <c r="E1916" s="26">
        <f t="array" aca="1" ref="E1916" ca="1">AVERAGE(IF(INDIRECT(DatCol&amp;"$"&amp;TEXT(C1916,"###")):INDIRECT(DatCol&amp;"$"&amp;TEXT(C1916+57,"###"))&gt;0,INDIRECT(DatCol&amp;"$"&amp;TEXT(C1916,"###")):INDIRECT(DatCol&amp;"$"&amp;TEXT(C1916+57,"###"))))</f>
        <v>80.576388888888872</v>
      </c>
      <c r="F1916" s="26" t="str">
        <f t="shared" si="1924"/>
        <v>C</v>
      </c>
      <c r="G1916" s="8"/>
      <c r="K1916" s="9">
        <f t="shared" si="1926"/>
        <v>0</v>
      </c>
      <c r="M1916" s="11">
        <f t="shared" si="1927"/>
        <v>0</v>
      </c>
      <c r="O1916" s="11">
        <f t="shared" si="1928"/>
        <v>0</v>
      </c>
      <c r="Q1916" s="11">
        <f t="shared" si="1929"/>
        <v>0</v>
      </c>
      <c r="Y1916" s="11">
        <f t="shared" si="1930"/>
        <v>0</v>
      </c>
      <c r="AG1916" s="11">
        <f t="shared" si="1931"/>
        <v>0</v>
      </c>
      <c r="AI1916" s="11">
        <f t="shared" si="1932"/>
        <v>0</v>
      </c>
      <c r="AK1916" s="13">
        <f t="shared" si="1933"/>
        <v>0</v>
      </c>
      <c r="AM1916" s="13">
        <f t="shared" si="1934"/>
        <v>0</v>
      </c>
      <c r="AO1916" s="11">
        <f t="shared" si="1935"/>
        <v>0</v>
      </c>
      <c r="AQ1916" s="11">
        <f t="shared" si="1936"/>
        <v>0</v>
      </c>
      <c r="AS1916" s="11">
        <f t="shared" si="1937"/>
        <v>0</v>
      </c>
      <c r="AU1916" s="11">
        <f t="shared" si="1938"/>
        <v>0</v>
      </c>
      <c r="AW1916" s="11">
        <f t="shared" si="1939"/>
        <v>0</v>
      </c>
      <c r="AY1916" s="11">
        <f t="shared" si="1940"/>
        <v>0</v>
      </c>
      <c r="BA1916" s="11">
        <f t="shared" si="1941"/>
        <v>0</v>
      </c>
      <c r="BC1916" s="11">
        <f t="shared" si="1942"/>
        <v>0</v>
      </c>
      <c r="BE1916" s="11">
        <f t="shared" si="1943"/>
        <v>0</v>
      </c>
      <c r="BG1916" s="11">
        <f t="shared" si="1944"/>
        <v>0</v>
      </c>
      <c r="BN1916" s="8">
        <f t="shared" si="1923"/>
        <v>0</v>
      </c>
      <c r="BO1916" s="8">
        <f t="shared" si="1925"/>
        <v>0</v>
      </c>
      <c r="BP1916" s="8">
        <f t="shared" si="1945"/>
        <v>0</v>
      </c>
      <c r="BQ1916" s="12">
        <f t="shared" si="1946"/>
        <v>0</v>
      </c>
    </row>
    <row r="1917" spans="1:69">
      <c r="A1917" s="28">
        <v>1956</v>
      </c>
      <c r="B1917" s="27" t="s">
        <v>88</v>
      </c>
      <c r="C1917" s="24">
        <f t="shared" ref="C1917:C1973" si="1951">C1916</f>
        <v>1916</v>
      </c>
      <c r="D1917" s="7" t="e">
        <f t="shared" ca="1" si="1885"/>
        <v>#N/A</v>
      </c>
      <c r="E1917" s="26">
        <f t="array" aca="1" ref="E1917" ca="1">AVERAGE(IF(INDIRECT(DatCol&amp;"$"&amp;TEXT(C1917,"###")):INDIRECT(DatCol&amp;"$"&amp;TEXT(C1917+57,"###"))&gt;0,INDIRECT(DatCol&amp;"$"&amp;TEXT(C1917,"###")):INDIRECT(DatCol&amp;"$"&amp;TEXT(C1917+57,"###"))))</f>
        <v>80.576388888888872</v>
      </c>
      <c r="F1917" s="26" t="str">
        <f t="shared" si="1924"/>
        <v>C</v>
      </c>
      <c r="G1917" s="8"/>
      <c r="K1917" s="9">
        <f t="shared" si="1926"/>
        <v>0</v>
      </c>
      <c r="M1917" s="11">
        <f t="shared" si="1927"/>
        <v>0</v>
      </c>
      <c r="O1917" s="11">
        <f t="shared" si="1928"/>
        <v>0</v>
      </c>
      <c r="Q1917" s="11">
        <f t="shared" si="1929"/>
        <v>0</v>
      </c>
      <c r="Y1917" s="11">
        <f t="shared" si="1930"/>
        <v>0</v>
      </c>
      <c r="AG1917" s="11">
        <f t="shared" si="1931"/>
        <v>0</v>
      </c>
      <c r="AI1917" s="11">
        <f t="shared" si="1932"/>
        <v>0</v>
      </c>
      <c r="AK1917" s="13">
        <f t="shared" si="1933"/>
        <v>0</v>
      </c>
      <c r="AM1917" s="13">
        <f t="shared" si="1934"/>
        <v>0</v>
      </c>
      <c r="AO1917" s="11">
        <f t="shared" si="1935"/>
        <v>0</v>
      </c>
      <c r="AQ1917" s="11">
        <f t="shared" si="1936"/>
        <v>0</v>
      </c>
      <c r="AS1917" s="11">
        <f t="shared" si="1937"/>
        <v>0</v>
      </c>
      <c r="AU1917" s="11">
        <f t="shared" si="1938"/>
        <v>0</v>
      </c>
      <c r="AW1917" s="11">
        <f t="shared" si="1939"/>
        <v>0</v>
      </c>
      <c r="AY1917" s="11">
        <f t="shared" si="1940"/>
        <v>0</v>
      </c>
      <c r="BA1917" s="11">
        <f t="shared" si="1941"/>
        <v>0</v>
      </c>
      <c r="BC1917" s="11">
        <f t="shared" si="1942"/>
        <v>0</v>
      </c>
      <c r="BE1917" s="11">
        <f t="shared" si="1943"/>
        <v>0</v>
      </c>
      <c r="BG1917" s="11">
        <f t="shared" si="1944"/>
        <v>0</v>
      </c>
      <c r="BN1917" s="8">
        <f t="shared" si="1923"/>
        <v>0</v>
      </c>
      <c r="BO1917" s="8">
        <f t="shared" si="1925"/>
        <v>0</v>
      </c>
      <c r="BP1917" s="8">
        <f t="shared" si="1945"/>
        <v>0</v>
      </c>
      <c r="BQ1917" s="12">
        <f t="shared" si="1946"/>
        <v>0</v>
      </c>
    </row>
    <row r="1918" spans="1:69">
      <c r="A1918" s="28">
        <v>1957</v>
      </c>
      <c r="B1918" s="27" t="s">
        <v>88</v>
      </c>
      <c r="C1918" s="24">
        <f t="shared" si="1951"/>
        <v>1916</v>
      </c>
      <c r="D1918" s="7" t="e">
        <f t="shared" ca="1" si="1885"/>
        <v>#N/A</v>
      </c>
      <c r="E1918" s="26">
        <f t="array" aca="1" ref="E1918" ca="1">AVERAGE(IF(INDIRECT(DatCol&amp;"$"&amp;TEXT(C1918,"###")):INDIRECT(DatCol&amp;"$"&amp;TEXT(C1918+57,"###"))&gt;0,INDIRECT(DatCol&amp;"$"&amp;TEXT(C1918,"###")):INDIRECT(DatCol&amp;"$"&amp;TEXT(C1918+57,"###"))))</f>
        <v>80.576388888888872</v>
      </c>
      <c r="F1918" s="26" t="str">
        <f t="shared" si="1924"/>
        <v>C</v>
      </c>
      <c r="G1918" s="8"/>
      <c r="K1918" s="9">
        <f t="shared" si="1926"/>
        <v>0</v>
      </c>
      <c r="M1918" s="11">
        <f t="shared" si="1927"/>
        <v>0</v>
      </c>
      <c r="O1918" s="11">
        <f t="shared" si="1928"/>
        <v>0</v>
      </c>
      <c r="Q1918" s="11">
        <f t="shared" si="1929"/>
        <v>0</v>
      </c>
      <c r="Y1918" s="11">
        <f t="shared" si="1930"/>
        <v>0</v>
      </c>
      <c r="AG1918" s="11">
        <f t="shared" si="1931"/>
        <v>0</v>
      </c>
      <c r="AI1918" s="11">
        <f t="shared" si="1932"/>
        <v>0</v>
      </c>
      <c r="AK1918" s="13">
        <f t="shared" si="1933"/>
        <v>0</v>
      </c>
      <c r="AM1918" s="13">
        <f t="shared" si="1934"/>
        <v>0</v>
      </c>
      <c r="AO1918" s="11">
        <f t="shared" si="1935"/>
        <v>0</v>
      </c>
      <c r="AQ1918" s="11">
        <f t="shared" si="1936"/>
        <v>0</v>
      </c>
      <c r="AS1918" s="11">
        <f t="shared" si="1937"/>
        <v>0</v>
      </c>
      <c r="AU1918" s="11">
        <f t="shared" si="1938"/>
        <v>0</v>
      </c>
      <c r="AW1918" s="11">
        <f t="shared" si="1939"/>
        <v>0</v>
      </c>
      <c r="AY1918" s="11">
        <f t="shared" si="1940"/>
        <v>0</v>
      </c>
      <c r="BA1918" s="11">
        <f t="shared" si="1941"/>
        <v>0</v>
      </c>
      <c r="BC1918" s="11">
        <f t="shared" si="1942"/>
        <v>0</v>
      </c>
      <c r="BE1918" s="11">
        <f t="shared" si="1943"/>
        <v>0</v>
      </c>
      <c r="BG1918" s="11">
        <f t="shared" si="1944"/>
        <v>0</v>
      </c>
      <c r="BN1918" s="8">
        <f t="shared" si="1923"/>
        <v>0</v>
      </c>
      <c r="BO1918" s="8">
        <f t="shared" si="1925"/>
        <v>0</v>
      </c>
      <c r="BP1918" s="8">
        <f t="shared" si="1945"/>
        <v>0</v>
      </c>
      <c r="BQ1918" s="12">
        <f t="shared" si="1946"/>
        <v>0</v>
      </c>
    </row>
    <row r="1919" spans="1:69">
      <c r="A1919" s="28">
        <v>1958</v>
      </c>
      <c r="B1919" s="27" t="s">
        <v>88</v>
      </c>
      <c r="C1919" s="24">
        <f t="shared" si="1951"/>
        <v>1916</v>
      </c>
      <c r="D1919" s="7" t="e">
        <f t="shared" ca="1" si="1885"/>
        <v>#N/A</v>
      </c>
      <c r="E1919" s="26">
        <f t="array" aca="1" ref="E1919" ca="1">AVERAGE(IF(INDIRECT(DatCol&amp;"$"&amp;TEXT(C1919,"###")):INDIRECT(DatCol&amp;"$"&amp;TEXT(C1919+57,"###"))&gt;0,INDIRECT(DatCol&amp;"$"&amp;TEXT(C1919,"###")):INDIRECT(DatCol&amp;"$"&amp;TEXT(C1919+57,"###"))))</f>
        <v>80.576388888888872</v>
      </c>
      <c r="F1919" s="26" t="str">
        <f t="shared" si="1924"/>
        <v>C</v>
      </c>
      <c r="G1919" s="8"/>
      <c r="K1919" s="9">
        <f t="shared" si="1926"/>
        <v>0</v>
      </c>
      <c r="M1919" s="11">
        <f t="shared" si="1927"/>
        <v>0</v>
      </c>
      <c r="O1919" s="11">
        <f t="shared" si="1928"/>
        <v>0</v>
      </c>
      <c r="Q1919" s="11">
        <f t="shared" si="1929"/>
        <v>0</v>
      </c>
      <c r="Y1919" s="11">
        <f t="shared" si="1930"/>
        <v>0</v>
      </c>
      <c r="AG1919" s="11">
        <f t="shared" si="1931"/>
        <v>0</v>
      </c>
      <c r="AI1919" s="11">
        <f t="shared" si="1932"/>
        <v>0</v>
      </c>
      <c r="AK1919" s="13">
        <f t="shared" si="1933"/>
        <v>0</v>
      </c>
      <c r="AM1919" s="13">
        <f t="shared" si="1934"/>
        <v>0</v>
      </c>
      <c r="AO1919" s="11">
        <f t="shared" si="1935"/>
        <v>0</v>
      </c>
      <c r="AQ1919" s="11">
        <f t="shared" si="1936"/>
        <v>0</v>
      </c>
      <c r="AS1919" s="11">
        <f t="shared" si="1937"/>
        <v>0</v>
      </c>
      <c r="AU1919" s="11">
        <f t="shared" si="1938"/>
        <v>0</v>
      </c>
      <c r="AW1919" s="11">
        <f t="shared" si="1939"/>
        <v>0</v>
      </c>
      <c r="AY1919" s="11">
        <f t="shared" si="1940"/>
        <v>0</v>
      </c>
      <c r="BA1919" s="11">
        <f t="shared" si="1941"/>
        <v>0</v>
      </c>
      <c r="BC1919" s="11">
        <f t="shared" si="1942"/>
        <v>0</v>
      </c>
      <c r="BE1919" s="11">
        <f t="shared" si="1943"/>
        <v>0</v>
      </c>
      <c r="BG1919" s="11">
        <f t="shared" si="1944"/>
        <v>0</v>
      </c>
      <c r="BN1919" s="8">
        <f t="shared" si="1923"/>
        <v>0</v>
      </c>
      <c r="BO1919" s="8">
        <f t="shared" si="1925"/>
        <v>0</v>
      </c>
      <c r="BP1919" s="8">
        <f t="shared" si="1945"/>
        <v>0</v>
      </c>
      <c r="BQ1919" s="12">
        <f t="shared" si="1946"/>
        <v>0</v>
      </c>
    </row>
    <row r="1920" spans="1:69">
      <c r="A1920" s="28">
        <v>1959</v>
      </c>
      <c r="B1920" s="27" t="s">
        <v>88</v>
      </c>
      <c r="C1920" s="24">
        <f t="shared" si="1951"/>
        <v>1916</v>
      </c>
      <c r="D1920" s="7" t="e">
        <f t="shared" ca="1" si="1885"/>
        <v>#N/A</v>
      </c>
      <c r="E1920" s="26">
        <f t="array" aca="1" ref="E1920" ca="1">AVERAGE(IF(INDIRECT(DatCol&amp;"$"&amp;TEXT(C1920,"###")):INDIRECT(DatCol&amp;"$"&amp;TEXT(C1920+57,"###"))&gt;0,INDIRECT(DatCol&amp;"$"&amp;TEXT(C1920,"###")):INDIRECT(DatCol&amp;"$"&amp;TEXT(C1920+57,"###"))))</f>
        <v>80.576388888888872</v>
      </c>
      <c r="F1920" s="26" t="str">
        <f t="shared" si="1924"/>
        <v>C</v>
      </c>
      <c r="G1920" s="8"/>
      <c r="K1920" s="9">
        <f t="shared" si="1926"/>
        <v>0</v>
      </c>
      <c r="M1920" s="11">
        <f t="shared" si="1927"/>
        <v>0</v>
      </c>
      <c r="O1920" s="11">
        <f t="shared" si="1928"/>
        <v>0</v>
      </c>
      <c r="Q1920" s="11">
        <f t="shared" si="1929"/>
        <v>0</v>
      </c>
      <c r="Y1920" s="11">
        <f t="shared" si="1930"/>
        <v>0</v>
      </c>
      <c r="AG1920" s="11">
        <f t="shared" si="1931"/>
        <v>0</v>
      </c>
      <c r="AI1920" s="11">
        <f t="shared" si="1932"/>
        <v>0</v>
      </c>
      <c r="AK1920" s="13">
        <f t="shared" si="1933"/>
        <v>0</v>
      </c>
      <c r="AM1920" s="13">
        <f t="shared" si="1934"/>
        <v>0</v>
      </c>
      <c r="AO1920" s="11">
        <f t="shared" si="1935"/>
        <v>0</v>
      </c>
      <c r="AQ1920" s="11">
        <f t="shared" si="1936"/>
        <v>0</v>
      </c>
      <c r="AS1920" s="11">
        <f t="shared" si="1937"/>
        <v>0</v>
      </c>
      <c r="AU1920" s="11">
        <f t="shared" si="1938"/>
        <v>0</v>
      </c>
      <c r="AW1920" s="11">
        <f t="shared" si="1939"/>
        <v>0</v>
      </c>
      <c r="AY1920" s="11">
        <f t="shared" si="1940"/>
        <v>0</v>
      </c>
      <c r="BA1920" s="11">
        <f t="shared" si="1941"/>
        <v>0</v>
      </c>
      <c r="BC1920" s="11">
        <f t="shared" si="1942"/>
        <v>0</v>
      </c>
      <c r="BE1920" s="11">
        <f t="shared" si="1943"/>
        <v>0</v>
      </c>
      <c r="BG1920" s="11">
        <f t="shared" si="1944"/>
        <v>0</v>
      </c>
      <c r="BN1920" s="8">
        <f t="shared" si="1923"/>
        <v>0</v>
      </c>
      <c r="BO1920" s="8">
        <f t="shared" si="1925"/>
        <v>0</v>
      </c>
      <c r="BP1920" s="8">
        <f t="shared" si="1945"/>
        <v>0</v>
      </c>
      <c r="BQ1920" s="12">
        <f t="shared" si="1946"/>
        <v>0</v>
      </c>
    </row>
    <row r="1921" spans="1:69">
      <c r="A1921" s="28">
        <v>1960</v>
      </c>
      <c r="B1921" s="27" t="s">
        <v>88</v>
      </c>
      <c r="C1921" s="24">
        <f t="shared" si="1951"/>
        <v>1916</v>
      </c>
      <c r="D1921" s="7" t="e">
        <f t="shared" ca="1" si="1885"/>
        <v>#N/A</v>
      </c>
      <c r="E1921" s="26">
        <f t="array" aca="1" ref="E1921" ca="1">AVERAGE(IF(INDIRECT(DatCol&amp;"$"&amp;TEXT(C1921,"###")):INDIRECT(DatCol&amp;"$"&amp;TEXT(C1921+57,"###"))&gt;0,INDIRECT(DatCol&amp;"$"&amp;TEXT(C1921,"###")):INDIRECT(DatCol&amp;"$"&amp;TEXT(C1921+57,"###"))))</f>
        <v>80.576388888888872</v>
      </c>
      <c r="F1921" s="26" t="str">
        <f t="shared" si="1924"/>
        <v>C</v>
      </c>
      <c r="G1921" s="8"/>
      <c r="K1921" s="9">
        <f t="shared" si="1926"/>
        <v>0</v>
      </c>
      <c r="M1921" s="11">
        <f t="shared" si="1927"/>
        <v>0</v>
      </c>
      <c r="O1921" s="11">
        <f t="shared" si="1928"/>
        <v>0</v>
      </c>
      <c r="Q1921" s="11">
        <f t="shared" si="1929"/>
        <v>0</v>
      </c>
      <c r="Y1921" s="11">
        <f t="shared" si="1930"/>
        <v>0</v>
      </c>
      <c r="AG1921" s="11">
        <f t="shared" si="1931"/>
        <v>0</v>
      </c>
      <c r="AI1921" s="11">
        <f t="shared" si="1932"/>
        <v>0</v>
      </c>
      <c r="AK1921" s="13">
        <f t="shared" si="1933"/>
        <v>0</v>
      </c>
      <c r="AM1921" s="13">
        <f t="shared" si="1934"/>
        <v>0</v>
      </c>
      <c r="AO1921" s="11">
        <f t="shared" si="1935"/>
        <v>0</v>
      </c>
      <c r="AQ1921" s="11">
        <f t="shared" si="1936"/>
        <v>0</v>
      </c>
      <c r="AS1921" s="11">
        <f t="shared" si="1937"/>
        <v>0</v>
      </c>
      <c r="AU1921" s="11">
        <f t="shared" si="1938"/>
        <v>0</v>
      </c>
      <c r="AW1921" s="11">
        <f t="shared" si="1939"/>
        <v>0</v>
      </c>
      <c r="AY1921" s="11">
        <f t="shared" si="1940"/>
        <v>0</v>
      </c>
      <c r="BA1921" s="11">
        <f t="shared" si="1941"/>
        <v>0</v>
      </c>
      <c r="BC1921" s="11">
        <f t="shared" si="1942"/>
        <v>0</v>
      </c>
      <c r="BE1921" s="11">
        <f t="shared" si="1943"/>
        <v>0</v>
      </c>
      <c r="BG1921" s="11">
        <f t="shared" si="1944"/>
        <v>0</v>
      </c>
      <c r="BN1921" s="8">
        <f t="shared" si="1923"/>
        <v>0</v>
      </c>
      <c r="BO1921" s="8">
        <f t="shared" si="1925"/>
        <v>0</v>
      </c>
      <c r="BP1921" s="8">
        <f t="shared" si="1945"/>
        <v>0</v>
      </c>
      <c r="BQ1921" s="12">
        <f t="shared" si="1946"/>
        <v>0</v>
      </c>
    </row>
    <row r="1922" spans="1:69">
      <c r="A1922" s="28">
        <v>1961</v>
      </c>
      <c r="B1922" s="27" t="s">
        <v>88</v>
      </c>
      <c r="C1922" s="24">
        <f t="shared" si="1951"/>
        <v>1916</v>
      </c>
      <c r="D1922" s="7" t="e">
        <f t="shared" ref="D1922:D1985" ca="1" si="1952">IF(AND((INDIRECT(DatCol&amp;TEXT(ROW(),"###"))&gt;0),((F1922=RegionSelect)+(RegionSelect="A"))),INDIRECT(DatCol&amp;TEXT(ROW(),"###"))/E1922,NA())</f>
        <v>#N/A</v>
      </c>
      <c r="E1922" s="26">
        <f t="array" aca="1" ref="E1922" ca="1">AVERAGE(IF(INDIRECT(DatCol&amp;"$"&amp;TEXT(C1922,"###")):INDIRECT(DatCol&amp;"$"&amp;TEXT(C1922+57,"###"))&gt;0,INDIRECT(DatCol&amp;"$"&amp;TEXT(C1922,"###")):INDIRECT(DatCol&amp;"$"&amp;TEXT(C1922+57,"###"))))</f>
        <v>80.576388888888872</v>
      </c>
      <c r="F1922" s="26" t="str">
        <f t="shared" si="1924"/>
        <v>C</v>
      </c>
      <c r="G1922" s="8"/>
      <c r="K1922" s="9">
        <f t="shared" si="1926"/>
        <v>0</v>
      </c>
      <c r="M1922" s="11">
        <f t="shared" ref="M1922:M1937" si="1953">(L1922*50)</f>
        <v>0</v>
      </c>
      <c r="O1922" s="11">
        <f t="shared" ref="O1922:O1937" si="1954">(N1922*50)</f>
        <v>0</v>
      </c>
      <c r="Q1922" s="11">
        <f t="shared" ref="Q1922:Q1937" si="1955">((P1922*330)/5.5)</f>
        <v>0</v>
      </c>
      <c r="Y1922" s="11">
        <f t="shared" ref="Y1922:Y1937" si="1956">((X1922*330)/5.5)</f>
        <v>0</v>
      </c>
      <c r="AG1922" s="11">
        <f t="shared" ref="AG1922:AG1937" si="1957">(AF1922*65)</f>
        <v>0</v>
      </c>
      <c r="AI1922" s="11">
        <f t="shared" ref="AI1922:AI1937" si="1958">(AH1922*65)</f>
        <v>0</v>
      </c>
      <c r="AK1922" s="13">
        <f t="shared" ref="AK1922:AK1937" si="1959">(AJ1922*9)</f>
        <v>0</v>
      </c>
      <c r="AM1922" s="13">
        <f t="shared" ref="AM1922:AM1937" si="1960">(AL1922*9)</f>
        <v>0</v>
      </c>
      <c r="AO1922" s="11">
        <f t="shared" ref="AO1922:AO1937" si="1961">(AN1922*80)</f>
        <v>0</v>
      </c>
      <c r="AQ1922" s="11">
        <f t="shared" ref="AQ1922:AQ1937" si="1962">(AP1922*80)</f>
        <v>0</v>
      </c>
      <c r="AS1922" s="11">
        <f t="shared" ref="AS1922:AS1937" si="1963">(AR1922*50)</f>
        <v>0</v>
      </c>
      <c r="AU1922" s="11">
        <f t="shared" ref="AU1922:AU1937" si="1964">(AT1922*50)</f>
        <v>0</v>
      </c>
      <c r="AW1922" s="11">
        <f t="shared" ref="AW1922:AW1937" si="1965">(AV1922*60)</f>
        <v>0</v>
      </c>
      <c r="AY1922" s="11">
        <f t="shared" ref="AY1922:AY1937" si="1966">(AX1922*60)</f>
        <v>0</v>
      </c>
      <c r="BA1922" s="11">
        <f t="shared" ref="BA1922:BA1937" si="1967">(AZ1922*40)</f>
        <v>0</v>
      </c>
      <c r="BC1922" s="11">
        <f t="shared" ref="BC1922:BC1937" si="1968">(BB1922*40)</f>
        <v>0</v>
      </c>
      <c r="BE1922" s="11">
        <f t="shared" ref="BE1922:BE1937" si="1969">(BD1922*95)</f>
        <v>0</v>
      </c>
      <c r="BG1922" s="11">
        <f t="shared" ref="BG1922:BG1937" si="1970">(BF1922*95)</f>
        <v>0</v>
      </c>
      <c r="BN1922" s="8">
        <f t="shared" si="1923"/>
        <v>0</v>
      </c>
      <c r="BO1922" s="8">
        <f t="shared" si="1925"/>
        <v>0</v>
      </c>
      <c r="BP1922" s="8">
        <f t="shared" si="1945"/>
        <v>0</v>
      </c>
      <c r="BQ1922" s="12">
        <f t="shared" si="1946"/>
        <v>0</v>
      </c>
    </row>
    <row r="1923" spans="1:69">
      <c r="A1923" s="28">
        <v>1962</v>
      </c>
      <c r="B1923" s="27" t="s">
        <v>88</v>
      </c>
      <c r="C1923" s="24">
        <f t="shared" si="1951"/>
        <v>1916</v>
      </c>
      <c r="D1923" s="7" t="e">
        <f t="shared" ca="1" si="1952"/>
        <v>#N/A</v>
      </c>
      <c r="E1923" s="26">
        <f t="array" aca="1" ref="E1923" ca="1">AVERAGE(IF(INDIRECT(DatCol&amp;"$"&amp;TEXT(C1923,"###")):INDIRECT(DatCol&amp;"$"&amp;TEXT(C1923+57,"###"))&gt;0,INDIRECT(DatCol&amp;"$"&amp;TEXT(C1923,"###")):INDIRECT(DatCol&amp;"$"&amp;TEXT(C1923+57,"###"))))</f>
        <v>80.576388888888872</v>
      </c>
      <c r="F1923" s="26" t="str">
        <f t="shared" si="1924"/>
        <v>C</v>
      </c>
      <c r="G1923" s="8"/>
      <c r="K1923" s="9">
        <f t="shared" si="1926"/>
        <v>0</v>
      </c>
      <c r="M1923" s="11">
        <f t="shared" si="1953"/>
        <v>0</v>
      </c>
      <c r="O1923" s="11">
        <f t="shared" si="1954"/>
        <v>0</v>
      </c>
      <c r="Q1923" s="11">
        <f t="shared" si="1955"/>
        <v>0</v>
      </c>
      <c r="Y1923" s="11">
        <f t="shared" si="1956"/>
        <v>0</v>
      </c>
      <c r="AG1923" s="11">
        <f t="shared" si="1957"/>
        <v>0</v>
      </c>
      <c r="AI1923" s="11">
        <f t="shared" si="1958"/>
        <v>0</v>
      </c>
      <c r="AK1923" s="13">
        <f t="shared" si="1959"/>
        <v>0</v>
      </c>
      <c r="AM1923" s="13">
        <f t="shared" si="1960"/>
        <v>0</v>
      </c>
      <c r="AO1923" s="11">
        <f t="shared" si="1961"/>
        <v>0</v>
      </c>
      <c r="AQ1923" s="11">
        <f t="shared" si="1962"/>
        <v>0</v>
      </c>
      <c r="AS1923" s="11">
        <f t="shared" si="1963"/>
        <v>0</v>
      </c>
      <c r="AU1923" s="11">
        <f t="shared" si="1964"/>
        <v>0</v>
      </c>
      <c r="AW1923" s="11">
        <f t="shared" si="1965"/>
        <v>0</v>
      </c>
      <c r="AY1923" s="11">
        <f t="shared" si="1966"/>
        <v>0</v>
      </c>
      <c r="BA1923" s="11">
        <f t="shared" si="1967"/>
        <v>0</v>
      </c>
      <c r="BC1923" s="11">
        <f t="shared" si="1968"/>
        <v>0</v>
      </c>
      <c r="BE1923" s="11">
        <f t="shared" si="1969"/>
        <v>0</v>
      </c>
      <c r="BG1923" s="11">
        <f t="shared" si="1970"/>
        <v>0</v>
      </c>
      <c r="BN1923" s="8">
        <f t="shared" si="1923"/>
        <v>0</v>
      </c>
      <c r="BO1923" s="8">
        <f t="shared" si="1925"/>
        <v>0</v>
      </c>
      <c r="BP1923" s="8">
        <f t="shared" si="1945"/>
        <v>0</v>
      </c>
      <c r="BQ1923" s="12">
        <f t="shared" si="1946"/>
        <v>0</v>
      </c>
    </row>
    <row r="1924" spans="1:69">
      <c r="A1924" s="28">
        <v>1963</v>
      </c>
      <c r="B1924" s="27" t="s">
        <v>88</v>
      </c>
      <c r="C1924" s="24">
        <f t="shared" si="1951"/>
        <v>1916</v>
      </c>
      <c r="D1924" s="7" t="e">
        <f t="shared" ca="1" si="1952"/>
        <v>#N/A</v>
      </c>
      <c r="E1924" s="26">
        <f t="array" aca="1" ref="E1924" ca="1">AVERAGE(IF(INDIRECT(DatCol&amp;"$"&amp;TEXT(C1924,"###")):INDIRECT(DatCol&amp;"$"&amp;TEXT(C1924+57,"###"))&gt;0,INDIRECT(DatCol&amp;"$"&amp;TEXT(C1924,"###")):INDIRECT(DatCol&amp;"$"&amp;TEXT(C1924+57,"###"))))</f>
        <v>80.576388888888872</v>
      </c>
      <c r="F1924" s="26" t="str">
        <f t="shared" si="1924"/>
        <v>C</v>
      </c>
      <c r="G1924" s="8"/>
      <c r="K1924" s="9">
        <f t="shared" si="1926"/>
        <v>0</v>
      </c>
      <c r="M1924" s="11">
        <f t="shared" si="1953"/>
        <v>0</v>
      </c>
      <c r="O1924" s="11">
        <f t="shared" si="1954"/>
        <v>0</v>
      </c>
      <c r="Q1924" s="11">
        <f t="shared" si="1955"/>
        <v>0</v>
      </c>
      <c r="Y1924" s="11">
        <f t="shared" si="1956"/>
        <v>0</v>
      </c>
      <c r="AG1924" s="11">
        <f t="shared" si="1957"/>
        <v>0</v>
      </c>
      <c r="AI1924" s="11">
        <f t="shared" si="1958"/>
        <v>0</v>
      </c>
      <c r="AK1924" s="13">
        <f t="shared" si="1959"/>
        <v>0</v>
      </c>
      <c r="AM1924" s="13">
        <f t="shared" si="1960"/>
        <v>0</v>
      </c>
      <c r="AO1924" s="11">
        <f t="shared" si="1961"/>
        <v>0</v>
      </c>
      <c r="AQ1924" s="11">
        <f t="shared" si="1962"/>
        <v>0</v>
      </c>
      <c r="AS1924" s="11">
        <f t="shared" si="1963"/>
        <v>0</v>
      </c>
      <c r="AU1924" s="11">
        <f t="shared" si="1964"/>
        <v>0</v>
      </c>
      <c r="AW1924" s="11">
        <f t="shared" si="1965"/>
        <v>0</v>
      </c>
      <c r="AY1924" s="11">
        <f t="shared" si="1966"/>
        <v>0</v>
      </c>
      <c r="BA1924" s="11">
        <f t="shared" si="1967"/>
        <v>0</v>
      </c>
      <c r="BC1924" s="11">
        <f t="shared" si="1968"/>
        <v>0</v>
      </c>
      <c r="BE1924" s="11">
        <f t="shared" si="1969"/>
        <v>0</v>
      </c>
      <c r="BG1924" s="11">
        <f t="shared" si="1970"/>
        <v>0</v>
      </c>
      <c r="BN1924" s="8">
        <f t="shared" si="1923"/>
        <v>0</v>
      </c>
      <c r="BO1924" s="8">
        <f t="shared" si="1925"/>
        <v>0</v>
      </c>
      <c r="BP1924" s="8">
        <f t="shared" si="1945"/>
        <v>0</v>
      </c>
      <c r="BQ1924" s="12">
        <f t="shared" si="1946"/>
        <v>0</v>
      </c>
    </row>
    <row r="1925" spans="1:69">
      <c r="A1925" s="28">
        <v>1964</v>
      </c>
      <c r="B1925" s="27" t="s">
        <v>88</v>
      </c>
      <c r="C1925" s="24">
        <f t="shared" si="1951"/>
        <v>1916</v>
      </c>
      <c r="D1925" s="7" t="e">
        <f t="shared" ca="1" si="1952"/>
        <v>#N/A</v>
      </c>
      <c r="E1925" s="26">
        <f t="array" aca="1" ref="E1925" ca="1">AVERAGE(IF(INDIRECT(DatCol&amp;"$"&amp;TEXT(C1925,"###")):INDIRECT(DatCol&amp;"$"&amp;TEXT(C1925+57,"###"))&gt;0,INDIRECT(DatCol&amp;"$"&amp;TEXT(C1925,"###")):INDIRECT(DatCol&amp;"$"&amp;TEXT(C1925+57,"###"))))</f>
        <v>80.576388888888872</v>
      </c>
      <c r="F1925" s="26" t="str">
        <f t="shared" si="1924"/>
        <v>C</v>
      </c>
      <c r="G1925" s="8"/>
      <c r="J1925" s="8">
        <v>225</v>
      </c>
      <c r="K1925" s="9">
        <f t="shared" si="1926"/>
        <v>225</v>
      </c>
      <c r="M1925" s="11">
        <f t="shared" si="1953"/>
        <v>0</v>
      </c>
      <c r="N1925" s="12">
        <v>125</v>
      </c>
      <c r="O1925" s="11">
        <f t="shared" si="1954"/>
        <v>6250</v>
      </c>
      <c r="Q1925" s="11">
        <f t="shared" si="1955"/>
        <v>0</v>
      </c>
      <c r="X1925" s="12">
        <v>155</v>
      </c>
      <c r="Y1925" s="11">
        <f t="shared" si="1956"/>
        <v>9300</v>
      </c>
      <c r="AG1925" s="11">
        <f t="shared" si="1957"/>
        <v>0</v>
      </c>
      <c r="AI1925" s="11">
        <f t="shared" si="1958"/>
        <v>0</v>
      </c>
      <c r="AK1925" s="13">
        <f t="shared" si="1959"/>
        <v>0</v>
      </c>
      <c r="AM1925" s="13">
        <f t="shared" si="1960"/>
        <v>0</v>
      </c>
      <c r="AO1925" s="11">
        <f t="shared" si="1961"/>
        <v>0</v>
      </c>
      <c r="AQ1925" s="11">
        <f t="shared" si="1962"/>
        <v>0</v>
      </c>
      <c r="AS1925" s="11">
        <f t="shared" si="1963"/>
        <v>0</v>
      </c>
      <c r="AU1925" s="11">
        <f t="shared" si="1964"/>
        <v>0</v>
      </c>
      <c r="AW1925" s="11">
        <f t="shared" si="1965"/>
        <v>0</v>
      </c>
      <c r="AY1925" s="11">
        <f t="shared" si="1966"/>
        <v>0</v>
      </c>
      <c r="BA1925" s="11">
        <f t="shared" si="1967"/>
        <v>0</v>
      </c>
      <c r="BC1925" s="11">
        <f t="shared" si="1968"/>
        <v>0</v>
      </c>
      <c r="BE1925" s="11">
        <f t="shared" si="1969"/>
        <v>0</v>
      </c>
      <c r="BG1925" s="11">
        <f t="shared" si="1970"/>
        <v>0</v>
      </c>
      <c r="BN1925" s="8">
        <f t="shared" si="1923"/>
        <v>155</v>
      </c>
      <c r="BO1925" s="8">
        <f t="shared" si="1925"/>
        <v>9300</v>
      </c>
      <c r="BP1925" s="8">
        <f t="shared" si="1945"/>
        <v>280</v>
      </c>
      <c r="BQ1925" s="12">
        <f t="shared" si="1946"/>
        <v>15550</v>
      </c>
    </row>
    <row r="1926" spans="1:69">
      <c r="A1926" s="28">
        <v>1965</v>
      </c>
      <c r="B1926" s="27" t="s">
        <v>88</v>
      </c>
      <c r="C1926" s="24">
        <f t="shared" si="1951"/>
        <v>1916</v>
      </c>
      <c r="D1926" s="7" t="e">
        <f t="shared" ca="1" si="1952"/>
        <v>#N/A</v>
      </c>
      <c r="E1926" s="26">
        <f t="array" aca="1" ref="E1926" ca="1">AVERAGE(IF(INDIRECT(DatCol&amp;"$"&amp;TEXT(C1926,"###")):INDIRECT(DatCol&amp;"$"&amp;TEXT(C1926+57,"###"))&gt;0,INDIRECT(DatCol&amp;"$"&amp;TEXT(C1926,"###")):INDIRECT(DatCol&amp;"$"&amp;TEXT(C1926+57,"###"))))</f>
        <v>80.576388888888872</v>
      </c>
      <c r="F1926" s="26" t="str">
        <f t="shared" si="1924"/>
        <v>C</v>
      </c>
      <c r="G1926" s="8"/>
      <c r="K1926" s="9">
        <f t="shared" si="1926"/>
        <v>0</v>
      </c>
      <c r="M1926" s="11">
        <f t="shared" si="1953"/>
        <v>0</v>
      </c>
      <c r="O1926" s="11">
        <f t="shared" si="1954"/>
        <v>0</v>
      </c>
      <c r="Q1926" s="11">
        <f t="shared" si="1955"/>
        <v>0</v>
      </c>
      <c r="Y1926" s="11">
        <f t="shared" si="1956"/>
        <v>0</v>
      </c>
      <c r="AG1926" s="11">
        <f t="shared" si="1957"/>
        <v>0</v>
      </c>
      <c r="AI1926" s="11">
        <f t="shared" si="1958"/>
        <v>0</v>
      </c>
      <c r="AK1926" s="13">
        <f t="shared" si="1959"/>
        <v>0</v>
      </c>
      <c r="AM1926" s="13">
        <f t="shared" si="1960"/>
        <v>0</v>
      </c>
      <c r="AO1926" s="11">
        <f t="shared" si="1961"/>
        <v>0</v>
      </c>
      <c r="AQ1926" s="11">
        <f t="shared" si="1962"/>
        <v>0</v>
      </c>
      <c r="AS1926" s="11">
        <f t="shared" si="1963"/>
        <v>0</v>
      </c>
      <c r="AU1926" s="11">
        <f t="shared" si="1964"/>
        <v>0</v>
      </c>
      <c r="AW1926" s="11">
        <f t="shared" si="1965"/>
        <v>0</v>
      </c>
      <c r="AY1926" s="11">
        <f t="shared" si="1966"/>
        <v>0</v>
      </c>
      <c r="BA1926" s="11">
        <f t="shared" si="1967"/>
        <v>0</v>
      </c>
      <c r="BC1926" s="11">
        <f t="shared" si="1968"/>
        <v>0</v>
      </c>
      <c r="BE1926" s="11">
        <f t="shared" si="1969"/>
        <v>0</v>
      </c>
      <c r="BG1926" s="11">
        <f t="shared" si="1970"/>
        <v>0</v>
      </c>
      <c r="BN1926" s="8">
        <f t="shared" si="1923"/>
        <v>0</v>
      </c>
      <c r="BO1926" s="8">
        <f t="shared" si="1925"/>
        <v>0</v>
      </c>
      <c r="BP1926" s="8">
        <f t="shared" si="1945"/>
        <v>0</v>
      </c>
      <c r="BQ1926" s="12">
        <f t="shared" si="1946"/>
        <v>0</v>
      </c>
    </row>
    <row r="1927" spans="1:69">
      <c r="A1927" s="28">
        <v>1966</v>
      </c>
      <c r="B1927" s="27" t="s">
        <v>88</v>
      </c>
      <c r="C1927" s="24">
        <f t="shared" si="1951"/>
        <v>1916</v>
      </c>
      <c r="D1927" s="7" t="e">
        <f t="shared" ca="1" si="1952"/>
        <v>#N/A</v>
      </c>
      <c r="E1927" s="26">
        <f t="array" aca="1" ref="E1927" ca="1">AVERAGE(IF(INDIRECT(DatCol&amp;"$"&amp;TEXT(C1927,"###")):INDIRECT(DatCol&amp;"$"&amp;TEXT(C1927+57,"###"))&gt;0,INDIRECT(DatCol&amp;"$"&amp;TEXT(C1927,"###")):INDIRECT(DatCol&amp;"$"&amp;TEXT(C1927+57,"###"))))</f>
        <v>80.576388888888872</v>
      </c>
      <c r="F1927" s="26" t="str">
        <f t="shared" si="1924"/>
        <v>C</v>
      </c>
      <c r="G1927" s="8"/>
      <c r="I1927" s="8">
        <v>6</v>
      </c>
      <c r="J1927" s="8">
        <v>230</v>
      </c>
      <c r="K1927" s="9">
        <f t="shared" si="1926"/>
        <v>230</v>
      </c>
      <c r="M1927" s="11">
        <f t="shared" si="1953"/>
        <v>0</v>
      </c>
      <c r="N1927" s="12">
        <v>90</v>
      </c>
      <c r="O1927" s="11">
        <f t="shared" si="1954"/>
        <v>4500</v>
      </c>
      <c r="Q1927" s="11">
        <f t="shared" si="1955"/>
        <v>0</v>
      </c>
      <c r="X1927" s="12">
        <v>52</v>
      </c>
      <c r="Y1927" s="11">
        <f t="shared" si="1956"/>
        <v>3120</v>
      </c>
      <c r="AG1927" s="11">
        <f t="shared" si="1957"/>
        <v>0</v>
      </c>
      <c r="AI1927" s="11">
        <f t="shared" si="1958"/>
        <v>0</v>
      </c>
      <c r="AK1927" s="13">
        <f t="shared" si="1959"/>
        <v>0</v>
      </c>
      <c r="AM1927" s="13">
        <f t="shared" si="1960"/>
        <v>0</v>
      </c>
      <c r="AN1927" s="12">
        <v>600</v>
      </c>
      <c r="AO1927" s="11">
        <f t="shared" si="1961"/>
        <v>48000</v>
      </c>
      <c r="AP1927" s="12">
        <v>50</v>
      </c>
      <c r="AQ1927" s="11">
        <f t="shared" si="1962"/>
        <v>4000</v>
      </c>
      <c r="AS1927" s="11">
        <f t="shared" si="1963"/>
        <v>0</v>
      </c>
      <c r="AT1927" s="12">
        <v>30</v>
      </c>
      <c r="AU1927" s="11">
        <f t="shared" si="1964"/>
        <v>1500</v>
      </c>
      <c r="AW1927" s="11">
        <f t="shared" si="1965"/>
        <v>0</v>
      </c>
      <c r="AY1927" s="11">
        <f t="shared" si="1966"/>
        <v>0</v>
      </c>
      <c r="BA1927" s="11">
        <f t="shared" si="1967"/>
        <v>0</v>
      </c>
      <c r="BC1927" s="11">
        <f t="shared" si="1968"/>
        <v>0</v>
      </c>
      <c r="BE1927" s="11">
        <f t="shared" si="1969"/>
        <v>0</v>
      </c>
      <c r="BG1927" s="11">
        <f t="shared" si="1970"/>
        <v>0</v>
      </c>
      <c r="BN1927" s="8">
        <f t="shared" si="1923"/>
        <v>652</v>
      </c>
      <c r="BO1927" s="8">
        <f t="shared" si="1925"/>
        <v>51120</v>
      </c>
      <c r="BP1927" s="8">
        <f t="shared" si="1945"/>
        <v>222</v>
      </c>
      <c r="BQ1927" s="12">
        <f t="shared" si="1946"/>
        <v>13120</v>
      </c>
    </row>
    <row r="1928" spans="1:69">
      <c r="A1928" s="28">
        <v>1967</v>
      </c>
      <c r="B1928" s="27" t="s">
        <v>88</v>
      </c>
      <c r="C1928" s="24">
        <f t="shared" si="1951"/>
        <v>1916</v>
      </c>
      <c r="D1928" s="7" t="e">
        <f t="shared" ca="1" si="1952"/>
        <v>#N/A</v>
      </c>
      <c r="E1928" s="26">
        <f t="array" aca="1" ref="E1928" ca="1">AVERAGE(IF(INDIRECT(DatCol&amp;"$"&amp;TEXT(C1928,"###")):INDIRECT(DatCol&amp;"$"&amp;TEXT(C1928+57,"###"))&gt;0,INDIRECT(DatCol&amp;"$"&amp;TEXT(C1928,"###")):INDIRECT(DatCol&amp;"$"&amp;TEXT(C1928+57,"###"))))</f>
        <v>80.576388888888872</v>
      </c>
      <c r="F1928" s="26" t="str">
        <f t="shared" si="1924"/>
        <v>C</v>
      </c>
      <c r="G1928" s="8"/>
      <c r="H1928" s="8">
        <v>0</v>
      </c>
      <c r="I1928" s="8">
        <v>0</v>
      </c>
      <c r="J1928" s="8">
        <v>226</v>
      </c>
      <c r="K1928" s="9">
        <f t="shared" si="1926"/>
        <v>226</v>
      </c>
      <c r="M1928" s="11">
        <f t="shared" si="1953"/>
        <v>0</v>
      </c>
      <c r="N1928" s="12">
        <v>103</v>
      </c>
      <c r="O1928" s="11">
        <f t="shared" si="1954"/>
        <v>5150</v>
      </c>
      <c r="Q1928" s="11">
        <f t="shared" si="1955"/>
        <v>0</v>
      </c>
      <c r="X1928" s="12">
        <v>68</v>
      </c>
      <c r="Y1928" s="11">
        <f t="shared" si="1956"/>
        <v>4080</v>
      </c>
      <c r="AG1928" s="11">
        <f t="shared" si="1957"/>
        <v>0</v>
      </c>
      <c r="AI1928" s="11">
        <f t="shared" si="1958"/>
        <v>0</v>
      </c>
      <c r="AK1928" s="13">
        <f t="shared" si="1959"/>
        <v>0</v>
      </c>
      <c r="AM1928" s="13">
        <f t="shared" si="1960"/>
        <v>0</v>
      </c>
      <c r="AN1928" s="12">
        <v>1504</v>
      </c>
      <c r="AO1928" s="11">
        <f t="shared" si="1961"/>
        <v>120320</v>
      </c>
      <c r="AP1928" s="12">
        <v>8</v>
      </c>
      <c r="AQ1928" s="11">
        <f t="shared" si="1962"/>
        <v>640</v>
      </c>
      <c r="AS1928" s="11">
        <f t="shared" si="1963"/>
        <v>0</v>
      </c>
      <c r="AT1928" s="12">
        <v>5</v>
      </c>
      <c r="AU1928" s="11">
        <f t="shared" si="1964"/>
        <v>250</v>
      </c>
      <c r="AW1928" s="11">
        <f t="shared" si="1965"/>
        <v>0</v>
      </c>
      <c r="AY1928" s="11">
        <f t="shared" si="1966"/>
        <v>0</v>
      </c>
      <c r="BA1928" s="11">
        <f t="shared" si="1967"/>
        <v>0</v>
      </c>
      <c r="BC1928" s="11">
        <f t="shared" si="1968"/>
        <v>0</v>
      </c>
      <c r="BE1928" s="11">
        <f t="shared" si="1969"/>
        <v>0</v>
      </c>
      <c r="BG1928" s="11">
        <f t="shared" si="1970"/>
        <v>0</v>
      </c>
      <c r="BN1928" s="8">
        <f t="shared" si="1923"/>
        <v>1572</v>
      </c>
      <c r="BO1928" s="8">
        <f t="shared" si="1925"/>
        <v>124400</v>
      </c>
      <c r="BP1928" s="8">
        <f t="shared" si="1945"/>
        <v>184</v>
      </c>
      <c r="BQ1928" s="12">
        <f t="shared" si="1946"/>
        <v>10120</v>
      </c>
    </row>
    <row r="1929" spans="1:69">
      <c r="A1929" s="28">
        <v>1968</v>
      </c>
      <c r="B1929" s="27" t="s">
        <v>88</v>
      </c>
      <c r="C1929" s="24">
        <f t="shared" si="1951"/>
        <v>1916</v>
      </c>
      <c r="D1929" s="7" t="e">
        <f t="shared" ca="1" si="1952"/>
        <v>#N/A</v>
      </c>
      <c r="E1929" s="26">
        <f t="array" aca="1" ref="E1929" ca="1">AVERAGE(IF(INDIRECT(DatCol&amp;"$"&amp;TEXT(C1929,"###")):INDIRECT(DatCol&amp;"$"&amp;TEXT(C1929+57,"###"))&gt;0,INDIRECT(DatCol&amp;"$"&amp;TEXT(C1929,"###")):INDIRECT(DatCol&amp;"$"&amp;TEXT(C1929+57,"###"))))</f>
        <v>80.576388888888872</v>
      </c>
      <c r="F1929" s="26" t="str">
        <f t="shared" si="1924"/>
        <v>C</v>
      </c>
      <c r="G1929" s="8"/>
      <c r="H1929" s="8">
        <v>0</v>
      </c>
      <c r="I1929" s="8">
        <v>2</v>
      </c>
      <c r="J1929" s="8">
        <v>229</v>
      </c>
      <c r="K1929" s="9">
        <f t="shared" si="1926"/>
        <v>229</v>
      </c>
      <c r="M1929" s="11">
        <f t="shared" si="1953"/>
        <v>0</v>
      </c>
      <c r="N1929" s="12">
        <v>33</v>
      </c>
      <c r="O1929" s="11">
        <f t="shared" si="1954"/>
        <v>1650</v>
      </c>
      <c r="Q1929" s="11">
        <f t="shared" si="1955"/>
        <v>0</v>
      </c>
      <c r="X1929" s="12">
        <v>27</v>
      </c>
      <c r="Y1929" s="11">
        <f t="shared" si="1956"/>
        <v>1620</v>
      </c>
      <c r="AG1929" s="11">
        <f t="shared" si="1957"/>
        <v>0</v>
      </c>
      <c r="AI1929" s="11">
        <f t="shared" si="1958"/>
        <v>0</v>
      </c>
      <c r="AK1929" s="13">
        <f t="shared" si="1959"/>
        <v>0</v>
      </c>
      <c r="AL1929" s="12">
        <v>45</v>
      </c>
      <c r="AM1929" s="13">
        <f t="shared" si="1960"/>
        <v>405</v>
      </c>
      <c r="AN1929" s="12">
        <v>1063</v>
      </c>
      <c r="AO1929" s="11">
        <f t="shared" si="1961"/>
        <v>85040</v>
      </c>
      <c r="AP1929" s="12">
        <v>51</v>
      </c>
      <c r="AQ1929" s="11">
        <f t="shared" si="1962"/>
        <v>4080</v>
      </c>
      <c r="AS1929" s="11">
        <f t="shared" si="1963"/>
        <v>0</v>
      </c>
      <c r="AT1929" s="12">
        <v>16</v>
      </c>
      <c r="AU1929" s="11">
        <f t="shared" si="1964"/>
        <v>800</v>
      </c>
      <c r="AW1929" s="11">
        <f t="shared" si="1965"/>
        <v>0</v>
      </c>
      <c r="AY1929" s="11">
        <f t="shared" si="1966"/>
        <v>0</v>
      </c>
      <c r="BA1929" s="11">
        <f t="shared" si="1967"/>
        <v>0</v>
      </c>
      <c r="BC1929" s="11">
        <f t="shared" si="1968"/>
        <v>0</v>
      </c>
      <c r="BE1929" s="11">
        <f t="shared" si="1969"/>
        <v>0</v>
      </c>
      <c r="BG1929" s="11">
        <f t="shared" si="1970"/>
        <v>0</v>
      </c>
      <c r="BN1929" s="8">
        <f t="shared" si="1923"/>
        <v>1090</v>
      </c>
      <c r="BO1929" s="8">
        <f t="shared" si="1925"/>
        <v>86660</v>
      </c>
      <c r="BP1929" s="8">
        <f t="shared" si="1945"/>
        <v>172</v>
      </c>
      <c r="BQ1929" s="12">
        <f t="shared" si="1946"/>
        <v>8555</v>
      </c>
    </row>
    <row r="1930" spans="1:69">
      <c r="A1930" s="28">
        <v>1969</v>
      </c>
      <c r="B1930" s="27" t="s">
        <v>88</v>
      </c>
      <c r="C1930" s="24">
        <f t="shared" si="1951"/>
        <v>1916</v>
      </c>
      <c r="D1930" s="7" t="e">
        <f t="shared" ca="1" si="1952"/>
        <v>#N/A</v>
      </c>
      <c r="E1930" s="26">
        <f t="array" aca="1" ref="E1930" ca="1">AVERAGE(IF(INDIRECT(DatCol&amp;"$"&amp;TEXT(C1930,"###")):INDIRECT(DatCol&amp;"$"&amp;TEXT(C1930+57,"###"))&gt;0,INDIRECT(DatCol&amp;"$"&amp;TEXT(C1930,"###")):INDIRECT(DatCol&amp;"$"&amp;TEXT(C1930+57,"###"))))</f>
        <v>80.576388888888872</v>
      </c>
      <c r="F1930" s="26" t="str">
        <f t="shared" si="1924"/>
        <v>C</v>
      </c>
      <c r="G1930" s="8"/>
      <c r="H1930" s="8">
        <v>0</v>
      </c>
      <c r="I1930" s="8">
        <v>3</v>
      </c>
      <c r="J1930" s="8">
        <v>378</v>
      </c>
      <c r="K1930" s="9">
        <f t="shared" si="1926"/>
        <v>378</v>
      </c>
      <c r="M1930" s="11">
        <f t="shared" si="1953"/>
        <v>0</v>
      </c>
      <c r="N1930" s="12">
        <v>208</v>
      </c>
      <c r="O1930" s="11">
        <f t="shared" si="1954"/>
        <v>10400</v>
      </c>
      <c r="Q1930" s="11">
        <f t="shared" si="1955"/>
        <v>0</v>
      </c>
      <c r="X1930" s="12">
        <v>138</v>
      </c>
      <c r="Y1930" s="11">
        <f t="shared" si="1956"/>
        <v>8280</v>
      </c>
      <c r="AG1930" s="11">
        <f t="shared" si="1957"/>
        <v>0</v>
      </c>
      <c r="AI1930" s="11">
        <f t="shared" si="1958"/>
        <v>0</v>
      </c>
      <c r="AK1930" s="13">
        <f t="shared" si="1959"/>
        <v>0</v>
      </c>
      <c r="AL1930" s="12">
        <v>184</v>
      </c>
      <c r="AM1930" s="13">
        <f t="shared" si="1960"/>
        <v>1656</v>
      </c>
      <c r="AN1930" s="12">
        <v>429</v>
      </c>
      <c r="AO1930" s="11">
        <f t="shared" si="1961"/>
        <v>34320</v>
      </c>
      <c r="AP1930" s="12">
        <v>59</v>
      </c>
      <c r="AQ1930" s="11">
        <f t="shared" si="1962"/>
        <v>4720</v>
      </c>
      <c r="AS1930" s="11">
        <f t="shared" si="1963"/>
        <v>0</v>
      </c>
      <c r="AT1930" s="12">
        <v>17</v>
      </c>
      <c r="AU1930" s="11">
        <f t="shared" si="1964"/>
        <v>850</v>
      </c>
      <c r="AW1930" s="11">
        <f t="shared" si="1965"/>
        <v>0</v>
      </c>
      <c r="AY1930" s="11">
        <f t="shared" si="1966"/>
        <v>0</v>
      </c>
      <c r="BA1930" s="11">
        <f t="shared" si="1967"/>
        <v>0</v>
      </c>
      <c r="BC1930" s="11">
        <f t="shared" si="1968"/>
        <v>0</v>
      </c>
      <c r="BE1930" s="11">
        <f t="shared" si="1969"/>
        <v>0</v>
      </c>
      <c r="BG1930" s="11">
        <f t="shared" si="1970"/>
        <v>0</v>
      </c>
      <c r="BN1930" s="8">
        <f t="shared" si="1923"/>
        <v>567</v>
      </c>
      <c r="BO1930" s="8">
        <f t="shared" si="1925"/>
        <v>42600</v>
      </c>
      <c r="BP1930" s="8">
        <f t="shared" si="1945"/>
        <v>606</v>
      </c>
      <c r="BQ1930" s="12">
        <f t="shared" si="1946"/>
        <v>25906</v>
      </c>
    </row>
    <row r="1931" spans="1:69">
      <c r="A1931" s="28">
        <v>1970</v>
      </c>
      <c r="B1931" s="27" t="s">
        <v>88</v>
      </c>
      <c r="C1931" s="24">
        <f t="shared" si="1951"/>
        <v>1916</v>
      </c>
      <c r="D1931" s="7" t="e">
        <f t="shared" ca="1" si="1952"/>
        <v>#N/A</v>
      </c>
      <c r="E1931" s="26">
        <f t="array" aca="1" ref="E1931" ca="1">AVERAGE(IF(INDIRECT(DatCol&amp;"$"&amp;TEXT(C1931,"###")):INDIRECT(DatCol&amp;"$"&amp;TEXT(C1931+57,"###"))&gt;0,INDIRECT(DatCol&amp;"$"&amp;TEXT(C1931,"###")):INDIRECT(DatCol&amp;"$"&amp;TEXT(C1931+57,"###"))))</f>
        <v>80.576388888888872</v>
      </c>
      <c r="F1931" s="26" t="str">
        <f t="shared" si="1924"/>
        <v>C</v>
      </c>
      <c r="G1931" s="8"/>
      <c r="H1931" s="8">
        <v>5</v>
      </c>
      <c r="I1931" s="8">
        <v>0</v>
      </c>
      <c r="J1931" s="8">
        <v>433</v>
      </c>
      <c r="K1931" s="9">
        <f t="shared" si="1926"/>
        <v>438</v>
      </c>
      <c r="M1931" s="11">
        <f t="shared" si="1953"/>
        <v>0</v>
      </c>
      <c r="N1931" s="12">
        <v>189</v>
      </c>
      <c r="O1931" s="11">
        <f t="shared" si="1954"/>
        <v>9450</v>
      </c>
      <c r="Q1931" s="11">
        <f t="shared" si="1955"/>
        <v>0</v>
      </c>
      <c r="X1931" s="12">
        <v>160</v>
      </c>
      <c r="Y1931" s="11">
        <f t="shared" si="1956"/>
        <v>9600</v>
      </c>
      <c r="AG1931" s="11">
        <f t="shared" si="1957"/>
        <v>0</v>
      </c>
      <c r="AI1931" s="11">
        <f t="shared" si="1958"/>
        <v>0</v>
      </c>
      <c r="AK1931" s="13">
        <f t="shared" si="1959"/>
        <v>0</v>
      </c>
      <c r="AL1931" s="12">
        <v>49</v>
      </c>
      <c r="AM1931" s="13">
        <f t="shared" si="1960"/>
        <v>441</v>
      </c>
      <c r="AN1931" s="12">
        <v>2043</v>
      </c>
      <c r="AO1931" s="11">
        <f t="shared" si="1961"/>
        <v>163440</v>
      </c>
      <c r="AP1931" s="12">
        <v>66</v>
      </c>
      <c r="AQ1931" s="11">
        <f t="shared" si="1962"/>
        <v>5280</v>
      </c>
      <c r="AS1931" s="11">
        <f t="shared" si="1963"/>
        <v>0</v>
      </c>
      <c r="AT1931" s="12">
        <v>31</v>
      </c>
      <c r="AU1931" s="11">
        <f t="shared" si="1964"/>
        <v>1550</v>
      </c>
      <c r="AW1931" s="11">
        <f t="shared" si="1965"/>
        <v>0</v>
      </c>
      <c r="AY1931" s="11">
        <f t="shared" si="1966"/>
        <v>0</v>
      </c>
      <c r="BA1931" s="11">
        <f t="shared" si="1967"/>
        <v>0</v>
      </c>
      <c r="BC1931" s="11">
        <f t="shared" si="1968"/>
        <v>0</v>
      </c>
      <c r="BE1931" s="11">
        <f t="shared" si="1969"/>
        <v>0</v>
      </c>
      <c r="BG1931" s="11">
        <f t="shared" si="1970"/>
        <v>0</v>
      </c>
      <c r="BN1931" s="8">
        <f t="shared" si="1923"/>
        <v>2203</v>
      </c>
      <c r="BO1931" s="8">
        <f t="shared" si="1925"/>
        <v>173040</v>
      </c>
      <c r="BP1931" s="8">
        <f t="shared" si="1945"/>
        <v>495</v>
      </c>
      <c r="BQ1931" s="12">
        <f t="shared" si="1946"/>
        <v>26321</v>
      </c>
    </row>
    <row r="1932" spans="1:69">
      <c r="A1932" s="28">
        <v>1971</v>
      </c>
      <c r="B1932" s="27" t="s">
        <v>88</v>
      </c>
      <c r="C1932" s="24">
        <f t="shared" si="1951"/>
        <v>1916</v>
      </c>
      <c r="D1932" s="7" t="e">
        <f t="shared" ca="1" si="1952"/>
        <v>#N/A</v>
      </c>
      <c r="E1932" s="26">
        <f t="array" aca="1" ref="E1932" ca="1">AVERAGE(IF(INDIRECT(DatCol&amp;"$"&amp;TEXT(C1932,"###")):INDIRECT(DatCol&amp;"$"&amp;TEXT(C1932+57,"###"))&gt;0,INDIRECT(DatCol&amp;"$"&amp;TEXT(C1932,"###")):INDIRECT(DatCol&amp;"$"&amp;TEXT(C1932+57,"###"))))</f>
        <v>80.576388888888872</v>
      </c>
      <c r="F1932" s="26" t="str">
        <f t="shared" si="1924"/>
        <v>C</v>
      </c>
      <c r="G1932" s="8"/>
      <c r="H1932" s="8">
        <v>4</v>
      </c>
      <c r="I1932" s="8">
        <v>0</v>
      </c>
      <c r="J1932" s="8">
        <v>331</v>
      </c>
      <c r="K1932" s="9">
        <f t="shared" si="1926"/>
        <v>335</v>
      </c>
      <c r="M1932" s="11">
        <f t="shared" si="1953"/>
        <v>0</v>
      </c>
      <c r="N1932" s="12">
        <v>32</v>
      </c>
      <c r="O1932" s="11">
        <f t="shared" si="1954"/>
        <v>1600</v>
      </c>
      <c r="Q1932" s="11">
        <f t="shared" si="1955"/>
        <v>0</v>
      </c>
      <c r="X1932" s="12">
        <v>163</v>
      </c>
      <c r="Y1932" s="11">
        <f t="shared" si="1956"/>
        <v>9780</v>
      </c>
      <c r="AG1932" s="11">
        <f t="shared" si="1957"/>
        <v>0</v>
      </c>
      <c r="AI1932" s="11">
        <f t="shared" si="1958"/>
        <v>0</v>
      </c>
      <c r="AK1932" s="13">
        <f t="shared" si="1959"/>
        <v>0</v>
      </c>
      <c r="AL1932" s="12">
        <v>172</v>
      </c>
      <c r="AM1932" s="13">
        <f t="shared" si="1960"/>
        <v>1548</v>
      </c>
      <c r="AN1932" s="12">
        <v>522</v>
      </c>
      <c r="AO1932" s="11">
        <f t="shared" si="1961"/>
        <v>41760</v>
      </c>
      <c r="AP1932" s="12">
        <v>73</v>
      </c>
      <c r="AQ1932" s="11">
        <f t="shared" si="1962"/>
        <v>5840</v>
      </c>
      <c r="AS1932" s="11">
        <f t="shared" si="1963"/>
        <v>0</v>
      </c>
      <c r="AT1932" s="12">
        <v>59</v>
      </c>
      <c r="AU1932" s="11">
        <f t="shared" si="1964"/>
        <v>2950</v>
      </c>
      <c r="AW1932" s="11">
        <f t="shared" si="1965"/>
        <v>0</v>
      </c>
      <c r="AY1932" s="11">
        <f t="shared" si="1966"/>
        <v>0</v>
      </c>
      <c r="BA1932" s="11">
        <f t="shared" si="1967"/>
        <v>0</v>
      </c>
      <c r="BC1932" s="11">
        <f t="shared" si="1968"/>
        <v>0</v>
      </c>
      <c r="BE1932" s="11">
        <f t="shared" si="1969"/>
        <v>0</v>
      </c>
      <c r="BG1932" s="11">
        <f t="shared" si="1970"/>
        <v>0</v>
      </c>
      <c r="BN1932" s="8">
        <f t="shared" si="1923"/>
        <v>685</v>
      </c>
      <c r="BO1932" s="8">
        <f t="shared" si="1925"/>
        <v>51540</v>
      </c>
      <c r="BP1932" s="8">
        <f t="shared" si="1945"/>
        <v>499</v>
      </c>
      <c r="BQ1932" s="12">
        <f t="shared" si="1946"/>
        <v>21718</v>
      </c>
    </row>
    <row r="1933" spans="1:69">
      <c r="A1933" s="28">
        <v>1972</v>
      </c>
      <c r="B1933" s="27" t="s">
        <v>88</v>
      </c>
      <c r="C1933" s="24">
        <f t="shared" si="1951"/>
        <v>1916</v>
      </c>
      <c r="D1933" s="7" t="e">
        <f t="shared" ca="1" si="1952"/>
        <v>#N/A</v>
      </c>
      <c r="E1933" s="26">
        <f t="array" aca="1" ref="E1933" ca="1">AVERAGE(IF(INDIRECT(DatCol&amp;"$"&amp;TEXT(C1933,"###")):INDIRECT(DatCol&amp;"$"&amp;TEXT(C1933+57,"###"))&gt;0,INDIRECT(DatCol&amp;"$"&amp;TEXT(C1933,"###")):INDIRECT(DatCol&amp;"$"&amp;TEXT(C1933+57,"###"))))</f>
        <v>80.576388888888872</v>
      </c>
      <c r="F1933" s="26" t="str">
        <f t="shared" si="1924"/>
        <v>C</v>
      </c>
      <c r="G1933" s="8"/>
      <c r="H1933" s="8">
        <v>4</v>
      </c>
      <c r="I1933" s="8">
        <v>2</v>
      </c>
      <c r="J1933" s="8">
        <v>301</v>
      </c>
      <c r="K1933" s="9">
        <f t="shared" si="1926"/>
        <v>305</v>
      </c>
      <c r="M1933" s="11">
        <f t="shared" si="1953"/>
        <v>0</v>
      </c>
      <c r="N1933" s="12">
        <v>88</v>
      </c>
      <c r="O1933" s="11">
        <f t="shared" si="1954"/>
        <v>4400</v>
      </c>
      <c r="Q1933" s="11">
        <f t="shared" si="1955"/>
        <v>0</v>
      </c>
      <c r="X1933" s="12">
        <v>142</v>
      </c>
      <c r="Y1933" s="11">
        <f t="shared" si="1956"/>
        <v>8520</v>
      </c>
      <c r="AG1933" s="11">
        <f t="shared" si="1957"/>
        <v>0</v>
      </c>
      <c r="AI1933" s="11">
        <f t="shared" si="1958"/>
        <v>0</v>
      </c>
      <c r="AK1933" s="13">
        <f t="shared" si="1959"/>
        <v>0</v>
      </c>
      <c r="AL1933" s="12">
        <v>102</v>
      </c>
      <c r="AM1933" s="13">
        <f t="shared" si="1960"/>
        <v>918</v>
      </c>
      <c r="AN1933" s="12">
        <v>719</v>
      </c>
      <c r="AO1933" s="11">
        <f t="shared" si="1961"/>
        <v>57520</v>
      </c>
      <c r="AP1933" s="12">
        <v>91</v>
      </c>
      <c r="AQ1933" s="11">
        <f t="shared" si="1962"/>
        <v>7280</v>
      </c>
      <c r="AS1933" s="11">
        <f t="shared" si="1963"/>
        <v>0</v>
      </c>
      <c r="AT1933" s="12">
        <v>62</v>
      </c>
      <c r="AU1933" s="11">
        <f t="shared" si="1964"/>
        <v>3100</v>
      </c>
      <c r="AW1933" s="11">
        <f t="shared" si="1965"/>
        <v>0</v>
      </c>
      <c r="AY1933" s="11">
        <f t="shared" si="1966"/>
        <v>0</v>
      </c>
      <c r="BA1933" s="11">
        <f t="shared" si="1967"/>
        <v>0</v>
      </c>
      <c r="BC1933" s="11">
        <f t="shared" si="1968"/>
        <v>0</v>
      </c>
      <c r="BE1933" s="11">
        <f t="shared" si="1969"/>
        <v>0</v>
      </c>
      <c r="BG1933" s="11">
        <f t="shared" si="1970"/>
        <v>0</v>
      </c>
      <c r="BN1933" s="8">
        <f t="shared" si="1923"/>
        <v>861</v>
      </c>
      <c r="BO1933" s="8">
        <f t="shared" si="1925"/>
        <v>66040</v>
      </c>
      <c r="BP1933" s="8">
        <f t="shared" si="1945"/>
        <v>485</v>
      </c>
      <c r="BQ1933" s="12">
        <f t="shared" si="1946"/>
        <v>24218</v>
      </c>
    </row>
    <row r="1934" spans="1:69">
      <c r="A1934" s="28">
        <v>1973</v>
      </c>
      <c r="B1934" s="27" t="s">
        <v>88</v>
      </c>
      <c r="C1934" s="24">
        <f t="shared" si="1951"/>
        <v>1916</v>
      </c>
      <c r="D1934" s="7" t="e">
        <f t="shared" ca="1" si="1952"/>
        <v>#N/A</v>
      </c>
      <c r="E1934" s="26">
        <f t="array" aca="1" ref="E1934" ca="1">AVERAGE(IF(INDIRECT(DatCol&amp;"$"&amp;TEXT(C1934,"###")):INDIRECT(DatCol&amp;"$"&amp;TEXT(C1934+57,"###"))&gt;0,INDIRECT(DatCol&amp;"$"&amp;TEXT(C1934,"###")):INDIRECT(DatCol&amp;"$"&amp;TEXT(C1934+57,"###"))))</f>
        <v>80.576388888888872</v>
      </c>
      <c r="F1934" s="26" t="str">
        <f t="shared" si="1924"/>
        <v>C</v>
      </c>
      <c r="G1934" s="8"/>
      <c r="H1934" s="8">
        <v>0</v>
      </c>
      <c r="I1934" s="8">
        <v>4</v>
      </c>
      <c r="J1934" s="8">
        <v>413</v>
      </c>
      <c r="K1934" s="9">
        <f t="shared" si="1926"/>
        <v>413</v>
      </c>
      <c r="M1934" s="11">
        <f t="shared" si="1953"/>
        <v>0</v>
      </c>
      <c r="N1934" s="12">
        <v>214</v>
      </c>
      <c r="O1934" s="11">
        <f t="shared" si="1954"/>
        <v>10700</v>
      </c>
      <c r="Q1934" s="11">
        <f t="shared" si="1955"/>
        <v>0</v>
      </c>
      <c r="X1934" s="12">
        <v>134</v>
      </c>
      <c r="Y1934" s="11">
        <f t="shared" si="1956"/>
        <v>8040</v>
      </c>
      <c r="AG1934" s="11">
        <f t="shared" si="1957"/>
        <v>0</v>
      </c>
      <c r="AI1934" s="11">
        <f t="shared" si="1958"/>
        <v>0</v>
      </c>
      <c r="AK1934" s="13">
        <f t="shared" si="1959"/>
        <v>0</v>
      </c>
      <c r="AL1934" s="12">
        <v>44</v>
      </c>
      <c r="AM1934" s="13">
        <f t="shared" si="1960"/>
        <v>396</v>
      </c>
      <c r="AN1934" s="12">
        <v>1351</v>
      </c>
      <c r="AO1934" s="11">
        <f t="shared" si="1961"/>
        <v>108080</v>
      </c>
      <c r="AP1934" s="12">
        <v>137</v>
      </c>
      <c r="AQ1934" s="11">
        <f t="shared" si="1962"/>
        <v>10960</v>
      </c>
      <c r="AS1934" s="11">
        <f t="shared" si="1963"/>
        <v>0</v>
      </c>
      <c r="AT1934" s="12">
        <v>113</v>
      </c>
      <c r="AU1934" s="11">
        <f t="shared" si="1964"/>
        <v>5650</v>
      </c>
      <c r="AW1934" s="11">
        <f t="shared" si="1965"/>
        <v>0</v>
      </c>
      <c r="AY1934" s="11">
        <f t="shared" si="1966"/>
        <v>0</v>
      </c>
      <c r="BA1934" s="11">
        <f t="shared" si="1967"/>
        <v>0</v>
      </c>
      <c r="BC1934" s="11">
        <f t="shared" si="1968"/>
        <v>0</v>
      </c>
      <c r="BE1934" s="11">
        <f t="shared" si="1969"/>
        <v>0</v>
      </c>
      <c r="BG1934" s="11">
        <f t="shared" si="1970"/>
        <v>0</v>
      </c>
      <c r="BN1934" s="8">
        <f t="shared" si="1923"/>
        <v>1485</v>
      </c>
      <c r="BO1934" s="8">
        <f t="shared" si="1925"/>
        <v>116120</v>
      </c>
      <c r="BP1934" s="8">
        <f t="shared" si="1945"/>
        <v>642</v>
      </c>
      <c r="BQ1934" s="12">
        <f t="shared" si="1946"/>
        <v>35746</v>
      </c>
    </row>
    <row r="1935" spans="1:69">
      <c r="A1935" s="28">
        <v>1974</v>
      </c>
      <c r="B1935" s="27" t="s">
        <v>88</v>
      </c>
      <c r="C1935" s="24">
        <f t="shared" si="1951"/>
        <v>1916</v>
      </c>
      <c r="D1935" s="7" t="e">
        <f t="shared" ca="1" si="1952"/>
        <v>#N/A</v>
      </c>
      <c r="E1935" s="26">
        <f t="array" aca="1" ref="E1935" ca="1">AVERAGE(IF(INDIRECT(DatCol&amp;"$"&amp;TEXT(C1935,"###")):INDIRECT(DatCol&amp;"$"&amp;TEXT(C1935+57,"###"))&gt;0,INDIRECT(DatCol&amp;"$"&amp;TEXT(C1935,"###")):INDIRECT(DatCol&amp;"$"&amp;TEXT(C1935+57,"###"))))</f>
        <v>80.576388888888872</v>
      </c>
      <c r="F1935" s="26" t="str">
        <f t="shared" si="1924"/>
        <v>C</v>
      </c>
      <c r="G1935" s="8"/>
      <c r="H1935" s="8">
        <v>1</v>
      </c>
      <c r="I1935" s="8">
        <v>0</v>
      </c>
      <c r="J1935" s="8">
        <v>440</v>
      </c>
      <c r="K1935" s="9">
        <f t="shared" si="1926"/>
        <v>441</v>
      </c>
      <c r="M1935" s="11">
        <f t="shared" si="1953"/>
        <v>0</v>
      </c>
      <c r="N1935" s="12">
        <v>50</v>
      </c>
      <c r="O1935" s="11">
        <f t="shared" si="1954"/>
        <v>2500</v>
      </c>
      <c r="Q1935" s="11">
        <f t="shared" si="1955"/>
        <v>0</v>
      </c>
      <c r="X1935" s="12">
        <v>209</v>
      </c>
      <c r="Y1935" s="11">
        <f t="shared" si="1956"/>
        <v>12540</v>
      </c>
      <c r="AG1935" s="11">
        <f t="shared" si="1957"/>
        <v>0</v>
      </c>
      <c r="AI1935" s="11">
        <f t="shared" si="1958"/>
        <v>0</v>
      </c>
      <c r="AK1935" s="13">
        <f t="shared" si="1959"/>
        <v>0</v>
      </c>
      <c r="AL1935" s="12">
        <v>91</v>
      </c>
      <c r="AM1935" s="13">
        <f t="shared" si="1960"/>
        <v>819</v>
      </c>
      <c r="AN1935" s="12">
        <v>838</v>
      </c>
      <c r="AO1935" s="11">
        <f t="shared" si="1961"/>
        <v>67040</v>
      </c>
      <c r="AP1935" s="12">
        <v>82</v>
      </c>
      <c r="AQ1935" s="11">
        <f t="shared" si="1962"/>
        <v>6560</v>
      </c>
      <c r="AS1935" s="11">
        <f t="shared" si="1963"/>
        <v>0</v>
      </c>
      <c r="AT1935" s="12">
        <v>156</v>
      </c>
      <c r="AU1935" s="11">
        <f t="shared" si="1964"/>
        <v>7800</v>
      </c>
      <c r="AW1935" s="11">
        <f t="shared" si="1965"/>
        <v>0</v>
      </c>
      <c r="AY1935" s="11">
        <f t="shared" si="1966"/>
        <v>0</v>
      </c>
      <c r="BA1935" s="11">
        <f t="shared" si="1967"/>
        <v>0</v>
      </c>
      <c r="BC1935" s="11">
        <f t="shared" si="1968"/>
        <v>0</v>
      </c>
      <c r="BE1935" s="11">
        <f t="shared" si="1969"/>
        <v>0</v>
      </c>
      <c r="BG1935" s="11">
        <f t="shared" si="1970"/>
        <v>0</v>
      </c>
      <c r="BN1935" s="8">
        <f t="shared" si="1923"/>
        <v>1047</v>
      </c>
      <c r="BO1935" s="8">
        <f t="shared" si="1925"/>
        <v>79580</v>
      </c>
      <c r="BP1935" s="8">
        <f t="shared" si="1945"/>
        <v>588</v>
      </c>
      <c r="BQ1935" s="12">
        <f t="shared" si="1946"/>
        <v>30219</v>
      </c>
    </row>
    <row r="1936" spans="1:69">
      <c r="A1936" s="28">
        <v>1975</v>
      </c>
      <c r="B1936" s="27" t="s">
        <v>88</v>
      </c>
      <c r="C1936" s="24">
        <f t="shared" si="1951"/>
        <v>1916</v>
      </c>
      <c r="D1936" s="7" t="e">
        <f t="shared" ca="1" si="1952"/>
        <v>#N/A</v>
      </c>
      <c r="E1936" s="26">
        <f t="array" aca="1" ref="E1936" ca="1">AVERAGE(IF(INDIRECT(DatCol&amp;"$"&amp;TEXT(C1936,"###")):INDIRECT(DatCol&amp;"$"&amp;TEXT(C1936+57,"###"))&gt;0,INDIRECT(DatCol&amp;"$"&amp;TEXT(C1936,"###")):INDIRECT(DatCol&amp;"$"&amp;TEXT(C1936+57,"###"))))</f>
        <v>80.576388888888872</v>
      </c>
      <c r="F1936" s="26" t="str">
        <f t="shared" si="1924"/>
        <v>C</v>
      </c>
      <c r="G1936" s="8"/>
      <c r="H1936" s="8">
        <v>1</v>
      </c>
      <c r="I1936" s="8">
        <v>0</v>
      </c>
      <c r="J1936" s="8">
        <v>456</v>
      </c>
      <c r="K1936" s="9">
        <f t="shared" si="1926"/>
        <v>457</v>
      </c>
      <c r="M1936" s="11">
        <f t="shared" si="1953"/>
        <v>0</v>
      </c>
      <c r="N1936" s="12">
        <v>154</v>
      </c>
      <c r="O1936" s="11">
        <f t="shared" si="1954"/>
        <v>7700</v>
      </c>
      <c r="Q1936" s="11">
        <f t="shared" si="1955"/>
        <v>0</v>
      </c>
      <c r="X1936" s="12">
        <v>204</v>
      </c>
      <c r="Y1936" s="11">
        <f t="shared" si="1956"/>
        <v>12240</v>
      </c>
      <c r="AG1936" s="11">
        <f t="shared" si="1957"/>
        <v>0</v>
      </c>
      <c r="AI1936" s="11">
        <f t="shared" si="1958"/>
        <v>0</v>
      </c>
      <c r="AK1936" s="13">
        <f t="shared" si="1959"/>
        <v>0</v>
      </c>
      <c r="AL1936" s="12" t="s">
        <v>52</v>
      </c>
      <c r="AM1936" s="13">
        <f t="shared" si="1960"/>
        <v>0</v>
      </c>
      <c r="AN1936" s="12">
        <v>1265</v>
      </c>
      <c r="AO1936" s="11">
        <f t="shared" si="1961"/>
        <v>101200</v>
      </c>
      <c r="AP1936" s="12">
        <v>129</v>
      </c>
      <c r="AQ1936" s="11">
        <f t="shared" si="1962"/>
        <v>10320</v>
      </c>
      <c r="AS1936" s="11">
        <f t="shared" si="1963"/>
        <v>0</v>
      </c>
      <c r="AT1936" s="12">
        <v>301</v>
      </c>
      <c r="AU1936" s="11">
        <f t="shared" si="1964"/>
        <v>15050</v>
      </c>
      <c r="AW1936" s="11">
        <f t="shared" si="1965"/>
        <v>0</v>
      </c>
      <c r="AY1936" s="11">
        <f t="shared" si="1966"/>
        <v>0</v>
      </c>
      <c r="BA1936" s="11">
        <f t="shared" si="1967"/>
        <v>0</v>
      </c>
      <c r="BC1936" s="11">
        <f t="shared" si="1968"/>
        <v>0</v>
      </c>
      <c r="BE1936" s="11">
        <f t="shared" si="1969"/>
        <v>0</v>
      </c>
      <c r="BG1936" s="11">
        <f t="shared" si="1970"/>
        <v>0</v>
      </c>
      <c r="BN1936" s="8">
        <f t="shared" si="1923"/>
        <v>1469</v>
      </c>
      <c r="BO1936" s="8">
        <f t="shared" si="1925"/>
        <v>113440</v>
      </c>
      <c r="BP1936" s="8">
        <f t="shared" si="1945"/>
        <v>788</v>
      </c>
      <c r="BQ1936" s="12">
        <f t="shared" si="1946"/>
        <v>45310</v>
      </c>
    </row>
    <row r="1937" spans="1:69">
      <c r="A1937" s="28">
        <v>1976</v>
      </c>
      <c r="B1937" s="27" t="s">
        <v>88</v>
      </c>
      <c r="C1937" s="24">
        <f t="shared" si="1951"/>
        <v>1916</v>
      </c>
      <c r="D1937" s="7" t="e">
        <f t="shared" ca="1" si="1952"/>
        <v>#N/A</v>
      </c>
      <c r="E1937" s="26">
        <f t="array" aca="1" ref="E1937" ca="1">AVERAGE(IF(INDIRECT(DatCol&amp;"$"&amp;TEXT(C1937,"###")):INDIRECT(DatCol&amp;"$"&amp;TEXT(C1937+57,"###"))&gt;0,INDIRECT(DatCol&amp;"$"&amp;TEXT(C1937,"###")):INDIRECT(DatCol&amp;"$"&amp;TEXT(C1937+57,"###"))))</f>
        <v>80.576388888888872</v>
      </c>
      <c r="F1937" s="26" t="str">
        <f t="shared" si="1924"/>
        <v>C</v>
      </c>
      <c r="G1937" s="8"/>
      <c r="H1937" s="8">
        <v>1</v>
      </c>
      <c r="I1937" s="8">
        <v>0</v>
      </c>
      <c r="J1937" s="8">
        <v>363</v>
      </c>
      <c r="K1937" s="9">
        <f t="shared" si="1926"/>
        <v>364</v>
      </c>
      <c r="M1937" s="11">
        <f t="shared" si="1953"/>
        <v>0</v>
      </c>
      <c r="N1937" s="12">
        <v>128</v>
      </c>
      <c r="O1937" s="11">
        <f t="shared" si="1954"/>
        <v>6400</v>
      </c>
      <c r="Q1937" s="11">
        <f t="shared" si="1955"/>
        <v>0</v>
      </c>
      <c r="X1937" s="12">
        <v>120</v>
      </c>
      <c r="Y1937" s="11">
        <f t="shared" si="1956"/>
        <v>7200</v>
      </c>
      <c r="AG1937" s="11">
        <f t="shared" si="1957"/>
        <v>0</v>
      </c>
      <c r="AI1937" s="11">
        <f t="shared" si="1958"/>
        <v>0</v>
      </c>
      <c r="AK1937" s="13">
        <f t="shared" si="1959"/>
        <v>0</v>
      </c>
      <c r="AL1937" s="12">
        <v>47</v>
      </c>
      <c r="AM1937" s="13">
        <f t="shared" si="1960"/>
        <v>423</v>
      </c>
      <c r="AN1937" s="12">
        <v>1537</v>
      </c>
      <c r="AO1937" s="11">
        <f t="shared" si="1961"/>
        <v>122960</v>
      </c>
      <c r="AP1937" s="12">
        <v>208</v>
      </c>
      <c r="AQ1937" s="11">
        <f t="shared" si="1962"/>
        <v>16640</v>
      </c>
      <c r="AS1937" s="11">
        <f t="shared" si="1963"/>
        <v>0</v>
      </c>
      <c r="AT1937" s="12">
        <v>346</v>
      </c>
      <c r="AU1937" s="11">
        <f t="shared" si="1964"/>
        <v>17300</v>
      </c>
      <c r="AW1937" s="11">
        <f t="shared" si="1965"/>
        <v>0</v>
      </c>
      <c r="AY1937" s="11">
        <f t="shared" si="1966"/>
        <v>0</v>
      </c>
      <c r="BA1937" s="11">
        <f t="shared" si="1967"/>
        <v>0</v>
      </c>
      <c r="BC1937" s="11">
        <f t="shared" si="1968"/>
        <v>0</v>
      </c>
      <c r="BE1937" s="11">
        <f t="shared" si="1969"/>
        <v>0</v>
      </c>
      <c r="BG1937" s="11">
        <f t="shared" si="1970"/>
        <v>0</v>
      </c>
      <c r="BN1937" s="8">
        <f t="shared" si="1923"/>
        <v>1657</v>
      </c>
      <c r="BO1937" s="8">
        <f t="shared" si="1925"/>
        <v>130160</v>
      </c>
      <c r="BP1937" s="8">
        <f t="shared" si="1945"/>
        <v>849</v>
      </c>
      <c r="BQ1937" s="12">
        <f t="shared" si="1946"/>
        <v>47963</v>
      </c>
    </row>
    <row r="1938" spans="1:69">
      <c r="A1938" s="28">
        <v>1977</v>
      </c>
      <c r="B1938" s="27" t="s">
        <v>88</v>
      </c>
      <c r="C1938" s="24">
        <f t="shared" si="1951"/>
        <v>1916</v>
      </c>
      <c r="D1938" s="7" t="e">
        <f t="shared" ca="1" si="1952"/>
        <v>#N/A</v>
      </c>
      <c r="E1938" s="26">
        <f t="array" aca="1" ref="E1938" ca="1">AVERAGE(IF(INDIRECT(DatCol&amp;"$"&amp;TEXT(C1938,"###")):INDIRECT(DatCol&amp;"$"&amp;TEXT(C1938+57,"###"))&gt;0,INDIRECT(DatCol&amp;"$"&amp;TEXT(C1938,"###")):INDIRECT(DatCol&amp;"$"&amp;TEXT(C1938+57,"###"))))</f>
        <v>80.576388888888872</v>
      </c>
      <c r="F1938" s="26" t="str">
        <f t="shared" si="1924"/>
        <v>C</v>
      </c>
      <c r="G1938" s="8"/>
      <c r="H1938" s="8">
        <v>2</v>
      </c>
      <c r="I1938" s="8">
        <v>6</v>
      </c>
      <c r="J1938" s="8">
        <v>342</v>
      </c>
      <c r="K1938" s="9">
        <f t="shared" si="1926"/>
        <v>344</v>
      </c>
      <c r="M1938" s="11">
        <f t="shared" ref="M1938:M1953" si="1971">(L1938*50)</f>
        <v>0</v>
      </c>
      <c r="N1938" s="12">
        <v>110</v>
      </c>
      <c r="O1938" s="11">
        <f t="shared" ref="O1938:O1953" si="1972">(N1938*50)</f>
        <v>5500</v>
      </c>
      <c r="Q1938" s="11">
        <f t="shared" ref="Q1938:Q1953" si="1973">((P1938*330)/5.5)</f>
        <v>0</v>
      </c>
      <c r="X1938" s="12">
        <v>96</v>
      </c>
      <c r="Y1938" s="11">
        <f t="shared" ref="Y1938:Y1953" si="1974">((X1938*330)/5.5)</f>
        <v>5760</v>
      </c>
      <c r="AG1938" s="11">
        <f t="shared" ref="AG1938:AG1953" si="1975">(AF1938*65)</f>
        <v>0</v>
      </c>
      <c r="AI1938" s="11">
        <f t="shared" ref="AI1938:AI1953" si="1976">(AH1938*65)</f>
        <v>0</v>
      </c>
      <c r="AK1938" s="13">
        <f t="shared" ref="AK1938:AK1953" si="1977">(AJ1938*9)</f>
        <v>0</v>
      </c>
      <c r="AL1938" s="12">
        <v>62</v>
      </c>
      <c r="AM1938" s="13">
        <f t="shared" ref="AM1938:AM1953" si="1978">(AL1938*9)</f>
        <v>558</v>
      </c>
      <c r="AN1938" s="12">
        <v>2125</v>
      </c>
      <c r="AO1938" s="11">
        <f t="shared" ref="AO1938:AO1953" si="1979">(AN1938*80)</f>
        <v>170000</v>
      </c>
      <c r="AP1938" s="12">
        <v>135</v>
      </c>
      <c r="AQ1938" s="11">
        <f t="shared" ref="AQ1938:AQ1953" si="1980">(AP1938*80)</f>
        <v>10800</v>
      </c>
      <c r="AS1938" s="11">
        <f t="shared" ref="AS1938:AS1953" si="1981">(AR1938*50)</f>
        <v>0</v>
      </c>
      <c r="AT1938" s="12">
        <v>368</v>
      </c>
      <c r="AU1938" s="11">
        <f t="shared" ref="AU1938:AU1953" si="1982">(AT1938*50)</f>
        <v>18400</v>
      </c>
      <c r="AW1938" s="11">
        <f t="shared" ref="AW1938:AW1953" si="1983">(AV1938*60)</f>
        <v>0</v>
      </c>
      <c r="AY1938" s="11">
        <f t="shared" ref="AY1938:AY1953" si="1984">(AX1938*60)</f>
        <v>0</v>
      </c>
      <c r="BA1938" s="11">
        <f t="shared" ref="BA1938:BA1953" si="1985">(AZ1938*40)</f>
        <v>0</v>
      </c>
      <c r="BC1938" s="11">
        <f t="shared" ref="BC1938:BC1953" si="1986">(BB1938*40)</f>
        <v>0</v>
      </c>
      <c r="BE1938" s="11">
        <f t="shared" ref="BE1938:BE1953" si="1987">(BD1938*95)</f>
        <v>0</v>
      </c>
      <c r="BG1938" s="11">
        <f t="shared" ref="BG1938:BG1953" si="1988">(BF1938*95)</f>
        <v>0</v>
      </c>
      <c r="BN1938" s="8">
        <f t="shared" si="1923"/>
        <v>2221</v>
      </c>
      <c r="BO1938" s="8">
        <f t="shared" si="1925"/>
        <v>175760</v>
      </c>
      <c r="BP1938" s="8">
        <f t="shared" si="1945"/>
        <v>771</v>
      </c>
      <c r="BQ1938" s="12">
        <f t="shared" si="1946"/>
        <v>41018</v>
      </c>
    </row>
    <row r="1939" spans="1:69">
      <c r="A1939" s="28">
        <v>1978</v>
      </c>
      <c r="B1939" s="27" t="s">
        <v>88</v>
      </c>
      <c r="C1939" s="24">
        <f t="shared" si="1951"/>
        <v>1916</v>
      </c>
      <c r="D1939" s="7" t="e">
        <f t="shared" ca="1" si="1952"/>
        <v>#N/A</v>
      </c>
      <c r="E1939" s="26">
        <f t="array" aca="1" ref="E1939" ca="1">AVERAGE(IF(INDIRECT(DatCol&amp;"$"&amp;TEXT(C1939,"###")):INDIRECT(DatCol&amp;"$"&amp;TEXT(C1939+57,"###"))&gt;0,INDIRECT(DatCol&amp;"$"&amp;TEXT(C1939,"###")):INDIRECT(DatCol&amp;"$"&amp;TEXT(C1939+57,"###"))))</f>
        <v>80.576388888888872</v>
      </c>
      <c r="F1939" s="26" t="str">
        <f t="shared" si="1924"/>
        <v>C</v>
      </c>
      <c r="G1939" s="8"/>
      <c r="H1939" s="8">
        <v>5</v>
      </c>
      <c r="I1939" s="8">
        <v>5</v>
      </c>
      <c r="J1939" s="8">
        <v>301</v>
      </c>
      <c r="K1939" s="9">
        <f t="shared" si="1926"/>
        <v>306</v>
      </c>
      <c r="M1939" s="11">
        <f t="shared" si="1971"/>
        <v>0</v>
      </c>
      <c r="N1939" s="12">
        <v>68</v>
      </c>
      <c r="O1939" s="11">
        <f t="shared" si="1972"/>
        <v>3400</v>
      </c>
      <c r="Q1939" s="11">
        <f t="shared" si="1973"/>
        <v>0</v>
      </c>
      <c r="X1939" s="12">
        <v>187</v>
      </c>
      <c r="Y1939" s="11">
        <f t="shared" si="1974"/>
        <v>11220</v>
      </c>
      <c r="AG1939" s="11">
        <f t="shared" si="1975"/>
        <v>0</v>
      </c>
      <c r="AI1939" s="11">
        <f t="shared" si="1976"/>
        <v>0</v>
      </c>
      <c r="AK1939" s="13">
        <f t="shared" si="1977"/>
        <v>0</v>
      </c>
      <c r="AL1939" s="12">
        <v>44</v>
      </c>
      <c r="AM1939" s="13">
        <f t="shared" si="1978"/>
        <v>396</v>
      </c>
      <c r="AN1939" s="12">
        <v>1818</v>
      </c>
      <c r="AO1939" s="11">
        <f t="shared" si="1979"/>
        <v>145440</v>
      </c>
      <c r="AP1939" s="12">
        <v>103</v>
      </c>
      <c r="AQ1939" s="11">
        <f t="shared" si="1980"/>
        <v>8240</v>
      </c>
      <c r="AS1939" s="11">
        <f t="shared" si="1981"/>
        <v>0</v>
      </c>
      <c r="AT1939" s="12">
        <v>114</v>
      </c>
      <c r="AU1939" s="11">
        <f t="shared" si="1982"/>
        <v>5700</v>
      </c>
      <c r="AW1939" s="11">
        <f t="shared" si="1983"/>
        <v>0</v>
      </c>
      <c r="AY1939" s="11">
        <f t="shared" si="1984"/>
        <v>0</v>
      </c>
      <c r="BA1939" s="11">
        <f t="shared" si="1985"/>
        <v>0</v>
      </c>
      <c r="BC1939" s="11">
        <f t="shared" si="1986"/>
        <v>0</v>
      </c>
      <c r="BE1939" s="11">
        <f t="shared" si="1987"/>
        <v>0</v>
      </c>
      <c r="BG1939" s="11">
        <f t="shared" si="1988"/>
        <v>0</v>
      </c>
      <c r="BN1939" s="8">
        <f t="shared" si="1923"/>
        <v>2005</v>
      </c>
      <c r="BO1939" s="8">
        <f t="shared" si="1925"/>
        <v>156660</v>
      </c>
      <c r="BP1939" s="8">
        <f t="shared" si="1945"/>
        <v>516</v>
      </c>
      <c r="BQ1939" s="12">
        <f t="shared" si="1946"/>
        <v>28956</v>
      </c>
    </row>
    <row r="1940" spans="1:69">
      <c r="A1940" s="28">
        <v>1979</v>
      </c>
      <c r="B1940" s="27" t="s">
        <v>88</v>
      </c>
      <c r="C1940" s="24">
        <f t="shared" si="1951"/>
        <v>1916</v>
      </c>
      <c r="D1940" s="7" t="e">
        <f t="shared" ca="1" si="1952"/>
        <v>#N/A</v>
      </c>
      <c r="E1940" s="26">
        <f t="array" aca="1" ref="E1940" ca="1">AVERAGE(IF(INDIRECT(DatCol&amp;"$"&amp;TEXT(C1940,"###")):INDIRECT(DatCol&amp;"$"&amp;TEXT(C1940+57,"###"))&gt;0,INDIRECT(DatCol&amp;"$"&amp;TEXT(C1940,"###")):INDIRECT(DatCol&amp;"$"&amp;TEXT(C1940+57,"###"))))</f>
        <v>80.576388888888872</v>
      </c>
      <c r="F1940" s="26" t="str">
        <f t="shared" si="1924"/>
        <v>C</v>
      </c>
      <c r="G1940" s="8"/>
      <c r="H1940" s="8">
        <v>5</v>
      </c>
      <c r="I1940" s="8">
        <v>0</v>
      </c>
      <c r="J1940" s="8">
        <v>309</v>
      </c>
      <c r="K1940" s="9">
        <f t="shared" si="1926"/>
        <v>314</v>
      </c>
      <c r="M1940" s="11">
        <f t="shared" si="1971"/>
        <v>0</v>
      </c>
      <c r="N1940" s="12">
        <v>135</v>
      </c>
      <c r="O1940" s="11">
        <f t="shared" si="1972"/>
        <v>6750</v>
      </c>
      <c r="Q1940" s="11">
        <f t="shared" si="1973"/>
        <v>0</v>
      </c>
      <c r="X1940" s="12">
        <v>170</v>
      </c>
      <c r="Y1940" s="11">
        <f t="shared" si="1974"/>
        <v>10200</v>
      </c>
      <c r="AG1940" s="11">
        <f t="shared" si="1975"/>
        <v>0</v>
      </c>
      <c r="AI1940" s="11">
        <f t="shared" si="1976"/>
        <v>0</v>
      </c>
      <c r="AK1940" s="13">
        <f t="shared" si="1977"/>
        <v>0</v>
      </c>
      <c r="AL1940" s="12">
        <v>9</v>
      </c>
      <c r="AM1940" s="13">
        <f t="shared" si="1978"/>
        <v>81</v>
      </c>
      <c r="AN1940" s="12">
        <v>1922</v>
      </c>
      <c r="AO1940" s="11">
        <f t="shared" si="1979"/>
        <v>153760</v>
      </c>
      <c r="AP1940" s="12">
        <v>131</v>
      </c>
      <c r="AQ1940" s="11">
        <f t="shared" si="1980"/>
        <v>10480</v>
      </c>
      <c r="AS1940" s="11">
        <f t="shared" si="1981"/>
        <v>0</v>
      </c>
      <c r="AT1940" s="12">
        <v>96</v>
      </c>
      <c r="AU1940" s="11">
        <f t="shared" si="1982"/>
        <v>4800</v>
      </c>
      <c r="AW1940" s="11">
        <f t="shared" si="1983"/>
        <v>0</v>
      </c>
      <c r="AY1940" s="11">
        <f t="shared" si="1984"/>
        <v>0</v>
      </c>
      <c r="BA1940" s="11">
        <f t="shared" si="1985"/>
        <v>0</v>
      </c>
      <c r="BC1940" s="11">
        <f t="shared" si="1986"/>
        <v>0</v>
      </c>
      <c r="BE1940" s="11">
        <f t="shared" si="1987"/>
        <v>0</v>
      </c>
      <c r="BG1940" s="11">
        <f t="shared" si="1988"/>
        <v>0</v>
      </c>
      <c r="BN1940" s="8">
        <f t="shared" si="1923"/>
        <v>2092</v>
      </c>
      <c r="BO1940" s="8">
        <f t="shared" si="1925"/>
        <v>163960</v>
      </c>
      <c r="BP1940" s="8">
        <f t="shared" si="1945"/>
        <v>541</v>
      </c>
      <c r="BQ1940" s="12">
        <f t="shared" si="1946"/>
        <v>32311</v>
      </c>
    </row>
    <row r="1941" spans="1:69">
      <c r="A1941" s="28">
        <v>1980</v>
      </c>
      <c r="B1941" s="27" t="s">
        <v>88</v>
      </c>
      <c r="C1941" s="24">
        <f t="shared" si="1951"/>
        <v>1916</v>
      </c>
      <c r="D1941" s="7" t="e">
        <f t="shared" ca="1" si="1952"/>
        <v>#N/A</v>
      </c>
      <c r="E1941" s="26">
        <f t="array" aca="1" ref="E1941" ca="1">AVERAGE(IF(INDIRECT(DatCol&amp;"$"&amp;TEXT(C1941,"###")):INDIRECT(DatCol&amp;"$"&amp;TEXT(C1941+57,"###"))&gt;0,INDIRECT(DatCol&amp;"$"&amp;TEXT(C1941,"###")):INDIRECT(DatCol&amp;"$"&amp;TEXT(C1941+57,"###"))))</f>
        <v>80.576388888888872</v>
      </c>
      <c r="F1941" s="26" t="str">
        <f t="shared" si="1924"/>
        <v>C</v>
      </c>
      <c r="G1941" s="8"/>
      <c r="H1941" s="8">
        <v>3</v>
      </c>
      <c r="I1941" s="8">
        <v>2</v>
      </c>
      <c r="J1941" s="8">
        <v>301</v>
      </c>
      <c r="K1941" s="9">
        <f t="shared" si="1926"/>
        <v>304</v>
      </c>
      <c r="M1941" s="11">
        <f t="shared" si="1971"/>
        <v>0</v>
      </c>
      <c r="N1941" s="12">
        <v>138</v>
      </c>
      <c r="O1941" s="11">
        <f t="shared" si="1972"/>
        <v>6900</v>
      </c>
      <c r="Q1941" s="11">
        <f t="shared" si="1973"/>
        <v>0</v>
      </c>
      <c r="X1941" s="12">
        <v>167</v>
      </c>
      <c r="Y1941" s="11">
        <f t="shared" si="1974"/>
        <v>10020</v>
      </c>
      <c r="AG1941" s="11">
        <f t="shared" si="1975"/>
        <v>0</v>
      </c>
      <c r="AH1941" s="12">
        <v>8</v>
      </c>
      <c r="AI1941" s="11">
        <f t="shared" si="1976"/>
        <v>520</v>
      </c>
      <c r="AK1941" s="13">
        <f t="shared" si="1977"/>
        <v>0</v>
      </c>
      <c r="AM1941" s="13">
        <f t="shared" si="1978"/>
        <v>0</v>
      </c>
      <c r="AN1941" s="12">
        <v>1473</v>
      </c>
      <c r="AO1941" s="11">
        <f t="shared" si="1979"/>
        <v>117840</v>
      </c>
      <c r="AP1941" s="12">
        <v>132</v>
      </c>
      <c r="AQ1941" s="11">
        <f t="shared" si="1980"/>
        <v>10560</v>
      </c>
      <c r="AS1941" s="11">
        <f t="shared" si="1981"/>
        <v>0</v>
      </c>
      <c r="AT1941" s="12">
        <v>221</v>
      </c>
      <c r="AU1941" s="11">
        <f t="shared" si="1982"/>
        <v>11050</v>
      </c>
      <c r="AW1941" s="11">
        <f t="shared" si="1983"/>
        <v>0</v>
      </c>
      <c r="AY1941" s="11">
        <f t="shared" si="1984"/>
        <v>0</v>
      </c>
      <c r="BA1941" s="11">
        <f t="shared" si="1985"/>
        <v>0</v>
      </c>
      <c r="BC1941" s="11">
        <f t="shared" si="1986"/>
        <v>0</v>
      </c>
      <c r="BE1941" s="11">
        <f t="shared" si="1987"/>
        <v>0</v>
      </c>
      <c r="BG1941" s="11">
        <f t="shared" si="1988"/>
        <v>0</v>
      </c>
      <c r="BN1941" s="8">
        <f t="shared" si="1923"/>
        <v>1640</v>
      </c>
      <c r="BO1941" s="8">
        <f t="shared" si="1925"/>
        <v>127860</v>
      </c>
      <c r="BP1941" s="8">
        <f t="shared" si="1945"/>
        <v>666</v>
      </c>
      <c r="BQ1941" s="12">
        <f t="shared" si="1946"/>
        <v>39050</v>
      </c>
    </row>
    <row r="1942" spans="1:69">
      <c r="A1942" s="28">
        <v>1981</v>
      </c>
      <c r="B1942" s="27" t="s">
        <v>88</v>
      </c>
      <c r="C1942" s="24">
        <f t="shared" si="1951"/>
        <v>1916</v>
      </c>
      <c r="D1942" s="7" t="e">
        <f t="shared" ca="1" si="1952"/>
        <v>#N/A</v>
      </c>
      <c r="E1942" s="26">
        <f t="array" aca="1" ref="E1942" ca="1">AVERAGE(IF(INDIRECT(DatCol&amp;"$"&amp;TEXT(C1942,"###")):INDIRECT(DatCol&amp;"$"&amp;TEXT(C1942+57,"###"))&gt;0,INDIRECT(DatCol&amp;"$"&amp;TEXT(C1942,"###")):INDIRECT(DatCol&amp;"$"&amp;TEXT(C1942+57,"###"))))</f>
        <v>80.576388888888872</v>
      </c>
      <c r="F1942" s="26" t="str">
        <f t="shared" si="1924"/>
        <v>C</v>
      </c>
      <c r="G1942" s="8"/>
      <c r="H1942" s="8">
        <v>3</v>
      </c>
      <c r="I1942" s="8">
        <v>4</v>
      </c>
      <c r="J1942" s="8">
        <v>410</v>
      </c>
      <c r="K1942" s="9">
        <f t="shared" si="1926"/>
        <v>413</v>
      </c>
      <c r="M1942" s="11">
        <f t="shared" si="1971"/>
        <v>0</v>
      </c>
      <c r="N1942" s="12">
        <v>126</v>
      </c>
      <c r="O1942" s="11">
        <f t="shared" si="1972"/>
        <v>6300</v>
      </c>
      <c r="Q1942" s="11">
        <f t="shared" si="1973"/>
        <v>0</v>
      </c>
      <c r="X1942" s="12">
        <v>248</v>
      </c>
      <c r="Y1942" s="11">
        <f t="shared" si="1974"/>
        <v>14880</v>
      </c>
      <c r="AG1942" s="11">
        <f t="shared" si="1975"/>
        <v>0</v>
      </c>
      <c r="AH1942" s="12">
        <v>6</v>
      </c>
      <c r="AI1942" s="11">
        <f t="shared" si="1976"/>
        <v>390</v>
      </c>
      <c r="AK1942" s="13">
        <f t="shared" si="1977"/>
        <v>0</v>
      </c>
      <c r="AL1942" s="12">
        <v>88</v>
      </c>
      <c r="AM1942" s="13">
        <f t="shared" si="1978"/>
        <v>792</v>
      </c>
      <c r="AN1942" s="12">
        <v>947</v>
      </c>
      <c r="AO1942" s="11">
        <f t="shared" si="1979"/>
        <v>75760</v>
      </c>
      <c r="AP1942" s="12">
        <v>107</v>
      </c>
      <c r="AQ1942" s="11">
        <f t="shared" si="1980"/>
        <v>8560</v>
      </c>
      <c r="AS1942" s="11">
        <f t="shared" si="1981"/>
        <v>0</v>
      </c>
      <c r="AT1942" s="12">
        <v>163</v>
      </c>
      <c r="AU1942" s="11">
        <f t="shared" si="1982"/>
        <v>8150</v>
      </c>
      <c r="AW1942" s="11">
        <f t="shared" si="1983"/>
        <v>0</v>
      </c>
      <c r="AY1942" s="11">
        <f t="shared" si="1984"/>
        <v>0</v>
      </c>
      <c r="BA1942" s="11">
        <f t="shared" si="1985"/>
        <v>0</v>
      </c>
      <c r="BC1942" s="11">
        <f t="shared" si="1986"/>
        <v>0</v>
      </c>
      <c r="BE1942" s="11">
        <f t="shared" si="1987"/>
        <v>0</v>
      </c>
      <c r="BG1942" s="11">
        <f t="shared" si="1988"/>
        <v>0</v>
      </c>
      <c r="BN1942" s="8">
        <f t="shared" si="1923"/>
        <v>1195</v>
      </c>
      <c r="BO1942" s="8">
        <f t="shared" si="1925"/>
        <v>90640</v>
      </c>
      <c r="BP1942" s="8">
        <f t="shared" si="1945"/>
        <v>738</v>
      </c>
      <c r="BQ1942" s="12">
        <f t="shared" si="1946"/>
        <v>39072</v>
      </c>
    </row>
    <row r="1943" spans="1:69">
      <c r="A1943" s="28">
        <v>1982</v>
      </c>
      <c r="B1943" s="27" t="s">
        <v>88</v>
      </c>
      <c r="C1943" s="24">
        <f t="shared" si="1951"/>
        <v>1916</v>
      </c>
      <c r="D1943" s="7" t="e">
        <f t="shared" ca="1" si="1952"/>
        <v>#N/A</v>
      </c>
      <c r="E1943" s="26">
        <f t="array" aca="1" ref="E1943" ca="1">AVERAGE(IF(INDIRECT(DatCol&amp;"$"&amp;TEXT(C1943,"###")):INDIRECT(DatCol&amp;"$"&amp;TEXT(C1943+57,"###"))&gt;0,INDIRECT(DatCol&amp;"$"&amp;TEXT(C1943,"###")):INDIRECT(DatCol&amp;"$"&amp;TEXT(C1943+57,"###"))))</f>
        <v>80.576388888888872</v>
      </c>
      <c r="F1943" s="26" t="str">
        <f t="shared" si="1924"/>
        <v>C</v>
      </c>
      <c r="G1943" s="8"/>
      <c r="H1943" s="8">
        <v>4</v>
      </c>
      <c r="I1943" s="8">
        <v>0</v>
      </c>
      <c r="J1943" s="8">
        <v>431</v>
      </c>
      <c r="K1943" s="9">
        <f t="shared" si="1926"/>
        <v>435</v>
      </c>
      <c r="M1943" s="11">
        <f t="shared" si="1971"/>
        <v>0</v>
      </c>
      <c r="N1943" s="12">
        <v>107</v>
      </c>
      <c r="O1943" s="11">
        <f t="shared" si="1972"/>
        <v>5350</v>
      </c>
      <c r="Q1943" s="11">
        <f t="shared" si="1973"/>
        <v>0</v>
      </c>
      <c r="X1943" s="12">
        <v>238</v>
      </c>
      <c r="Y1943" s="11">
        <f t="shared" si="1974"/>
        <v>14280</v>
      </c>
      <c r="AG1943" s="11">
        <f t="shared" si="1975"/>
        <v>0</v>
      </c>
      <c r="AH1943" s="12">
        <v>48</v>
      </c>
      <c r="AI1943" s="11">
        <f t="shared" si="1976"/>
        <v>3120</v>
      </c>
      <c r="AK1943" s="13">
        <f t="shared" si="1977"/>
        <v>0</v>
      </c>
      <c r="AL1943" s="12">
        <v>2</v>
      </c>
      <c r="AM1943" s="13">
        <f t="shared" si="1978"/>
        <v>18</v>
      </c>
      <c r="AN1943" s="12">
        <v>2874</v>
      </c>
      <c r="AO1943" s="11">
        <f t="shared" si="1979"/>
        <v>229920</v>
      </c>
      <c r="AP1943" s="12">
        <v>169</v>
      </c>
      <c r="AQ1943" s="11">
        <f t="shared" si="1980"/>
        <v>13520</v>
      </c>
      <c r="AS1943" s="11">
        <f t="shared" si="1981"/>
        <v>0</v>
      </c>
      <c r="AT1943" s="12">
        <v>234</v>
      </c>
      <c r="AU1943" s="11">
        <f t="shared" si="1982"/>
        <v>11700</v>
      </c>
      <c r="AW1943" s="11">
        <f t="shared" si="1983"/>
        <v>0</v>
      </c>
      <c r="AY1943" s="11">
        <f t="shared" si="1984"/>
        <v>0</v>
      </c>
      <c r="BA1943" s="11">
        <f t="shared" si="1985"/>
        <v>0</v>
      </c>
      <c r="BC1943" s="11">
        <f t="shared" si="1986"/>
        <v>0</v>
      </c>
      <c r="BE1943" s="11">
        <f t="shared" si="1987"/>
        <v>0</v>
      </c>
      <c r="BG1943" s="11">
        <f t="shared" si="1988"/>
        <v>0</v>
      </c>
      <c r="BN1943" s="8">
        <f t="shared" si="1923"/>
        <v>3112</v>
      </c>
      <c r="BO1943" s="8">
        <f t="shared" si="1925"/>
        <v>244200</v>
      </c>
      <c r="BP1943" s="8">
        <f t="shared" si="1945"/>
        <v>798</v>
      </c>
      <c r="BQ1943" s="12">
        <f t="shared" si="1946"/>
        <v>47988</v>
      </c>
    </row>
    <row r="1944" spans="1:69">
      <c r="A1944" s="28">
        <v>1983</v>
      </c>
      <c r="B1944" s="27" t="s">
        <v>88</v>
      </c>
      <c r="C1944" s="24">
        <f t="shared" si="1951"/>
        <v>1916</v>
      </c>
      <c r="D1944" s="7" t="e">
        <f t="shared" ca="1" si="1952"/>
        <v>#N/A</v>
      </c>
      <c r="E1944" s="26">
        <f t="array" aca="1" ref="E1944" ca="1">AVERAGE(IF(INDIRECT(DatCol&amp;"$"&amp;TEXT(C1944,"###")):INDIRECT(DatCol&amp;"$"&amp;TEXT(C1944+57,"###"))&gt;0,INDIRECT(DatCol&amp;"$"&amp;TEXT(C1944,"###")):INDIRECT(DatCol&amp;"$"&amp;TEXT(C1944+57,"###"))))</f>
        <v>80.576388888888872</v>
      </c>
      <c r="F1944" s="26" t="str">
        <f t="shared" si="1924"/>
        <v>C</v>
      </c>
      <c r="G1944" s="8"/>
      <c r="H1944" s="8">
        <v>3</v>
      </c>
      <c r="I1944" s="8">
        <v>1</v>
      </c>
      <c r="J1944" s="8">
        <v>441</v>
      </c>
      <c r="K1944" s="9">
        <f t="shared" si="1926"/>
        <v>444</v>
      </c>
      <c r="M1944" s="11">
        <f t="shared" si="1971"/>
        <v>0</v>
      </c>
      <c r="N1944" s="12">
        <v>148</v>
      </c>
      <c r="O1944" s="11">
        <f t="shared" si="1972"/>
        <v>7400</v>
      </c>
      <c r="Q1944" s="11">
        <f t="shared" si="1973"/>
        <v>0</v>
      </c>
      <c r="X1944" s="12">
        <v>218</v>
      </c>
      <c r="Y1944" s="11">
        <f t="shared" si="1974"/>
        <v>13080</v>
      </c>
      <c r="AG1944" s="11">
        <f t="shared" si="1975"/>
        <v>0</v>
      </c>
      <c r="AH1944" s="12">
        <v>71</v>
      </c>
      <c r="AI1944" s="11">
        <f t="shared" si="1976"/>
        <v>4615</v>
      </c>
      <c r="AK1944" s="13">
        <f t="shared" si="1977"/>
        <v>0</v>
      </c>
      <c r="AL1944" s="12">
        <v>0</v>
      </c>
      <c r="AM1944" s="13">
        <f t="shared" si="1978"/>
        <v>0</v>
      </c>
      <c r="AN1944" s="12">
        <v>1131</v>
      </c>
      <c r="AO1944" s="11">
        <f t="shared" si="1979"/>
        <v>90480</v>
      </c>
      <c r="AP1944" s="12">
        <v>256</v>
      </c>
      <c r="AQ1944" s="11">
        <f t="shared" si="1980"/>
        <v>20480</v>
      </c>
      <c r="AS1944" s="11">
        <f t="shared" si="1981"/>
        <v>0</v>
      </c>
      <c r="AT1944" s="12">
        <v>352</v>
      </c>
      <c r="AU1944" s="11">
        <f t="shared" si="1982"/>
        <v>17600</v>
      </c>
      <c r="AW1944" s="11">
        <f t="shared" si="1983"/>
        <v>0</v>
      </c>
      <c r="AY1944" s="11">
        <f t="shared" si="1984"/>
        <v>0</v>
      </c>
      <c r="BA1944" s="11">
        <f t="shared" si="1985"/>
        <v>0</v>
      </c>
      <c r="BC1944" s="11">
        <f t="shared" si="1986"/>
        <v>0</v>
      </c>
      <c r="BE1944" s="11">
        <f t="shared" si="1987"/>
        <v>0</v>
      </c>
      <c r="BG1944" s="11">
        <f t="shared" si="1988"/>
        <v>0</v>
      </c>
      <c r="BN1944" s="8">
        <f t="shared" si="1923"/>
        <v>1349</v>
      </c>
      <c r="BO1944" s="8">
        <f t="shared" si="1925"/>
        <v>103560</v>
      </c>
      <c r="BP1944" s="8">
        <f t="shared" si="1945"/>
        <v>1045</v>
      </c>
      <c r="BQ1944" s="12">
        <f t="shared" si="1946"/>
        <v>63175</v>
      </c>
    </row>
    <row r="1945" spans="1:69">
      <c r="A1945" s="28">
        <v>1984</v>
      </c>
      <c r="B1945" s="27" t="s">
        <v>88</v>
      </c>
      <c r="C1945" s="24">
        <f t="shared" si="1951"/>
        <v>1916</v>
      </c>
      <c r="D1945" s="7" t="e">
        <f t="shared" ca="1" si="1952"/>
        <v>#N/A</v>
      </c>
      <c r="E1945" s="26">
        <f t="array" aca="1" ref="E1945" ca="1">AVERAGE(IF(INDIRECT(DatCol&amp;"$"&amp;TEXT(C1945,"###")):INDIRECT(DatCol&amp;"$"&amp;TEXT(C1945+57,"###"))&gt;0,INDIRECT(DatCol&amp;"$"&amp;TEXT(C1945,"###")):INDIRECT(DatCol&amp;"$"&amp;TEXT(C1945+57,"###"))))</f>
        <v>80.576388888888872</v>
      </c>
      <c r="F1945" s="26" t="str">
        <f t="shared" si="1924"/>
        <v>C</v>
      </c>
      <c r="G1945" s="8"/>
      <c r="H1945" s="8">
        <v>5</v>
      </c>
      <c r="I1945" s="8">
        <v>0</v>
      </c>
      <c r="J1945" s="8">
        <v>206</v>
      </c>
      <c r="K1945" s="9">
        <f t="shared" si="1926"/>
        <v>211</v>
      </c>
      <c r="M1945" s="11">
        <f t="shared" si="1971"/>
        <v>0</v>
      </c>
      <c r="N1945" s="12">
        <v>88</v>
      </c>
      <c r="O1945" s="11">
        <f t="shared" si="1972"/>
        <v>4400</v>
      </c>
      <c r="Q1945" s="11">
        <f t="shared" si="1973"/>
        <v>0</v>
      </c>
      <c r="X1945" s="12">
        <v>180</v>
      </c>
      <c r="Y1945" s="11">
        <f t="shared" si="1974"/>
        <v>10800</v>
      </c>
      <c r="AG1945" s="11">
        <f t="shared" si="1975"/>
        <v>0</v>
      </c>
      <c r="AH1945" s="12">
        <v>74</v>
      </c>
      <c r="AI1945" s="11">
        <f t="shared" si="1976"/>
        <v>4810</v>
      </c>
      <c r="AK1945" s="13">
        <f t="shared" si="1977"/>
        <v>0</v>
      </c>
      <c r="AM1945" s="13">
        <f t="shared" si="1978"/>
        <v>0</v>
      </c>
      <c r="AN1945" s="12">
        <v>2870</v>
      </c>
      <c r="AO1945" s="11">
        <f t="shared" si="1979"/>
        <v>229600</v>
      </c>
      <c r="AP1945" s="12">
        <v>295</v>
      </c>
      <c r="AQ1945" s="11">
        <f t="shared" si="1980"/>
        <v>23600</v>
      </c>
      <c r="AS1945" s="11">
        <f t="shared" si="1981"/>
        <v>0</v>
      </c>
      <c r="AT1945" s="12">
        <v>332</v>
      </c>
      <c r="AU1945" s="11">
        <f t="shared" si="1982"/>
        <v>16600</v>
      </c>
      <c r="AW1945" s="11">
        <f t="shared" si="1983"/>
        <v>0</v>
      </c>
      <c r="AY1945" s="11">
        <f t="shared" si="1984"/>
        <v>0</v>
      </c>
      <c r="BA1945" s="11">
        <f t="shared" si="1985"/>
        <v>0</v>
      </c>
      <c r="BC1945" s="11">
        <f t="shared" si="1986"/>
        <v>0</v>
      </c>
      <c r="BE1945" s="11">
        <f t="shared" si="1987"/>
        <v>0</v>
      </c>
      <c r="BG1945" s="11">
        <f t="shared" si="1988"/>
        <v>0</v>
      </c>
      <c r="BN1945" s="8">
        <f t="shared" si="1923"/>
        <v>3050</v>
      </c>
      <c r="BO1945" s="8">
        <f t="shared" si="1925"/>
        <v>240400</v>
      </c>
      <c r="BP1945" s="8">
        <f t="shared" si="1945"/>
        <v>969</v>
      </c>
      <c r="BQ1945" s="12">
        <f t="shared" si="1946"/>
        <v>60210</v>
      </c>
    </row>
    <row r="1946" spans="1:69">
      <c r="A1946" s="28">
        <v>1985</v>
      </c>
      <c r="B1946" s="27" t="s">
        <v>88</v>
      </c>
      <c r="C1946" s="24">
        <f t="shared" si="1951"/>
        <v>1916</v>
      </c>
      <c r="D1946" s="7" t="e">
        <f t="shared" ca="1" si="1952"/>
        <v>#N/A</v>
      </c>
      <c r="E1946" s="26">
        <f t="array" aca="1" ref="E1946" ca="1">AVERAGE(IF(INDIRECT(DatCol&amp;"$"&amp;TEXT(C1946,"###")):INDIRECT(DatCol&amp;"$"&amp;TEXT(C1946+57,"###"))&gt;0,INDIRECT(DatCol&amp;"$"&amp;TEXT(C1946,"###")):INDIRECT(DatCol&amp;"$"&amp;TEXT(C1946+57,"###"))))</f>
        <v>80.576388888888872</v>
      </c>
      <c r="F1946" s="26" t="str">
        <f t="shared" si="1924"/>
        <v>C</v>
      </c>
      <c r="G1946" s="8">
        <v>88</v>
      </c>
      <c r="H1946" s="8">
        <v>6</v>
      </c>
      <c r="I1946" s="8">
        <v>0</v>
      </c>
      <c r="J1946" s="8">
        <v>216</v>
      </c>
      <c r="K1946" s="9">
        <f t="shared" si="1926"/>
        <v>310</v>
      </c>
      <c r="M1946" s="11">
        <f t="shared" si="1971"/>
        <v>0</v>
      </c>
      <c r="N1946" s="12">
        <v>46</v>
      </c>
      <c r="O1946" s="11">
        <f t="shared" si="1972"/>
        <v>2300</v>
      </c>
      <c r="Q1946" s="11">
        <f t="shared" si="1973"/>
        <v>0</v>
      </c>
      <c r="X1946" s="12">
        <v>186</v>
      </c>
      <c r="Y1946" s="11">
        <f t="shared" si="1974"/>
        <v>11160</v>
      </c>
      <c r="AG1946" s="11">
        <f t="shared" si="1975"/>
        <v>0</v>
      </c>
      <c r="AH1946" s="12">
        <v>38</v>
      </c>
      <c r="AI1946" s="11">
        <f t="shared" si="1976"/>
        <v>2470</v>
      </c>
      <c r="AK1946" s="13">
        <f t="shared" si="1977"/>
        <v>0</v>
      </c>
      <c r="AM1946" s="13">
        <f t="shared" si="1978"/>
        <v>0</v>
      </c>
      <c r="AN1946" s="12">
        <v>3000</v>
      </c>
      <c r="AO1946" s="11">
        <f t="shared" si="1979"/>
        <v>240000</v>
      </c>
      <c r="AP1946" s="12">
        <v>239</v>
      </c>
      <c r="AQ1946" s="11">
        <f t="shared" si="1980"/>
        <v>19120</v>
      </c>
      <c r="AS1946" s="11">
        <f t="shared" si="1981"/>
        <v>0</v>
      </c>
      <c r="AT1946" s="12">
        <v>298</v>
      </c>
      <c r="AU1946" s="11">
        <f t="shared" si="1982"/>
        <v>14900</v>
      </c>
      <c r="AW1946" s="11">
        <f t="shared" si="1983"/>
        <v>0</v>
      </c>
      <c r="AY1946" s="11">
        <f t="shared" si="1984"/>
        <v>0</v>
      </c>
      <c r="BA1946" s="11">
        <f t="shared" si="1985"/>
        <v>0</v>
      </c>
      <c r="BC1946" s="11">
        <f t="shared" si="1986"/>
        <v>0</v>
      </c>
      <c r="BE1946" s="11">
        <f t="shared" si="1987"/>
        <v>0</v>
      </c>
      <c r="BG1946" s="11">
        <f t="shared" si="1988"/>
        <v>0</v>
      </c>
      <c r="BN1946" s="8">
        <f t="shared" si="1923"/>
        <v>3186</v>
      </c>
      <c r="BO1946" s="8">
        <f t="shared" si="1925"/>
        <v>251160</v>
      </c>
      <c r="BP1946" s="8">
        <f t="shared" si="1945"/>
        <v>807</v>
      </c>
      <c r="BQ1946" s="12">
        <f t="shared" si="1946"/>
        <v>49950</v>
      </c>
    </row>
    <row r="1947" spans="1:69">
      <c r="A1947" s="28">
        <v>1986</v>
      </c>
      <c r="B1947" s="27" t="s">
        <v>88</v>
      </c>
      <c r="C1947" s="24">
        <f t="shared" si="1951"/>
        <v>1916</v>
      </c>
      <c r="D1947" s="7" t="e">
        <f t="shared" ca="1" si="1952"/>
        <v>#N/A</v>
      </c>
      <c r="E1947" s="26">
        <f t="array" aca="1" ref="E1947" ca="1">AVERAGE(IF(INDIRECT(DatCol&amp;"$"&amp;TEXT(C1947,"###")):INDIRECT(DatCol&amp;"$"&amp;TEXT(C1947+57,"###"))&gt;0,INDIRECT(DatCol&amp;"$"&amp;TEXT(C1947,"###")):INDIRECT(DatCol&amp;"$"&amp;TEXT(C1947+57,"###"))))</f>
        <v>80.576388888888872</v>
      </c>
      <c r="F1947" s="26" t="str">
        <f t="shared" si="1924"/>
        <v>C</v>
      </c>
      <c r="G1947" s="8">
        <v>95</v>
      </c>
      <c r="H1947" s="8">
        <v>6</v>
      </c>
      <c r="I1947" s="8">
        <v>0</v>
      </c>
      <c r="J1947" s="8">
        <v>273</v>
      </c>
      <c r="K1947" s="9">
        <f t="shared" si="1926"/>
        <v>374</v>
      </c>
      <c r="M1947" s="11">
        <f t="shared" si="1971"/>
        <v>0</v>
      </c>
      <c r="N1947" s="12">
        <v>52</v>
      </c>
      <c r="O1947" s="11">
        <f t="shared" si="1972"/>
        <v>2600</v>
      </c>
      <c r="Q1947" s="11">
        <f t="shared" si="1973"/>
        <v>0</v>
      </c>
      <c r="X1947" s="12">
        <v>182</v>
      </c>
      <c r="Y1947" s="11">
        <f t="shared" si="1974"/>
        <v>10920</v>
      </c>
      <c r="AG1947" s="11">
        <f t="shared" si="1975"/>
        <v>0</v>
      </c>
      <c r="AI1947" s="11">
        <f t="shared" si="1976"/>
        <v>0</v>
      </c>
      <c r="AK1947" s="13">
        <f t="shared" si="1977"/>
        <v>0</v>
      </c>
      <c r="AL1947" s="12">
        <v>41</v>
      </c>
      <c r="AM1947" s="13">
        <f t="shared" si="1978"/>
        <v>369</v>
      </c>
      <c r="AN1947" s="12">
        <v>1100</v>
      </c>
      <c r="AO1947" s="11">
        <f t="shared" si="1979"/>
        <v>88000</v>
      </c>
      <c r="AP1947" s="12">
        <v>204</v>
      </c>
      <c r="AQ1947" s="11">
        <f t="shared" si="1980"/>
        <v>16320</v>
      </c>
      <c r="AS1947" s="11">
        <f t="shared" si="1981"/>
        <v>0</v>
      </c>
      <c r="AT1947" s="12">
        <v>173</v>
      </c>
      <c r="AU1947" s="11">
        <f t="shared" si="1982"/>
        <v>8650</v>
      </c>
      <c r="AW1947" s="11">
        <f t="shared" si="1983"/>
        <v>0</v>
      </c>
      <c r="AY1947" s="11">
        <f t="shared" si="1984"/>
        <v>0</v>
      </c>
      <c r="BA1947" s="11">
        <f t="shared" si="1985"/>
        <v>0</v>
      </c>
      <c r="BC1947" s="11">
        <f t="shared" si="1986"/>
        <v>0</v>
      </c>
      <c r="BE1947" s="11">
        <f t="shared" si="1987"/>
        <v>0</v>
      </c>
      <c r="BG1947" s="11">
        <f t="shared" si="1988"/>
        <v>0</v>
      </c>
      <c r="BN1947" s="8">
        <f t="shared" si="1923"/>
        <v>1282</v>
      </c>
      <c r="BO1947" s="8">
        <f t="shared" si="1925"/>
        <v>98920</v>
      </c>
      <c r="BP1947" s="8">
        <f t="shared" si="1945"/>
        <v>652</v>
      </c>
      <c r="BQ1947" s="12">
        <f t="shared" si="1946"/>
        <v>38859</v>
      </c>
    </row>
    <row r="1948" spans="1:69">
      <c r="A1948" s="28">
        <v>1987</v>
      </c>
      <c r="B1948" s="27" t="s">
        <v>88</v>
      </c>
      <c r="C1948" s="24">
        <f t="shared" si="1951"/>
        <v>1916</v>
      </c>
      <c r="D1948" s="7" t="e">
        <f t="shared" ca="1" si="1952"/>
        <v>#N/A</v>
      </c>
      <c r="E1948" s="26">
        <f t="array" aca="1" ref="E1948" ca="1">AVERAGE(IF(INDIRECT(DatCol&amp;"$"&amp;TEXT(C1948,"###")):INDIRECT(DatCol&amp;"$"&amp;TEXT(C1948+57,"###"))&gt;0,INDIRECT(DatCol&amp;"$"&amp;TEXT(C1948,"###")):INDIRECT(DatCol&amp;"$"&amp;TEXT(C1948+57,"###"))))</f>
        <v>80.576388888888872</v>
      </c>
      <c r="F1948" s="26" t="str">
        <f t="shared" si="1924"/>
        <v>C</v>
      </c>
      <c r="G1948" s="8">
        <v>73</v>
      </c>
      <c r="H1948" s="8">
        <v>6</v>
      </c>
      <c r="I1948" s="8">
        <v>0</v>
      </c>
      <c r="J1948" s="8">
        <v>191</v>
      </c>
      <c r="K1948" s="9">
        <f t="shared" si="1926"/>
        <v>270</v>
      </c>
      <c r="M1948" s="11">
        <f t="shared" si="1971"/>
        <v>0</v>
      </c>
      <c r="N1948" s="12">
        <v>46</v>
      </c>
      <c r="O1948" s="11">
        <f t="shared" si="1972"/>
        <v>2300</v>
      </c>
      <c r="Q1948" s="11">
        <f t="shared" si="1973"/>
        <v>0</v>
      </c>
      <c r="X1948" s="12">
        <v>214</v>
      </c>
      <c r="Y1948" s="11">
        <f t="shared" si="1974"/>
        <v>12840</v>
      </c>
      <c r="AG1948" s="11">
        <f t="shared" si="1975"/>
        <v>0</v>
      </c>
      <c r="AH1948" s="12">
        <v>21</v>
      </c>
      <c r="AI1948" s="11">
        <f t="shared" si="1976"/>
        <v>1365</v>
      </c>
      <c r="AK1948" s="13">
        <f t="shared" si="1977"/>
        <v>0</v>
      </c>
      <c r="AM1948" s="13">
        <f t="shared" si="1978"/>
        <v>0</v>
      </c>
      <c r="AN1948" s="12">
        <v>4072</v>
      </c>
      <c r="AO1948" s="11">
        <f t="shared" si="1979"/>
        <v>325760</v>
      </c>
      <c r="AP1948" s="12">
        <v>231</v>
      </c>
      <c r="AQ1948" s="11">
        <f t="shared" si="1980"/>
        <v>18480</v>
      </c>
      <c r="AR1948" s="12">
        <v>0</v>
      </c>
      <c r="AS1948" s="11">
        <f t="shared" si="1981"/>
        <v>0</v>
      </c>
      <c r="AT1948" s="12">
        <v>293</v>
      </c>
      <c r="AU1948" s="11">
        <f t="shared" si="1982"/>
        <v>14650</v>
      </c>
      <c r="AW1948" s="11">
        <f t="shared" si="1983"/>
        <v>0</v>
      </c>
      <c r="AY1948" s="11">
        <f t="shared" si="1984"/>
        <v>0</v>
      </c>
      <c r="BA1948" s="11">
        <f t="shared" si="1985"/>
        <v>0</v>
      </c>
      <c r="BC1948" s="11">
        <f t="shared" si="1986"/>
        <v>0</v>
      </c>
      <c r="BE1948" s="11">
        <f t="shared" si="1987"/>
        <v>0</v>
      </c>
      <c r="BG1948" s="11">
        <f t="shared" si="1988"/>
        <v>0</v>
      </c>
      <c r="BN1948" s="8">
        <f t="shared" si="1923"/>
        <v>4286</v>
      </c>
      <c r="BO1948" s="8">
        <f t="shared" si="1925"/>
        <v>338600</v>
      </c>
      <c r="BP1948" s="8">
        <f t="shared" si="1945"/>
        <v>805</v>
      </c>
      <c r="BQ1948" s="12">
        <f t="shared" si="1946"/>
        <v>49635</v>
      </c>
    </row>
    <row r="1949" spans="1:69">
      <c r="A1949" s="28">
        <v>1988</v>
      </c>
      <c r="B1949" s="27" t="s">
        <v>88</v>
      </c>
      <c r="C1949" s="24">
        <f t="shared" si="1951"/>
        <v>1916</v>
      </c>
      <c r="D1949" s="7" t="e">
        <f t="shared" ca="1" si="1952"/>
        <v>#N/A</v>
      </c>
      <c r="E1949" s="26">
        <f t="array" aca="1" ref="E1949" ca="1">AVERAGE(IF(INDIRECT(DatCol&amp;"$"&amp;TEXT(C1949,"###")):INDIRECT(DatCol&amp;"$"&amp;TEXT(C1949+57,"###"))&gt;0,INDIRECT(DatCol&amp;"$"&amp;TEXT(C1949,"###")):INDIRECT(DatCol&amp;"$"&amp;TEXT(C1949+57,"###"))))</f>
        <v>80.576388888888872</v>
      </c>
      <c r="F1949" s="26" t="str">
        <f t="shared" si="1924"/>
        <v>C</v>
      </c>
      <c r="G1949" s="8">
        <v>78</v>
      </c>
      <c r="H1949" s="8">
        <v>9</v>
      </c>
      <c r="I1949" s="8">
        <v>0</v>
      </c>
      <c r="J1949" s="8">
        <v>192</v>
      </c>
      <c r="K1949" s="9">
        <f t="shared" si="1926"/>
        <v>279</v>
      </c>
      <c r="M1949" s="11">
        <f t="shared" si="1971"/>
        <v>0</v>
      </c>
      <c r="N1949" s="12">
        <v>26</v>
      </c>
      <c r="O1949" s="11">
        <f t="shared" si="1972"/>
        <v>1300</v>
      </c>
      <c r="Q1949" s="11">
        <f t="shared" si="1973"/>
        <v>0</v>
      </c>
      <c r="X1949" s="12">
        <v>318</v>
      </c>
      <c r="Y1949" s="11">
        <f t="shared" si="1974"/>
        <v>19080</v>
      </c>
      <c r="AG1949" s="11">
        <f t="shared" si="1975"/>
        <v>0</v>
      </c>
      <c r="AH1949" s="12">
        <v>5</v>
      </c>
      <c r="AI1949" s="11">
        <f t="shared" si="1976"/>
        <v>325</v>
      </c>
      <c r="AK1949" s="13">
        <f t="shared" si="1977"/>
        <v>0</v>
      </c>
      <c r="AM1949" s="13">
        <f t="shared" si="1978"/>
        <v>0</v>
      </c>
      <c r="AO1949" s="11">
        <f t="shared" si="1979"/>
        <v>0</v>
      </c>
      <c r="AP1949" s="12">
        <v>205</v>
      </c>
      <c r="AQ1949" s="11">
        <f t="shared" si="1980"/>
        <v>16400</v>
      </c>
      <c r="AS1949" s="11">
        <f t="shared" si="1981"/>
        <v>0</v>
      </c>
      <c r="AT1949" s="12">
        <v>202</v>
      </c>
      <c r="AU1949" s="11">
        <f t="shared" si="1982"/>
        <v>10100</v>
      </c>
      <c r="AW1949" s="11">
        <f t="shared" si="1983"/>
        <v>0</v>
      </c>
      <c r="AY1949" s="11">
        <f t="shared" si="1984"/>
        <v>0</v>
      </c>
      <c r="BA1949" s="11">
        <f t="shared" si="1985"/>
        <v>0</v>
      </c>
      <c r="BC1949" s="11">
        <f t="shared" si="1986"/>
        <v>0</v>
      </c>
      <c r="BE1949" s="11">
        <f t="shared" si="1987"/>
        <v>0</v>
      </c>
      <c r="BG1949" s="11">
        <f t="shared" si="1988"/>
        <v>0</v>
      </c>
      <c r="BN1949" s="8">
        <f t="shared" si="1923"/>
        <v>318</v>
      </c>
      <c r="BO1949" s="8">
        <f t="shared" si="1925"/>
        <v>19080</v>
      </c>
      <c r="BP1949" s="8">
        <f t="shared" si="1945"/>
        <v>756</v>
      </c>
      <c r="BQ1949" s="12">
        <f t="shared" si="1946"/>
        <v>47205</v>
      </c>
    </row>
    <row r="1950" spans="1:69">
      <c r="A1950" s="28">
        <v>1989</v>
      </c>
      <c r="B1950" s="27" t="s">
        <v>88</v>
      </c>
      <c r="C1950" s="24">
        <f t="shared" si="1951"/>
        <v>1916</v>
      </c>
      <c r="D1950" s="7" t="e">
        <f t="shared" ca="1" si="1952"/>
        <v>#N/A</v>
      </c>
      <c r="E1950" s="26">
        <f t="array" aca="1" ref="E1950" ca="1">AVERAGE(IF(INDIRECT(DatCol&amp;"$"&amp;TEXT(C1950,"###")):INDIRECT(DatCol&amp;"$"&amp;TEXT(C1950+57,"###"))&gt;0,INDIRECT(DatCol&amp;"$"&amp;TEXT(C1950,"###")):INDIRECT(DatCol&amp;"$"&amp;TEXT(C1950+57,"###"))))</f>
        <v>80.576388888888872</v>
      </c>
      <c r="F1950" s="26" t="str">
        <f t="shared" si="1924"/>
        <v>C</v>
      </c>
      <c r="G1950" s="8">
        <v>70</v>
      </c>
      <c r="H1950" s="8">
        <v>4</v>
      </c>
      <c r="I1950" s="8">
        <v>0</v>
      </c>
      <c r="J1950" s="8">
        <v>129</v>
      </c>
      <c r="K1950" s="9">
        <f t="shared" si="1926"/>
        <v>203</v>
      </c>
      <c r="L1950" s="12">
        <v>0</v>
      </c>
      <c r="M1950" s="11">
        <f t="shared" si="1971"/>
        <v>0</v>
      </c>
      <c r="N1950" s="12">
        <v>9</v>
      </c>
      <c r="O1950" s="11">
        <f t="shared" si="1972"/>
        <v>450</v>
      </c>
      <c r="P1950" s="12">
        <v>0</v>
      </c>
      <c r="Q1950" s="11">
        <f t="shared" si="1973"/>
        <v>0</v>
      </c>
      <c r="X1950" s="12">
        <v>176</v>
      </c>
      <c r="Y1950" s="11">
        <f t="shared" si="1974"/>
        <v>10560</v>
      </c>
      <c r="AF1950" s="12">
        <v>0</v>
      </c>
      <c r="AG1950" s="11">
        <f t="shared" si="1975"/>
        <v>0</v>
      </c>
      <c r="AH1950" s="12">
        <v>31</v>
      </c>
      <c r="AI1950" s="11">
        <f t="shared" si="1976"/>
        <v>2015</v>
      </c>
      <c r="AK1950" s="13">
        <f t="shared" si="1977"/>
        <v>0</v>
      </c>
      <c r="AM1950" s="13">
        <f t="shared" si="1978"/>
        <v>0</v>
      </c>
      <c r="AN1950" s="12">
        <v>0</v>
      </c>
      <c r="AO1950" s="11">
        <f t="shared" si="1979"/>
        <v>0</v>
      </c>
      <c r="AP1950" s="12">
        <v>166</v>
      </c>
      <c r="AQ1950" s="11">
        <f t="shared" si="1980"/>
        <v>13280</v>
      </c>
      <c r="AR1950" s="12">
        <v>0</v>
      </c>
      <c r="AS1950" s="11">
        <f t="shared" si="1981"/>
        <v>0</v>
      </c>
      <c r="AT1950" s="12">
        <v>189</v>
      </c>
      <c r="AU1950" s="11">
        <f t="shared" si="1982"/>
        <v>9450</v>
      </c>
      <c r="AW1950" s="11">
        <f t="shared" si="1983"/>
        <v>0</v>
      </c>
      <c r="AY1950" s="11">
        <f t="shared" si="1984"/>
        <v>0</v>
      </c>
      <c r="BA1950" s="11">
        <f t="shared" si="1985"/>
        <v>0</v>
      </c>
      <c r="BC1950" s="11">
        <f t="shared" si="1986"/>
        <v>0</v>
      </c>
      <c r="BE1950" s="11">
        <f t="shared" si="1987"/>
        <v>0</v>
      </c>
      <c r="BG1950" s="11">
        <f t="shared" si="1988"/>
        <v>0</v>
      </c>
      <c r="BN1950" s="8">
        <f t="shared" si="1923"/>
        <v>176</v>
      </c>
      <c r="BO1950" s="8">
        <f t="shared" si="1925"/>
        <v>10560</v>
      </c>
      <c r="BP1950" s="8">
        <f t="shared" si="1945"/>
        <v>571</v>
      </c>
      <c r="BQ1950" s="12">
        <f t="shared" si="1946"/>
        <v>35755</v>
      </c>
    </row>
    <row r="1951" spans="1:69">
      <c r="A1951" s="28">
        <v>1990</v>
      </c>
      <c r="B1951" s="27" t="s">
        <v>88</v>
      </c>
      <c r="C1951" s="24">
        <f t="shared" si="1951"/>
        <v>1916</v>
      </c>
      <c r="D1951" s="7" t="e">
        <f t="shared" ca="1" si="1952"/>
        <v>#N/A</v>
      </c>
      <c r="E1951" s="26">
        <f t="array" aca="1" ref="E1951" ca="1">AVERAGE(IF(INDIRECT(DatCol&amp;"$"&amp;TEXT(C1951,"###")):INDIRECT(DatCol&amp;"$"&amp;TEXT(C1951+57,"###"))&gt;0,INDIRECT(DatCol&amp;"$"&amp;TEXT(C1951,"###")):INDIRECT(DatCol&amp;"$"&amp;TEXT(C1951+57,"###"))))</f>
        <v>80.576388888888872</v>
      </c>
      <c r="F1951" s="26" t="str">
        <f t="shared" si="1924"/>
        <v>C</v>
      </c>
      <c r="G1951" s="8">
        <v>65</v>
      </c>
      <c r="H1951" s="8">
        <v>11</v>
      </c>
      <c r="I1951" s="8">
        <v>0</v>
      </c>
      <c r="J1951" s="8">
        <v>175</v>
      </c>
      <c r="K1951" s="9">
        <f t="shared" si="1926"/>
        <v>251</v>
      </c>
      <c r="M1951" s="11">
        <f t="shared" si="1971"/>
        <v>0</v>
      </c>
      <c r="N1951" s="12">
        <v>3</v>
      </c>
      <c r="O1951" s="11">
        <f t="shared" si="1972"/>
        <v>150</v>
      </c>
      <c r="Q1951" s="11">
        <f t="shared" si="1973"/>
        <v>0</v>
      </c>
      <c r="X1951" s="12">
        <v>281</v>
      </c>
      <c r="Y1951" s="11">
        <f t="shared" si="1974"/>
        <v>16860</v>
      </c>
      <c r="AG1951" s="11">
        <f t="shared" si="1975"/>
        <v>0</v>
      </c>
      <c r="AH1951" s="12">
        <v>32</v>
      </c>
      <c r="AI1951" s="11">
        <f t="shared" si="1976"/>
        <v>2080</v>
      </c>
      <c r="AK1951" s="13">
        <f t="shared" si="1977"/>
        <v>0</v>
      </c>
      <c r="AM1951" s="13">
        <f t="shared" si="1978"/>
        <v>0</v>
      </c>
      <c r="AN1951" s="12">
        <v>10632</v>
      </c>
      <c r="AO1951" s="11">
        <f t="shared" si="1979"/>
        <v>850560</v>
      </c>
      <c r="AP1951" s="12">
        <v>239</v>
      </c>
      <c r="AQ1951" s="11">
        <f t="shared" si="1980"/>
        <v>19120</v>
      </c>
      <c r="AR1951" s="12">
        <v>0</v>
      </c>
      <c r="AS1951" s="11">
        <f t="shared" si="1981"/>
        <v>0</v>
      </c>
      <c r="AT1951" s="12">
        <v>236</v>
      </c>
      <c r="AU1951" s="11">
        <f t="shared" si="1982"/>
        <v>11800</v>
      </c>
      <c r="AW1951" s="11">
        <f t="shared" si="1983"/>
        <v>0</v>
      </c>
      <c r="AY1951" s="11">
        <f t="shared" si="1984"/>
        <v>0</v>
      </c>
      <c r="BA1951" s="11">
        <f t="shared" si="1985"/>
        <v>0</v>
      </c>
      <c r="BC1951" s="11">
        <f t="shared" si="1986"/>
        <v>0</v>
      </c>
      <c r="BE1951" s="11">
        <f t="shared" si="1987"/>
        <v>0</v>
      </c>
      <c r="BG1951" s="11">
        <f t="shared" si="1988"/>
        <v>0</v>
      </c>
      <c r="BN1951" s="8">
        <f t="shared" si="1923"/>
        <v>10913</v>
      </c>
      <c r="BO1951" s="8">
        <f t="shared" si="1925"/>
        <v>867420</v>
      </c>
      <c r="BP1951" s="8">
        <f t="shared" si="1945"/>
        <v>791</v>
      </c>
      <c r="BQ1951" s="12">
        <f t="shared" si="1946"/>
        <v>50010</v>
      </c>
    </row>
    <row r="1952" spans="1:69">
      <c r="A1952" s="28">
        <v>1991</v>
      </c>
      <c r="B1952" s="27" t="s">
        <v>88</v>
      </c>
      <c r="C1952" s="24">
        <f t="shared" si="1951"/>
        <v>1916</v>
      </c>
      <c r="D1952" s="7" t="e">
        <f t="shared" ca="1" si="1952"/>
        <v>#N/A</v>
      </c>
      <c r="E1952" s="26">
        <f t="array" aca="1" ref="E1952" ca="1">AVERAGE(IF(INDIRECT(DatCol&amp;"$"&amp;TEXT(C1952,"###")):INDIRECT(DatCol&amp;"$"&amp;TEXT(C1952+57,"###"))&gt;0,INDIRECT(DatCol&amp;"$"&amp;TEXT(C1952,"###")):INDIRECT(DatCol&amp;"$"&amp;TEXT(C1952+57,"###"))))</f>
        <v>80.576388888888872</v>
      </c>
      <c r="F1952" s="26" t="str">
        <f t="shared" si="1924"/>
        <v>C</v>
      </c>
      <c r="G1952" s="8">
        <v>74</v>
      </c>
      <c r="H1952" s="8">
        <v>15</v>
      </c>
      <c r="I1952" s="8">
        <v>0</v>
      </c>
      <c r="J1952" s="8">
        <v>169</v>
      </c>
      <c r="K1952" s="9">
        <f t="shared" si="1926"/>
        <v>258</v>
      </c>
      <c r="L1952" s="12">
        <v>0</v>
      </c>
      <c r="M1952" s="11">
        <f t="shared" si="1971"/>
        <v>0</v>
      </c>
      <c r="N1952" s="12">
        <v>28</v>
      </c>
      <c r="O1952" s="11">
        <f t="shared" si="1972"/>
        <v>1400</v>
      </c>
      <c r="P1952" s="12">
        <v>0</v>
      </c>
      <c r="Q1952" s="11">
        <f t="shared" si="1973"/>
        <v>0</v>
      </c>
      <c r="X1952" s="12">
        <f>40+42+217</f>
        <v>299</v>
      </c>
      <c r="Y1952" s="11">
        <f t="shared" si="1974"/>
        <v>17940</v>
      </c>
      <c r="AF1952" s="12">
        <v>0</v>
      </c>
      <c r="AG1952" s="11">
        <f t="shared" si="1975"/>
        <v>0</v>
      </c>
      <c r="AH1952" s="12">
        <v>0</v>
      </c>
      <c r="AI1952" s="11">
        <f t="shared" si="1976"/>
        <v>0</v>
      </c>
      <c r="AJ1952" s="12">
        <v>0</v>
      </c>
      <c r="AK1952" s="13">
        <f t="shared" si="1977"/>
        <v>0</v>
      </c>
      <c r="AL1952" s="12">
        <v>4</v>
      </c>
      <c r="AM1952" s="13">
        <f t="shared" si="1978"/>
        <v>36</v>
      </c>
      <c r="AN1952" s="12">
        <v>2960</v>
      </c>
      <c r="AO1952" s="11">
        <f t="shared" si="1979"/>
        <v>236800</v>
      </c>
      <c r="AP1952" s="12">
        <v>242</v>
      </c>
      <c r="AQ1952" s="11">
        <f t="shared" si="1980"/>
        <v>19360</v>
      </c>
      <c r="AR1952" s="12">
        <v>0</v>
      </c>
      <c r="AS1952" s="11">
        <f t="shared" si="1981"/>
        <v>0</v>
      </c>
      <c r="AT1952" s="12">
        <v>235</v>
      </c>
      <c r="AU1952" s="11">
        <f t="shared" si="1982"/>
        <v>11750</v>
      </c>
      <c r="AV1952" s="12">
        <v>0</v>
      </c>
      <c r="AW1952" s="11">
        <f t="shared" si="1983"/>
        <v>0</v>
      </c>
      <c r="AX1952" s="12">
        <v>0</v>
      </c>
      <c r="AY1952" s="11">
        <f t="shared" si="1984"/>
        <v>0</v>
      </c>
      <c r="AZ1952" s="12">
        <v>0</v>
      </c>
      <c r="BA1952" s="11">
        <f t="shared" si="1985"/>
        <v>0</v>
      </c>
      <c r="BB1952" s="12">
        <v>0</v>
      </c>
      <c r="BC1952" s="11">
        <f t="shared" si="1986"/>
        <v>0</v>
      </c>
      <c r="BE1952" s="11">
        <f t="shared" si="1987"/>
        <v>0</v>
      </c>
      <c r="BG1952" s="11">
        <f t="shared" si="1988"/>
        <v>0</v>
      </c>
      <c r="BN1952" s="8">
        <f t="shared" si="1923"/>
        <v>3259</v>
      </c>
      <c r="BO1952" s="8">
        <f t="shared" si="1925"/>
        <v>254740</v>
      </c>
      <c r="BP1952" s="8">
        <f t="shared" si="1945"/>
        <v>808</v>
      </c>
      <c r="BQ1952" s="12">
        <f t="shared" si="1946"/>
        <v>50486</v>
      </c>
    </row>
    <row r="1953" spans="1:69">
      <c r="A1953" s="28">
        <v>1992</v>
      </c>
      <c r="B1953" s="27" t="s">
        <v>88</v>
      </c>
      <c r="C1953" s="24">
        <f t="shared" si="1951"/>
        <v>1916</v>
      </c>
      <c r="D1953" s="7" t="e">
        <f t="shared" ca="1" si="1952"/>
        <v>#N/A</v>
      </c>
      <c r="E1953" s="26">
        <f t="array" aca="1" ref="E1953" ca="1">AVERAGE(IF(INDIRECT(DatCol&amp;"$"&amp;TEXT(C1953,"###")):INDIRECT(DatCol&amp;"$"&amp;TEXT(C1953+57,"###"))&gt;0,INDIRECT(DatCol&amp;"$"&amp;TEXT(C1953,"###")):INDIRECT(DatCol&amp;"$"&amp;TEXT(C1953+57,"###"))))</f>
        <v>80.576388888888872</v>
      </c>
      <c r="F1953" s="26" t="str">
        <f t="shared" si="1924"/>
        <v>C</v>
      </c>
      <c r="G1953" s="8">
        <v>86</v>
      </c>
      <c r="H1953" s="8">
        <v>15</v>
      </c>
      <c r="I1953" s="8">
        <v>0</v>
      </c>
      <c r="J1953" s="8">
        <v>133</v>
      </c>
      <c r="K1953" s="9">
        <f t="shared" si="1926"/>
        <v>234</v>
      </c>
      <c r="L1953" s="12">
        <v>0</v>
      </c>
      <c r="M1953" s="11">
        <f t="shared" si="1971"/>
        <v>0</v>
      </c>
      <c r="O1953" s="11">
        <f t="shared" si="1972"/>
        <v>0</v>
      </c>
      <c r="P1953" s="12">
        <v>87</v>
      </c>
      <c r="Q1953" s="11">
        <f t="shared" si="1973"/>
        <v>5220</v>
      </c>
      <c r="X1953" s="12">
        <f>43+41+88</f>
        <v>172</v>
      </c>
      <c r="Y1953" s="11">
        <f t="shared" si="1974"/>
        <v>10320</v>
      </c>
      <c r="AF1953" s="12">
        <v>0</v>
      </c>
      <c r="AG1953" s="11">
        <f t="shared" si="1975"/>
        <v>0</v>
      </c>
      <c r="AH1953" s="12">
        <v>0</v>
      </c>
      <c r="AI1953" s="11">
        <f t="shared" si="1976"/>
        <v>0</v>
      </c>
      <c r="AJ1953" s="12">
        <v>0</v>
      </c>
      <c r="AK1953" s="13">
        <f t="shared" si="1977"/>
        <v>0</v>
      </c>
      <c r="AL1953" s="12">
        <v>0</v>
      </c>
      <c r="AM1953" s="13">
        <f t="shared" si="1978"/>
        <v>0</v>
      </c>
      <c r="AN1953" s="12">
        <v>0</v>
      </c>
      <c r="AO1953" s="11">
        <f t="shared" si="1979"/>
        <v>0</v>
      </c>
      <c r="AP1953" s="12">
        <v>194</v>
      </c>
      <c r="AQ1953" s="11">
        <f t="shared" si="1980"/>
        <v>15520</v>
      </c>
      <c r="AR1953" s="12">
        <v>0</v>
      </c>
      <c r="AS1953" s="11">
        <f t="shared" si="1981"/>
        <v>0</v>
      </c>
      <c r="AT1953" s="12">
        <v>181</v>
      </c>
      <c r="AU1953" s="11">
        <f t="shared" si="1982"/>
        <v>9050</v>
      </c>
      <c r="AW1953" s="11">
        <f t="shared" si="1983"/>
        <v>0</v>
      </c>
      <c r="AY1953" s="11">
        <f t="shared" si="1984"/>
        <v>0</v>
      </c>
      <c r="BA1953" s="11">
        <f t="shared" si="1985"/>
        <v>0</v>
      </c>
      <c r="BC1953" s="11">
        <f t="shared" si="1986"/>
        <v>0</v>
      </c>
      <c r="BE1953" s="11">
        <f t="shared" si="1987"/>
        <v>0</v>
      </c>
      <c r="BG1953" s="11">
        <f t="shared" si="1988"/>
        <v>0</v>
      </c>
      <c r="BN1953" s="8">
        <f t="shared" si="1923"/>
        <v>259</v>
      </c>
      <c r="BO1953" s="8">
        <f t="shared" si="1925"/>
        <v>15540</v>
      </c>
      <c r="BP1953" s="8">
        <f t="shared" si="1945"/>
        <v>547</v>
      </c>
      <c r="BQ1953" s="12">
        <f t="shared" si="1946"/>
        <v>34890</v>
      </c>
    </row>
    <row r="1954" spans="1:69">
      <c r="A1954" s="28">
        <v>1993</v>
      </c>
      <c r="B1954" s="27" t="s">
        <v>88</v>
      </c>
      <c r="C1954" s="24">
        <f t="shared" si="1951"/>
        <v>1916</v>
      </c>
      <c r="D1954" s="7" t="e">
        <f t="shared" ca="1" si="1952"/>
        <v>#N/A</v>
      </c>
      <c r="E1954" s="26">
        <f t="array" aca="1" ref="E1954" ca="1">AVERAGE(IF(INDIRECT(DatCol&amp;"$"&amp;TEXT(C1954,"###")):INDIRECT(DatCol&amp;"$"&amp;TEXT(C1954+57,"###"))&gt;0,INDIRECT(DatCol&amp;"$"&amp;TEXT(C1954,"###")):INDIRECT(DatCol&amp;"$"&amp;TEXT(C1954+57,"###"))))</f>
        <v>80.576388888888872</v>
      </c>
      <c r="F1954" s="26" t="str">
        <f t="shared" si="1924"/>
        <v>C</v>
      </c>
      <c r="G1954" s="8">
        <v>63</v>
      </c>
      <c r="H1954" s="8">
        <v>9</v>
      </c>
      <c r="I1954" s="8">
        <v>3</v>
      </c>
      <c r="J1954" s="8">
        <v>166</v>
      </c>
      <c r="K1954" s="9">
        <f t="shared" si="1926"/>
        <v>238</v>
      </c>
      <c r="L1954" s="12">
        <v>0</v>
      </c>
      <c r="M1954" s="11">
        <f t="shared" ref="M1954:M1984" si="1989">(L1954*50)</f>
        <v>0</v>
      </c>
      <c r="N1954" s="12">
        <v>70</v>
      </c>
      <c r="O1954" s="11">
        <f t="shared" ref="O1954:O1984" si="1990">(N1954*50)</f>
        <v>3500</v>
      </c>
      <c r="P1954" s="12">
        <v>0</v>
      </c>
      <c r="Q1954" s="11">
        <f t="shared" ref="Q1954:Q1984" si="1991">((P1954*330)/5.5)</f>
        <v>0</v>
      </c>
      <c r="X1954" s="12">
        <f>168+59+71</f>
        <v>298</v>
      </c>
      <c r="Y1954" s="11">
        <f t="shared" ref="Y1954:Y1984" si="1992">((X1954*330)/5.5)</f>
        <v>17880</v>
      </c>
      <c r="AF1954" s="12">
        <v>0</v>
      </c>
      <c r="AG1954" s="11">
        <f t="shared" ref="AG1954:AG1984" si="1993">(AF1954*65)</f>
        <v>0</v>
      </c>
      <c r="AH1954" s="12">
        <v>0</v>
      </c>
      <c r="AI1954" s="11">
        <f t="shared" ref="AI1954:AI1984" si="1994">(AH1954*65)</f>
        <v>0</v>
      </c>
      <c r="AJ1954" s="12">
        <v>0</v>
      </c>
      <c r="AK1954" s="13">
        <f t="shared" ref="AK1954:AK1984" si="1995">(AJ1954*9)</f>
        <v>0</v>
      </c>
      <c r="AL1954" s="12">
        <v>0</v>
      </c>
      <c r="AM1954" s="13">
        <f t="shared" ref="AM1954:AM1984" si="1996">(AL1954*9)</f>
        <v>0</v>
      </c>
      <c r="AN1954" s="12">
        <v>1340</v>
      </c>
      <c r="AO1954" s="11">
        <f t="shared" ref="AO1954:AO1984" si="1997">(AN1954*80)</f>
        <v>107200</v>
      </c>
      <c r="AP1954" s="12">
        <v>312</v>
      </c>
      <c r="AQ1954" s="11">
        <f t="shared" ref="AQ1954:AQ1984" si="1998">(AP1954*80)</f>
        <v>24960</v>
      </c>
      <c r="AR1954" s="12">
        <v>0</v>
      </c>
      <c r="AS1954" s="11">
        <f t="shared" ref="AS1954:AS1984" si="1999">(AR1954*50)</f>
        <v>0</v>
      </c>
      <c r="AT1954" s="12">
        <v>211</v>
      </c>
      <c r="AU1954" s="11">
        <f t="shared" ref="AU1954:AU1984" si="2000">(AT1954*50)</f>
        <v>10550</v>
      </c>
      <c r="AV1954" s="12">
        <v>0</v>
      </c>
      <c r="AW1954" s="11">
        <f t="shared" ref="AW1954:AW1984" si="2001">(AV1954*60)</f>
        <v>0</v>
      </c>
      <c r="AX1954" s="12">
        <v>0</v>
      </c>
      <c r="AY1954" s="11">
        <f t="shared" ref="AY1954:AY1984" si="2002">(AX1954*60)</f>
        <v>0</v>
      </c>
      <c r="AZ1954" s="12">
        <v>0</v>
      </c>
      <c r="BA1954" s="11">
        <f t="shared" ref="BA1954:BA1984" si="2003">(AZ1954*40)</f>
        <v>0</v>
      </c>
      <c r="BC1954" s="11">
        <f t="shared" ref="BC1954:BC1984" si="2004">(BB1954*40)</f>
        <v>0</v>
      </c>
      <c r="BE1954" s="11">
        <f t="shared" ref="BE1954:BE1984" si="2005">(BD1954*95)</f>
        <v>0</v>
      </c>
      <c r="BG1954" s="11">
        <f t="shared" ref="BG1954:BG1984" si="2006">(BF1954*95)</f>
        <v>0</v>
      </c>
      <c r="BN1954" s="8">
        <f t="shared" ref="BN1954:BN2018" si="2007">(L1954+P1954+R1954+T1954+V1954+X1954+Z1954+AB1954+AD1954+AF1954+AJ1954+AN1954+AR1954+AV1954+AZ1954+BD1954)</f>
        <v>1638</v>
      </c>
      <c r="BO1954" s="8">
        <f t="shared" si="1925"/>
        <v>125080</v>
      </c>
      <c r="BP1954" s="8">
        <f t="shared" si="1945"/>
        <v>891</v>
      </c>
      <c r="BQ1954" s="12">
        <f t="shared" si="1946"/>
        <v>56890</v>
      </c>
    </row>
    <row r="1955" spans="1:69">
      <c r="A1955" s="28">
        <v>1994</v>
      </c>
      <c r="B1955" s="27" t="s">
        <v>88</v>
      </c>
      <c r="C1955" s="24">
        <f t="shared" si="1951"/>
        <v>1916</v>
      </c>
      <c r="D1955" s="7" t="e">
        <f t="shared" ca="1" si="1952"/>
        <v>#N/A</v>
      </c>
      <c r="E1955" s="26">
        <f t="array" aca="1" ref="E1955" ca="1">AVERAGE(IF(INDIRECT(DatCol&amp;"$"&amp;TEXT(C1955,"###")):INDIRECT(DatCol&amp;"$"&amp;TEXT(C1955+57,"###"))&gt;0,INDIRECT(DatCol&amp;"$"&amp;TEXT(C1955,"###")):INDIRECT(DatCol&amp;"$"&amp;TEXT(C1955+57,"###"))))</f>
        <v>80.576388888888872</v>
      </c>
      <c r="F1955" s="26" t="str">
        <f t="shared" si="1924"/>
        <v>C</v>
      </c>
      <c r="G1955" s="8">
        <v>46</v>
      </c>
      <c r="H1955" s="8">
        <v>2</v>
      </c>
      <c r="I1955" s="8">
        <v>12</v>
      </c>
      <c r="J1955" s="8">
        <v>144</v>
      </c>
      <c r="K1955" s="9">
        <f t="shared" si="1926"/>
        <v>192</v>
      </c>
      <c r="L1955" s="12">
        <v>0</v>
      </c>
      <c r="M1955" s="11">
        <f t="shared" si="1989"/>
        <v>0</v>
      </c>
      <c r="N1955" s="12">
        <v>34</v>
      </c>
      <c r="O1955" s="11">
        <f t="shared" si="1990"/>
        <v>1700</v>
      </c>
      <c r="P1955" s="12">
        <v>614</v>
      </c>
      <c r="Q1955" s="11">
        <f t="shared" si="1991"/>
        <v>36840</v>
      </c>
      <c r="X1955" s="12">
        <f>66+43+99</f>
        <v>208</v>
      </c>
      <c r="Y1955" s="11">
        <f t="shared" si="1992"/>
        <v>12480</v>
      </c>
      <c r="AF1955" s="12">
        <v>0</v>
      </c>
      <c r="AG1955" s="11">
        <f t="shared" si="1993"/>
        <v>0</v>
      </c>
      <c r="AH1955" s="12">
        <v>0</v>
      </c>
      <c r="AI1955" s="11">
        <f t="shared" si="1994"/>
        <v>0</v>
      </c>
      <c r="AJ1955" s="12">
        <v>0</v>
      </c>
      <c r="AK1955" s="13">
        <f t="shared" si="1995"/>
        <v>0</v>
      </c>
      <c r="AL1955" s="12">
        <v>0</v>
      </c>
      <c r="AM1955" s="13">
        <f t="shared" si="1996"/>
        <v>0</v>
      </c>
      <c r="AN1955" s="12">
        <v>851</v>
      </c>
      <c r="AO1955" s="11">
        <f t="shared" si="1997"/>
        <v>68080</v>
      </c>
      <c r="AP1955" s="12">
        <v>0</v>
      </c>
      <c r="AQ1955" s="11">
        <f t="shared" si="1998"/>
        <v>0</v>
      </c>
      <c r="AR1955" s="12">
        <v>0</v>
      </c>
      <c r="AS1955" s="11">
        <f t="shared" si="1999"/>
        <v>0</v>
      </c>
      <c r="AT1955" s="12">
        <v>0</v>
      </c>
      <c r="AU1955" s="11">
        <f t="shared" si="2000"/>
        <v>0</v>
      </c>
      <c r="AV1955" s="12">
        <v>0</v>
      </c>
      <c r="AW1955" s="11">
        <f t="shared" si="2001"/>
        <v>0</v>
      </c>
      <c r="AX1955" s="12">
        <v>0</v>
      </c>
      <c r="AY1955" s="11">
        <f t="shared" si="2002"/>
        <v>0</v>
      </c>
      <c r="AZ1955" s="12">
        <v>0</v>
      </c>
      <c r="BA1955" s="11">
        <f t="shared" si="2003"/>
        <v>0</v>
      </c>
      <c r="BB1955" s="12">
        <v>0</v>
      </c>
      <c r="BC1955" s="11">
        <f t="shared" si="2004"/>
        <v>0</v>
      </c>
      <c r="BE1955" s="11">
        <f t="shared" si="2005"/>
        <v>0</v>
      </c>
      <c r="BG1955" s="11">
        <f t="shared" si="2006"/>
        <v>0</v>
      </c>
      <c r="BN1955" s="8">
        <f t="shared" si="2007"/>
        <v>1673</v>
      </c>
      <c r="BO1955" s="8">
        <f t="shared" ref="BO1955:BO2019" si="2008">(M1955+Q1955+S1955+U1955+W1955+Y1955+AA1955+AC1955+AG1955+AK1955+AO1955+AS1955+AW1955+BA1955+BE1955)</f>
        <v>117400</v>
      </c>
      <c r="BP1955" s="8">
        <f t="shared" si="1945"/>
        <v>242</v>
      </c>
      <c r="BQ1955" s="12">
        <f t="shared" si="1946"/>
        <v>14180</v>
      </c>
    </row>
    <row r="1956" spans="1:69">
      <c r="A1956" s="28">
        <v>1995</v>
      </c>
      <c r="B1956" s="27" t="s">
        <v>88</v>
      </c>
      <c r="C1956" s="24">
        <f t="shared" si="1951"/>
        <v>1916</v>
      </c>
      <c r="D1956" s="7" t="e">
        <f t="shared" ca="1" si="1952"/>
        <v>#N/A</v>
      </c>
      <c r="E1956" s="26">
        <f t="array" aca="1" ref="E1956" ca="1">AVERAGE(IF(INDIRECT(DatCol&amp;"$"&amp;TEXT(C1956,"###")):INDIRECT(DatCol&amp;"$"&amp;TEXT(C1956+57,"###"))&gt;0,INDIRECT(DatCol&amp;"$"&amp;TEXT(C1956,"###")):INDIRECT(DatCol&amp;"$"&amp;TEXT(C1956+57,"###"))))</f>
        <v>80.576388888888872</v>
      </c>
      <c r="F1956" s="26" t="str">
        <f t="shared" si="1924"/>
        <v>C</v>
      </c>
      <c r="G1956" s="9">
        <v>73</v>
      </c>
      <c r="H1956" s="9">
        <v>2</v>
      </c>
      <c r="I1956" s="9">
        <v>6</v>
      </c>
      <c r="J1956" s="9">
        <v>165</v>
      </c>
      <c r="K1956" s="9">
        <f t="shared" ref="K1956:K2020" si="2009">G1956+H1956+J1956</f>
        <v>240</v>
      </c>
      <c r="L1956" s="10">
        <v>0</v>
      </c>
      <c r="M1956" s="11">
        <f t="shared" si="1989"/>
        <v>0</v>
      </c>
      <c r="N1956" s="10">
        <v>44</v>
      </c>
      <c r="O1956" s="11">
        <f t="shared" si="1990"/>
        <v>2200</v>
      </c>
      <c r="P1956" s="10">
        <v>0</v>
      </c>
      <c r="Q1956" s="11">
        <f t="shared" si="1991"/>
        <v>0</v>
      </c>
      <c r="X1956" s="10">
        <f>46+75+92</f>
        <v>213</v>
      </c>
      <c r="Y1956" s="11">
        <f t="shared" si="1992"/>
        <v>12780</v>
      </c>
      <c r="AF1956" s="10">
        <v>0</v>
      </c>
      <c r="AG1956" s="11">
        <f t="shared" si="1993"/>
        <v>0</v>
      </c>
      <c r="AH1956" s="10">
        <v>0</v>
      </c>
      <c r="AI1956" s="11">
        <f t="shared" si="1994"/>
        <v>0</v>
      </c>
      <c r="AJ1956" s="10">
        <v>0</v>
      </c>
      <c r="AK1956" s="13">
        <f t="shared" si="1995"/>
        <v>0</v>
      </c>
      <c r="AL1956" s="10">
        <v>0</v>
      </c>
      <c r="AM1956" s="13">
        <f t="shared" si="1996"/>
        <v>0</v>
      </c>
      <c r="AN1956" s="10">
        <v>9700</v>
      </c>
      <c r="AO1956" s="11">
        <f t="shared" si="1997"/>
        <v>776000</v>
      </c>
      <c r="AP1956" s="10">
        <v>188</v>
      </c>
      <c r="AQ1956" s="11">
        <f t="shared" si="1998"/>
        <v>15040</v>
      </c>
      <c r="AR1956" s="10">
        <v>0</v>
      </c>
      <c r="AS1956" s="11">
        <f t="shared" si="1999"/>
        <v>0</v>
      </c>
      <c r="AT1956" s="10">
        <v>109</v>
      </c>
      <c r="AU1956" s="11">
        <f t="shared" si="2000"/>
        <v>5450</v>
      </c>
      <c r="AW1956" s="11">
        <f t="shared" si="2001"/>
        <v>0</v>
      </c>
      <c r="AY1956" s="11">
        <f t="shared" si="2002"/>
        <v>0</v>
      </c>
      <c r="BA1956" s="11">
        <f t="shared" si="2003"/>
        <v>0</v>
      </c>
      <c r="BC1956" s="11">
        <f t="shared" si="2004"/>
        <v>0</v>
      </c>
      <c r="BE1956" s="11">
        <f t="shared" si="2005"/>
        <v>0</v>
      </c>
      <c r="BG1956" s="11">
        <f t="shared" si="2006"/>
        <v>0</v>
      </c>
      <c r="BN1956" s="8">
        <f t="shared" si="2007"/>
        <v>9913</v>
      </c>
      <c r="BO1956" s="8">
        <f t="shared" si="2008"/>
        <v>788780</v>
      </c>
      <c r="BP1956" s="8">
        <f t="shared" si="1945"/>
        <v>554</v>
      </c>
      <c r="BQ1956" s="12">
        <f t="shared" si="1946"/>
        <v>35470</v>
      </c>
    </row>
    <row r="1957" spans="1:69">
      <c r="A1957" s="28">
        <v>1996</v>
      </c>
      <c r="B1957" s="27" t="s">
        <v>88</v>
      </c>
      <c r="C1957" s="24">
        <f t="shared" si="1951"/>
        <v>1916</v>
      </c>
      <c r="D1957" s="7" t="e">
        <f t="shared" ca="1" si="1952"/>
        <v>#N/A</v>
      </c>
      <c r="E1957" s="26">
        <f t="array" aca="1" ref="E1957" ca="1">AVERAGE(IF(INDIRECT(DatCol&amp;"$"&amp;TEXT(C1957,"###")):INDIRECT(DatCol&amp;"$"&amp;TEXT(C1957+57,"###"))&gt;0,INDIRECT(DatCol&amp;"$"&amp;TEXT(C1957,"###")):INDIRECT(DatCol&amp;"$"&amp;TEXT(C1957+57,"###"))))</f>
        <v>80.576388888888872</v>
      </c>
      <c r="F1957" s="26" t="str">
        <f t="shared" ref="F1957:F2023" si="2010">VLOOKUP(B1957,town_region,2,FALSE)</f>
        <v>C</v>
      </c>
      <c r="G1957" s="9">
        <v>42</v>
      </c>
      <c r="H1957" s="9">
        <v>2</v>
      </c>
      <c r="I1957" s="9">
        <v>3</v>
      </c>
      <c r="J1957" s="9">
        <v>162</v>
      </c>
      <c r="K1957" s="9">
        <f t="shared" si="2009"/>
        <v>206</v>
      </c>
      <c r="L1957" s="10">
        <v>0</v>
      </c>
      <c r="M1957" s="11">
        <f t="shared" si="1989"/>
        <v>0</v>
      </c>
      <c r="N1957" s="10">
        <v>56</v>
      </c>
      <c r="O1957" s="11">
        <f t="shared" si="1990"/>
        <v>2800</v>
      </c>
      <c r="P1957" s="10">
        <v>0</v>
      </c>
      <c r="Q1957" s="11">
        <f t="shared" si="1991"/>
        <v>0</v>
      </c>
      <c r="X1957" s="10">
        <f>48+62+39</f>
        <v>149</v>
      </c>
      <c r="Y1957" s="11">
        <f t="shared" si="1992"/>
        <v>8940</v>
      </c>
      <c r="AF1957" s="10">
        <v>0</v>
      </c>
      <c r="AG1957" s="11">
        <f t="shared" si="1993"/>
        <v>0</v>
      </c>
      <c r="AH1957" s="10">
        <v>0</v>
      </c>
      <c r="AI1957" s="11">
        <f t="shared" si="1994"/>
        <v>0</v>
      </c>
      <c r="AJ1957" s="10">
        <v>0</v>
      </c>
      <c r="AK1957" s="13">
        <f t="shared" si="1995"/>
        <v>0</v>
      </c>
      <c r="AL1957" s="10">
        <v>0</v>
      </c>
      <c r="AM1957" s="13">
        <f t="shared" si="1996"/>
        <v>0</v>
      </c>
      <c r="AN1957" s="10">
        <v>5100</v>
      </c>
      <c r="AO1957" s="11">
        <f t="shared" si="1997"/>
        <v>408000</v>
      </c>
      <c r="AP1957" s="10">
        <v>183</v>
      </c>
      <c r="AQ1957" s="11">
        <f t="shared" si="1998"/>
        <v>14640</v>
      </c>
      <c r="AR1957" s="10">
        <v>0</v>
      </c>
      <c r="AS1957" s="11">
        <f t="shared" si="1999"/>
        <v>0</v>
      </c>
      <c r="AT1957" s="10">
        <v>95</v>
      </c>
      <c r="AU1957" s="11">
        <f t="shared" si="2000"/>
        <v>4750</v>
      </c>
      <c r="AW1957" s="11">
        <f t="shared" si="2001"/>
        <v>0</v>
      </c>
      <c r="AY1957" s="11">
        <f t="shared" si="2002"/>
        <v>0</v>
      </c>
      <c r="BA1957" s="11">
        <f t="shared" si="2003"/>
        <v>0</v>
      </c>
      <c r="BC1957" s="11">
        <f t="shared" si="2004"/>
        <v>0</v>
      </c>
      <c r="BE1957" s="11">
        <f t="shared" si="2005"/>
        <v>0</v>
      </c>
      <c r="BG1957" s="11">
        <f t="shared" si="2006"/>
        <v>0</v>
      </c>
      <c r="BN1957" s="8">
        <f t="shared" si="2007"/>
        <v>5249</v>
      </c>
      <c r="BO1957" s="8">
        <f t="shared" si="2008"/>
        <v>416940</v>
      </c>
      <c r="BP1957" s="8">
        <f t="shared" si="1945"/>
        <v>483</v>
      </c>
      <c r="BQ1957" s="12">
        <f t="shared" si="1946"/>
        <v>31130</v>
      </c>
    </row>
    <row r="1958" spans="1:69">
      <c r="A1958" s="28">
        <v>1997</v>
      </c>
      <c r="B1958" s="27" t="s">
        <v>88</v>
      </c>
      <c r="C1958" s="24">
        <f t="shared" si="1951"/>
        <v>1916</v>
      </c>
      <c r="D1958" s="7" t="e">
        <f t="shared" ca="1" si="1952"/>
        <v>#N/A</v>
      </c>
      <c r="E1958" s="26">
        <f t="array" aca="1" ref="E1958" ca="1">AVERAGE(IF(INDIRECT(DatCol&amp;"$"&amp;TEXT(C1958,"###")):INDIRECT(DatCol&amp;"$"&amp;TEXT(C1958+57,"###"))&gt;0,INDIRECT(DatCol&amp;"$"&amp;TEXT(C1958,"###")):INDIRECT(DatCol&amp;"$"&amp;TEXT(C1958+57,"###"))))</f>
        <v>80.576388888888872</v>
      </c>
      <c r="F1958" s="26" t="str">
        <f t="shared" si="2010"/>
        <v>C</v>
      </c>
      <c r="G1958" s="9">
        <v>46</v>
      </c>
      <c r="H1958" s="9">
        <v>3</v>
      </c>
      <c r="I1958" s="9">
        <v>0</v>
      </c>
      <c r="J1958" s="9">
        <v>110</v>
      </c>
      <c r="K1958" s="9">
        <f t="shared" si="2009"/>
        <v>159</v>
      </c>
      <c r="L1958" s="10">
        <v>0</v>
      </c>
      <c r="M1958" s="11">
        <f t="shared" si="1989"/>
        <v>0</v>
      </c>
      <c r="N1958" s="10">
        <v>77</v>
      </c>
      <c r="O1958" s="11">
        <f t="shared" si="1990"/>
        <v>3850</v>
      </c>
      <c r="P1958" s="10">
        <v>0</v>
      </c>
      <c r="Q1958" s="11">
        <f t="shared" si="1991"/>
        <v>0</v>
      </c>
      <c r="X1958" s="10">
        <f>201+64</f>
        <v>265</v>
      </c>
      <c r="Y1958" s="11">
        <f t="shared" si="1992"/>
        <v>15900</v>
      </c>
      <c r="AF1958" s="10">
        <v>0</v>
      </c>
      <c r="AG1958" s="11">
        <f t="shared" si="1993"/>
        <v>0</v>
      </c>
      <c r="AH1958" s="10">
        <v>0</v>
      </c>
      <c r="AI1958" s="11">
        <f t="shared" si="1994"/>
        <v>0</v>
      </c>
      <c r="AJ1958" s="10">
        <v>0</v>
      </c>
      <c r="AK1958" s="13">
        <f t="shared" si="1995"/>
        <v>0</v>
      </c>
      <c r="AL1958" s="10">
        <v>0</v>
      </c>
      <c r="AM1958" s="13">
        <f t="shared" si="1996"/>
        <v>0</v>
      </c>
      <c r="AN1958" s="10">
        <v>7900</v>
      </c>
      <c r="AO1958" s="11">
        <f t="shared" si="1997"/>
        <v>632000</v>
      </c>
      <c r="AP1958" s="10">
        <v>334</v>
      </c>
      <c r="AQ1958" s="11">
        <f t="shared" si="1998"/>
        <v>26720</v>
      </c>
      <c r="AR1958" s="10">
        <v>0</v>
      </c>
      <c r="AS1958" s="11">
        <f t="shared" si="1999"/>
        <v>0</v>
      </c>
      <c r="AT1958" s="10">
        <v>186</v>
      </c>
      <c r="AU1958" s="11">
        <f t="shared" si="2000"/>
        <v>9300</v>
      </c>
      <c r="AW1958" s="11">
        <f t="shared" si="2001"/>
        <v>0</v>
      </c>
      <c r="AY1958" s="11">
        <f t="shared" si="2002"/>
        <v>0</v>
      </c>
      <c r="BA1958" s="11">
        <f t="shared" si="2003"/>
        <v>0</v>
      </c>
      <c r="BC1958" s="11">
        <f t="shared" si="2004"/>
        <v>0</v>
      </c>
      <c r="BE1958" s="11">
        <f t="shared" si="2005"/>
        <v>0</v>
      </c>
      <c r="BG1958" s="11">
        <f t="shared" si="2006"/>
        <v>0</v>
      </c>
      <c r="BN1958" s="8">
        <f t="shared" si="2007"/>
        <v>8165</v>
      </c>
      <c r="BO1958" s="8">
        <f t="shared" si="2008"/>
        <v>647900</v>
      </c>
      <c r="BP1958" s="8">
        <f t="shared" si="1945"/>
        <v>862</v>
      </c>
      <c r="BQ1958" s="12">
        <f t="shared" si="1946"/>
        <v>55770</v>
      </c>
    </row>
    <row r="1959" spans="1:69">
      <c r="A1959" s="28">
        <v>1998</v>
      </c>
      <c r="B1959" s="27" t="s">
        <v>88</v>
      </c>
      <c r="C1959" s="24">
        <f t="shared" si="1951"/>
        <v>1916</v>
      </c>
      <c r="D1959" s="7" t="e">
        <f t="shared" ca="1" si="1952"/>
        <v>#N/A</v>
      </c>
      <c r="E1959" s="26">
        <f t="array" aca="1" ref="E1959" ca="1">AVERAGE(IF(INDIRECT(DatCol&amp;"$"&amp;TEXT(C1959,"###")):INDIRECT(DatCol&amp;"$"&amp;TEXT(C1959+57,"###"))&gt;0,INDIRECT(DatCol&amp;"$"&amp;TEXT(C1959,"###")):INDIRECT(DatCol&amp;"$"&amp;TEXT(C1959+57,"###"))))</f>
        <v>80.576388888888872</v>
      </c>
      <c r="F1959" s="26" t="str">
        <f t="shared" si="2010"/>
        <v>C</v>
      </c>
      <c r="G1959" s="9">
        <v>67</v>
      </c>
      <c r="H1959" s="9">
        <v>4</v>
      </c>
      <c r="I1959" s="9">
        <v>0</v>
      </c>
      <c r="J1959" s="9">
        <v>72</v>
      </c>
      <c r="K1959" s="9">
        <f t="shared" si="2009"/>
        <v>143</v>
      </c>
      <c r="L1959" s="10">
        <v>0</v>
      </c>
      <c r="M1959" s="11">
        <v>0</v>
      </c>
      <c r="N1959" s="10">
        <f>O1959/50</f>
        <v>27.24</v>
      </c>
      <c r="O1959" s="11">
        <v>1362</v>
      </c>
      <c r="P1959" s="10">
        <v>0</v>
      </c>
      <c r="Q1959" s="11">
        <v>0</v>
      </c>
      <c r="R1959" s="10">
        <v>0</v>
      </c>
      <c r="S1959" s="11">
        <v>0</v>
      </c>
      <c r="T1959" s="10">
        <v>0</v>
      </c>
      <c r="U1959" s="11">
        <v>0</v>
      </c>
      <c r="V1959" s="10">
        <v>0</v>
      </c>
      <c r="W1959" s="11">
        <v>0</v>
      </c>
      <c r="X1959" s="10">
        <v>0</v>
      </c>
      <c r="Y1959" s="11">
        <v>0</v>
      </c>
      <c r="Z1959" s="10">
        <f>AA1959/60</f>
        <v>16.5</v>
      </c>
      <c r="AA1959" s="11">
        <v>990</v>
      </c>
      <c r="AB1959" s="10">
        <v>0</v>
      </c>
      <c r="AC1959" s="11">
        <v>0</v>
      </c>
      <c r="AD1959" s="10">
        <v>0</v>
      </c>
      <c r="AE1959" s="11">
        <v>0</v>
      </c>
      <c r="AF1959" s="10">
        <v>0</v>
      </c>
      <c r="AG1959" s="11">
        <v>0</v>
      </c>
      <c r="AH1959" s="10">
        <v>0</v>
      </c>
      <c r="AI1959" s="11">
        <v>0</v>
      </c>
      <c r="AJ1959" s="10">
        <v>0</v>
      </c>
      <c r="AK1959" s="13">
        <v>0</v>
      </c>
      <c r="AL1959" s="10">
        <v>0</v>
      </c>
      <c r="AM1959" s="13">
        <v>0</v>
      </c>
      <c r="AN1959" s="10">
        <f>AO1959/80</f>
        <v>500</v>
      </c>
      <c r="AO1959" s="11">
        <v>40000</v>
      </c>
      <c r="AP1959" s="10">
        <f>AQ1959/80</f>
        <v>95</v>
      </c>
      <c r="AQ1959" s="11">
        <v>7600</v>
      </c>
      <c r="AR1959" s="10">
        <v>0</v>
      </c>
      <c r="AS1959" s="11">
        <v>0</v>
      </c>
      <c r="AT1959" s="10">
        <f>AU1959/55</f>
        <v>32.954545454545453</v>
      </c>
      <c r="AU1959" s="11">
        <v>1812.5</v>
      </c>
      <c r="BN1959" s="8">
        <f t="shared" si="2007"/>
        <v>516.5</v>
      </c>
      <c r="BO1959" s="8">
        <f t="shared" si="2008"/>
        <v>40990</v>
      </c>
      <c r="BP1959" s="8">
        <f t="shared" si="1945"/>
        <v>171.69454545454545</v>
      </c>
      <c r="BQ1959" s="12">
        <f t="shared" si="1946"/>
        <v>11764.5</v>
      </c>
    </row>
    <row r="1960" spans="1:69">
      <c r="A1960" s="28">
        <v>1999</v>
      </c>
      <c r="B1960" s="27" t="s">
        <v>88</v>
      </c>
      <c r="C1960" s="24">
        <f t="shared" si="1951"/>
        <v>1916</v>
      </c>
      <c r="D1960" s="7" t="e">
        <f t="shared" ca="1" si="1952"/>
        <v>#N/A</v>
      </c>
      <c r="E1960" s="26">
        <f t="array" aca="1" ref="E1960" ca="1">AVERAGE(IF(INDIRECT(DatCol&amp;"$"&amp;TEXT(C1960,"###")):INDIRECT(DatCol&amp;"$"&amp;TEXT(C1960+57,"###"))&gt;0,INDIRECT(DatCol&amp;"$"&amp;TEXT(C1960,"###")):INDIRECT(DatCol&amp;"$"&amp;TEXT(C1960+57,"###"))))</f>
        <v>80.576388888888872</v>
      </c>
      <c r="F1960" s="26" t="str">
        <f t="shared" si="2010"/>
        <v>C</v>
      </c>
      <c r="G1960" s="9">
        <v>45</v>
      </c>
      <c r="H1960" s="9">
        <v>10</v>
      </c>
      <c r="I1960" s="9">
        <v>0</v>
      </c>
      <c r="J1960" s="9">
        <v>157</v>
      </c>
      <c r="K1960" s="9">
        <f t="shared" si="2009"/>
        <v>212</v>
      </c>
      <c r="L1960" s="10">
        <v>0</v>
      </c>
      <c r="M1960" s="11">
        <v>0</v>
      </c>
      <c r="N1960" s="10">
        <f>O1960/50</f>
        <v>4.25</v>
      </c>
      <c r="O1960" s="11">
        <v>212.5</v>
      </c>
      <c r="P1960" s="10">
        <v>0</v>
      </c>
      <c r="Q1960" s="11">
        <v>0</v>
      </c>
      <c r="R1960" s="10">
        <v>0</v>
      </c>
      <c r="S1960" s="11">
        <v>0</v>
      </c>
      <c r="T1960" s="10">
        <v>0</v>
      </c>
      <c r="U1960" s="11">
        <v>0</v>
      </c>
      <c r="V1960" s="10">
        <v>0</v>
      </c>
      <c r="W1960" s="11">
        <v>0</v>
      </c>
      <c r="X1960" s="10">
        <f>Y1960/60</f>
        <v>98</v>
      </c>
      <c r="Y1960" s="11">
        <v>5880</v>
      </c>
      <c r="Z1960" s="10">
        <f>AA1960/60</f>
        <v>12</v>
      </c>
      <c r="AA1960" s="11">
        <v>720</v>
      </c>
      <c r="AB1960" s="10">
        <v>0</v>
      </c>
      <c r="AC1960" s="11">
        <v>0</v>
      </c>
      <c r="AD1960" s="10">
        <v>0</v>
      </c>
      <c r="AE1960" s="11">
        <v>0</v>
      </c>
      <c r="AF1960" s="10">
        <v>0</v>
      </c>
      <c r="AG1960" s="11">
        <v>0</v>
      </c>
      <c r="AH1960" s="10">
        <v>0</v>
      </c>
      <c r="AI1960" s="11">
        <v>0</v>
      </c>
      <c r="AJ1960" s="10">
        <v>0</v>
      </c>
      <c r="AK1960" s="13">
        <v>0</v>
      </c>
      <c r="AL1960" s="10">
        <v>0</v>
      </c>
      <c r="AM1960" s="13">
        <v>0</v>
      </c>
      <c r="AN1960" s="10">
        <v>0</v>
      </c>
      <c r="AO1960" s="11">
        <v>0</v>
      </c>
      <c r="AP1960" s="10">
        <f>AQ1960/80</f>
        <v>92</v>
      </c>
      <c r="AQ1960" s="11">
        <v>7360</v>
      </c>
      <c r="AR1960" s="10">
        <v>0</v>
      </c>
      <c r="AS1960" s="11">
        <v>0</v>
      </c>
      <c r="AT1960" s="10">
        <f>AU1960/55</f>
        <v>15</v>
      </c>
      <c r="AU1960" s="11">
        <v>825</v>
      </c>
      <c r="AV1960" s="10">
        <v>0</v>
      </c>
      <c r="AW1960" s="11">
        <v>0</v>
      </c>
      <c r="AX1960" s="10">
        <v>0</v>
      </c>
      <c r="AY1960" s="11">
        <v>0</v>
      </c>
      <c r="AZ1960" s="10">
        <v>0</v>
      </c>
      <c r="BA1960" s="11">
        <v>0</v>
      </c>
      <c r="BB1960" s="10">
        <v>0</v>
      </c>
      <c r="BC1960" s="11">
        <v>0</v>
      </c>
      <c r="BD1960" s="10">
        <v>0</v>
      </c>
      <c r="BE1960" s="11">
        <v>0</v>
      </c>
      <c r="BF1960" s="10">
        <v>0</v>
      </c>
      <c r="BG1960" s="11">
        <v>0</v>
      </c>
      <c r="BH1960" s="11">
        <v>0</v>
      </c>
      <c r="BI1960" s="11">
        <v>0</v>
      </c>
      <c r="BN1960" s="8">
        <f t="shared" si="2007"/>
        <v>110</v>
      </c>
      <c r="BO1960" s="8">
        <f t="shared" si="2008"/>
        <v>6600</v>
      </c>
      <c r="BP1960" s="8">
        <f t="shared" si="1945"/>
        <v>221.25</v>
      </c>
      <c r="BQ1960" s="12">
        <f t="shared" si="1946"/>
        <v>14997.5</v>
      </c>
    </row>
    <row r="1961" spans="1:69">
      <c r="A1961" s="28">
        <v>2000</v>
      </c>
      <c r="B1961" s="27" t="s">
        <v>88</v>
      </c>
      <c r="C1961" s="24">
        <f t="shared" si="1951"/>
        <v>1916</v>
      </c>
      <c r="D1961" s="7" t="e">
        <f t="shared" ca="1" si="1952"/>
        <v>#N/A</v>
      </c>
      <c r="E1961" s="26">
        <f t="array" aca="1" ref="E1961" ca="1">AVERAGE(IF(INDIRECT(DatCol&amp;"$"&amp;TEXT(C1961,"###")):INDIRECT(DatCol&amp;"$"&amp;TEXT(C1961+57,"###"))&gt;0,INDIRECT(DatCol&amp;"$"&amp;TEXT(C1961,"###")):INDIRECT(DatCol&amp;"$"&amp;TEXT(C1961+57,"###"))))</f>
        <v>80.576388888888872</v>
      </c>
      <c r="F1961" s="26" t="str">
        <f t="shared" si="2010"/>
        <v>C</v>
      </c>
      <c r="G1961" s="9">
        <v>42</v>
      </c>
      <c r="H1961" s="9">
        <v>8</v>
      </c>
      <c r="I1961" s="9">
        <v>0</v>
      </c>
      <c r="J1961" s="9">
        <v>115</v>
      </c>
      <c r="K1961" s="9">
        <f t="shared" si="2009"/>
        <v>165</v>
      </c>
      <c r="L1961" s="10">
        <v>0</v>
      </c>
      <c r="M1961" s="11">
        <v>0</v>
      </c>
      <c r="N1961" s="10">
        <f>O1961/50</f>
        <v>21.02</v>
      </c>
      <c r="O1961" s="11">
        <v>1051</v>
      </c>
      <c r="P1961" s="10">
        <v>0</v>
      </c>
      <c r="Q1961" s="11">
        <v>0</v>
      </c>
      <c r="R1961" s="10">
        <v>0</v>
      </c>
      <c r="S1961" s="11">
        <v>0</v>
      </c>
      <c r="T1961" s="10">
        <v>0</v>
      </c>
      <c r="U1961" s="11">
        <v>0</v>
      </c>
      <c r="V1961" s="10">
        <v>0</v>
      </c>
      <c r="W1961" s="11">
        <v>0</v>
      </c>
      <c r="X1961" s="10">
        <f>Y1961/75</f>
        <v>96.8</v>
      </c>
      <c r="Y1961" s="11">
        <v>7260</v>
      </c>
      <c r="Z1961" s="10">
        <v>0</v>
      </c>
      <c r="AA1961" s="11">
        <v>0</v>
      </c>
      <c r="AB1961" s="10">
        <v>0</v>
      </c>
      <c r="AC1961" s="11">
        <v>0</v>
      </c>
      <c r="AD1961" s="10">
        <v>0</v>
      </c>
      <c r="AE1961" s="11">
        <v>0</v>
      </c>
      <c r="AF1961" s="10">
        <v>0</v>
      </c>
      <c r="AG1961" s="11">
        <v>0</v>
      </c>
      <c r="AH1961" s="10">
        <v>0</v>
      </c>
      <c r="AI1961" s="11">
        <v>0</v>
      </c>
      <c r="AJ1961" s="10">
        <v>0</v>
      </c>
      <c r="AK1961" s="13">
        <v>0</v>
      </c>
      <c r="AL1961" s="10">
        <v>0</v>
      </c>
      <c r="AM1961" s="13">
        <v>0</v>
      </c>
      <c r="AN1961" s="10">
        <v>0</v>
      </c>
      <c r="AO1961" s="11">
        <v>0</v>
      </c>
      <c r="AP1961" s="10">
        <f>AQ1961/80</f>
        <v>110</v>
      </c>
      <c r="AQ1961" s="11">
        <v>8800</v>
      </c>
      <c r="AR1961" s="10">
        <v>0</v>
      </c>
      <c r="AS1961" s="11">
        <v>0</v>
      </c>
      <c r="AT1961" s="10">
        <f>AU1961/55</f>
        <v>17.945454545454545</v>
      </c>
      <c r="AU1961" s="11">
        <v>987</v>
      </c>
      <c r="BN1961" s="8">
        <f t="shared" si="2007"/>
        <v>96.8</v>
      </c>
      <c r="BO1961" s="8">
        <f t="shared" si="2008"/>
        <v>7260</v>
      </c>
      <c r="BP1961" s="8">
        <f t="shared" si="1945"/>
        <v>245.76545454545453</v>
      </c>
      <c r="BQ1961" s="12">
        <f t="shared" si="1946"/>
        <v>18098</v>
      </c>
    </row>
    <row r="1962" spans="1:69">
      <c r="A1962" s="28">
        <v>2001</v>
      </c>
      <c r="B1962" s="27" t="s">
        <v>88</v>
      </c>
      <c r="C1962" s="24">
        <f t="shared" si="1951"/>
        <v>1916</v>
      </c>
      <c r="D1962" s="7" t="e">
        <f t="shared" ca="1" si="1952"/>
        <v>#N/A</v>
      </c>
      <c r="E1962" s="26">
        <f t="array" aca="1" ref="E1962" ca="1">AVERAGE(IF(INDIRECT(DatCol&amp;"$"&amp;TEXT(C1962,"###")):INDIRECT(DatCol&amp;"$"&amp;TEXT(C1962+57,"###"))&gt;0,INDIRECT(DatCol&amp;"$"&amp;TEXT(C1962,"###")):INDIRECT(DatCol&amp;"$"&amp;TEXT(C1962+57,"###"))))</f>
        <v>80.576388888888872</v>
      </c>
      <c r="F1962" s="26" t="str">
        <f t="shared" si="2010"/>
        <v>C</v>
      </c>
      <c r="G1962" s="9">
        <v>42</v>
      </c>
      <c r="H1962" s="9">
        <v>5</v>
      </c>
      <c r="I1962" s="9">
        <v>0</v>
      </c>
      <c r="J1962" s="9">
        <v>115</v>
      </c>
      <c r="K1962" s="9">
        <f t="shared" si="2009"/>
        <v>162</v>
      </c>
      <c r="L1962" s="10">
        <v>0</v>
      </c>
      <c r="M1962" s="11">
        <v>0</v>
      </c>
      <c r="N1962" s="10">
        <f>O1962/50</f>
        <v>23.24</v>
      </c>
      <c r="O1962" s="11">
        <v>1162</v>
      </c>
      <c r="P1962" s="10">
        <v>0</v>
      </c>
      <c r="Q1962" s="11">
        <v>0</v>
      </c>
      <c r="R1962" s="10">
        <v>0</v>
      </c>
      <c r="S1962" s="11">
        <v>0</v>
      </c>
      <c r="T1962" s="10">
        <v>0</v>
      </c>
      <c r="U1962" s="11">
        <v>0</v>
      </c>
      <c r="V1962" s="10">
        <v>0</v>
      </c>
      <c r="W1962" s="11">
        <v>0</v>
      </c>
      <c r="X1962" s="10">
        <f>Y1962/75</f>
        <v>102</v>
      </c>
      <c r="Y1962" s="11">
        <v>7650</v>
      </c>
      <c r="Z1962" s="10">
        <v>0</v>
      </c>
      <c r="AA1962" s="11">
        <v>0</v>
      </c>
      <c r="AB1962" s="10">
        <v>0</v>
      </c>
      <c r="AC1962" s="11">
        <v>0</v>
      </c>
      <c r="AD1962" s="10">
        <v>0</v>
      </c>
      <c r="AE1962" s="11">
        <v>0</v>
      </c>
      <c r="AF1962" s="10">
        <v>0</v>
      </c>
      <c r="AG1962" s="11">
        <v>0</v>
      </c>
      <c r="AH1962" s="10">
        <v>0</v>
      </c>
      <c r="AI1962" s="11">
        <v>0</v>
      </c>
      <c r="AJ1962" s="10">
        <v>0</v>
      </c>
      <c r="AK1962" s="13">
        <v>0</v>
      </c>
      <c r="AL1962" s="10">
        <v>0</v>
      </c>
      <c r="AM1962" s="13">
        <v>0</v>
      </c>
      <c r="AN1962" s="10">
        <v>0</v>
      </c>
      <c r="AO1962" s="11">
        <v>0</v>
      </c>
      <c r="AP1962" s="10">
        <f>AQ1962/80</f>
        <v>135</v>
      </c>
      <c r="AQ1962" s="11">
        <v>10800</v>
      </c>
      <c r="AR1962" s="10">
        <v>0</v>
      </c>
      <c r="AS1962" s="11">
        <v>0</v>
      </c>
      <c r="AT1962" s="10">
        <f>AU1962/55</f>
        <v>19</v>
      </c>
      <c r="AU1962" s="11">
        <v>1045</v>
      </c>
      <c r="BN1962" s="8">
        <f t="shared" si="2007"/>
        <v>102</v>
      </c>
      <c r="BO1962" s="8">
        <f t="shared" si="2008"/>
        <v>7650</v>
      </c>
      <c r="BP1962" s="8">
        <f t="shared" si="1945"/>
        <v>279.24</v>
      </c>
      <c r="BQ1962" s="12">
        <f t="shared" si="1946"/>
        <v>20657</v>
      </c>
    </row>
    <row r="1963" spans="1:69">
      <c r="A1963" s="28">
        <v>2002</v>
      </c>
      <c r="B1963" s="27" t="s">
        <v>88</v>
      </c>
      <c r="C1963" s="24">
        <f t="shared" si="1951"/>
        <v>1916</v>
      </c>
      <c r="D1963" s="7" t="e">
        <f t="shared" ca="1" si="1952"/>
        <v>#N/A</v>
      </c>
      <c r="E1963" s="26">
        <f t="array" aca="1" ref="E1963" ca="1">AVERAGE(IF(INDIRECT(DatCol&amp;"$"&amp;TEXT(C1963,"###")):INDIRECT(DatCol&amp;"$"&amp;TEXT(C1963+57,"###"))&gt;0,INDIRECT(DatCol&amp;"$"&amp;TEXT(C1963,"###")):INDIRECT(DatCol&amp;"$"&amp;TEXT(C1963+57,"###"))))</f>
        <v>80.576388888888872</v>
      </c>
      <c r="F1963" s="26" t="str">
        <f t="shared" si="2010"/>
        <v>C</v>
      </c>
      <c r="K1963" s="9">
        <f t="shared" si="2009"/>
        <v>0</v>
      </c>
      <c r="AK1963" s="13"/>
      <c r="AM1963" s="13"/>
      <c r="BN1963" s="8">
        <f t="shared" si="2007"/>
        <v>0</v>
      </c>
      <c r="BO1963" s="8">
        <f t="shared" si="2008"/>
        <v>0</v>
      </c>
      <c r="BP1963" s="8">
        <f t="shared" si="1945"/>
        <v>0</v>
      </c>
      <c r="BQ1963" s="12">
        <f t="shared" si="1946"/>
        <v>0</v>
      </c>
    </row>
    <row r="1964" spans="1:69">
      <c r="A1964" s="28">
        <v>2003</v>
      </c>
      <c r="B1964" s="27" t="s">
        <v>88</v>
      </c>
      <c r="C1964" s="24">
        <f t="shared" si="1951"/>
        <v>1916</v>
      </c>
      <c r="D1964" s="7" t="e">
        <f t="shared" ca="1" si="1952"/>
        <v>#N/A</v>
      </c>
      <c r="E1964" s="26">
        <f t="array" aca="1" ref="E1964" ca="1">AVERAGE(IF(INDIRECT(DatCol&amp;"$"&amp;TEXT(C1964,"###")):INDIRECT(DatCol&amp;"$"&amp;TEXT(C1964+57,"###"))&gt;0,INDIRECT(DatCol&amp;"$"&amp;TEXT(C1964,"###")):INDIRECT(DatCol&amp;"$"&amp;TEXT(C1964+57,"###"))))</f>
        <v>80.576388888888872</v>
      </c>
      <c r="F1964" s="26" t="str">
        <f t="shared" si="2010"/>
        <v>C</v>
      </c>
      <c r="K1964" s="9">
        <f t="shared" si="2009"/>
        <v>0</v>
      </c>
      <c r="AK1964" s="13"/>
      <c r="AM1964" s="13"/>
      <c r="BN1964" s="8">
        <f t="shared" si="2007"/>
        <v>0</v>
      </c>
      <c r="BO1964" s="8">
        <f t="shared" si="2008"/>
        <v>0</v>
      </c>
      <c r="BP1964" s="8">
        <f t="shared" si="1945"/>
        <v>0</v>
      </c>
      <c r="BQ1964" s="12">
        <f t="shared" si="1946"/>
        <v>0</v>
      </c>
    </row>
    <row r="1965" spans="1:69">
      <c r="A1965" s="28">
        <v>2004</v>
      </c>
      <c r="B1965" s="27" t="s">
        <v>88</v>
      </c>
      <c r="C1965" s="24">
        <f t="shared" si="1951"/>
        <v>1916</v>
      </c>
      <c r="D1965" s="7" t="e">
        <f t="shared" ca="1" si="1952"/>
        <v>#N/A</v>
      </c>
      <c r="E1965" s="26">
        <f t="array" aca="1" ref="E1965" ca="1">AVERAGE(IF(INDIRECT(DatCol&amp;"$"&amp;TEXT(C1965,"###")):INDIRECT(DatCol&amp;"$"&amp;TEXT(C1965+57,"###"))&gt;0,INDIRECT(DatCol&amp;"$"&amp;TEXT(C1965,"###")):INDIRECT(DatCol&amp;"$"&amp;TEXT(C1965+57,"###"))))</f>
        <v>80.576388888888872</v>
      </c>
      <c r="F1965" s="26" t="str">
        <f t="shared" si="2010"/>
        <v>C</v>
      </c>
      <c r="K1965" s="9">
        <f t="shared" si="2009"/>
        <v>0</v>
      </c>
      <c r="AK1965" s="13"/>
      <c r="AM1965" s="13"/>
      <c r="BN1965" s="8">
        <f t="shared" si="2007"/>
        <v>0</v>
      </c>
      <c r="BO1965" s="8">
        <f t="shared" si="2008"/>
        <v>0</v>
      </c>
      <c r="BP1965" s="8">
        <f t="shared" ref="BP1965:BP2028" si="2011">(N1965+X1965+Z1965+AB1965+AD1965+AH1965+AL1965+AP1965+AT1965+AX1965+BB1965+BF1965)</f>
        <v>0</v>
      </c>
      <c r="BQ1965" s="12">
        <f t="shared" ref="BQ1965:BQ2028" si="2012">(O1965+Y1965+AA1965+AC1965+AE1965+AI1965+AM1965+AQ1965+AU1965+AY1965+BC1965+BG1965)</f>
        <v>0</v>
      </c>
    </row>
    <row r="1966" spans="1:69">
      <c r="A1966" s="28">
        <v>2005</v>
      </c>
      <c r="B1966" s="27" t="s">
        <v>88</v>
      </c>
      <c r="C1966" s="24">
        <f t="shared" si="1951"/>
        <v>1916</v>
      </c>
      <c r="D1966" s="7" t="e">
        <f t="shared" ca="1" si="1952"/>
        <v>#N/A</v>
      </c>
      <c r="E1966" s="26">
        <f t="array" aca="1" ref="E1966" ca="1">AVERAGE(IF(INDIRECT(DatCol&amp;"$"&amp;TEXT(C1966,"###")):INDIRECT(DatCol&amp;"$"&amp;TEXT(C1966+57,"###"))&gt;0,INDIRECT(DatCol&amp;"$"&amp;TEXT(C1966,"###")):INDIRECT(DatCol&amp;"$"&amp;TEXT(C1966+57,"###"))))</f>
        <v>80.576388888888872</v>
      </c>
      <c r="F1966" s="26" t="str">
        <f t="shared" si="2010"/>
        <v>C</v>
      </c>
      <c r="K1966" s="9">
        <f t="shared" si="2009"/>
        <v>0</v>
      </c>
      <c r="AK1966" s="13"/>
      <c r="AM1966" s="13"/>
      <c r="BN1966" s="8">
        <f t="shared" si="2007"/>
        <v>0</v>
      </c>
      <c r="BO1966" s="8">
        <f t="shared" si="2008"/>
        <v>0</v>
      </c>
      <c r="BP1966" s="8">
        <f t="shared" si="2011"/>
        <v>0</v>
      </c>
      <c r="BQ1966" s="12">
        <f t="shared" si="2012"/>
        <v>0</v>
      </c>
    </row>
    <row r="1967" spans="1:69">
      <c r="A1967" s="28">
        <v>2006</v>
      </c>
      <c r="B1967" s="27" t="s">
        <v>88</v>
      </c>
      <c r="C1967" s="24">
        <f t="shared" si="1951"/>
        <v>1916</v>
      </c>
      <c r="D1967" s="7" t="e">
        <f t="shared" ca="1" si="1952"/>
        <v>#N/A</v>
      </c>
      <c r="E1967" s="26">
        <f t="array" aca="1" ref="E1967" ca="1">AVERAGE(IF(INDIRECT(DatCol&amp;"$"&amp;TEXT(C1967,"###")):INDIRECT(DatCol&amp;"$"&amp;TEXT(C1967+57,"###"))&gt;0,INDIRECT(DatCol&amp;"$"&amp;TEXT(C1967,"###")):INDIRECT(DatCol&amp;"$"&amp;TEXT(C1967+57,"###"))))</f>
        <v>80.576388888888872</v>
      </c>
      <c r="F1967" s="26" t="str">
        <f t="shared" si="2010"/>
        <v>C</v>
      </c>
      <c r="K1967" s="9">
        <f t="shared" si="2009"/>
        <v>0</v>
      </c>
      <c r="AK1967" s="13"/>
      <c r="AM1967" s="13"/>
      <c r="BN1967" s="8">
        <f t="shared" si="2007"/>
        <v>0</v>
      </c>
      <c r="BO1967" s="8">
        <f t="shared" si="2008"/>
        <v>0</v>
      </c>
      <c r="BP1967" s="8">
        <f t="shared" si="2011"/>
        <v>0</v>
      </c>
      <c r="BQ1967" s="12">
        <f t="shared" si="2012"/>
        <v>0</v>
      </c>
    </row>
    <row r="1968" spans="1:69">
      <c r="A1968" s="28">
        <v>2007</v>
      </c>
      <c r="B1968" s="27" t="s">
        <v>88</v>
      </c>
      <c r="C1968" s="24">
        <f t="shared" si="1951"/>
        <v>1916</v>
      </c>
      <c r="D1968" s="7" t="e">
        <f t="shared" ca="1" si="1952"/>
        <v>#N/A</v>
      </c>
      <c r="E1968" s="26">
        <f t="array" aca="1" ref="E1968" ca="1">AVERAGE(IF(INDIRECT(DatCol&amp;"$"&amp;TEXT(C1968,"###")):INDIRECT(DatCol&amp;"$"&amp;TEXT(C1968+57,"###"))&gt;0,INDIRECT(DatCol&amp;"$"&amp;TEXT(C1968,"###")):INDIRECT(DatCol&amp;"$"&amp;TEXT(C1968+57,"###"))))</f>
        <v>80.576388888888872</v>
      </c>
      <c r="F1968" s="26" t="str">
        <f t="shared" si="2010"/>
        <v>C</v>
      </c>
      <c r="K1968" s="9">
        <f t="shared" si="2009"/>
        <v>0</v>
      </c>
      <c r="AK1968" s="13"/>
      <c r="AM1968" s="13"/>
      <c r="BN1968" s="8">
        <f t="shared" si="2007"/>
        <v>0</v>
      </c>
      <c r="BO1968" s="8">
        <f t="shared" si="2008"/>
        <v>0</v>
      </c>
      <c r="BP1968" s="8">
        <f t="shared" si="2011"/>
        <v>0</v>
      </c>
      <c r="BQ1968" s="12">
        <f t="shared" si="2012"/>
        <v>0</v>
      </c>
    </row>
    <row r="1969" spans="1:69">
      <c r="A1969" s="28">
        <v>2008</v>
      </c>
      <c r="B1969" s="27" t="s">
        <v>88</v>
      </c>
      <c r="C1969" s="24">
        <f t="shared" si="1951"/>
        <v>1916</v>
      </c>
      <c r="D1969" s="7" t="e">
        <f t="shared" ca="1" si="1952"/>
        <v>#N/A</v>
      </c>
      <c r="E1969" s="26">
        <f t="array" aca="1" ref="E1969" ca="1">AVERAGE(IF(INDIRECT(DatCol&amp;"$"&amp;TEXT(C1969,"###")):INDIRECT(DatCol&amp;"$"&amp;TEXT(C1969+57,"###"))&gt;0,INDIRECT(DatCol&amp;"$"&amp;TEXT(C1969,"###")):INDIRECT(DatCol&amp;"$"&amp;TEXT(C1969+57,"###"))))</f>
        <v>80.576388888888872</v>
      </c>
      <c r="F1969" s="26" t="str">
        <f t="shared" si="2010"/>
        <v>C</v>
      </c>
      <c r="K1969" s="9">
        <f t="shared" si="2009"/>
        <v>0</v>
      </c>
      <c r="AK1969" s="13"/>
      <c r="AM1969" s="13"/>
      <c r="BN1969" s="8">
        <f t="shared" si="2007"/>
        <v>0</v>
      </c>
      <c r="BO1969" s="8">
        <f t="shared" si="2008"/>
        <v>0</v>
      </c>
      <c r="BP1969" s="8">
        <f t="shared" si="2011"/>
        <v>0</v>
      </c>
      <c r="BQ1969" s="12">
        <f t="shared" si="2012"/>
        <v>0</v>
      </c>
    </row>
    <row r="1970" spans="1:69">
      <c r="A1970" s="28">
        <v>2009</v>
      </c>
      <c r="B1970" s="27" t="s">
        <v>88</v>
      </c>
      <c r="C1970" s="24">
        <f t="shared" si="1951"/>
        <v>1916</v>
      </c>
      <c r="D1970" s="7" t="e">
        <f t="shared" ca="1" si="1952"/>
        <v>#N/A</v>
      </c>
      <c r="E1970" s="26">
        <f t="array" aca="1" ref="E1970" ca="1">AVERAGE(IF(INDIRECT(DatCol&amp;"$"&amp;TEXT(C1970,"###")):INDIRECT(DatCol&amp;"$"&amp;TEXT(C1970+57,"###"))&gt;0,INDIRECT(DatCol&amp;"$"&amp;TEXT(C1970,"###")):INDIRECT(DatCol&amp;"$"&amp;TEXT(C1970+57,"###"))))</f>
        <v>80.576388888888872</v>
      </c>
      <c r="F1970" s="26" t="str">
        <f t="shared" si="2010"/>
        <v>C</v>
      </c>
      <c r="K1970" s="9">
        <f t="shared" si="2009"/>
        <v>0</v>
      </c>
      <c r="AK1970" s="13"/>
      <c r="AM1970" s="13"/>
      <c r="BN1970" s="8">
        <f t="shared" si="2007"/>
        <v>0</v>
      </c>
      <c r="BO1970" s="8">
        <f t="shared" si="2008"/>
        <v>0</v>
      </c>
      <c r="BP1970" s="8">
        <f t="shared" si="2011"/>
        <v>0</v>
      </c>
      <c r="BQ1970" s="12">
        <f t="shared" si="2012"/>
        <v>0</v>
      </c>
    </row>
    <row r="1971" spans="1:69">
      <c r="A1971" s="28">
        <v>2010</v>
      </c>
      <c r="B1971" s="27" t="s">
        <v>88</v>
      </c>
      <c r="C1971" s="24">
        <f t="shared" si="1951"/>
        <v>1916</v>
      </c>
      <c r="D1971" s="7" t="e">
        <f t="shared" ca="1" si="1952"/>
        <v>#N/A</v>
      </c>
      <c r="E1971" s="26">
        <f t="array" aca="1" ref="E1971" ca="1">AVERAGE(IF(INDIRECT(DatCol&amp;"$"&amp;TEXT(C1971,"###")):INDIRECT(DatCol&amp;"$"&amp;TEXT(C1971+57,"###"))&gt;0,INDIRECT(DatCol&amp;"$"&amp;TEXT(C1971,"###")):INDIRECT(DatCol&amp;"$"&amp;TEXT(C1971+57,"###"))))</f>
        <v>80.576388888888872</v>
      </c>
      <c r="F1971" s="26" t="str">
        <f t="shared" ref="F1971:F1973" si="2013">VLOOKUP(B1971,town_region,2,FALSE)</f>
        <v>C</v>
      </c>
      <c r="AK1971" s="13"/>
      <c r="AM1971" s="13"/>
      <c r="BN1971" s="8"/>
      <c r="BO1971" s="8"/>
      <c r="BP1971" s="8"/>
      <c r="BQ1971" s="12"/>
    </row>
    <row r="1972" spans="1:69">
      <c r="A1972" s="28">
        <v>2011</v>
      </c>
      <c r="B1972" s="27" t="s">
        <v>88</v>
      </c>
      <c r="C1972" s="24">
        <f t="shared" si="1951"/>
        <v>1916</v>
      </c>
      <c r="D1972" s="7" t="e">
        <f t="shared" ca="1" si="1952"/>
        <v>#N/A</v>
      </c>
      <c r="E1972" s="26">
        <f t="array" aca="1" ref="E1972" ca="1">AVERAGE(IF(INDIRECT(DatCol&amp;"$"&amp;TEXT(C1972,"###")):INDIRECT(DatCol&amp;"$"&amp;TEXT(C1972+57,"###"))&gt;0,INDIRECT(DatCol&amp;"$"&amp;TEXT(C1972,"###")):INDIRECT(DatCol&amp;"$"&amp;TEXT(C1972+57,"###"))))</f>
        <v>80.576388888888872</v>
      </c>
      <c r="F1972" s="26" t="str">
        <f t="shared" si="2013"/>
        <v>C</v>
      </c>
      <c r="AK1972" s="13"/>
      <c r="AM1972" s="13"/>
      <c r="BN1972" s="8"/>
      <c r="BO1972" s="8"/>
      <c r="BP1972" s="8"/>
      <c r="BQ1972" s="12"/>
    </row>
    <row r="1973" spans="1:69">
      <c r="A1973" s="28">
        <v>2012</v>
      </c>
      <c r="B1973" s="27" t="s">
        <v>88</v>
      </c>
      <c r="C1973" s="24">
        <f t="shared" si="1951"/>
        <v>1916</v>
      </c>
      <c r="D1973" s="7" t="e">
        <f t="shared" ca="1" si="1952"/>
        <v>#N/A</v>
      </c>
      <c r="E1973" s="26">
        <f t="array" aca="1" ref="E1973" ca="1">AVERAGE(IF(INDIRECT(DatCol&amp;"$"&amp;TEXT(C1973,"###")):INDIRECT(DatCol&amp;"$"&amp;TEXT(C1973+57,"###"))&gt;0,INDIRECT(DatCol&amp;"$"&amp;TEXT(C1973,"###")):INDIRECT(DatCol&amp;"$"&amp;TEXT(C1973+57,"###"))))</f>
        <v>80.576388888888872</v>
      </c>
      <c r="F1973" s="26" t="str">
        <f t="shared" si="2013"/>
        <v>C</v>
      </c>
      <c r="AK1973" s="13"/>
      <c r="AM1973" s="13"/>
      <c r="BN1973" s="8"/>
      <c r="BO1973" s="8"/>
      <c r="BP1973" s="8"/>
      <c r="BQ1973" s="12"/>
    </row>
    <row r="1974" spans="1:69">
      <c r="A1974" s="28">
        <v>1955</v>
      </c>
      <c r="B1974" s="27" t="s">
        <v>89</v>
      </c>
      <c r="C1974" s="24">
        <f>ROW()</f>
        <v>1974</v>
      </c>
      <c r="D1974" s="7" t="e">
        <f t="shared" ca="1" si="1952"/>
        <v>#N/A</v>
      </c>
      <c r="E1974" s="26">
        <f t="array" aca="1" ref="E1974" ca="1">AVERAGE(IF(INDIRECT(DatCol&amp;"$"&amp;TEXT(C1974,"###")):INDIRECT(DatCol&amp;"$"&amp;TEXT(C1974+57,"###"))&gt;0,INDIRECT(DatCol&amp;"$"&amp;TEXT(C1974,"###")):INDIRECT(DatCol&amp;"$"&amp;TEXT(C1974+57,"###"))))</f>
        <v>1634.4</v>
      </c>
      <c r="F1974" s="26" t="str">
        <f t="shared" si="2010"/>
        <v>S</v>
      </c>
      <c r="G1974" s="8"/>
      <c r="K1974" s="9">
        <f t="shared" si="2009"/>
        <v>0</v>
      </c>
      <c r="M1974" s="11">
        <f t="shared" si="1989"/>
        <v>0</v>
      </c>
      <c r="O1974" s="11">
        <f t="shared" si="1990"/>
        <v>0</v>
      </c>
      <c r="Q1974" s="11">
        <f t="shared" si="1991"/>
        <v>0</v>
      </c>
      <c r="Y1974" s="11">
        <f t="shared" si="1992"/>
        <v>0</v>
      </c>
      <c r="AG1974" s="11">
        <f t="shared" si="1993"/>
        <v>0</v>
      </c>
      <c r="AI1974" s="11">
        <f t="shared" si="1994"/>
        <v>0</v>
      </c>
      <c r="AK1974" s="13">
        <f t="shared" si="1995"/>
        <v>0</v>
      </c>
      <c r="AM1974" s="13">
        <f t="shared" si="1996"/>
        <v>0</v>
      </c>
      <c r="AO1974" s="11">
        <f t="shared" si="1997"/>
        <v>0</v>
      </c>
      <c r="AQ1974" s="11">
        <f t="shared" si="1998"/>
        <v>0</v>
      </c>
      <c r="AS1974" s="11">
        <f t="shared" si="1999"/>
        <v>0</v>
      </c>
      <c r="AU1974" s="11">
        <f t="shared" si="2000"/>
        <v>0</v>
      </c>
      <c r="AW1974" s="11">
        <f t="shared" si="2001"/>
        <v>0</v>
      </c>
      <c r="AY1974" s="11">
        <f t="shared" si="2002"/>
        <v>0</v>
      </c>
      <c r="BA1974" s="11">
        <f t="shared" si="2003"/>
        <v>0</v>
      </c>
      <c r="BC1974" s="11">
        <f t="shared" si="2004"/>
        <v>0</v>
      </c>
      <c r="BE1974" s="11">
        <f t="shared" si="2005"/>
        <v>0</v>
      </c>
      <c r="BG1974" s="11">
        <f t="shared" si="2006"/>
        <v>0</v>
      </c>
      <c r="BN1974" s="8">
        <f t="shared" si="2007"/>
        <v>0</v>
      </c>
      <c r="BO1974" s="8">
        <f t="shared" si="2008"/>
        <v>0</v>
      </c>
      <c r="BP1974" s="8">
        <f t="shared" si="2011"/>
        <v>0</v>
      </c>
      <c r="BQ1974" s="12">
        <f t="shared" si="2012"/>
        <v>0</v>
      </c>
    </row>
    <row r="1975" spans="1:69">
      <c r="A1975" s="28">
        <v>1956</v>
      </c>
      <c r="B1975" s="27" t="s">
        <v>89</v>
      </c>
      <c r="C1975" s="24">
        <f t="shared" ref="C1975:C2031" si="2014">C1974</f>
        <v>1974</v>
      </c>
      <c r="D1975" s="7" t="e">
        <f t="shared" ca="1" si="1952"/>
        <v>#N/A</v>
      </c>
      <c r="E1975" s="26">
        <f t="array" aca="1" ref="E1975" ca="1">AVERAGE(IF(INDIRECT(DatCol&amp;"$"&amp;TEXT(C1975,"###")):INDIRECT(DatCol&amp;"$"&amp;TEXT(C1975+57,"###"))&gt;0,INDIRECT(DatCol&amp;"$"&amp;TEXT(C1975,"###")):INDIRECT(DatCol&amp;"$"&amp;TEXT(C1975+57,"###"))))</f>
        <v>1634.4</v>
      </c>
      <c r="F1975" s="26" t="str">
        <f t="shared" si="2010"/>
        <v>S</v>
      </c>
      <c r="G1975" s="8"/>
      <c r="K1975" s="9">
        <f t="shared" si="2009"/>
        <v>0</v>
      </c>
      <c r="M1975" s="11">
        <f t="shared" si="1989"/>
        <v>0</v>
      </c>
      <c r="O1975" s="11">
        <f t="shared" si="1990"/>
        <v>0</v>
      </c>
      <c r="Q1975" s="11">
        <f t="shared" si="1991"/>
        <v>0</v>
      </c>
      <c r="Y1975" s="11">
        <f t="shared" si="1992"/>
        <v>0</v>
      </c>
      <c r="AG1975" s="11">
        <f t="shared" si="1993"/>
        <v>0</v>
      </c>
      <c r="AI1975" s="11">
        <f t="shared" si="1994"/>
        <v>0</v>
      </c>
      <c r="AK1975" s="13">
        <f t="shared" si="1995"/>
        <v>0</v>
      </c>
      <c r="AM1975" s="13">
        <f t="shared" si="1996"/>
        <v>0</v>
      </c>
      <c r="AO1975" s="11">
        <f t="shared" si="1997"/>
        <v>0</v>
      </c>
      <c r="AQ1975" s="11">
        <f t="shared" si="1998"/>
        <v>0</v>
      </c>
      <c r="AS1975" s="11">
        <f t="shared" si="1999"/>
        <v>0</v>
      </c>
      <c r="AU1975" s="11">
        <f t="shared" si="2000"/>
        <v>0</v>
      </c>
      <c r="AW1975" s="11">
        <f t="shared" si="2001"/>
        <v>0</v>
      </c>
      <c r="AY1975" s="11">
        <f t="shared" si="2002"/>
        <v>0</v>
      </c>
      <c r="BA1975" s="11">
        <f t="shared" si="2003"/>
        <v>0</v>
      </c>
      <c r="BC1975" s="11">
        <f t="shared" si="2004"/>
        <v>0</v>
      </c>
      <c r="BE1975" s="11">
        <f t="shared" si="2005"/>
        <v>0</v>
      </c>
      <c r="BG1975" s="11">
        <f t="shared" si="2006"/>
        <v>0</v>
      </c>
      <c r="BN1975" s="8">
        <f t="shared" si="2007"/>
        <v>0</v>
      </c>
      <c r="BO1975" s="8">
        <f t="shared" si="2008"/>
        <v>0</v>
      </c>
      <c r="BP1975" s="8">
        <f t="shared" si="2011"/>
        <v>0</v>
      </c>
      <c r="BQ1975" s="12">
        <f t="shared" si="2012"/>
        <v>0</v>
      </c>
    </row>
    <row r="1976" spans="1:69">
      <c r="A1976" s="28">
        <v>1957</v>
      </c>
      <c r="B1976" s="27" t="s">
        <v>89</v>
      </c>
      <c r="C1976" s="24">
        <f t="shared" si="2014"/>
        <v>1974</v>
      </c>
      <c r="D1976" s="7" t="e">
        <f t="shared" ca="1" si="1952"/>
        <v>#N/A</v>
      </c>
      <c r="E1976" s="26">
        <f t="array" aca="1" ref="E1976" ca="1">AVERAGE(IF(INDIRECT(DatCol&amp;"$"&amp;TEXT(C1976,"###")):INDIRECT(DatCol&amp;"$"&amp;TEXT(C1976+57,"###"))&gt;0,INDIRECT(DatCol&amp;"$"&amp;TEXT(C1976,"###")):INDIRECT(DatCol&amp;"$"&amp;TEXT(C1976+57,"###"))))</f>
        <v>1634.4</v>
      </c>
      <c r="F1976" s="26" t="str">
        <f t="shared" si="2010"/>
        <v>S</v>
      </c>
      <c r="G1976" s="8"/>
      <c r="K1976" s="9">
        <f t="shared" si="2009"/>
        <v>0</v>
      </c>
      <c r="M1976" s="11">
        <f t="shared" si="1989"/>
        <v>0</v>
      </c>
      <c r="O1976" s="11">
        <f t="shared" si="1990"/>
        <v>0</v>
      </c>
      <c r="Q1976" s="11">
        <f t="shared" si="1991"/>
        <v>0</v>
      </c>
      <c r="Y1976" s="11">
        <f t="shared" si="1992"/>
        <v>0</v>
      </c>
      <c r="AG1976" s="11">
        <f t="shared" si="1993"/>
        <v>0</v>
      </c>
      <c r="AI1976" s="11">
        <f t="shared" si="1994"/>
        <v>0</v>
      </c>
      <c r="AK1976" s="13">
        <f t="shared" si="1995"/>
        <v>0</v>
      </c>
      <c r="AM1976" s="13">
        <f t="shared" si="1996"/>
        <v>0</v>
      </c>
      <c r="AO1976" s="11">
        <f t="shared" si="1997"/>
        <v>0</v>
      </c>
      <c r="AQ1976" s="11">
        <f t="shared" si="1998"/>
        <v>0</v>
      </c>
      <c r="AS1976" s="11">
        <f t="shared" si="1999"/>
        <v>0</v>
      </c>
      <c r="AU1976" s="11">
        <f t="shared" si="2000"/>
        <v>0</v>
      </c>
      <c r="AW1976" s="11">
        <f t="shared" si="2001"/>
        <v>0</v>
      </c>
      <c r="AY1976" s="11">
        <f t="shared" si="2002"/>
        <v>0</v>
      </c>
      <c r="BA1976" s="11">
        <f t="shared" si="2003"/>
        <v>0</v>
      </c>
      <c r="BC1976" s="11">
        <f t="shared" si="2004"/>
        <v>0</v>
      </c>
      <c r="BE1976" s="11">
        <f t="shared" si="2005"/>
        <v>0</v>
      </c>
      <c r="BG1976" s="11">
        <f t="shared" si="2006"/>
        <v>0</v>
      </c>
      <c r="BN1976" s="8">
        <f t="shared" si="2007"/>
        <v>0</v>
      </c>
      <c r="BO1976" s="8">
        <f t="shared" si="2008"/>
        <v>0</v>
      </c>
      <c r="BP1976" s="8">
        <f t="shared" si="2011"/>
        <v>0</v>
      </c>
      <c r="BQ1976" s="12">
        <f t="shared" si="2012"/>
        <v>0</v>
      </c>
    </row>
    <row r="1977" spans="1:69">
      <c r="A1977" s="28">
        <v>1958</v>
      </c>
      <c r="B1977" s="27" t="s">
        <v>89</v>
      </c>
      <c r="C1977" s="24">
        <f t="shared" si="2014"/>
        <v>1974</v>
      </c>
      <c r="D1977" s="7" t="e">
        <f t="shared" ca="1" si="1952"/>
        <v>#N/A</v>
      </c>
      <c r="E1977" s="26">
        <f t="array" aca="1" ref="E1977" ca="1">AVERAGE(IF(INDIRECT(DatCol&amp;"$"&amp;TEXT(C1977,"###")):INDIRECT(DatCol&amp;"$"&amp;TEXT(C1977+57,"###"))&gt;0,INDIRECT(DatCol&amp;"$"&amp;TEXT(C1977,"###")):INDIRECT(DatCol&amp;"$"&amp;TEXT(C1977+57,"###"))))</f>
        <v>1634.4</v>
      </c>
      <c r="F1977" s="26" t="str">
        <f t="shared" si="2010"/>
        <v>S</v>
      </c>
      <c r="G1977" s="8"/>
      <c r="K1977" s="9">
        <f t="shared" si="2009"/>
        <v>0</v>
      </c>
      <c r="M1977" s="11">
        <f t="shared" si="1989"/>
        <v>0</v>
      </c>
      <c r="O1977" s="11">
        <f t="shared" si="1990"/>
        <v>0</v>
      </c>
      <c r="Q1977" s="11">
        <f t="shared" si="1991"/>
        <v>0</v>
      </c>
      <c r="Y1977" s="11">
        <f t="shared" si="1992"/>
        <v>0</v>
      </c>
      <c r="AG1977" s="11">
        <f t="shared" si="1993"/>
        <v>0</v>
      </c>
      <c r="AI1977" s="11">
        <f t="shared" si="1994"/>
        <v>0</v>
      </c>
      <c r="AK1977" s="13">
        <f t="shared" si="1995"/>
        <v>0</v>
      </c>
      <c r="AM1977" s="13">
        <f t="shared" si="1996"/>
        <v>0</v>
      </c>
      <c r="AO1977" s="11">
        <f t="shared" si="1997"/>
        <v>0</v>
      </c>
      <c r="AQ1977" s="11">
        <f t="shared" si="1998"/>
        <v>0</v>
      </c>
      <c r="AS1977" s="11">
        <f t="shared" si="1999"/>
        <v>0</v>
      </c>
      <c r="AU1977" s="11">
        <f t="shared" si="2000"/>
        <v>0</v>
      </c>
      <c r="AW1977" s="11">
        <f t="shared" si="2001"/>
        <v>0</v>
      </c>
      <c r="AY1977" s="11">
        <f t="shared" si="2002"/>
        <v>0</v>
      </c>
      <c r="BA1977" s="11">
        <f t="shared" si="2003"/>
        <v>0</v>
      </c>
      <c r="BC1977" s="11">
        <f t="shared" si="2004"/>
        <v>0</v>
      </c>
      <c r="BE1977" s="11">
        <f t="shared" si="2005"/>
        <v>0</v>
      </c>
      <c r="BG1977" s="11">
        <f t="shared" si="2006"/>
        <v>0</v>
      </c>
      <c r="BN1977" s="8">
        <f t="shared" si="2007"/>
        <v>0</v>
      </c>
      <c r="BO1977" s="8">
        <f t="shared" si="2008"/>
        <v>0</v>
      </c>
      <c r="BP1977" s="8">
        <f t="shared" si="2011"/>
        <v>0</v>
      </c>
      <c r="BQ1977" s="12">
        <f t="shared" si="2012"/>
        <v>0</v>
      </c>
    </row>
    <row r="1978" spans="1:69">
      <c r="A1978" s="28">
        <v>1959</v>
      </c>
      <c r="B1978" s="27" t="s">
        <v>89</v>
      </c>
      <c r="C1978" s="24">
        <f t="shared" si="2014"/>
        <v>1974</v>
      </c>
      <c r="D1978" s="7" t="e">
        <f t="shared" ca="1" si="1952"/>
        <v>#N/A</v>
      </c>
      <c r="E1978" s="26">
        <f t="array" aca="1" ref="E1978" ca="1">AVERAGE(IF(INDIRECT(DatCol&amp;"$"&amp;TEXT(C1978,"###")):INDIRECT(DatCol&amp;"$"&amp;TEXT(C1978+57,"###"))&gt;0,INDIRECT(DatCol&amp;"$"&amp;TEXT(C1978,"###")):INDIRECT(DatCol&amp;"$"&amp;TEXT(C1978+57,"###"))))</f>
        <v>1634.4</v>
      </c>
      <c r="F1978" s="26" t="str">
        <f t="shared" si="2010"/>
        <v>S</v>
      </c>
      <c r="G1978" s="8"/>
      <c r="K1978" s="9">
        <f t="shared" si="2009"/>
        <v>0</v>
      </c>
      <c r="M1978" s="11">
        <f t="shared" si="1989"/>
        <v>0</v>
      </c>
      <c r="O1978" s="11">
        <f t="shared" si="1990"/>
        <v>0</v>
      </c>
      <c r="Q1978" s="11">
        <f t="shared" si="1991"/>
        <v>0</v>
      </c>
      <c r="Y1978" s="11">
        <f t="shared" si="1992"/>
        <v>0</v>
      </c>
      <c r="AG1978" s="11">
        <f t="shared" si="1993"/>
        <v>0</v>
      </c>
      <c r="AI1978" s="11">
        <f t="shared" si="1994"/>
        <v>0</v>
      </c>
      <c r="AK1978" s="13">
        <f t="shared" si="1995"/>
        <v>0</v>
      </c>
      <c r="AM1978" s="13">
        <f t="shared" si="1996"/>
        <v>0</v>
      </c>
      <c r="AO1978" s="11">
        <f t="shared" si="1997"/>
        <v>0</v>
      </c>
      <c r="AQ1978" s="11">
        <f t="shared" si="1998"/>
        <v>0</v>
      </c>
      <c r="AS1978" s="11">
        <f t="shared" si="1999"/>
        <v>0</v>
      </c>
      <c r="AU1978" s="11">
        <f t="shared" si="2000"/>
        <v>0</v>
      </c>
      <c r="AW1978" s="11">
        <f t="shared" si="2001"/>
        <v>0</v>
      </c>
      <c r="AY1978" s="11">
        <f t="shared" si="2002"/>
        <v>0</v>
      </c>
      <c r="BA1978" s="11">
        <f t="shared" si="2003"/>
        <v>0</v>
      </c>
      <c r="BC1978" s="11">
        <f t="shared" si="2004"/>
        <v>0</v>
      </c>
      <c r="BE1978" s="11">
        <f t="shared" si="2005"/>
        <v>0</v>
      </c>
      <c r="BG1978" s="11">
        <f t="shared" si="2006"/>
        <v>0</v>
      </c>
      <c r="BN1978" s="8">
        <f t="shared" si="2007"/>
        <v>0</v>
      </c>
      <c r="BO1978" s="8">
        <f t="shared" si="2008"/>
        <v>0</v>
      </c>
      <c r="BP1978" s="8">
        <f t="shared" si="2011"/>
        <v>0</v>
      </c>
      <c r="BQ1978" s="12">
        <f t="shared" si="2012"/>
        <v>0</v>
      </c>
    </row>
    <row r="1979" spans="1:69">
      <c r="A1979" s="28">
        <v>1960</v>
      </c>
      <c r="B1979" s="27" t="s">
        <v>89</v>
      </c>
      <c r="C1979" s="24">
        <f t="shared" si="2014"/>
        <v>1974</v>
      </c>
      <c r="D1979" s="7" t="e">
        <f t="shared" ca="1" si="1952"/>
        <v>#N/A</v>
      </c>
      <c r="E1979" s="26">
        <f t="array" aca="1" ref="E1979" ca="1">AVERAGE(IF(INDIRECT(DatCol&amp;"$"&amp;TEXT(C1979,"###")):INDIRECT(DatCol&amp;"$"&amp;TEXT(C1979+57,"###"))&gt;0,INDIRECT(DatCol&amp;"$"&amp;TEXT(C1979,"###")):INDIRECT(DatCol&amp;"$"&amp;TEXT(C1979+57,"###"))))</f>
        <v>1634.4</v>
      </c>
      <c r="F1979" s="26" t="str">
        <f t="shared" si="2010"/>
        <v>S</v>
      </c>
      <c r="G1979" s="8"/>
      <c r="K1979" s="9">
        <f t="shared" si="2009"/>
        <v>0</v>
      </c>
      <c r="M1979" s="11">
        <f t="shared" si="1989"/>
        <v>0</v>
      </c>
      <c r="O1979" s="11">
        <f t="shared" si="1990"/>
        <v>0</v>
      </c>
      <c r="Q1979" s="11">
        <f t="shared" si="1991"/>
        <v>0</v>
      </c>
      <c r="Y1979" s="11">
        <f t="shared" si="1992"/>
        <v>0</v>
      </c>
      <c r="AG1979" s="11">
        <f t="shared" si="1993"/>
        <v>0</v>
      </c>
      <c r="AI1979" s="11">
        <f t="shared" si="1994"/>
        <v>0</v>
      </c>
      <c r="AK1979" s="13">
        <f t="shared" si="1995"/>
        <v>0</v>
      </c>
      <c r="AM1979" s="13">
        <f t="shared" si="1996"/>
        <v>0</v>
      </c>
      <c r="AO1979" s="11">
        <f t="shared" si="1997"/>
        <v>0</v>
      </c>
      <c r="AQ1979" s="11">
        <f t="shared" si="1998"/>
        <v>0</v>
      </c>
      <c r="AS1979" s="11">
        <f t="shared" si="1999"/>
        <v>0</v>
      </c>
      <c r="AU1979" s="11">
        <f t="shared" si="2000"/>
        <v>0</v>
      </c>
      <c r="AW1979" s="11">
        <f t="shared" si="2001"/>
        <v>0</v>
      </c>
      <c r="AY1979" s="11">
        <f t="shared" si="2002"/>
        <v>0</v>
      </c>
      <c r="BA1979" s="11">
        <f t="shared" si="2003"/>
        <v>0</v>
      </c>
      <c r="BC1979" s="11">
        <f t="shared" si="2004"/>
        <v>0</v>
      </c>
      <c r="BE1979" s="11">
        <f t="shared" si="2005"/>
        <v>0</v>
      </c>
      <c r="BG1979" s="11">
        <f t="shared" si="2006"/>
        <v>0</v>
      </c>
      <c r="BN1979" s="8">
        <f t="shared" si="2007"/>
        <v>0</v>
      </c>
      <c r="BO1979" s="8">
        <f t="shared" si="2008"/>
        <v>0</v>
      </c>
      <c r="BP1979" s="8">
        <f t="shared" si="2011"/>
        <v>0</v>
      </c>
      <c r="BQ1979" s="12">
        <f t="shared" si="2012"/>
        <v>0</v>
      </c>
    </row>
    <row r="1980" spans="1:69">
      <c r="A1980" s="28">
        <v>1961</v>
      </c>
      <c r="B1980" s="27" t="s">
        <v>89</v>
      </c>
      <c r="C1980" s="24">
        <f t="shared" si="2014"/>
        <v>1974</v>
      </c>
      <c r="D1980" s="7" t="e">
        <f t="shared" ca="1" si="1952"/>
        <v>#N/A</v>
      </c>
      <c r="E1980" s="26">
        <f t="array" aca="1" ref="E1980" ca="1">AVERAGE(IF(INDIRECT(DatCol&amp;"$"&amp;TEXT(C1980,"###")):INDIRECT(DatCol&amp;"$"&amp;TEXT(C1980+57,"###"))&gt;0,INDIRECT(DatCol&amp;"$"&amp;TEXT(C1980,"###")):INDIRECT(DatCol&amp;"$"&amp;TEXT(C1980+57,"###"))))</f>
        <v>1634.4</v>
      </c>
      <c r="F1980" s="26" t="str">
        <f t="shared" si="2010"/>
        <v>S</v>
      </c>
      <c r="G1980" s="8"/>
      <c r="K1980" s="9">
        <f t="shared" si="2009"/>
        <v>0</v>
      </c>
      <c r="M1980" s="11">
        <f t="shared" si="1989"/>
        <v>0</v>
      </c>
      <c r="O1980" s="11">
        <f t="shared" si="1990"/>
        <v>0</v>
      </c>
      <c r="Q1980" s="11">
        <f t="shared" si="1991"/>
        <v>0</v>
      </c>
      <c r="Y1980" s="11">
        <f t="shared" si="1992"/>
        <v>0</v>
      </c>
      <c r="AG1980" s="11">
        <f t="shared" si="1993"/>
        <v>0</v>
      </c>
      <c r="AI1980" s="11">
        <f t="shared" si="1994"/>
        <v>0</v>
      </c>
      <c r="AK1980" s="13">
        <f t="shared" si="1995"/>
        <v>0</v>
      </c>
      <c r="AM1980" s="13">
        <f t="shared" si="1996"/>
        <v>0</v>
      </c>
      <c r="AO1980" s="11">
        <f t="shared" si="1997"/>
        <v>0</v>
      </c>
      <c r="AQ1980" s="11">
        <f t="shared" si="1998"/>
        <v>0</v>
      </c>
      <c r="AS1980" s="11">
        <f t="shared" si="1999"/>
        <v>0</v>
      </c>
      <c r="AU1980" s="11">
        <f t="shared" si="2000"/>
        <v>0</v>
      </c>
      <c r="AW1980" s="11">
        <f t="shared" si="2001"/>
        <v>0</v>
      </c>
      <c r="AY1980" s="11">
        <f t="shared" si="2002"/>
        <v>0</v>
      </c>
      <c r="BA1980" s="11">
        <f t="shared" si="2003"/>
        <v>0</v>
      </c>
      <c r="BC1980" s="11">
        <f t="shared" si="2004"/>
        <v>0</v>
      </c>
      <c r="BE1980" s="11">
        <f t="shared" si="2005"/>
        <v>0</v>
      </c>
      <c r="BG1980" s="11">
        <f t="shared" si="2006"/>
        <v>0</v>
      </c>
      <c r="BN1980" s="8">
        <f t="shared" si="2007"/>
        <v>0</v>
      </c>
      <c r="BO1980" s="8">
        <f t="shared" si="2008"/>
        <v>0</v>
      </c>
      <c r="BP1980" s="8">
        <f t="shared" si="2011"/>
        <v>0</v>
      </c>
      <c r="BQ1980" s="12">
        <f t="shared" si="2012"/>
        <v>0</v>
      </c>
    </row>
    <row r="1981" spans="1:69">
      <c r="A1981" s="28">
        <v>1962</v>
      </c>
      <c r="B1981" s="27" t="s">
        <v>89</v>
      </c>
      <c r="C1981" s="24">
        <f t="shared" si="2014"/>
        <v>1974</v>
      </c>
      <c r="D1981" s="7" t="e">
        <f t="shared" ca="1" si="1952"/>
        <v>#N/A</v>
      </c>
      <c r="E1981" s="26">
        <f t="array" aca="1" ref="E1981" ca="1">AVERAGE(IF(INDIRECT(DatCol&amp;"$"&amp;TEXT(C1981,"###")):INDIRECT(DatCol&amp;"$"&amp;TEXT(C1981+57,"###"))&gt;0,INDIRECT(DatCol&amp;"$"&amp;TEXT(C1981,"###")):INDIRECT(DatCol&amp;"$"&amp;TEXT(C1981+57,"###"))))</f>
        <v>1634.4</v>
      </c>
      <c r="F1981" s="26" t="str">
        <f t="shared" si="2010"/>
        <v>S</v>
      </c>
      <c r="G1981" s="8"/>
      <c r="K1981" s="9">
        <f t="shared" si="2009"/>
        <v>0</v>
      </c>
      <c r="M1981" s="11">
        <f t="shared" si="1989"/>
        <v>0</v>
      </c>
      <c r="O1981" s="11">
        <f t="shared" si="1990"/>
        <v>0</v>
      </c>
      <c r="Q1981" s="11">
        <f t="shared" si="1991"/>
        <v>0</v>
      </c>
      <c r="Y1981" s="11">
        <f t="shared" si="1992"/>
        <v>0</v>
      </c>
      <c r="AG1981" s="11">
        <f t="shared" si="1993"/>
        <v>0</v>
      </c>
      <c r="AI1981" s="11">
        <f t="shared" si="1994"/>
        <v>0</v>
      </c>
      <c r="AK1981" s="13">
        <f t="shared" si="1995"/>
        <v>0</v>
      </c>
      <c r="AM1981" s="13">
        <f t="shared" si="1996"/>
        <v>0</v>
      </c>
      <c r="AO1981" s="11">
        <f t="shared" si="1997"/>
        <v>0</v>
      </c>
      <c r="AQ1981" s="11">
        <f t="shared" si="1998"/>
        <v>0</v>
      </c>
      <c r="AS1981" s="11">
        <f t="shared" si="1999"/>
        <v>0</v>
      </c>
      <c r="AU1981" s="11">
        <f t="shared" si="2000"/>
        <v>0</v>
      </c>
      <c r="AW1981" s="11">
        <f t="shared" si="2001"/>
        <v>0</v>
      </c>
      <c r="AY1981" s="11">
        <f t="shared" si="2002"/>
        <v>0</v>
      </c>
      <c r="BA1981" s="11">
        <f t="shared" si="2003"/>
        <v>0</v>
      </c>
      <c r="BC1981" s="11">
        <f t="shared" si="2004"/>
        <v>0</v>
      </c>
      <c r="BE1981" s="11">
        <f t="shared" si="2005"/>
        <v>0</v>
      </c>
      <c r="BG1981" s="11">
        <f t="shared" si="2006"/>
        <v>0</v>
      </c>
      <c r="BN1981" s="8">
        <f t="shared" si="2007"/>
        <v>0</v>
      </c>
      <c r="BO1981" s="8">
        <f t="shared" si="2008"/>
        <v>0</v>
      </c>
      <c r="BP1981" s="8">
        <f t="shared" si="2011"/>
        <v>0</v>
      </c>
      <c r="BQ1981" s="12">
        <f t="shared" si="2012"/>
        <v>0</v>
      </c>
    </row>
    <row r="1982" spans="1:69">
      <c r="A1982" s="28">
        <v>1963</v>
      </c>
      <c r="B1982" s="27" t="s">
        <v>89</v>
      </c>
      <c r="C1982" s="24">
        <f t="shared" si="2014"/>
        <v>1974</v>
      </c>
      <c r="D1982" s="7" t="e">
        <f t="shared" ca="1" si="1952"/>
        <v>#N/A</v>
      </c>
      <c r="E1982" s="26">
        <f t="array" aca="1" ref="E1982" ca="1">AVERAGE(IF(INDIRECT(DatCol&amp;"$"&amp;TEXT(C1982,"###")):INDIRECT(DatCol&amp;"$"&amp;TEXT(C1982+57,"###"))&gt;0,INDIRECT(DatCol&amp;"$"&amp;TEXT(C1982,"###")):INDIRECT(DatCol&amp;"$"&amp;TEXT(C1982+57,"###"))))</f>
        <v>1634.4</v>
      </c>
      <c r="F1982" s="26" t="str">
        <f t="shared" si="2010"/>
        <v>S</v>
      </c>
      <c r="G1982" s="8"/>
      <c r="K1982" s="9">
        <f t="shared" si="2009"/>
        <v>0</v>
      </c>
      <c r="M1982" s="11">
        <f t="shared" si="1989"/>
        <v>0</v>
      </c>
      <c r="O1982" s="11">
        <f t="shared" si="1990"/>
        <v>0</v>
      </c>
      <c r="Q1982" s="11">
        <f t="shared" si="1991"/>
        <v>0</v>
      </c>
      <c r="Y1982" s="11">
        <f t="shared" si="1992"/>
        <v>0</v>
      </c>
      <c r="AG1982" s="11">
        <f t="shared" si="1993"/>
        <v>0</v>
      </c>
      <c r="AI1982" s="11">
        <f t="shared" si="1994"/>
        <v>0</v>
      </c>
      <c r="AK1982" s="13">
        <f t="shared" si="1995"/>
        <v>0</v>
      </c>
      <c r="AM1982" s="13">
        <f t="shared" si="1996"/>
        <v>0</v>
      </c>
      <c r="AO1982" s="11">
        <f t="shared" si="1997"/>
        <v>0</v>
      </c>
      <c r="AQ1982" s="11">
        <f t="shared" si="1998"/>
        <v>0</v>
      </c>
      <c r="AS1982" s="11">
        <f t="shared" si="1999"/>
        <v>0</v>
      </c>
      <c r="AU1982" s="11">
        <f t="shared" si="2000"/>
        <v>0</v>
      </c>
      <c r="AW1982" s="11">
        <f t="shared" si="2001"/>
        <v>0</v>
      </c>
      <c r="AY1982" s="11">
        <f t="shared" si="2002"/>
        <v>0</v>
      </c>
      <c r="BA1982" s="11">
        <f t="shared" si="2003"/>
        <v>0</v>
      </c>
      <c r="BC1982" s="11">
        <f t="shared" si="2004"/>
        <v>0</v>
      </c>
      <c r="BE1982" s="11">
        <f t="shared" si="2005"/>
        <v>0</v>
      </c>
      <c r="BG1982" s="11">
        <f t="shared" si="2006"/>
        <v>0</v>
      </c>
      <c r="BN1982" s="8">
        <f t="shared" si="2007"/>
        <v>0</v>
      </c>
      <c r="BO1982" s="8">
        <f t="shared" si="2008"/>
        <v>0</v>
      </c>
      <c r="BP1982" s="8">
        <f t="shared" si="2011"/>
        <v>0</v>
      </c>
      <c r="BQ1982" s="12">
        <f t="shared" si="2012"/>
        <v>0</v>
      </c>
    </row>
    <row r="1983" spans="1:69">
      <c r="A1983" s="28">
        <v>1964</v>
      </c>
      <c r="B1983" s="27" t="s">
        <v>89</v>
      </c>
      <c r="C1983" s="24">
        <f t="shared" si="2014"/>
        <v>1974</v>
      </c>
      <c r="D1983" s="7" t="e">
        <f t="shared" ca="1" si="1952"/>
        <v>#N/A</v>
      </c>
      <c r="E1983" s="26">
        <f t="array" aca="1" ref="E1983" ca="1">AVERAGE(IF(INDIRECT(DatCol&amp;"$"&amp;TEXT(C1983,"###")):INDIRECT(DatCol&amp;"$"&amp;TEXT(C1983+57,"###"))&gt;0,INDIRECT(DatCol&amp;"$"&amp;TEXT(C1983,"###")):INDIRECT(DatCol&amp;"$"&amp;TEXT(C1983+57,"###"))))</f>
        <v>1634.4</v>
      </c>
      <c r="F1983" s="26" t="str">
        <f t="shared" si="2010"/>
        <v>S</v>
      </c>
      <c r="G1983" s="8"/>
      <c r="K1983" s="9">
        <f t="shared" si="2009"/>
        <v>0</v>
      </c>
      <c r="M1983" s="11">
        <f t="shared" si="1989"/>
        <v>0</v>
      </c>
      <c r="O1983" s="11">
        <f t="shared" si="1990"/>
        <v>0</v>
      </c>
      <c r="Q1983" s="11">
        <f t="shared" si="1991"/>
        <v>0</v>
      </c>
      <c r="Y1983" s="11">
        <f t="shared" si="1992"/>
        <v>0</v>
      </c>
      <c r="AG1983" s="11">
        <f t="shared" si="1993"/>
        <v>0</v>
      </c>
      <c r="AI1983" s="11">
        <f t="shared" si="1994"/>
        <v>0</v>
      </c>
      <c r="AK1983" s="13">
        <f t="shared" si="1995"/>
        <v>0</v>
      </c>
      <c r="AM1983" s="13">
        <f t="shared" si="1996"/>
        <v>0</v>
      </c>
      <c r="AO1983" s="11">
        <f t="shared" si="1997"/>
        <v>0</v>
      </c>
      <c r="AQ1983" s="11">
        <f t="shared" si="1998"/>
        <v>0</v>
      </c>
      <c r="AS1983" s="11">
        <f t="shared" si="1999"/>
        <v>0</v>
      </c>
      <c r="AU1983" s="11">
        <f t="shared" si="2000"/>
        <v>0</v>
      </c>
      <c r="AW1983" s="11">
        <f t="shared" si="2001"/>
        <v>0</v>
      </c>
      <c r="AY1983" s="11">
        <f t="shared" si="2002"/>
        <v>0</v>
      </c>
      <c r="BA1983" s="11">
        <f t="shared" si="2003"/>
        <v>0</v>
      </c>
      <c r="BC1983" s="11">
        <f t="shared" si="2004"/>
        <v>0</v>
      </c>
      <c r="BE1983" s="11">
        <f t="shared" si="2005"/>
        <v>0</v>
      </c>
      <c r="BG1983" s="11">
        <f t="shared" si="2006"/>
        <v>0</v>
      </c>
      <c r="BN1983" s="8">
        <f t="shared" si="2007"/>
        <v>0</v>
      </c>
      <c r="BO1983" s="8">
        <f t="shared" si="2008"/>
        <v>0</v>
      </c>
      <c r="BP1983" s="8">
        <f t="shared" si="2011"/>
        <v>0</v>
      </c>
      <c r="BQ1983" s="12">
        <f t="shared" si="2012"/>
        <v>0</v>
      </c>
    </row>
    <row r="1984" spans="1:69">
      <c r="A1984" s="28">
        <v>1965</v>
      </c>
      <c r="B1984" s="27" t="s">
        <v>89</v>
      </c>
      <c r="C1984" s="24">
        <f t="shared" si="2014"/>
        <v>1974</v>
      </c>
      <c r="D1984" s="7" t="e">
        <f t="shared" ca="1" si="1952"/>
        <v>#N/A</v>
      </c>
      <c r="E1984" s="26">
        <f t="array" aca="1" ref="E1984" ca="1">AVERAGE(IF(INDIRECT(DatCol&amp;"$"&amp;TEXT(C1984,"###")):INDIRECT(DatCol&amp;"$"&amp;TEXT(C1984+57,"###"))&gt;0,INDIRECT(DatCol&amp;"$"&amp;TEXT(C1984,"###")):INDIRECT(DatCol&amp;"$"&amp;TEXT(C1984+57,"###"))))</f>
        <v>1634.4</v>
      </c>
      <c r="F1984" s="26" t="str">
        <f t="shared" si="2010"/>
        <v>S</v>
      </c>
      <c r="G1984" s="8"/>
      <c r="K1984" s="9">
        <f t="shared" si="2009"/>
        <v>0</v>
      </c>
      <c r="M1984" s="11">
        <f t="shared" si="1989"/>
        <v>0</v>
      </c>
      <c r="O1984" s="11">
        <f t="shared" si="1990"/>
        <v>0</v>
      </c>
      <c r="Q1984" s="11">
        <f t="shared" si="1991"/>
        <v>0</v>
      </c>
      <c r="Y1984" s="11">
        <f t="shared" si="1992"/>
        <v>0</v>
      </c>
      <c r="AG1984" s="11">
        <f t="shared" si="1993"/>
        <v>0</v>
      </c>
      <c r="AI1984" s="11">
        <f t="shared" si="1994"/>
        <v>0</v>
      </c>
      <c r="AK1984" s="13">
        <f t="shared" si="1995"/>
        <v>0</v>
      </c>
      <c r="AM1984" s="13">
        <f t="shared" si="1996"/>
        <v>0</v>
      </c>
      <c r="AO1984" s="11">
        <f t="shared" si="1997"/>
        <v>0</v>
      </c>
      <c r="AQ1984" s="11">
        <f t="shared" si="1998"/>
        <v>0</v>
      </c>
      <c r="AS1984" s="11">
        <f t="shared" si="1999"/>
        <v>0</v>
      </c>
      <c r="AU1984" s="11">
        <f t="shared" si="2000"/>
        <v>0</v>
      </c>
      <c r="AW1984" s="11">
        <f t="shared" si="2001"/>
        <v>0</v>
      </c>
      <c r="AY1984" s="11">
        <f t="shared" si="2002"/>
        <v>0</v>
      </c>
      <c r="BA1984" s="11">
        <f t="shared" si="2003"/>
        <v>0</v>
      </c>
      <c r="BC1984" s="11">
        <f t="shared" si="2004"/>
        <v>0</v>
      </c>
      <c r="BE1984" s="11">
        <f t="shared" si="2005"/>
        <v>0</v>
      </c>
      <c r="BG1984" s="11">
        <f t="shared" si="2006"/>
        <v>0</v>
      </c>
      <c r="BN1984" s="8">
        <f t="shared" si="2007"/>
        <v>0</v>
      </c>
      <c r="BO1984" s="8">
        <f t="shared" si="2008"/>
        <v>0</v>
      </c>
      <c r="BP1984" s="8">
        <f t="shared" si="2011"/>
        <v>0</v>
      </c>
      <c r="BQ1984" s="12">
        <f t="shared" si="2012"/>
        <v>0</v>
      </c>
    </row>
    <row r="1985" spans="1:69">
      <c r="A1985" s="28">
        <v>1966</v>
      </c>
      <c r="B1985" s="27" t="s">
        <v>89</v>
      </c>
      <c r="C1985" s="24">
        <f t="shared" si="2014"/>
        <v>1974</v>
      </c>
      <c r="D1985" s="7" t="e">
        <f t="shared" ca="1" si="1952"/>
        <v>#N/A</v>
      </c>
      <c r="E1985" s="26">
        <f t="array" aca="1" ref="E1985" ca="1">AVERAGE(IF(INDIRECT(DatCol&amp;"$"&amp;TEXT(C1985,"###")):INDIRECT(DatCol&amp;"$"&amp;TEXT(C1985+57,"###"))&gt;0,INDIRECT(DatCol&amp;"$"&amp;TEXT(C1985,"###")):INDIRECT(DatCol&amp;"$"&amp;TEXT(C1985+57,"###"))))</f>
        <v>1634.4</v>
      </c>
      <c r="F1985" s="26" t="str">
        <f t="shared" si="2010"/>
        <v>S</v>
      </c>
      <c r="G1985" s="8"/>
      <c r="K1985" s="9">
        <f t="shared" si="2009"/>
        <v>0</v>
      </c>
      <c r="M1985" s="11">
        <f t="shared" ref="M1985:M2000" si="2015">(L1985*50)</f>
        <v>0</v>
      </c>
      <c r="O1985" s="11">
        <f t="shared" ref="O1985:O2000" si="2016">(N1985*50)</f>
        <v>0</v>
      </c>
      <c r="Q1985" s="11">
        <f t="shared" ref="Q1985:Q2000" si="2017">((P1985*330)/5.5)</f>
        <v>0</v>
      </c>
      <c r="Y1985" s="11">
        <f t="shared" ref="Y1985:Y2000" si="2018">((X1985*330)/5.5)</f>
        <v>0</v>
      </c>
      <c r="AG1985" s="11">
        <f t="shared" ref="AG1985:AG2000" si="2019">(AF1985*65)</f>
        <v>0</v>
      </c>
      <c r="AI1985" s="11">
        <f t="shared" ref="AI1985:AI2000" si="2020">(AH1985*65)</f>
        <v>0</v>
      </c>
      <c r="AK1985" s="13">
        <f t="shared" ref="AK1985:AK2000" si="2021">(AJ1985*9)</f>
        <v>0</v>
      </c>
      <c r="AM1985" s="13">
        <f t="shared" ref="AM1985:AM2000" si="2022">(AL1985*9)</f>
        <v>0</v>
      </c>
      <c r="AO1985" s="11">
        <f t="shared" ref="AO1985:AO2000" si="2023">(AN1985*80)</f>
        <v>0</v>
      </c>
      <c r="AQ1985" s="11">
        <f t="shared" ref="AQ1985:AQ2000" si="2024">(AP1985*80)</f>
        <v>0</v>
      </c>
      <c r="AS1985" s="11">
        <f t="shared" ref="AS1985:AS2000" si="2025">(AR1985*50)</f>
        <v>0</v>
      </c>
      <c r="AU1985" s="11">
        <f t="shared" ref="AU1985:AU2000" si="2026">(AT1985*50)</f>
        <v>0</v>
      </c>
      <c r="AW1985" s="11">
        <f t="shared" ref="AW1985:AW2000" si="2027">(AV1985*60)</f>
        <v>0</v>
      </c>
      <c r="AY1985" s="11">
        <f t="shared" ref="AY1985:AY2000" si="2028">(AX1985*60)</f>
        <v>0</v>
      </c>
      <c r="BA1985" s="11">
        <f t="shared" ref="BA1985:BA2000" si="2029">(AZ1985*40)</f>
        <v>0</v>
      </c>
      <c r="BC1985" s="11">
        <f t="shared" ref="BC1985:BC2000" si="2030">(BB1985*40)</f>
        <v>0</v>
      </c>
      <c r="BE1985" s="11">
        <f t="shared" ref="BE1985:BE2000" si="2031">(BD1985*95)</f>
        <v>0</v>
      </c>
      <c r="BG1985" s="11">
        <f t="shared" ref="BG1985:BG2000" si="2032">(BF1985*95)</f>
        <v>0</v>
      </c>
      <c r="BN1985" s="8">
        <f t="shared" si="2007"/>
        <v>0</v>
      </c>
      <c r="BO1985" s="8">
        <f t="shared" si="2008"/>
        <v>0</v>
      </c>
      <c r="BP1985" s="8">
        <f t="shared" si="2011"/>
        <v>0</v>
      </c>
      <c r="BQ1985" s="12">
        <f t="shared" si="2012"/>
        <v>0</v>
      </c>
    </row>
    <row r="1986" spans="1:69">
      <c r="A1986" s="28">
        <v>1967</v>
      </c>
      <c r="B1986" s="27" t="s">
        <v>89</v>
      </c>
      <c r="C1986" s="24">
        <f t="shared" si="2014"/>
        <v>1974</v>
      </c>
      <c r="D1986" s="7" t="e">
        <f t="shared" ref="D1986:D2049" ca="1" si="2033">IF(AND((INDIRECT(DatCol&amp;TEXT(ROW(),"###"))&gt;0),((F1986=RegionSelect)+(RegionSelect="A"))),INDIRECT(DatCol&amp;TEXT(ROW(),"###"))/E1986,NA())</f>
        <v>#N/A</v>
      </c>
      <c r="E1986" s="26">
        <f t="array" aca="1" ref="E1986" ca="1">AVERAGE(IF(INDIRECT(DatCol&amp;"$"&amp;TEXT(C1986,"###")):INDIRECT(DatCol&amp;"$"&amp;TEXT(C1986+57,"###"))&gt;0,INDIRECT(DatCol&amp;"$"&amp;TEXT(C1986,"###")):INDIRECT(DatCol&amp;"$"&amp;TEXT(C1986+57,"###"))))</f>
        <v>1634.4</v>
      </c>
      <c r="F1986" s="26" t="str">
        <f t="shared" si="2010"/>
        <v>S</v>
      </c>
      <c r="G1986" s="8"/>
      <c r="K1986" s="9">
        <f t="shared" si="2009"/>
        <v>0</v>
      </c>
      <c r="M1986" s="11">
        <f t="shared" si="2015"/>
        <v>0</v>
      </c>
      <c r="O1986" s="11">
        <f t="shared" si="2016"/>
        <v>0</v>
      </c>
      <c r="Q1986" s="11">
        <f t="shared" si="2017"/>
        <v>0</v>
      </c>
      <c r="Y1986" s="11">
        <f t="shared" si="2018"/>
        <v>0</v>
      </c>
      <c r="AG1986" s="11">
        <f t="shared" si="2019"/>
        <v>0</v>
      </c>
      <c r="AI1986" s="11">
        <f t="shared" si="2020"/>
        <v>0</v>
      </c>
      <c r="AK1986" s="13">
        <f t="shared" si="2021"/>
        <v>0</v>
      </c>
      <c r="AM1986" s="13">
        <f t="shared" si="2022"/>
        <v>0</v>
      </c>
      <c r="AO1986" s="11">
        <f t="shared" si="2023"/>
        <v>0</v>
      </c>
      <c r="AQ1986" s="11">
        <f t="shared" si="2024"/>
        <v>0</v>
      </c>
      <c r="AS1986" s="11">
        <f t="shared" si="2025"/>
        <v>0</v>
      </c>
      <c r="AU1986" s="11">
        <f t="shared" si="2026"/>
        <v>0</v>
      </c>
      <c r="AW1986" s="11">
        <f t="shared" si="2027"/>
        <v>0</v>
      </c>
      <c r="AY1986" s="11">
        <f t="shared" si="2028"/>
        <v>0</v>
      </c>
      <c r="BA1986" s="11">
        <f t="shared" si="2029"/>
        <v>0</v>
      </c>
      <c r="BC1986" s="11">
        <f t="shared" si="2030"/>
        <v>0</v>
      </c>
      <c r="BE1986" s="11">
        <f t="shared" si="2031"/>
        <v>0</v>
      </c>
      <c r="BG1986" s="11">
        <f t="shared" si="2032"/>
        <v>0</v>
      </c>
      <c r="BN1986" s="8">
        <f t="shared" si="2007"/>
        <v>0</v>
      </c>
      <c r="BO1986" s="8">
        <f t="shared" si="2008"/>
        <v>0</v>
      </c>
      <c r="BP1986" s="8">
        <f t="shared" si="2011"/>
        <v>0</v>
      </c>
      <c r="BQ1986" s="12">
        <f t="shared" si="2012"/>
        <v>0</v>
      </c>
    </row>
    <row r="1987" spans="1:69">
      <c r="A1987" s="28">
        <v>1968</v>
      </c>
      <c r="B1987" s="27" t="s">
        <v>89</v>
      </c>
      <c r="C1987" s="24">
        <f t="shared" si="2014"/>
        <v>1974</v>
      </c>
      <c r="D1987" s="7" t="e">
        <f t="shared" ca="1" si="2033"/>
        <v>#N/A</v>
      </c>
      <c r="E1987" s="26">
        <f t="array" aca="1" ref="E1987" ca="1">AVERAGE(IF(INDIRECT(DatCol&amp;"$"&amp;TEXT(C1987,"###")):INDIRECT(DatCol&amp;"$"&amp;TEXT(C1987+57,"###"))&gt;0,INDIRECT(DatCol&amp;"$"&amp;TEXT(C1987,"###")):INDIRECT(DatCol&amp;"$"&amp;TEXT(C1987+57,"###"))))</f>
        <v>1634.4</v>
      </c>
      <c r="F1987" s="26" t="str">
        <f t="shared" si="2010"/>
        <v>S</v>
      </c>
      <c r="G1987" s="8"/>
      <c r="K1987" s="9">
        <f t="shared" si="2009"/>
        <v>0</v>
      </c>
      <c r="M1987" s="11">
        <f t="shared" si="2015"/>
        <v>0</v>
      </c>
      <c r="O1987" s="11">
        <f t="shared" si="2016"/>
        <v>0</v>
      </c>
      <c r="Q1987" s="11">
        <f t="shared" si="2017"/>
        <v>0</v>
      </c>
      <c r="Y1987" s="11">
        <f t="shared" si="2018"/>
        <v>0</v>
      </c>
      <c r="AG1987" s="11">
        <f t="shared" si="2019"/>
        <v>0</v>
      </c>
      <c r="AI1987" s="11">
        <f t="shared" si="2020"/>
        <v>0</v>
      </c>
      <c r="AK1987" s="13">
        <f t="shared" si="2021"/>
        <v>0</v>
      </c>
      <c r="AM1987" s="13">
        <f t="shared" si="2022"/>
        <v>0</v>
      </c>
      <c r="AO1987" s="11">
        <f t="shared" si="2023"/>
        <v>0</v>
      </c>
      <c r="AQ1987" s="11">
        <f t="shared" si="2024"/>
        <v>0</v>
      </c>
      <c r="AS1987" s="11">
        <f t="shared" si="2025"/>
        <v>0</v>
      </c>
      <c r="AU1987" s="11">
        <f t="shared" si="2026"/>
        <v>0</v>
      </c>
      <c r="AW1987" s="11">
        <f t="shared" si="2027"/>
        <v>0</v>
      </c>
      <c r="AY1987" s="11">
        <f t="shared" si="2028"/>
        <v>0</v>
      </c>
      <c r="BA1987" s="11">
        <f t="shared" si="2029"/>
        <v>0</v>
      </c>
      <c r="BC1987" s="11">
        <f t="shared" si="2030"/>
        <v>0</v>
      </c>
      <c r="BE1987" s="11">
        <f t="shared" si="2031"/>
        <v>0</v>
      </c>
      <c r="BG1987" s="11">
        <f t="shared" si="2032"/>
        <v>0</v>
      </c>
      <c r="BN1987" s="8">
        <f t="shared" si="2007"/>
        <v>0</v>
      </c>
      <c r="BO1987" s="8">
        <f t="shared" si="2008"/>
        <v>0</v>
      </c>
      <c r="BP1987" s="8">
        <f t="shared" si="2011"/>
        <v>0</v>
      </c>
      <c r="BQ1987" s="12">
        <f t="shared" si="2012"/>
        <v>0</v>
      </c>
    </row>
    <row r="1988" spans="1:69">
      <c r="A1988" s="28">
        <v>1969</v>
      </c>
      <c r="B1988" s="27" t="s">
        <v>89</v>
      </c>
      <c r="C1988" s="24">
        <f t="shared" si="2014"/>
        <v>1974</v>
      </c>
      <c r="D1988" s="7" t="e">
        <f t="shared" ca="1" si="2033"/>
        <v>#N/A</v>
      </c>
      <c r="E1988" s="26">
        <f t="array" aca="1" ref="E1988" ca="1">AVERAGE(IF(INDIRECT(DatCol&amp;"$"&amp;TEXT(C1988,"###")):INDIRECT(DatCol&amp;"$"&amp;TEXT(C1988+57,"###"))&gt;0,INDIRECT(DatCol&amp;"$"&amp;TEXT(C1988,"###")):INDIRECT(DatCol&amp;"$"&amp;TEXT(C1988+57,"###"))))</f>
        <v>1634.4</v>
      </c>
      <c r="F1988" s="26" t="str">
        <f t="shared" si="2010"/>
        <v>S</v>
      </c>
      <c r="G1988" s="8"/>
      <c r="K1988" s="9">
        <f t="shared" si="2009"/>
        <v>0</v>
      </c>
      <c r="M1988" s="11">
        <f t="shared" si="2015"/>
        <v>0</v>
      </c>
      <c r="O1988" s="11">
        <f t="shared" si="2016"/>
        <v>0</v>
      </c>
      <c r="Q1988" s="11">
        <f t="shared" si="2017"/>
        <v>0</v>
      </c>
      <c r="Y1988" s="11">
        <f t="shared" si="2018"/>
        <v>0</v>
      </c>
      <c r="AG1988" s="11">
        <f t="shared" si="2019"/>
        <v>0</v>
      </c>
      <c r="AI1988" s="11">
        <f t="shared" si="2020"/>
        <v>0</v>
      </c>
      <c r="AK1988" s="13">
        <f t="shared" si="2021"/>
        <v>0</v>
      </c>
      <c r="AM1988" s="13">
        <f t="shared" si="2022"/>
        <v>0</v>
      </c>
      <c r="AO1988" s="11">
        <f t="shared" si="2023"/>
        <v>0</v>
      </c>
      <c r="AQ1988" s="11">
        <f t="shared" si="2024"/>
        <v>0</v>
      </c>
      <c r="AS1988" s="11">
        <f t="shared" si="2025"/>
        <v>0</v>
      </c>
      <c r="AU1988" s="11">
        <f t="shared" si="2026"/>
        <v>0</v>
      </c>
      <c r="AW1988" s="11">
        <f t="shared" si="2027"/>
        <v>0</v>
      </c>
      <c r="AY1988" s="11">
        <f t="shared" si="2028"/>
        <v>0</v>
      </c>
      <c r="BA1988" s="11">
        <f t="shared" si="2029"/>
        <v>0</v>
      </c>
      <c r="BC1988" s="11">
        <f t="shared" si="2030"/>
        <v>0</v>
      </c>
      <c r="BE1988" s="11">
        <f t="shared" si="2031"/>
        <v>0</v>
      </c>
      <c r="BG1988" s="11">
        <f t="shared" si="2032"/>
        <v>0</v>
      </c>
      <c r="BN1988" s="8">
        <f t="shared" si="2007"/>
        <v>0</v>
      </c>
      <c r="BO1988" s="8">
        <f t="shared" si="2008"/>
        <v>0</v>
      </c>
      <c r="BP1988" s="8">
        <f t="shared" si="2011"/>
        <v>0</v>
      </c>
      <c r="BQ1988" s="12">
        <f t="shared" si="2012"/>
        <v>0</v>
      </c>
    </row>
    <row r="1989" spans="1:69">
      <c r="A1989" s="28">
        <v>1970</v>
      </c>
      <c r="B1989" s="27" t="s">
        <v>89</v>
      </c>
      <c r="C1989" s="24">
        <f t="shared" si="2014"/>
        <v>1974</v>
      </c>
      <c r="D1989" s="7" t="e">
        <f t="shared" ca="1" si="2033"/>
        <v>#N/A</v>
      </c>
      <c r="E1989" s="26">
        <f t="array" aca="1" ref="E1989" ca="1">AVERAGE(IF(INDIRECT(DatCol&amp;"$"&amp;TEXT(C1989,"###")):INDIRECT(DatCol&amp;"$"&amp;TEXT(C1989+57,"###"))&gt;0,INDIRECT(DatCol&amp;"$"&amp;TEXT(C1989,"###")):INDIRECT(DatCol&amp;"$"&amp;TEXT(C1989+57,"###"))))</f>
        <v>1634.4</v>
      </c>
      <c r="F1989" s="26" t="str">
        <f t="shared" si="2010"/>
        <v>S</v>
      </c>
      <c r="G1989" s="8"/>
      <c r="K1989" s="9">
        <f t="shared" si="2009"/>
        <v>0</v>
      </c>
      <c r="M1989" s="11">
        <f t="shared" si="2015"/>
        <v>0</v>
      </c>
      <c r="O1989" s="11">
        <f t="shared" si="2016"/>
        <v>0</v>
      </c>
      <c r="Q1989" s="11">
        <f t="shared" si="2017"/>
        <v>0</v>
      </c>
      <c r="Y1989" s="11">
        <f t="shared" si="2018"/>
        <v>0</v>
      </c>
      <c r="AG1989" s="11">
        <f t="shared" si="2019"/>
        <v>0</v>
      </c>
      <c r="AI1989" s="11">
        <f t="shared" si="2020"/>
        <v>0</v>
      </c>
      <c r="AK1989" s="13">
        <f t="shared" si="2021"/>
        <v>0</v>
      </c>
      <c r="AM1989" s="13">
        <f t="shared" si="2022"/>
        <v>0</v>
      </c>
      <c r="AO1989" s="11">
        <f t="shared" si="2023"/>
        <v>0</v>
      </c>
      <c r="AQ1989" s="11">
        <f t="shared" si="2024"/>
        <v>0</v>
      </c>
      <c r="AS1989" s="11">
        <f t="shared" si="2025"/>
        <v>0</v>
      </c>
      <c r="AU1989" s="11">
        <f t="shared" si="2026"/>
        <v>0</v>
      </c>
      <c r="AW1989" s="11">
        <f t="shared" si="2027"/>
        <v>0</v>
      </c>
      <c r="AY1989" s="11">
        <f t="shared" si="2028"/>
        <v>0</v>
      </c>
      <c r="BA1989" s="11">
        <f t="shared" si="2029"/>
        <v>0</v>
      </c>
      <c r="BC1989" s="11">
        <f t="shared" si="2030"/>
        <v>0</v>
      </c>
      <c r="BE1989" s="11">
        <f t="shared" si="2031"/>
        <v>0</v>
      </c>
      <c r="BG1989" s="11">
        <f t="shared" si="2032"/>
        <v>0</v>
      </c>
      <c r="BN1989" s="8">
        <f t="shared" si="2007"/>
        <v>0</v>
      </c>
      <c r="BO1989" s="8">
        <f t="shared" si="2008"/>
        <v>0</v>
      </c>
      <c r="BP1989" s="8">
        <f t="shared" si="2011"/>
        <v>0</v>
      </c>
      <c r="BQ1989" s="12">
        <f t="shared" si="2012"/>
        <v>0</v>
      </c>
    </row>
    <row r="1990" spans="1:69">
      <c r="A1990" s="28">
        <v>1971</v>
      </c>
      <c r="B1990" s="27" t="s">
        <v>89</v>
      </c>
      <c r="C1990" s="24">
        <f t="shared" si="2014"/>
        <v>1974</v>
      </c>
      <c r="D1990" s="7" t="e">
        <f t="shared" ca="1" si="2033"/>
        <v>#N/A</v>
      </c>
      <c r="E1990" s="26">
        <f t="array" aca="1" ref="E1990" ca="1">AVERAGE(IF(INDIRECT(DatCol&amp;"$"&amp;TEXT(C1990,"###")):INDIRECT(DatCol&amp;"$"&amp;TEXT(C1990+57,"###"))&gt;0,INDIRECT(DatCol&amp;"$"&amp;TEXT(C1990,"###")):INDIRECT(DatCol&amp;"$"&amp;TEXT(C1990+57,"###"))))</f>
        <v>1634.4</v>
      </c>
      <c r="F1990" s="26" t="str">
        <f t="shared" si="2010"/>
        <v>S</v>
      </c>
      <c r="G1990" s="8"/>
      <c r="K1990" s="9">
        <f t="shared" si="2009"/>
        <v>0</v>
      </c>
      <c r="M1990" s="11">
        <f t="shared" si="2015"/>
        <v>0</v>
      </c>
      <c r="O1990" s="11">
        <f t="shared" si="2016"/>
        <v>0</v>
      </c>
      <c r="Q1990" s="11">
        <f t="shared" si="2017"/>
        <v>0</v>
      </c>
      <c r="Y1990" s="11">
        <f t="shared" si="2018"/>
        <v>0</v>
      </c>
      <c r="AG1990" s="11">
        <f t="shared" si="2019"/>
        <v>0</v>
      </c>
      <c r="AI1990" s="11">
        <f t="shared" si="2020"/>
        <v>0</v>
      </c>
      <c r="AK1990" s="13">
        <f t="shared" si="2021"/>
        <v>0</v>
      </c>
      <c r="AM1990" s="13">
        <f t="shared" si="2022"/>
        <v>0</v>
      </c>
      <c r="AO1990" s="11">
        <f t="shared" si="2023"/>
        <v>0</v>
      </c>
      <c r="AQ1990" s="11">
        <f t="shared" si="2024"/>
        <v>0</v>
      </c>
      <c r="AS1990" s="11">
        <f t="shared" si="2025"/>
        <v>0</v>
      </c>
      <c r="AU1990" s="11">
        <f t="shared" si="2026"/>
        <v>0</v>
      </c>
      <c r="AW1990" s="11">
        <f t="shared" si="2027"/>
        <v>0</v>
      </c>
      <c r="AY1990" s="11">
        <f t="shared" si="2028"/>
        <v>0</v>
      </c>
      <c r="BA1990" s="11">
        <f t="shared" si="2029"/>
        <v>0</v>
      </c>
      <c r="BC1990" s="11">
        <f t="shared" si="2030"/>
        <v>0</v>
      </c>
      <c r="BE1990" s="11">
        <f t="shared" si="2031"/>
        <v>0</v>
      </c>
      <c r="BG1990" s="11">
        <f t="shared" si="2032"/>
        <v>0</v>
      </c>
      <c r="BN1990" s="8">
        <f t="shared" si="2007"/>
        <v>0</v>
      </c>
      <c r="BO1990" s="8">
        <f t="shared" si="2008"/>
        <v>0</v>
      </c>
      <c r="BP1990" s="8">
        <f t="shared" si="2011"/>
        <v>0</v>
      </c>
      <c r="BQ1990" s="12">
        <f t="shared" si="2012"/>
        <v>0</v>
      </c>
    </row>
    <row r="1991" spans="1:69">
      <c r="A1991" s="28">
        <v>1972</v>
      </c>
      <c r="B1991" s="27" t="s">
        <v>89</v>
      </c>
      <c r="C1991" s="24">
        <f t="shared" si="2014"/>
        <v>1974</v>
      </c>
      <c r="D1991" s="7" t="e">
        <f t="shared" ca="1" si="2033"/>
        <v>#N/A</v>
      </c>
      <c r="E1991" s="26">
        <f t="array" aca="1" ref="E1991" ca="1">AVERAGE(IF(INDIRECT(DatCol&amp;"$"&amp;TEXT(C1991,"###")):INDIRECT(DatCol&amp;"$"&amp;TEXT(C1991+57,"###"))&gt;0,INDIRECT(DatCol&amp;"$"&amp;TEXT(C1991,"###")):INDIRECT(DatCol&amp;"$"&amp;TEXT(C1991+57,"###"))))</f>
        <v>1634.4</v>
      </c>
      <c r="F1991" s="26" t="str">
        <f t="shared" si="2010"/>
        <v>S</v>
      </c>
      <c r="G1991" s="8"/>
      <c r="K1991" s="9">
        <f t="shared" si="2009"/>
        <v>0</v>
      </c>
      <c r="M1991" s="11">
        <f t="shared" si="2015"/>
        <v>0</v>
      </c>
      <c r="O1991" s="11">
        <f t="shared" si="2016"/>
        <v>0</v>
      </c>
      <c r="Q1991" s="11">
        <f t="shared" si="2017"/>
        <v>0</v>
      </c>
      <c r="Y1991" s="11">
        <f t="shared" si="2018"/>
        <v>0</v>
      </c>
      <c r="AG1991" s="11">
        <f t="shared" si="2019"/>
        <v>0</v>
      </c>
      <c r="AI1991" s="11">
        <f t="shared" si="2020"/>
        <v>0</v>
      </c>
      <c r="AK1991" s="13">
        <f t="shared" si="2021"/>
        <v>0</v>
      </c>
      <c r="AM1991" s="13">
        <f t="shared" si="2022"/>
        <v>0</v>
      </c>
      <c r="AO1991" s="11">
        <f t="shared" si="2023"/>
        <v>0</v>
      </c>
      <c r="AQ1991" s="11">
        <f t="shared" si="2024"/>
        <v>0</v>
      </c>
      <c r="AS1991" s="11">
        <f t="shared" si="2025"/>
        <v>0</v>
      </c>
      <c r="AU1991" s="11">
        <f t="shared" si="2026"/>
        <v>0</v>
      </c>
      <c r="AW1991" s="11">
        <f t="shared" si="2027"/>
        <v>0</v>
      </c>
      <c r="AY1991" s="11">
        <f t="shared" si="2028"/>
        <v>0</v>
      </c>
      <c r="BA1991" s="11">
        <f t="shared" si="2029"/>
        <v>0</v>
      </c>
      <c r="BC1991" s="11">
        <f t="shared" si="2030"/>
        <v>0</v>
      </c>
      <c r="BE1991" s="11">
        <f t="shared" si="2031"/>
        <v>0</v>
      </c>
      <c r="BG1991" s="11">
        <f t="shared" si="2032"/>
        <v>0</v>
      </c>
      <c r="BN1991" s="8">
        <f t="shared" si="2007"/>
        <v>0</v>
      </c>
      <c r="BO1991" s="8">
        <f t="shared" si="2008"/>
        <v>0</v>
      </c>
      <c r="BP1991" s="8">
        <f t="shared" si="2011"/>
        <v>0</v>
      </c>
      <c r="BQ1991" s="12">
        <f t="shared" si="2012"/>
        <v>0</v>
      </c>
    </row>
    <row r="1992" spans="1:69">
      <c r="A1992" s="28">
        <v>1973</v>
      </c>
      <c r="B1992" s="27" t="s">
        <v>89</v>
      </c>
      <c r="C1992" s="24">
        <f t="shared" si="2014"/>
        <v>1974</v>
      </c>
      <c r="D1992" s="7" t="e">
        <f t="shared" ca="1" si="2033"/>
        <v>#N/A</v>
      </c>
      <c r="E1992" s="26">
        <f t="array" aca="1" ref="E1992" ca="1">AVERAGE(IF(INDIRECT(DatCol&amp;"$"&amp;TEXT(C1992,"###")):INDIRECT(DatCol&amp;"$"&amp;TEXT(C1992+57,"###"))&gt;0,INDIRECT(DatCol&amp;"$"&amp;TEXT(C1992,"###")):INDIRECT(DatCol&amp;"$"&amp;TEXT(C1992+57,"###"))))</f>
        <v>1634.4</v>
      </c>
      <c r="F1992" s="26" t="str">
        <f t="shared" si="2010"/>
        <v>S</v>
      </c>
      <c r="G1992" s="8"/>
      <c r="K1992" s="9">
        <f t="shared" si="2009"/>
        <v>0</v>
      </c>
      <c r="M1992" s="11">
        <f t="shared" si="2015"/>
        <v>0</v>
      </c>
      <c r="O1992" s="11">
        <f t="shared" si="2016"/>
        <v>0</v>
      </c>
      <c r="Q1992" s="11">
        <f t="shared" si="2017"/>
        <v>0</v>
      </c>
      <c r="Y1992" s="11">
        <f t="shared" si="2018"/>
        <v>0</v>
      </c>
      <c r="AG1992" s="11">
        <f t="shared" si="2019"/>
        <v>0</v>
      </c>
      <c r="AI1992" s="11">
        <f t="shared" si="2020"/>
        <v>0</v>
      </c>
      <c r="AK1992" s="13">
        <f t="shared" si="2021"/>
        <v>0</v>
      </c>
      <c r="AM1992" s="13">
        <f t="shared" si="2022"/>
        <v>0</v>
      </c>
      <c r="AO1992" s="11">
        <f t="shared" si="2023"/>
        <v>0</v>
      </c>
      <c r="AQ1992" s="11">
        <f t="shared" si="2024"/>
        <v>0</v>
      </c>
      <c r="AS1992" s="11">
        <f t="shared" si="2025"/>
        <v>0</v>
      </c>
      <c r="AU1992" s="11">
        <f t="shared" si="2026"/>
        <v>0</v>
      </c>
      <c r="AW1992" s="11">
        <f t="shared" si="2027"/>
        <v>0</v>
      </c>
      <c r="AY1992" s="11">
        <f t="shared" si="2028"/>
        <v>0</v>
      </c>
      <c r="BA1992" s="11">
        <f t="shared" si="2029"/>
        <v>0</v>
      </c>
      <c r="BC1992" s="11">
        <f t="shared" si="2030"/>
        <v>0</v>
      </c>
      <c r="BE1992" s="11">
        <f t="shared" si="2031"/>
        <v>0</v>
      </c>
      <c r="BG1992" s="11">
        <f t="shared" si="2032"/>
        <v>0</v>
      </c>
      <c r="BN1992" s="8">
        <f t="shared" si="2007"/>
        <v>0</v>
      </c>
      <c r="BO1992" s="8">
        <f t="shared" si="2008"/>
        <v>0</v>
      </c>
      <c r="BP1992" s="8">
        <f t="shared" si="2011"/>
        <v>0</v>
      </c>
      <c r="BQ1992" s="12">
        <f t="shared" si="2012"/>
        <v>0</v>
      </c>
    </row>
    <row r="1993" spans="1:69">
      <c r="A1993" s="28">
        <v>1974</v>
      </c>
      <c r="B1993" s="27" t="s">
        <v>89</v>
      </c>
      <c r="C1993" s="24">
        <f t="shared" si="2014"/>
        <v>1974</v>
      </c>
      <c r="D1993" s="7" t="e">
        <f t="shared" ca="1" si="2033"/>
        <v>#N/A</v>
      </c>
      <c r="E1993" s="26">
        <f t="array" aca="1" ref="E1993" ca="1">AVERAGE(IF(INDIRECT(DatCol&amp;"$"&amp;TEXT(C1993,"###")):INDIRECT(DatCol&amp;"$"&amp;TEXT(C1993+57,"###"))&gt;0,INDIRECT(DatCol&amp;"$"&amp;TEXT(C1993,"###")):INDIRECT(DatCol&amp;"$"&amp;TEXT(C1993+57,"###"))))</f>
        <v>1634.4</v>
      </c>
      <c r="F1993" s="26" t="str">
        <f t="shared" si="2010"/>
        <v>S</v>
      </c>
      <c r="G1993" s="8"/>
      <c r="K1993" s="9">
        <f t="shared" si="2009"/>
        <v>0</v>
      </c>
      <c r="M1993" s="11">
        <f t="shared" si="2015"/>
        <v>0</v>
      </c>
      <c r="O1993" s="11">
        <f t="shared" si="2016"/>
        <v>0</v>
      </c>
      <c r="Q1993" s="11">
        <f t="shared" si="2017"/>
        <v>0</v>
      </c>
      <c r="Y1993" s="11">
        <f t="shared" si="2018"/>
        <v>0</v>
      </c>
      <c r="AG1993" s="11">
        <f t="shared" si="2019"/>
        <v>0</v>
      </c>
      <c r="AI1993" s="11">
        <f t="shared" si="2020"/>
        <v>0</v>
      </c>
      <c r="AK1993" s="13">
        <f t="shared" si="2021"/>
        <v>0</v>
      </c>
      <c r="AM1993" s="13">
        <f t="shared" si="2022"/>
        <v>0</v>
      </c>
      <c r="AO1993" s="11">
        <f t="shared" si="2023"/>
        <v>0</v>
      </c>
      <c r="AQ1993" s="11">
        <f t="shared" si="2024"/>
        <v>0</v>
      </c>
      <c r="AS1993" s="11">
        <f t="shared" si="2025"/>
        <v>0</v>
      </c>
      <c r="AU1993" s="11">
        <f t="shared" si="2026"/>
        <v>0</v>
      </c>
      <c r="AW1993" s="11">
        <f t="shared" si="2027"/>
        <v>0</v>
      </c>
      <c r="AY1993" s="11">
        <f t="shared" si="2028"/>
        <v>0</v>
      </c>
      <c r="BA1993" s="11">
        <f t="shared" si="2029"/>
        <v>0</v>
      </c>
      <c r="BC1993" s="11">
        <f t="shared" si="2030"/>
        <v>0</v>
      </c>
      <c r="BE1993" s="11">
        <f t="shared" si="2031"/>
        <v>0</v>
      </c>
      <c r="BG1993" s="11">
        <f t="shared" si="2032"/>
        <v>0</v>
      </c>
      <c r="BN1993" s="8">
        <f t="shared" si="2007"/>
        <v>0</v>
      </c>
      <c r="BO1993" s="8">
        <f t="shared" si="2008"/>
        <v>0</v>
      </c>
      <c r="BP1993" s="8">
        <f t="shared" si="2011"/>
        <v>0</v>
      </c>
      <c r="BQ1993" s="12">
        <f t="shared" si="2012"/>
        <v>0</v>
      </c>
    </row>
    <row r="1994" spans="1:69">
      <c r="A1994" s="28">
        <v>1975</v>
      </c>
      <c r="B1994" s="27" t="s">
        <v>89</v>
      </c>
      <c r="C1994" s="24">
        <f t="shared" si="2014"/>
        <v>1974</v>
      </c>
      <c r="D1994" s="7" t="e">
        <f t="shared" ca="1" si="2033"/>
        <v>#N/A</v>
      </c>
      <c r="E1994" s="26">
        <f t="array" aca="1" ref="E1994" ca="1">AVERAGE(IF(INDIRECT(DatCol&amp;"$"&amp;TEXT(C1994,"###")):INDIRECT(DatCol&amp;"$"&amp;TEXT(C1994+57,"###"))&gt;0,INDIRECT(DatCol&amp;"$"&amp;TEXT(C1994,"###")):INDIRECT(DatCol&amp;"$"&amp;TEXT(C1994+57,"###"))))</f>
        <v>1634.4</v>
      </c>
      <c r="F1994" s="26" t="str">
        <f t="shared" si="2010"/>
        <v>S</v>
      </c>
      <c r="G1994" s="8"/>
      <c r="K1994" s="9">
        <f t="shared" si="2009"/>
        <v>0</v>
      </c>
      <c r="M1994" s="11">
        <f t="shared" si="2015"/>
        <v>0</v>
      </c>
      <c r="O1994" s="11">
        <f t="shared" si="2016"/>
        <v>0</v>
      </c>
      <c r="Q1994" s="11">
        <f t="shared" si="2017"/>
        <v>0</v>
      </c>
      <c r="Y1994" s="11">
        <f t="shared" si="2018"/>
        <v>0</v>
      </c>
      <c r="AG1994" s="11">
        <f t="shared" si="2019"/>
        <v>0</v>
      </c>
      <c r="AI1994" s="11">
        <f t="shared" si="2020"/>
        <v>0</v>
      </c>
      <c r="AK1994" s="13">
        <f t="shared" si="2021"/>
        <v>0</v>
      </c>
      <c r="AM1994" s="13">
        <f t="shared" si="2022"/>
        <v>0</v>
      </c>
      <c r="AO1994" s="11">
        <f t="shared" si="2023"/>
        <v>0</v>
      </c>
      <c r="AQ1994" s="11">
        <f t="shared" si="2024"/>
        <v>0</v>
      </c>
      <c r="AS1994" s="11">
        <f t="shared" si="2025"/>
        <v>0</v>
      </c>
      <c r="AU1994" s="11">
        <f t="shared" si="2026"/>
        <v>0</v>
      </c>
      <c r="AW1994" s="11">
        <f t="shared" si="2027"/>
        <v>0</v>
      </c>
      <c r="AY1994" s="11">
        <f t="shared" si="2028"/>
        <v>0</v>
      </c>
      <c r="BA1994" s="11">
        <f t="shared" si="2029"/>
        <v>0</v>
      </c>
      <c r="BC1994" s="11">
        <f t="shared" si="2030"/>
        <v>0</v>
      </c>
      <c r="BE1994" s="11">
        <f t="shared" si="2031"/>
        <v>0</v>
      </c>
      <c r="BG1994" s="11">
        <f t="shared" si="2032"/>
        <v>0</v>
      </c>
      <c r="BN1994" s="8">
        <f t="shared" si="2007"/>
        <v>0</v>
      </c>
      <c r="BO1994" s="8">
        <f t="shared" si="2008"/>
        <v>0</v>
      </c>
      <c r="BP1994" s="8">
        <f t="shared" si="2011"/>
        <v>0</v>
      </c>
      <c r="BQ1994" s="12">
        <f t="shared" si="2012"/>
        <v>0</v>
      </c>
    </row>
    <row r="1995" spans="1:69">
      <c r="A1995" s="28">
        <v>1976</v>
      </c>
      <c r="B1995" s="27" t="s">
        <v>89</v>
      </c>
      <c r="C1995" s="24">
        <f t="shared" si="2014"/>
        <v>1974</v>
      </c>
      <c r="D1995" s="7" t="e">
        <f t="shared" ca="1" si="2033"/>
        <v>#N/A</v>
      </c>
      <c r="E1995" s="26">
        <f t="array" aca="1" ref="E1995" ca="1">AVERAGE(IF(INDIRECT(DatCol&amp;"$"&amp;TEXT(C1995,"###")):INDIRECT(DatCol&amp;"$"&amp;TEXT(C1995+57,"###"))&gt;0,INDIRECT(DatCol&amp;"$"&amp;TEXT(C1995,"###")):INDIRECT(DatCol&amp;"$"&amp;TEXT(C1995+57,"###"))))</f>
        <v>1634.4</v>
      </c>
      <c r="F1995" s="26" t="str">
        <f t="shared" si="2010"/>
        <v>S</v>
      </c>
      <c r="G1995" s="8"/>
      <c r="K1995" s="9">
        <f t="shared" si="2009"/>
        <v>0</v>
      </c>
      <c r="M1995" s="11">
        <f t="shared" si="2015"/>
        <v>0</v>
      </c>
      <c r="O1995" s="11">
        <f t="shared" si="2016"/>
        <v>0</v>
      </c>
      <c r="Q1995" s="11">
        <f t="shared" si="2017"/>
        <v>0</v>
      </c>
      <c r="Y1995" s="11">
        <f t="shared" si="2018"/>
        <v>0</v>
      </c>
      <c r="AG1995" s="11">
        <f t="shared" si="2019"/>
        <v>0</v>
      </c>
      <c r="AI1995" s="11">
        <f t="shared" si="2020"/>
        <v>0</v>
      </c>
      <c r="AK1995" s="13">
        <f t="shared" si="2021"/>
        <v>0</v>
      </c>
      <c r="AM1995" s="13">
        <f t="shared" si="2022"/>
        <v>0</v>
      </c>
      <c r="AO1995" s="11">
        <f t="shared" si="2023"/>
        <v>0</v>
      </c>
      <c r="AQ1995" s="11">
        <f t="shared" si="2024"/>
        <v>0</v>
      </c>
      <c r="AS1995" s="11">
        <f t="shared" si="2025"/>
        <v>0</v>
      </c>
      <c r="AU1995" s="11">
        <f t="shared" si="2026"/>
        <v>0</v>
      </c>
      <c r="AW1995" s="11">
        <f t="shared" si="2027"/>
        <v>0</v>
      </c>
      <c r="AY1995" s="11">
        <f t="shared" si="2028"/>
        <v>0</v>
      </c>
      <c r="BA1995" s="11">
        <f t="shared" si="2029"/>
        <v>0</v>
      </c>
      <c r="BC1995" s="11">
        <f t="shared" si="2030"/>
        <v>0</v>
      </c>
      <c r="BE1995" s="11">
        <f t="shared" si="2031"/>
        <v>0</v>
      </c>
      <c r="BG1995" s="11">
        <f t="shared" si="2032"/>
        <v>0</v>
      </c>
      <c r="BN1995" s="8">
        <f t="shared" si="2007"/>
        <v>0</v>
      </c>
      <c r="BO1995" s="8">
        <f t="shared" si="2008"/>
        <v>0</v>
      </c>
      <c r="BP1995" s="8">
        <f t="shared" si="2011"/>
        <v>0</v>
      </c>
      <c r="BQ1995" s="12">
        <f t="shared" si="2012"/>
        <v>0</v>
      </c>
    </row>
    <row r="1996" spans="1:69">
      <c r="A1996" s="28">
        <v>1977</v>
      </c>
      <c r="B1996" s="27" t="s">
        <v>89</v>
      </c>
      <c r="C1996" s="24">
        <f t="shared" si="2014"/>
        <v>1974</v>
      </c>
      <c r="D1996" s="7" t="e">
        <f t="shared" ca="1" si="2033"/>
        <v>#N/A</v>
      </c>
      <c r="E1996" s="26">
        <f t="array" aca="1" ref="E1996" ca="1">AVERAGE(IF(INDIRECT(DatCol&amp;"$"&amp;TEXT(C1996,"###")):INDIRECT(DatCol&amp;"$"&amp;TEXT(C1996+57,"###"))&gt;0,INDIRECT(DatCol&amp;"$"&amp;TEXT(C1996,"###")):INDIRECT(DatCol&amp;"$"&amp;TEXT(C1996+57,"###"))))</f>
        <v>1634.4</v>
      </c>
      <c r="F1996" s="26" t="str">
        <f t="shared" si="2010"/>
        <v>S</v>
      </c>
      <c r="G1996" s="8"/>
      <c r="K1996" s="9">
        <f t="shared" si="2009"/>
        <v>0</v>
      </c>
      <c r="M1996" s="11">
        <f t="shared" si="2015"/>
        <v>0</v>
      </c>
      <c r="O1996" s="11">
        <f t="shared" si="2016"/>
        <v>0</v>
      </c>
      <c r="Q1996" s="11">
        <f t="shared" si="2017"/>
        <v>0</v>
      </c>
      <c r="Y1996" s="11">
        <f t="shared" si="2018"/>
        <v>0</v>
      </c>
      <c r="AG1996" s="11">
        <f t="shared" si="2019"/>
        <v>0</v>
      </c>
      <c r="AI1996" s="11">
        <f t="shared" si="2020"/>
        <v>0</v>
      </c>
      <c r="AK1996" s="13">
        <f t="shared" si="2021"/>
        <v>0</v>
      </c>
      <c r="AM1996" s="13">
        <f t="shared" si="2022"/>
        <v>0</v>
      </c>
      <c r="AO1996" s="11">
        <f t="shared" si="2023"/>
        <v>0</v>
      </c>
      <c r="AQ1996" s="11">
        <f t="shared" si="2024"/>
        <v>0</v>
      </c>
      <c r="AS1996" s="11">
        <f t="shared" si="2025"/>
        <v>0</v>
      </c>
      <c r="AU1996" s="11">
        <f t="shared" si="2026"/>
        <v>0</v>
      </c>
      <c r="AW1996" s="11">
        <f t="shared" si="2027"/>
        <v>0</v>
      </c>
      <c r="AY1996" s="11">
        <f t="shared" si="2028"/>
        <v>0</v>
      </c>
      <c r="BA1996" s="11">
        <f t="shared" si="2029"/>
        <v>0</v>
      </c>
      <c r="BC1996" s="11">
        <f t="shared" si="2030"/>
        <v>0</v>
      </c>
      <c r="BE1996" s="11">
        <f t="shared" si="2031"/>
        <v>0</v>
      </c>
      <c r="BG1996" s="11">
        <f t="shared" si="2032"/>
        <v>0</v>
      </c>
      <c r="BN1996" s="8">
        <f t="shared" si="2007"/>
        <v>0</v>
      </c>
      <c r="BO1996" s="8">
        <f t="shared" si="2008"/>
        <v>0</v>
      </c>
      <c r="BP1996" s="8">
        <f t="shared" si="2011"/>
        <v>0</v>
      </c>
      <c r="BQ1996" s="12">
        <f t="shared" si="2012"/>
        <v>0</v>
      </c>
    </row>
    <row r="1997" spans="1:69">
      <c r="A1997" s="28">
        <v>1978</v>
      </c>
      <c r="B1997" s="27" t="s">
        <v>89</v>
      </c>
      <c r="C1997" s="24">
        <f t="shared" si="2014"/>
        <v>1974</v>
      </c>
      <c r="D1997" s="7" t="e">
        <f t="shared" ca="1" si="2033"/>
        <v>#N/A</v>
      </c>
      <c r="E1997" s="26">
        <f t="array" aca="1" ref="E1997" ca="1">AVERAGE(IF(INDIRECT(DatCol&amp;"$"&amp;TEXT(C1997,"###")):INDIRECT(DatCol&amp;"$"&amp;TEXT(C1997+57,"###"))&gt;0,INDIRECT(DatCol&amp;"$"&amp;TEXT(C1997,"###")):INDIRECT(DatCol&amp;"$"&amp;TEXT(C1997+57,"###"))))</f>
        <v>1634.4</v>
      </c>
      <c r="F1997" s="26" t="str">
        <f t="shared" si="2010"/>
        <v>S</v>
      </c>
      <c r="G1997" s="8"/>
      <c r="K1997" s="9">
        <f t="shared" si="2009"/>
        <v>0</v>
      </c>
      <c r="M1997" s="11">
        <f t="shared" si="2015"/>
        <v>0</v>
      </c>
      <c r="O1997" s="11">
        <f t="shared" si="2016"/>
        <v>0</v>
      </c>
      <c r="Q1997" s="11">
        <f t="shared" si="2017"/>
        <v>0</v>
      </c>
      <c r="Y1997" s="11">
        <f t="shared" si="2018"/>
        <v>0</v>
      </c>
      <c r="AG1997" s="11">
        <f t="shared" si="2019"/>
        <v>0</v>
      </c>
      <c r="AI1997" s="11">
        <f t="shared" si="2020"/>
        <v>0</v>
      </c>
      <c r="AK1997" s="13">
        <f t="shared" si="2021"/>
        <v>0</v>
      </c>
      <c r="AM1997" s="13">
        <f t="shared" si="2022"/>
        <v>0</v>
      </c>
      <c r="AO1997" s="11">
        <f t="shared" si="2023"/>
        <v>0</v>
      </c>
      <c r="AQ1997" s="11">
        <f t="shared" si="2024"/>
        <v>0</v>
      </c>
      <c r="AS1997" s="11">
        <f t="shared" si="2025"/>
        <v>0</v>
      </c>
      <c r="AU1997" s="11">
        <f t="shared" si="2026"/>
        <v>0</v>
      </c>
      <c r="AW1997" s="11">
        <f t="shared" si="2027"/>
        <v>0</v>
      </c>
      <c r="AY1997" s="11">
        <f t="shared" si="2028"/>
        <v>0</v>
      </c>
      <c r="BA1997" s="11">
        <f t="shared" si="2029"/>
        <v>0</v>
      </c>
      <c r="BC1997" s="11">
        <f t="shared" si="2030"/>
        <v>0</v>
      </c>
      <c r="BE1997" s="11">
        <f t="shared" si="2031"/>
        <v>0</v>
      </c>
      <c r="BG1997" s="11">
        <f t="shared" si="2032"/>
        <v>0</v>
      </c>
      <c r="BN1997" s="8">
        <f t="shared" si="2007"/>
        <v>0</v>
      </c>
      <c r="BO1997" s="8">
        <f t="shared" si="2008"/>
        <v>0</v>
      </c>
      <c r="BP1997" s="8">
        <f t="shared" si="2011"/>
        <v>0</v>
      </c>
      <c r="BQ1997" s="12">
        <f t="shared" si="2012"/>
        <v>0</v>
      </c>
    </row>
    <row r="1998" spans="1:69">
      <c r="A1998" s="28">
        <v>1979</v>
      </c>
      <c r="B1998" s="27" t="s">
        <v>89</v>
      </c>
      <c r="C1998" s="24">
        <f t="shared" si="2014"/>
        <v>1974</v>
      </c>
      <c r="D1998" s="7" t="e">
        <f t="shared" ca="1" si="2033"/>
        <v>#N/A</v>
      </c>
      <c r="E1998" s="26">
        <f t="array" aca="1" ref="E1998" ca="1">AVERAGE(IF(INDIRECT(DatCol&amp;"$"&amp;TEXT(C1998,"###")):INDIRECT(DatCol&amp;"$"&amp;TEXT(C1998+57,"###"))&gt;0,INDIRECT(DatCol&amp;"$"&amp;TEXT(C1998,"###")):INDIRECT(DatCol&amp;"$"&amp;TEXT(C1998+57,"###"))))</f>
        <v>1634.4</v>
      </c>
      <c r="F1998" s="26" t="str">
        <f t="shared" si="2010"/>
        <v>S</v>
      </c>
      <c r="G1998" s="8"/>
      <c r="K1998" s="9">
        <f t="shared" si="2009"/>
        <v>0</v>
      </c>
      <c r="M1998" s="11">
        <f t="shared" si="2015"/>
        <v>0</v>
      </c>
      <c r="O1998" s="11">
        <f t="shared" si="2016"/>
        <v>0</v>
      </c>
      <c r="Q1998" s="11">
        <f t="shared" si="2017"/>
        <v>0</v>
      </c>
      <c r="Y1998" s="11">
        <f t="shared" si="2018"/>
        <v>0</v>
      </c>
      <c r="AG1998" s="11">
        <f t="shared" si="2019"/>
        <v>0</v>
      </c>
      <c r="AI1998" s="11">
        <f t="shared" si="2020"/>
        <v>0</v>
      </c>
      <c r="AK1998" s="13">
        <f t="shared" si="2021"/>
        <v>0</v>
      </c>
      <c r="AM1998" s="13">
        <f t="shared" si="2022"/>
        <v>0</v>
      </c>
      <c r="AO1998" s="11">
        <f t="shared" si="2023"/>
        <v>0</v>
      </c>
      <c r="AQ1998" s="11">
        <f t="shared" si="2024"/>
        <v>0</v>
      </c>
      <c r="AS1998" s="11">
        <f t="shared" si="2025"/>
        <v>0</v>
      </c>
      <c r="AU1998" s="11">
        <f t="shared" si="2026"/>
        <v>0</v>
      </c>
      <c r="AW1998" s="11">
        <f t="shared" si="2027"/>
        <v>0</v>
      </c>
      <c r="AY1998" s="11">
        <f t="shared" si="2028"/>
        <v>0</v>
      </c>
      <c r="BA1998" s="11">
        <f t="shared" si="2029"/>
        <v>0</v>
      </c>
      <c r="BC1998" s="11">
        <f t="shared" si="2030"/>
        <v>0</v>
      </c>
      <c r="BE1998" s="11">
        <f t="shared" si="2031"/>
        <v>0</v>
      </c>
      <c r="BG1998" s="11">
        <f t="shared" si="2032"/>
        <v>0</v>
      </c>
      <c r="BN1998" s="8">
        <f t="shared" si="2007"/>
        <v>0</v>
      </c>
      <c r="BO1998" s="8">
        <f t="shared" si="2008"/>
        <v>0</v>
      </c>
      <c r="BP1998" s="8">
        <f t="shared" si="2011"/>
        <v>0</v>
      </c>
      <c r="BQ1998" s="12">
        <f t="shared" si="2012"/>
        <v>0</v>
      </c>
    </row>
    <row r="1999" spans="1:69">
      <c r="A1999" s="28">
        <v>1980</v>
      </c>
      <c r="B1999" s="27" t="s">
        <v>89</v>
      </c>
      <c r="C1999" s="24">
        <f t="shared" si="2014"/>
        <v>1974</v>
      </c>
      <c r="D1999" s="7" t="e">
        <f t="shared" ca="1" si="2033"/>
        <v>#N/A</v>
      </c>
      <c r="E1999" s="26">
        <f t="array" aca="1" ref="E1999" ca="1">AVERAGE(IF(INDIRECT(DatCol&amp;"$"&amp;TEXT(C1999,"###")):INDIRECT(DatCol&amp;"$"&amp;TEXT(C1999+57,"###"))&gt;0,INDIRECT(DatCol&amp;"$"&amp;TEXT(C1999,"###")):INDIRECT(DatCol&amp;"$"&amp;TEXT(C1999+57,"###"))))</f>
        <v>1634.4</v>
      </c>
      <c r="F1999" s="26" t="str">
        <f t="shared" si="2010"/>
        <v>S</v>
      </c>
      <c r="G1999" s="8"/>
      <c r="K1999" s="9">
        <f t="shared" si="2009"/>
        <v>0</v>
      </c>
      <c r="M1999" s="11">
        <f t="shared" si="2015"/>
        <v>0</v>
      </c>
      <c r="O1999" s="11">
        <f t="shared" si="2016"/>
        <v>0</v>
      </c>
      <c r="Q1999" s="11">
        <f t="shared" si="2017"/>
        <v>0</v>
      </c>
      <c r="Y1999" s="11">
        <f t="shared" si="2018"/>
        <v>0</v>
      </c>
      <c r="AG1999" s="11">
        <f t="shared" si="2019"/>
        <v>0</v>
      </c>
      <c r="AI1999" s="11">
        <f t="shared" si="2020"/>
        <v>0</v>
      </c>
      <c r="AK1999" s="13">
        <f t="shared" si="2021"/>
        <v>0</v>
      </c>
      <c r="AM1999" s="13">
        <f t="shared" si="2022"/>
        <v>0</v>
      </c>
      <c r="AO1999" s="11">
        <f t="shared" si="2023"/>
        <v>0</v>
      </c>
      <c r="AQ1999" s="11">
        <f t="shared" si="2024"/>
        <v>0</v>
      </c>
      <c r="AS1999" s="11">
        <f t="shared" si="2025"/>
        <v>0</v>
      </c>
      <c r="AU1999" s="11">
        <f t="shared" si="2026"/>
        <v>0</v>
      </c>
      <c r="AW1999" s="11">
        <f t="shared" si="2027"/>
        <v>0</v>
      </c>
      <c r="AY1999" s="11">
        <f t="shared" si="2028"/>
        <v>0</v>
      </c>
      <c r="BA1999" s="11">
        <f t="shared" si="2029"/>
        <v>0</v>
      </c>
      <c r="BC1999" s="11">
        <f t="shared" si="2030"/>
        <v>0</v>
      </c>
      <c r="BE1999" s="11">
        <f t="shared" si="2031"/>
        <v>0</v>
      </c>
      <c r="BG1999" s="11">
        <f t="shared" si="2032"/>
        <v>0</v>
      </c>
      <c r="BN1999" s="8">
        <f t="shared" si="2007"/>
        <v>0</v>
      </c>
      <c r="BO1999" s="8">
        <f t="shared" si="2008"/>
        <v>0</v>
      </c>
      <c r="BP1999" s="8">
        <f t="shared" si="2011"/>
        <v>0</v>
      </c>
      <c r="BQ1999" s="12">
        <f t="shared" si="2012"/>
        <v>0</v>
      </c>
    </row>
    <row r="2000" spans="1:69">
      <c r="A2000" s="28">
        <v>1981</v>
      </c>
      <c r="B2000" s="27" t="s">
        <v>89</v>
      </c>
      <c r="C2000" s="24">
        <f t="shared" si="2014"/>
        <v>1974</v>
      </c>
      <c r="D2000" s="7" t="e">
        <f t="shared" ca="1" si="2033"/>
        <v>#N/A</v>
      </c>
      <c r="E2000" s="26">
        <f t="array" aca="1" ref="E2000" ca="1">AVERAGE(IF(INDIRECT(DatCol&amp;"$"&amp;TEXT(C2000,"###")):INDIRECT(DatCol&amp;"$"&amp;TEXT(C2000+57,"###"))&gt;0,INDIRECT(DatCol&amp;"$"&amp;TEXT(C2000,"###")):INDIRECT(DatCol&amp;"$"&amp;TEXT(C2000+57,"###"))))</f>
        <v>1634.4</v>
      </c>
      <c r="F2000" s="26" t="str">
        <f t="shared" si="2010"/>
        <v>S</v>
      </c>
      <c r="G2000" s="8"/>
      <c r="K2000" s="9">
        <f t="shared" si="2009"/>
        <v>0</v>
      </c>
      <c r="M2000" s="11">
        <f t="shared" si="2015"/>
        <v>0</v>
      </c>
      <c r="O2000" s="11">
        <f t="shared" si="2016"/>
        <v>0</v>
      </c>
      <c r="Q2000" s="11">
        <f t="shared" si="2017"/>
        <v>0</v>
      </c>
      <c r="Y2000" s="11">
        <f t="shared" si="2018"/>
        <v>0</v>
      </c>
      <c r="AG2000" s="11">
        <f t="shared" si="2019"/>
        <v>0</v>
      </c>
      <c r="AI2000" s="11">
        <f t="shared" si="2020"/>
        <v>0</v>
      </c>
      <c r="AK2000" s="13">
        <f t="shared" si="2021"/>
        <v>0</v>
      </c>
      <c r="AM2000" s="13">
        <f t="shared" si="2022"/>
        <v>0</v>
      </c>
      <c r="AO2000" s="11">
        <f t="shared" si="2023"/>
        <v>0</v>
      </c>
      <c r="AQ2000" s="11">
        <f t="shared" si="2024"/>
        <v>0</v>
      </c>
      <c r="AS2000" s="11">
        <f t="shared" si="2025"/>
        <v>0</v>
      </c>
      <c r="AU2000" s="11">
        <f t="shared" si="2026"/>
        <v>0</v>
      </c>
      <c r="AW2000" s="11">
        <f t="shared" si="2027"/>
        <v>0</v>
      </c>
      <c r="AY2000" s="11">
        <f t="shared" si="2028"/>
        <v>0</v>
      </c>
      <c r="BA2000" s="11">
        <f t="shared" si="2029"/>
        <v>0</v>
      </c>
      <c r="BC2000" s="11">
        <f t="shared" si="2030"/>
        <v>0</v>
      </c>
      <c r="BE2000" s="11">
        <f t="shared" si="2031"/>
        <v>0</v>
      </c>
      <c r="BG2000" s="11">
        <f t="shared" si="2032"/>
        <v>0</v>
      </c>
      <c r="BN2000" s="8">
        <f t="shared" si="2007"/>
        <v>0</v>
      </c>
      <c r="BO2000" s="8">
        <f t="shared" si="2008"/>
        <v>0</v>
      </c>
      <c r="BP2000" s="8">
        <f t="shared" si="2011"/>
        <v>0</v>
      </c>
      <c r="BQ2000" s="12">
        <f t="shared" si="2012"/>
        <v>0</v>
      </c>
    </row>
    <row r="2001" spans="1:69">
      <c r="A2001" s="28">
        <v>1982</v>
      </c>
      <c r="B2001" s="27" t="s">
        <v>89</v>
      </c>
      <c r="C2001" s="24">
        <f t="shared" si="2014"/>
        <v>1974</v>
      </c>
      <c r="D2001" s="7" t="e">
        <f t="shared" ca="1" si="2033"/>
        <v>#N/A</v>
      </c>
      <c r="E2001" s="26">
        <f t="array" aca="1" ref="E2001" ca="1">AVERAGE(IF(INDIRECT(DatCol&amp;"$"&amp;TEXT(C2001,"###")):INDIRECT(DatCol&amp;"$"&amp;TEXT(C2001+57,"###"))&gt;0,INDIRECT(DatCol&amp;"$"&amp;TEXT(C2001,"###")):INDIRECT(DatCol&amp;"$"&amp;TEXT(C2001+57,"###"))))</f>
        <v>1634.4</v>
      </c>
      <c r="F2001" s="26" t="str">
        <f t="shared" si="2010"/>
        <v>S</v>
      </c>
      <c r="G2001" s="8"/>
      <c r="K2001" s="9">
        <f t="shared" si="2009"/>
        <v>0</v>
      </c>
      <c r="M2001" s="11">
        <f t="shared" ref="M2001:M2016" si="2034">(L2001*50)</f>
        <v>0</v>
      </c>
      <c r="O2001" s="11">
        <f t="shared" ref="O2001:O2016" si="2035">(N2001*50)</f>
        <v>0</v>
      </c>
      <c r="Q2001" s="11">
        <f t="shared" ref="Q2001:Q2016" si="2036">((P2001*330)/5.5)</f>
        <v>0</v>
      </c>
      <c r="Y2001" s="11">
        <f t="shared" ref="Y2001:Y2016" si="2037">((X2001*330)/5.5)</f>
        <v>0</v>
      </c>
      <c r="AG2001" s="11">
        <f t="shared" ref="AG2001:AG2016" si="2038">(AF2001*65)</f>
        <v>0</v>
      </c>
      <c r="AI2001" s="11">
        <f t="shared" ref="AI2001:AI2016" si="2039">(AH2001*65)</f>
        <v>0</v>
      </c>
      <c r="AK2001" s="13">
        <f t="shared" ref="AK2001:AK2016" si="2040">(AJ2001*9)</f>
        <v>0</v>
      </c>
      <c r="AM2001" s="13">
        <f t="shared" ref="AM2001:AM2016" si="2041">(AL2001*9)</f>
        <v>0</v>
      </c>
      <c r="AO2001" s="11">
        <f t="shared" ref="AO2001:AO2016" si="2042">(AN2001*80)</f>
        <v>0</v>
      </c>
      <c r="AQ2001" s="11">
        <f t="shared" ref="AQ2001:AQ2016" si="2043">(AP2001*80)</f>
        <v>0</v>
      </c>
      <c r="AS2001" s="11">
        <f t="shared" ref="AS2001:AS2016" si="2044">(AR2001*50)</f>
        <v>0</v>
      </c>
      <c r="AU2001" s="11">
        <f t="shared" ref="AU2001:AU2016" si="2045">(AT2001*50)</f>
        <v>0</v>
      </c>
      <c r="AW2001" s="11">
        <f t="shared" ref="AW2001:AW2016" si="2046">(AV2001*60)</f>
        <v>0</v>
      </c>
      <c r="AY2001" s="11">
        <f t="shared" ref="AY2001:AY2016" si="2047">(AX2001*60)</f>
        <v>0</v>
      </c>
      <c r="BA2001" s="11">
        <f t="shared" ref="BA2001:BA2016" si="2048">(AZ2001*40)</f>
        <v>0</v>
      </c>
      <c r="BC2001" s="11">
        <f t="shared" ref="BC2001:BC2016" si="2049">(BB2001*40)</f>
        <v>0</v>
      </c>
      <c r="BE2001" s="11">
        <f t="shared" ref="BE2001:BE2016" si="2050">(BD2001*95)</f>
        <v>0</v>
      </c>
      <c r="BG2001" s="11">
        <f t="shared" ref="BG2001:BG2014" si="2051">(BF2001*95)</f>
        <v>0</v>
      </c>
      <c r="BN2001" s="8">
        <f t="shared" si="2007"/>
        <v>0</v>
      </c>
      <c r="BO2001" s="8">
        <f t="shared" si="2008"/>
        <v>0</v>
      </c>
      <c r="BP2001" s="8">
        <f t="shared" si="2011"/>
        <v>0</v>
      </c>
      <c r="BQ2001" s="12">
        <f t="shared" si="2012"/>
        <v>0</v>
      </c>
    </row>
    <row r="2002" spans="1:69">
      <c r="A2002" s="28">
        <v>1983</v>
      </c>
      <c r="B2002" s="27" t="s">
        <v>89</v>
      </c>
      <c r="C2002" s="24">
        <f t="shared" si="2014"/>
        <v>1974</v>
      </c>
      <c r="D2002" s="7" t="e">
        <f t="shared" ca="1" si="2033"/>
        <v>#N/A</v>
      </c>
      <c r="E2002" s="26">
        <f t="array" aca="1" ref="E2002" ca="1">AVERAGE(IF(INDIRECT(DatCol&amp;"$"&amp;TEXT(C2002,"###")):INDIRECT(DatCol&amp;"$"&amp;TEXT(C2002+57,"###"))&gt;0,INDIRECT(DatCol&amp;"$"&amp;TEXT(C2002,"###")):INDIRECT(DatCol&amp;"$"&amp;TEXT(C2002+57,"###"))))</f>
        <v>1634.4</v>
      </c>
      <c r="F2002" s="26" t="str">
        <f t="shared" si="2010"/>
        <v>S</v>
      </c>
      <c r="G2002" s="8"/>
      <c r="H2002" s="8">
        <v>0</v>
      </c>
      <c r="I2002" s="8">
        <v>20</v>
      </c>
      <c r="J2002" s="8">
        <v>577</v>
      </c>
      <c r="K2002" s="9">
        <f t="shared" si="2009"/>
        <v>577</v>
      </c>
      <c r="M2002" s="11">
        <f t="shared" si="2034"/>
        <v>0</v>
      </c>
      <c r="N2002" s="12">
        <v>24</v>
      </c>
      <c r="O2002" s="11">
        <f t="shared" si="2035"/>
        <v>1200</v>
      </c>
      <c r="Q2002" s="11">
        <f t="shared" si="2036"/>
        <v>0</v>
      </c>
      <c r="Y2002" s="11">
        <f t="shared" si="2037"/>
        <v>0</v>
      </c>
      <c r="AG2002" s="11">
        <f t="shared" si="2038"/>
        <v>0</v>
      </c>
      <c r="AI2002" s="11">
        <f t="shared" si="2039"/>
        <v>0</v>
      </c>
      <c r="AK2002" s="13">
        <f t="shared" si="2040"/>
        <v>0</v>
      </c>
      <c r="AM2002" s="13">
        <f t="shared" si="2041"/>
        <v>0</v>
      </c>
      <c r="AO2002" s="11">
        <f t="shared" si="2042"/>
        <v>0</v>
      </c>
      <c r="AP2002" s="12">
        <v>102</v>
      </c>
      <c r="AQ2002" s="11">
        <f t="shared" si="2043"/>
        <v>8160</v>
      </c>
      <c r="AR2002" s="12">
        <v>1000</v>
      </c>
      <c r="AS2002" s="11">
        <f t="shared" si="2044"/>
        <v>50000</v>
      </c>
      <c r="AT2002" s="12">
        <v>36</v>
      </c>
      <c r="AU2002" s="11">
        <f t="shared" si="2045"/>
        <v>1800</v>
      </c>
      <c r="AW2002" s="11">
        <f t="shared" si="2046"/>
        <v>0</v>
      </c>
      <c r="AY2002" s="11">
        <f t="shared" si="2047"/>
        <v>0</v>
      </c>
      <c r="BA2002" s="11">
        <f t="shared" si="2048"/>
        <v>0</v>
      </c>
      <c r="BC2002" s="11">
        <f t="shared" si="2049"/>
        <v>0</v>
      </c>
      <c r="BE2002" s="11">
        <f t="shared" si="2050"/>
        <v>0</v>
      </c>
      <c r="BG2002" s="11">
        <f t="shared" si="2051"/>
        <v>0</v>
      </c>
      <c r="BN2002" s="8">
        <f t="shared" si="2007"/>
        <v>1000</v>
      </c>
      <c r="BO2002" s="8">
        <f t="shared" si="2008"/>
        <v>50000</v>
      </c>
      <c r="BP2002" s="8">
        <f t="shared" si="2011"/>
        <v>162</v>
      </c>
      <c r="BQ2002" s="12">
        <f t="shared" si="2012"/>
        <v>11160</v>
      </c>
    </row>
    <row r="2003" spans="1:69">
      <c r="A2003" s="28">
        <v>1984</v>
      </c>
      <c r="B2003" s="27" t="s">
        <v>89</v>
      </c>
      <c r="C2003" s="24">
        <f t="shared" si="2014"/>
        <v>1974</v>
      </c>
      <c r="D2003" s="7" t="e">
        <f t="shared" ca="1" si="2033"/>
        <v>#N/A</v>
      </c>
      <c r="E2003" s="26">
        <f t="array" aca="1" ref="E2003" ca="1">AVERAGE(IF(INDIRECT(DatCol&amp;"$"&amp;TEXT(C2003,"###")):INDIRECT(DatCol&amp;"$"&amp;TEXT(C2003+57,"###"))&gt;0,INDIRECT(DatCol&amp;"$"&amp;TEXT(C2003,"###")):INDIRECT(DatCol&amp;"$"&amp;TEXT(C2003+57,"###"))))</f>
        <v>1634.4</v>
      </c>
      <c r="F2003" s="26" t="str">
        <f t="shared" si="2010"/>
        <v>S</v>
      </c>
      <c r="G2003" s="8"/>
      <c r="H2003" s="8">
        <v>0</v>
      </c>
      <c r="I2003" s="8">
        <v>18</v>
      </c>
      <c r="J2003" s="8">
        <v>223</v>
      </c>
      <c r="K2003" s="9">
        <f t="shared" si="2009"/>
        <v>223</v>
      </c>
      <c r="M2003" s="11">
        <f t="shared" si="2034"/>
        <v>0</v>
      </c>
      <c r="O2003" s="11">
        <f t="shared" si="2035"/>
        <v>0</v>
      </c>
      <c r="Q2003" s="11">
        <f t="shared" si="2036"/>
        <v>0</v>
      </c>
      <c r="Y2003" s="11">
        <f t="shared" si="2037"/>
        <v>0</v>
      </c>
      <c r="AG2003" s="11">
        <f t="shared" si="2038"/>
        <v>0</v>
      </c>
      <c r="AI2003" s="11">
        <f t="shared" si="2039"/>
        <v>0</v>
      </c>
      <c r="AK2003" s="13">
        <f t="shared" si="2040"/>
        <v>0</v>
      </c>
      <c r="AM2003" s="13">
        <f t="shared" si="2041"/>
        <v>0</v>
      </c>
      <c r="AO2003" s="11">
        <f t="shared" si="2042"/>
        <v>0</v>
      </c>
      <c r="AP2003" s="12">
        <v>110</v>
      </c>
      <c r="AQ2003" s="11">
        <f t="shared" si="2043"/>
        <v>8800</v>
      </c>
      <c r="AR2003" s="12">
        <v>18082</v>
      </c>
      <c r="AS2003" s="11">
        <f t="shared" si="2044"/>
        <v>904100</v>
      </c>
      <c r="AU2003" s="11">
        <f t="shared" si="2045"/>
        <v>0</v>
      </c>
      <c r="AW2003" s="11">
        <f t="shared" si="2046"/>
        <v>0</v>
      </c>
      <c r="AY2003" s="11">
        <f t="shared" si="2047"/>
        <v>0</v>
      </c>
      <c r="BA2003" s="11">
        <f t="shared" si="2048"/>
        <v>0</v>
      </c>
      <c r="BC2003" s="11">
        <f t="shared" si="2049"/>
        <v>0</v>
      </c>
      <c r="BE2003" s="11">
        <f t="shared" si="2050"/>
        <v>0</v>
      </c>
      <c r="BG2003" s="11">
        <f t="shared" si="2051"/>
        <v>0</v>
      </c>
      <c r="BN2003" s="8">
        <f t="shared" si="2007"/>
        <v>18082</v>
      </c>
      <c r="BO2003" s="8">
        <f t="shared" si="2008"/>
        <v>904100</v>
      </c>
      <c r="BP2003" s="8">
        <f t="shared" si="2011"/>
        <v>110</v>
      </c>
      <c r="BQ2003" s="12">
        <f t="shared" si="2012"/>
        <v>8800</v>
      </c>
    </row>
    <row r="2004" spans="1:69">
      <c r="A2004" s="28">
        <v>1985</v>
      </c>
      <c r="B2004" s="27" t="s">
        <v>89</v>
      </c>
      <c r="C2004" s="24">
        <f t="shared" si="2014"/>
        <v>1974</v>
      </c>
      <c r="D2004" s="7" t="e">
        <f t="shared" ca="1" si="2033"/>
        <v>#N/A</v>
      </c>
      <c r="E2004" s="26">
        <f t="array" aca="1" ref="E2004" ca="1">AVERAGE(IF(INDIRECT(DatCol&amp;"$"&amp;TEXT(C2004,"###")):INDIRECT(DatCol&amp;"$"&amp;TEXT(C2004+57,"###"))&gt;0,INDIRECT(DatCol&amp;"$"&amp;TEXT(C2004,"###")):INDIRECT(DatCol&amp;"$"&amp;TEXT(C2004+57,"###"))))</f>
        <v>1634.4</v>
      </c>
      <c r="F2004" s="26" t="str">
        <f t="shared" si="2010"/>
        <v>S</v>
      </c>
      <c r="G2004" s="8">
        <v>122</v>
      </c>
      <c r="H2004" s="8">
        <v>1</v>
      </c>
      <c r="I2004" s="8">
        <v>12</v>
      </c>
      <c r="J2004" s="8">
        <v>289</v>
      </c>
      <c r="K2004" s="9">
        <f t="shared" si="2009"/>
        <v>412</v>
      </c>
      <c r="M2004" s="11">
        <f t="shared" si="2034"/>
        <v>0</v>
      </c>
      <c r="O2004" s="11">
        <f t="shared" si="2035"/>
        <v>0</v>
      </c>
      <c r="Q2004" s="11">
        <f t="shared" si="2036"/>
        <v>0</v>
      </c>
      <c r="Y2004" s="11">
        <f t="shared" si="2037"/>
        <v>0</v>
      </c>
      <c r="AG2004" s="11">
        <f t="shared" si="2038"/>
        <v>0</v>
      </c>
      <c r="AI2004" s="11">
        <f t="shared" si="2039"/>
        <v>0</v>
      </c>
      <c r="AK2004" s="13">
        <f t="shared" si="2040"/>
        <v>0</v>
      </c>
      <c r="AM2004" s="13">
        <f t="shared" si="2041"/>
        <v>0</v>
      </c>
      <c r="AO2004" s="11">
        <f t="shared" si="2042"/>
        <v>0</v>
      </c>
      <c r="AQ2004" s="11">
        <f t="shared" si="2043"/>
        <v>0</v>
      </c>
      <c r="AR2004" s="12">
        <v>8813</v>
      </c>
      <c r="AS2004" s="11">
        <f t="shared" si="2044"/>
        <v>440650</v>
      </c>
      <c r="AU2004" s="11">
        <f t="shared" si="2045"/>
        <v>0</v>
      </c>
      <c r="AW2004" s="11">
        <f t="shared" si="2046"/>
        <v>0</v>
      </c>
      <c r="AY2004" s="11">
        <f t="shared" si="2047"/>
        <v>0</v>
      </c>
      <c r="BA2004" s="11">
        <f t="shared" si="2048"/>
        <v>0</v>
      </c>
      <c r="BC2004" s="11">
        <f t="shared" si="2049"/>
        <v>0</v>
      </c>
      <c r="BE2004" s="11">
        <f t="shared" si="2050"/>
        <v>0</v>
      </c>
      <c r="BG2004" s="11">
        <f t="shared" si="2051"/>
        <v>0</v>
      </c>
      <c r="BN2004" s="8">
        <f t="shared" si="2007"/>
        <v>8813</v>
      </c>
      <c r="BO2004" s="8">
        <f t="shared" si="2008"/>
        <v>440650</v>
      </c>
      <c r="BP2004" s="8">
        <f t="shared" si="2011"/>
        <v>0</v>
      </c>
      <c r="BQ2004" s="12">
        <f t="shared" si="2012"/>
        <v>0</v>
      </c>
    </row>
    <row r="2005" spans="1:69">
      <c r="A2005" s="28">
        <v>1986</v>
      </c>
      <c r="B2005" s="27" t="s">
        <v>89</v>
      </c>
      <c r="C2005" s="24">
        <f t="shared" si="2014"/>
        <v>1974</v>
      </c>
      <c r="D2005" s="7" t="e">
        <f t="shared" ca="1" si="2033"/>
        <v>#N/A</v>
      </c>
      <c r="E2005" s="26">
        <f t="array" aca="1" ref="E2005" ca="1">AVERAGE(IF(INDIRECT(DatCol&amp;"$"&amp;TEXT(C2005,"###")):INDIRECT(DatCol&amp;"$"&amp;TEXT(C2005+57,"###"))&gt;0,INDIRECT(DatCol&amp;"$"&amp;TEXT(C2005,"###")):INDIRECT(DatCol&amp;"$"&amp;TEXT(C2005+57,"###"))))</f>
        <v>1634.4</v>
      </c>
      <c r="F2005" s="26" t="str">
        <f t="shared" si="2010"/>
        <v>S</v>
      </c>
      <c r="G2005" s="8">
        <v>58</v>
      </c>
      <c r="H2005" s="8">
        <v>3</v>
      </c>
      <c r="I2005" s="8">
        <v>18</v>
      </c>
      <c r="J2005" s="8">
        <v>200</v>
      </c>
      <c r="K2005" s="9">
        <f t="shared" si="2009"/>
        <v>261</v>
      </c>
      <c r="M2005" s="11">
        <f t="shared" si="2034"/>
        <v>0</v>
      </c>
      <c r="O2005" s="11">
        <f t="shared" si="2035"/>
        <v>0</v>
      </c>
      <c r="Q2005" s="11">
        <f t="shared" si="2036"/>
        <v>0</v>
      </c>
      <c r="Y2005" s="11">
        <f t="shared" si="2037"/>
        <v>0</v>
      </c>
      <c r="AG2005" s="11">
        <f t="shared" si="2038"/>
        <v>0</v>
      </c>
      <c r="AI2005" s="11">
        <f t="shared" si="2039"/>
        <v>0</v>
      </c>
      <c r="AK2005" s="13">
        <f t="shared" si="2040"/>
        <v>0</v>
      </c>
      <c r="AM2005" s="13">
        <f t="shared" si="2041"/>
        <v>0</v>
      </c>
      <c r="AO2005" s="11">
        <f t="shared" si="2042"/>
        <v>0</v>
      </c>
      <c r="AQ2005" s="11">
        <f t="shared" si="2043"/>
        <v>0</v>
      </c>
      <c r="AR2005" s="12">
        <v>1062</v>
      </c>
      <c r="AS2005" s="11">
        <f t="shared" si="2044"/>
        <v>53100</v>
      </c>
      <c r="AU2005" s="11">
        <f t="shared" si="2045"/>
        <v>0</v>
      </c>
      <c r="AW2005" s="11">
        <f t="shared" si="2046"/>
        <v>0</v>
      </c>
      <c r="AY2005" s="11">
        <f t="shared" si="2047"/>
        <v>0</v>
      </c>
      <c r="BA2005" s="11">
        <f t="shared" si="2048"/>
        <v>0</v>
      </c>
      <c r="BC2005" s="11">
        <f t="shared" si="2049"/>
        <v>0</v>
      </c>
      <c r="BE2005" s="11">
        <f t="shared" si="2050"/>
        <v>0</v>
      </c>
      <c r="BG2005" s="11">
        <f t="shared" si="2051"/>
        <v>0</v>
      </c>
      <c r="BN2005" s="8">
        <f t="shared" si="2007"/>
        <v>1062</v>
      </c>
      <c r="BO2005" s="8">
        <f t="shared" si="2008"/>
        <v>53100</v>
      </c>
      <c r="BP2005" s="8">
        <f t="shared" si="2011"/>
        <v>0</v>
      </c>
      <c r="BQ2005" s="12">
        <f t="shared" si="2012"/>
        <v>0</v>
      </c>
    </row>
    <row r="2006" spans="1:69">
      <c r="A2006" s="28">
        <v>1987</v>
      </c>
      <c r="B2006" s="27" t="s">
        <v>89</v>
      </c>
      <c r="C2006" s="24">
        <f t="shared" si="2014"/>
        <v>1974</v>
      </c>
      <c r="D2006" s="7" t="e">
        <f t="shared" ca="1" si="2033"/>
        <v>#N/A</v>
      </c>
      <c r="E2006" s="26">
        <f t="array" aca="1" ref="E2006" ca="1">AVERAGE(IF(INDIRECT(DatCol&amp;"$"&amp;TEXT(C2006,"###")):INDIRECT(DatCol&amp;"$"&amp;TEXT(C2006+57,"###"))&gt;0,INDIRECT(DatCol&amp;"$"&amp;TEXT(C2006,"###")):INDIRECT(DatCol&amp;"$"&amp;TEXT(C2006+57,"###"))))</f>
        <v>1634.4</v>
      </c>
      <c r="F2006" s="26" t="str">
        <f t="shared" si="2010"/>
        <v>S</v>
      </c>
      <c r="G2006" s="8">
        <v>42</v>
      </c>
      <c r="H2006" s="8">
        <v>25</v>
      </c>
      <c r="I2006" s="8">
        <v>14</v>
      </c>
      <c r="J2006" s="8">
        <v>313</v>
      </c>
      <c r="K2006" s="9">
        <f t="shared" si="2009"/>
        <v>380</v>
      </c>
      <c r="L2006" s="12">
        <v>0</v>
      </c>
      <c r="M2006" s="11">
        <f t="shared" si="2034"/>
        <v>0</v>
      </c>
      <c r="N2006" s="12">
        <v>0</v>
      </c>
      <c r="O2006" s="11">
        <f t="shared" si="2035"/>
        <v>0</v>
      </c>
      <c r="Q2006" s="11">
        <f t="shared" si="2036"/>
        <v>0</v>
      </c>
      <c r="X2006" s="12">
        <v>0</v>
      </c>
      <c r="Y2006" s="11">
        <f t="shared" si="2037"/>
        <v>0</v>
      </c>
      <c r="AG2006" s="11">
        <f t="shared" si="2038"/>
        <v>0</v>
      </c>
      <c r="AI2006" s="11">
        <f t="shared" si="2039"/>
        <v>0</v>
      </c>
      <c r="AK2006" s="13">
        <f t="shared" si="2040"/>
        <v>0</v>
      </c>
      <c r="AM2006" s="13">
        <f t="shared" si="2041"/>
        <v>0</v>
      </c>
      <c r="AO2006" s="11">
        <f t="shared" si="2042"/>
        <v>0</v>
      </c>
      <c r="AQ2006" s="11">
        <f t="shared" si="2043"/>
        <v>0</v>
      </c>
      <c r="AR2006" s="12">
        <v>3661.5</v>
      </c>
      <c r="AS2006" s="11">
        <f t="shared" si="2044"/>
        <v>183075</v>
      </c>
      <c r="AU2006" s="11">
        <f t="shared" si="2045"/>
        <v>0</v>
      </c>
      <c r="AW2006" s="11">
        <f t="shared" si="2046"/>
        <v>0</v>
      </c>
      <c r="AY2006" s="11">
        <f t="shared" si="2047"/>
        <v>0</v>
      </c>
      <c r="BA2006" s="11">
        <f t="shared" si="2048"/>
        <v>0</v>
      </c>
      <c r="BC2006" s="11">
        <f t="shared" si="2049"/>
        <v>0</v>
      </c>
      <c r="BE2006" s="11">
        <f t="shared" si="2050"/>
        <v>0</v>
      </c>
      <c r="BG2006" s="11">
        <f t="shared" si="2051"/>
        <v>0</v>
      </c>
      <c r="BN2006" s="8">
        <f t="shared" si="2007"/>
        <v>3661.5</v>
      </c>
      <c r="BO2006" s="8">
        <f t="shared" si="2008"/>
        <v>183075</v>
      </c>
      <c r="BP2006" s="8">
        <f t="shared" si="2011"/>
        <v>0</v>
      </c>
      <c r="BQ2006" s="12">
        <f t="shared" si="2012"/>
        <v>0</v>
      </c>
    </row>
    <row r="2007" spans="1:69">
      <c r="A2007" s="28">
        <v>1988</v>
      </c>
      <c r="B2007" s="27" t="s">
        <v>89</v>
      </c>
      <c r="C2007" s="24">
        <f t="shared" si="2014"/>
        <v>1974</v>
      </c>
      <c r="D2007" s="7" t="e">
        <f t="shared" ca="1" si="2033"/>
        <v>#N/A</v>
      </c>
      <c r="E2007" s="26">
        <f t="array" aca="1" ref="E2007" ca="1">AVERAGE(IF(INDIRECT(DatCol&amp;"$"&amp;TEXT(C2007,"###")):INDIRECT(DatCol&amp;"$"&amp;TEXT(C2007+57,"###"))&gt;0,INDIRECT(DatCol&amp;"$"&amp;TEXT(C2007,"###")):INDIRECT(DatCol&amp;"$"&amp;TEXT(C2007+57,"###"))))</f>
        <v>1634.4</v>
      </c>
      <c r="F2007" s="26" t="str">
        <f t="shared" si="2010"/>
        <v>S</v>
      </c>
      <c r="G2007" s="8">
        <v>42</v>
      </c>
      <c r="H2007" s="8">
        <v>25</v>
      </c>
      <c r="I2007" s="8">
        <v>10</v>
      </c>
      <c r="J2007" s="8">
        <v>339</v>
      </c>
      <c r="K2007" s="9">
        <f t="shared" si="2009"/>
        <v>406</v>
      </c>
      <c r="L2007" s="12">
        <v>0</v>
      </c>
      <c r="M2007" s="11">
        <f t="shared" si="2034"/>
        <v>0</v>
      </c>
      <c r="N2007" s="12">
        <v>0</v>
      </c>
      <c r="O2007" s="11">
        <f t="shared" si="2035"/>
        <v>0</v>
      </c>
      <c r="P2007" s="12">
        <v>0</v>
      </c>
      <c r="Q2007" s="11">
        <f t="shared" si="2036"/>
        <v>0</v>
      </c>
      <c r="X2007" s="12">
        <v>0</v>
      </c>
      <c r="Y2007" s="11">
        <f t="shared" si="2037"/>
        <v>0</v>
      </c>
      <c r="AF2007" s="12">
        <v>0</v>
      </c>
      <c r="AG2007" s="11">
        <f t="shared" si="2038"/>
        <v>0</v>
      </c>
      <c r="AH2007" s="12">
        <v>0</v>
      </c>
      <c r="AI2007" s="11">
        <f t="shared" si="2039"/>
        <v>0</v>
      </c>
      <c r="AJ2007" s="12">
        <v>0</v>
      </c>
      <c r="AK2007" s="13">
        <f t="shared" si="2040"/>
        <v>0</v>
      </c>
      <c r="AL2007" s="12">
        <v>0</v>
      </c>
      <c r="AM2007" s="13">
        <f t="shared" si="2041"/>
        <v>0</v>
      </c>
      <c r="AN2007" s="12">
        <v>0</v>
      </c>
      <c r="AO2007" s="11">
        <f t="shared" si="2042"/>
        <v>0</v>
      </c>
      <c r="AP2007" s="12">
        <v>0</v>
      </c>
      <c r="AQ2007" s="11">
        <f t="shared" si="2043"/>
        <v>0</v>
      </c>
      <c r="AR2007" s="12">
        <v>4314</v>
      </c>
      <c r="AS2007" s="11">
        <f t="shared" si="2044"/>
        <v>215700</v>
      </c>
      <c r="AU2007" s="11">
        <f t="shared" si="2045"/>
        <v>0</v>
      </c>
      <c r="AW2007" s="11">
        <f t="shared" si="2046"/>
        <v>0</v>
      </c>
      <c r="AY2007" s="11">
        <f t="shared" si="2047"/>
        <v>0</v>
      </c>
      <c r="BA2007" s="11">
        <f t="shared" si="2048"/>
        <v>0</v>
      </c>
      <c r="BC2007" s="11">
        <f t="shared" si="2049"/>
        <v>0</v>
      </c>
      <c r="BE2007" s="11">
        <f t="shared" si="2050"/>
        <v>0</v>
      </c>
      <c r="BG2007" s="11">
        <f t="shared" si="2051"/>
        <v>0</v>
      </c>
      <c r="BN2007" s="8">
        <f t="shared" si="2007"/>
        <v>4314</v>
      </c>
      <c r="BO2007" s="8">
        <f t="shared" si="2008"/>
        <v>215700</v>
      </c>
      <c r="BP2007" s="8">
        <f t="shared" si="2011"/>
        <v>0</v>
      </c>
      <c r="BQ2007" s="12">
        <f t="shared" si="2012"/>
        <v>0</v>
      </c>
    </row>
    <row r="2008" spans="1:69">
      <c r="A2008" s="28">
        <v>1989</v>
      </c>
      <c r="B2008" s="27" t="s">
        <v>89</v>
      </c>
      <c r="C2008" s="24">
        <f t="shared" si="2014"/>
        <v>1974</v>
      </c>
      <c r="D2008" s="7" t="e">
        <f t="shared" ca="1" si="2033"/>
        <v>#N/A</v>
      </c>
      <c r="E2008" s="26">
        <f t="array" aca="1" ref="E2008" ca="1">AVERAGE(IF(INDIRECT(DatCol&amp;"$"&amp;TEXT(C2008,"###")):INDIRECT(DatCol&amp;"$"&amp;TEXT(C2008+57,"###"))&gt;0,INDIRECT(DatCol&amp;"$"&amp;TEXT(C2008,"###")):INDIRECT(DatCol&amp;"$"&amp;TEXT(C2008+57,"###"))))</f>
        <v>1634.4</v>
      </c>
      <c r="F2008" s="26" t="str">
        <f t="shared" si="2010"/>
        <v>S</v>
      </c>
      <c r="G2008" s="8">
        <v>24</v>
      </c>
      <c r="H2008" s="8">
        <v>21</v>
      </c>
      <c r="I2008" s="8">
        <v>9</v>
      </c>
      <c r="J2008" s="8">
        <v>415</v>
      </c>
      <c r="K2008" s="9">
        <f t="shared" si="2009"/>
        <v>460</v>
      </c>
      <c r="M2008" s="11">
        <f t="shared" si="2034"/>
        <v>0</v>
      </c>
      <c r="O2008" s="11">
        <f t="shared" si="2035"/>
        <v>0</v>
      </c>
      <c r="Q2008" s="11">
        <f t="shared" si="2036"/>
        <v>0</v>
      </c>
      <c r="Y2008" s="11">
        <f t="shared" si="2037"/>
        <v>0</v>
      </c>
      <c r="AG2008" s="11">
        <f t="shared" si="2038"/>
        <v>0</v>
      </c>
      <c r="AI2008" s="11">
        <f t="shared" si="2039"/>
        <v>0</v>
      </c>
      <c r="AK2008" s="13">
        <f t="shared" si="2040"/>
        <v>0</v>
      </c>
      <c r="AM2008" s="13">
        <f t="shared" si="2041"/>
        <v>0</v>
      </c>
      <c r="AO2008" s="11">
        <f t="shared" si="2042"/>
        <v>0</v>
      </c>
      <c r="AQ2008" s="11">
        <f t="shared" si="2043"/>
        <v>0</v>
      </c>
      <c r="AR2008" s="12">
        <v>1397.6</v>
      </c>
      <c r="AS2008" s="11">
        <f t="shared" si="2044"/>
        <v>69880</v>
      </c>
      <c r="AU2008" s="11">
        <f t="shared" si="2045"/>
        <v>0</v>
      </c>
      <c r="AW2008" s="11">
        <f t="shared" si="2046"/>
        <v>0</v>
      </c>
      <c r="AY2008" s="11">
        <f t="shared" si="2047"/>
        <v>0</v>
      </c>
      <c r="BA2008" s="11">
        <f t="shared" si="2048"/>
        <v>0</v>
      </c>
      <c r="BC2008" s="11">
        <f t="shared" si="2049"/>
        <v>0</v>
      </c>
      <c r="BE2008" s="11">
        <f t="shared" si="2050"/>
        <v>0</v>
      </c>
      <c r="BG2008" s="11">
        <f t="shared" si="2051"/>
        <v>0</v>
      </c>
      <c r="BN2008" s="8">
        <f t="shared" si="2007"/>
        <v>1397.6</v>
      </c>
      <c r="BO2008" s="8">
        <f t="shared" si="2008"/>
        <v>69880</v>
      </c>
      <c r="BP2008" s="8">
        <f t="shared" si="2011"/>
        <v>0</v>
      </c>
      <c r="BQ2008" s="12">
        <f t="shared" si="2012"/>
        <v>0</v>
      </c>
    </row>
    <row r="2009" spans="1:69">
      <c r="A2009" s="28">
        <v>1990</v>
      </c>
      <c r="B2009" s="27" t="s">
        <v>89</v>
      </c>
      <c r="C2009" s="24">
        <f t="shared" si="2014"/>
        <v>1974</v>
      </c>
      <c r="D2009" s="7" t="e">
        <f t="shared" ca="1" si="2033"/>
        <v>#N/A</v>
      </c>
      <c r="E2009" s="26">
        <f t="array" aca="1" ref="E2009" ca="1">AVERAGE(IF(INDIRECT(DatCol&amp;"$"&amp;TEXT(C2009,"###")):INDIRECT(DatCol&amp;"$"&amp;TEXT(C2009+57,"###"))&gt;0,INDIRECT(DatCol&amp;"$"&amp;TEXT(C2009,"###")):INDIRECT(DatCol&amp;"$"&amp;TEXT(C2009+57,"###"))))</f>
        <v>1634.4</v>
      </c>
      <c r="F2009" s="26" t="str">
        <f t="shared" si="2010"/>
        <v>S</v>
      </c>
      <c r="G2009" s="8">
        <v>28</v>
      </c>
      <c r="H2009" s="8">
        <v>28</v>
      </c>
      <c r="I2009" s="8">
        <v>4</v>
      </c>
      <c r="J2009" s="8">
        <v>428</v>
      </c>
      <c r="K2009" s="9">
        <f t="shared" si="2009"/>
        <v>484</v>
      </c>
      <c r="M2009" s="11">
        <f t="shared" si="2034"/>
        <v>0</v>
      </c>
      <c r="O2009" s="11">
        <f t="shared" si="2035"/>
        <v>0</v>
      </c>
      <c r="Q2009" s="11">
        <f t="shared" si="2036"/>
        <v>0</v>
      </c>
      <c r="Y2009" s="11">
        <f t="shared" si="2037"/>
        <v>0</v>
      </c>
      <c r="AG2009" s="11">
        <f t="shared" si="2038"/>
        <v>0</v>
      </c>
      <c r="AI2009" s="11">
        <f t="shared" si="2039"/>
        <v>0</v>
      </c>
      <c r="AK2009" s="13">
        <f t="shared" si="2040"/>
        <v>0</v>
      </c>
      <c r="AM2009" s="13">
        <f t="shared" si="2041"/>
        <v>0</v>
      </c>
      <c r="AO2009" s="11">
        <f t="shared" si="2042"/>
        <v>0</v>
      </c>
      <c r="AQ2009" s="11">
        <f t="shared" si="2043"/>
        <v>0</v>
      </c>
      <c r="AR2009" s="12">
        <v>288</v>
      </c>
      <c r="AS2009" s="11">
        <f t="shared" si="2044"/>
        <v>14400</v>
      </c>
      <c r="AU2009" s="11">
        <f t="shared" si="2045"/>
        <v>0</v>
      </c>
      <c r="AW2009" s="11">
        <f t="shared" si="2046"/>
        <v>0</v>
      </c>
      <c r="AY2009" s="11">
        <f t="shared" si="2047"/>
        <v>0</v>
      </c>
      <c r="BA2009" s="11">
        <f t="shared" si="2048"/>
        <v>0</v>
      </c>
      <c r="BC2009" s="11">
        <f t="shared" si="2049"/>
        <v>0</v>
      </c>
      <c r="BE2009" s="11">
        <f t="shared" si="2050"/>
        <v>0</v>
      </c>
      <c r="BG2009" s="11">
        <f t="shared" si="2051"/>
        <v>0</v>
      </c>
      <c r="BN2009" s="8">
        <f t="shared" si="2007"/>
        <v>288</v>
      </c>
      <c r="BO2009" s="8">
        <f t="shared" si="2008"/>
        <v>14400</v>
      </c>
      <c r="BP2009" s="8">
        <f t="shared" si="2011"/>
        <v>0</v>
      </c>
      <c r="BQ2009" s="12">
        <f t="shared" si="2012"/>
        <v>0</v>
      </c>
    </row>
    <row r="2010" spans="1:69">
      <c r="A2010" s="28">
        <v>1991</v>
      </c>
      <c r="B2010" s="27" t="s">
        <v>89</v>
      </c>
      <c r="C2010" s="24">
        <f t="shared" si="2014"/>
        <v>1974</v>
      </c>
      <c r="D2010" s="7" t="e">
        <f t="shared" ca="1" si="2033"/>
        <v>#N/A</v>
      </c>
      <c r="E2010" s="26">
        <f t="array" aca="1" ref="E2010" ca="1">AVERAGE(IF(INDIRECT(DatCol&amp;"$"&amp;TEXT(C2010,"###")):INDIRECT(DatCol&amp;"$"&amp;TEXT(C2010+57,"###"))&gt;0,INDIRECT(DatCol&amp;"$"&amp;TEXT(C2010,"###")):INDIRECT(DatCol&amp;"$"&amp;TEXT(C2010+57,"###"))))</f>
        <v>1634.4</v>
      </c>
      <c r="F2010" s="26" t="str">
        <f t="shared" si="2010"/>
        <v>S</v>
      </c>
      <c r="G2010" s="8"/>
      <c r="K2010" s="9">
        <f t="shared" si="2009"/>
        <v>0</v>
      </c>
      <c r="M2010" s="11">
        <f t="shared" si="2034"/>
        <v>0</v>
      </c>
      <c r="O2010" s="11">
        <f t="shared" si="2035"/>
        <v>0</v>
      </c>
      <c r="Q2010" s="11">
        <f t="shared" si="2036"/>
        <v>0</v>
      </c>
      <c r="Y2010" s="11">
        <f t="shared" si="2037"/>
        <v>0</v>
      </c>
      <c r="AG2010" s="11">
        <f t="shared" si="2038"/>
        <v>0</v>
      </c>
      <c r="AI2010" s="11">
        <f t="shared" si="2039"/>
        <v>0</v>
      </c>
      <c r="AK2010" s="13">
        <f t="shared" si="2040"/>
        <v>0</v>
      </c>
      <c r="AM2010" s="13">
        <f t="shared" si="2041"/>
        <v>0</v>
      </c>
      <c r="AO2010" s="11">
        <f t="shared" si="2042"/>
        <v>0</v>
      </c>
      <c r="AQ2010" s="11">
        <f t="shared" si="2043"/>
        <v>0</v>
      </c>
      <c r="AS2010" s="11">
        <f t="shared" si="2044"/>
        <v>0</v>
      </c>
      <c r="AU2010" s="11">
        <f t="shared" si="2045"/>
        <v>0</v>
      </c>
      <c r="AW2010" s="11">
        <f t="shared" si="2046"/>
        <v>0</v>
      </c>
      <c r="AY2010" s="11">
        <f t="shared" si="2047"/>
        <v>0</v>
      </c>
      <c r="BA2010" s="11">
        <f t="shared" si="2048"/>
        <v>0</v>
      </c>
      <c r="BC2010" s="11">
        <f t="shared" si="2049"/>
        <v>0</v>
      </c>
      <c r="BE2010" s="11">
        <f t="shared" si="2050"/>
        <v>0</v>
      </c>
      <c r="BG2010" s="11">
        <f t="shared" si="2051"/>
        <v>0</v>
      </c>
      <c r="BN2010" s="8">
        <f t="shared" si="2007"/>
        <v>0</v>
      </c>
      <c r="BO2010" s="8">
        <f t="shared" si="2008"/>
        <v>0</v>
      </c>
      <c r="BP2010" s="8">
        <f t="shared" si="2011"/>
        <v>0</v>
      </c>
      <c r="BQ2010" s="12">
        <f t="shared" si="2012"/>
        <v>0</v>
      </c>
    </row>
    <row r="2011" spans="1:69">
      <c r="A2011" s="28">
        <v>1992</v>
      </c>
      <c r="B2011" s="27" t="s">
        <v>89</v>
      </c>
      <c r="C2011" s="24">
        <f t="shared" si="2014"/>
        <v>1974</v>
      </c>
      <c r="D2011" s="7" t="e">
        <f t="shared" ca="1" si="2033"/>
        <v>#N/A</v>
      </c>
      <c r="E2011" s="26">
        <f t="array" aca="1" ref="E2011" ca="1">AVERAGE(IF(INDIRECT(DatCol&amp;"$"&amp;TEXT(C2011,"###")):INDIRECT(DatCol&amp;"$"&amp;TEXT(C2011+57,"###"))&gt;0,INDIRECT(DatCol&amp;"$"&amp;TEXT(C2011,"###")):INDIRECT(DatCol&amp;"$"&amp;TEXT(C2011+57,"###"))))</f>
        <v>1634.4</v>
      </c>
      <c r="F2011" s="26" t="str">
        <f t="shared" si="2010"/>
        <v>S</v>
      </c>
      <c r="G2011" s="8"/>
      <c r="K2011" s="9">
        <f t="shared" si="2009"/>
        <v>0</v>
      </c>
      <c r="M2011" s="11">
        <f t="shared" si="2034"/>
        <v>0</v>
      </c>
      <c r="O2011" s="11">
        <f t="shared" si="2035"/>
        <v>0</v>
      </c>
      <c r="Q2011" s="11">
        <f t="shared" si="2036"/>
        <v>0</v>
      </c>
      <c r="Y2011" s="11">
        <f t="shared" si="2037"/>
        <v>0</v>
      </c>
      <c r="AG2011" s="11">
        <f t="shared" si="2038"/>
        <v>0</v>
      </c>
      <c r="AI2011" s="11">
        <f t="shared" si="2039"/>
        <v>0</v>
      </c>
      <c r="AK2011" s="13">
        <f t="shared" si="2040"/>
        <v>0</v>
      </c>
      <c r="AM2011" s="13">
        <f t="shared" si="2041"/>
        <v>0</v>
      </c>
      <c r="AO2011" s="11">
        <f t="shared" si="2042"/>
        <v>0</v>
      </c>
      <c r="AQ2011" s="11">
        <f t="shared" si="2043"/>
        <v>0</v>
      </c>
      <c r="AS2011" s="11">
        <f t="shared" si="2044"/>
        <v>0</v>
      </c>
      <c r="AU2011" s="11">
        <f t="shared" si="2045"/>
        <v>0</v>
      </c>
      <c r="AW2011" s="11">
        <f t="shared" si="2046"/>
        <v>0</v>
      </c>
      <c r="AY2011" s="11">
        <f t="shared" si="2047"/>
        <v>0</v>
      </c>
      <c r="BA2011" s="11">
        <f t="shared" si="2048"/>
        <v>0</v>
      </c>
      <c r="BC2011" s="11">
        <f t="shared" si="2049"/>
        <v>0</v>
      </c>
      <c r="BE2011" s="11">
        <f t="shared" si="2050"/>
        <v>0</v>
      </c>
      <c r="BG2011" s="11">
        <f t="shared" si="2051"/>
        <v>0</v>
      </c>
      <c r="BN2011" s="8">
        <f t="shared" si="2007"/>
        <v>0</v>
      </c>
      <c r="BO2011" s="8">
        <f t="shared" si="2008"/>
        <v>0</v>
      </c>
      <c r="BP2011" s="8">
        <f t="shared" si="2011"/>
        <v>0</v>
      </c>
      <c r="BQ2011" s="12">
        <f t="shared" si="2012"/>
        <v>0</v>
      </c>
    </row>
    <row r="2012" spans="1:69">
      <c r="A2012" s="28">
        <v>1993</v>
      </c>
      <c r="B2012" s="27" t="s">
        <v>89</v>
      </c>
      <c r="C2012" s="24">
        <f t="shared" si="2014"/>
        <v>1974</v>
      </c>
      <c r="D2012" s="7" t="e">
        <f t="shared" ca="1" si="2033"/>
        <v>#N/A</v>
      </c>
      <c r="E2012" s="26">
        <f t="array" aca="1" ref="E2012" ca="1">AVERAGE(IF(INDIRECT(DatCol&amp;"$"&amp;TEXT(C2012,"###")):INDIRECT(DatCol&amp;"$"&amp;TEXT(C2012+57,"###"))&gt;0,INDIRECT(DatCol&amp;"$"&amp;TEXT(C2012,"###")):INDIRECT(DatCol&amp;"$"&amp;TEXT(C2012+57,"###"))))</f>
        <v>1634.4</v>
      </c>
      <c r="F2012" s="26" t="str">
        <f t="shared" si="2010"/>
        <v>S</v>
      </c>
      <c r="G2012" s="8">
        <v>36</v>
      </c>
      <c r="H2012" s="8">
        <v>72</v>
      </c>
      <c r="I2012" s="8">
        <v>31</v>
      </c>
      <c r="J2012" s="8">
        <v>657</v>
      </c>
      <c r="K2012" s="9">
        <f t="shared" si="2009"/>
        <v>765</v>
      </c>
      <c r="L2012" s="12">
        <v>68</v>
      </c>
      <c r="M2012" s="11">
        <f t="shared" si="2034"/>
        <v>3400</v>
      </c>
      <c r="N2012" s="12">
        <v>0</v>
      </c>
      <c r="O2012" s="11">
        <f t="shared" si="2035"/>
        <v>0</v>
      </c>
      <c r="P2012" s="12">
        <v>0</v>
      </c>
      <c r="Q2012" s="11">
        <f t="shared" si="2036"/>
        <v>0</v>
      </c>
      <c r="X2012" s="12">
        <v>0</v>
      </c>
      <c r="Y2012" s="11">
        <f t="shared" si="2037"/>
        <v>0</v>
      </c>
      <c r="AF2012" s="12">
        <v>0</v>
      </c>
      <c r="AG2012" s="11">
        <f t="shared" si="2038"/>
        <v>0</v>
      </c>
      <c r="AH2012" s="12">
        <v>0</v>
      </c>
      <c r="AI2012" s="11">
        <f t="shared" si="2039"/>
        <v>0</v>
      </c>
      <c r="AJ2012" s="12">
        <v>0</v>
      </c>
      <c r="AK2012" s="13">
        <f t="shared" si="2040"/>
        <v>0</v>
      </c>
      <c r="AL2012" s="12">
        <v>0</v>
      </c>
      <c r="AM2012" s="13">
        <f t="shared" si="2041"/>
        <v>0</v>
      </c>
      <c r="AN2012" s="12">
        <v>0</v>
      </c>
      <c r="AO2012" s="11">
        <f t="shared" si="2042"/>
        <v>0</v>
      </c>
      <c r="AP2012" s="12">
        <v>0</v>
      </c>
      <c r="AQ2012" s="11">
        <f t="shared" si="2043"/>
        <v>0</v>
      </c>
      <c r="AR2012" s="12">
        <v>15913</v>
      </c>
      <c r="AS2012" s="11">
        <f t="shared" si="2044"/>
        <v>795650</v>
      </c>
      <c r="AU2012" s="11">
        <f t="shared" si="2045"/>
        <v>0</v>
      </c>
      <c r="AW2012" s="11">
        <f t="shared" si="2046"/>
        <v>0</v>
      </c>
      <c r="AY2012" s="11">
        <f t="shared" si="2047"/>
        <v>0</v>
      </c>
      <c r="BA2012" s="11">
        <f t="shared" si="2048"/>
        <v>0</v>
      </c>
      <c r="BC2012" s="11">
        <f t="shared" si="2049"/>
        <v>0</v>
      </c>
      <c r="BE2012" s="11">
        <f t="shared" si="2050"/>
        <v>0</v>
      </c>
      <c r="BG2012" s="11">
        <f t="shared" si="2051"/>
        <v>0</v>
      </c>
      <c r="BN2012" s="8">
        <f t="shared" si="2007"/>
        <v>15981</v>
      </c>
      <c r="BO2012" s="8">
        <f t="shared" si="2008"/>
        <v>799050</v>
      </c>
      <c r="BP2012" s="8">
        <f t="shared" si="2011"/>
        <v>0</v>
      </c>
      <c r="BQ2012" s="12">
        <f t="shared" si="2012"/>
        <v>0</v>
      </c>
    </row>
    <row r="2013" spans="1:69">
      <c r="A2013" s="28">
        <v>1994</v>
      </c>
      <c r="B2013" s="27" t="s">
        <v>89</v>
      </c>
      <c r="C2013" s="24">
        <f t="shared" si="2014"/>
        <v>1974</v>
      </c>
      <c r="D2013" s="7" t="e">
        <f t="shared" ca="1" si="2033"/>
        <v>#N/A</v>
      </c>
      <c r="E2013" s="26">
        <f t="array" aca="1" ref="E2013" ca="1">AVERAGE(IF(INDIRECT(DatCol&amp;"$"&amp;TEXT(C2013,"###")):INDIRECT(DatCol&amp;"$"&amp;TEXT(C2013+57,"###"))&gt;0,INDIRECT(DatCol&amp;"$"&amp;TEXT(C2013,"###")):INDIRECT(DatCol&amp;"$"&amp;TEXT(C2013+57,"###"))))</f>
        <v>1634.4</v>
      </c>
      <c r="F2013" s="26" t="str">
        <f t="shared" si="2010"/>
        <v>S</v>
      </c>
      <c r="G2013" s="8">
        <v>38</v>
      </c>
      <c r="H2013" s="8">
        <v>69</v>
      </c>
      <c r="I2013" s="8">
        <v>7</v>
      </c>
      <c r="J2013" s="8">
        <v>634</v>
      </c>
      <c r="K2013" s="9">
        <f t="shared" si="2009"/>
        <v>741</v>
      </c>
      <c r="L2013" s="12">
        <v>0</v>
      </c>
      <c r="M2013" s="11">
        <f t="shared" si="2034"/>
        <v>0</v>
      </c>
      <c r="N2013" s="12">
        <v>0</v>
      </c>
      <c r="O2013" s="11">
        <f t="shared" si="2035"/>
        <v>0</v>
      </c>
      <c r="P2013" s="12">
        <v>0</v>
      </c>
      <c r="Q2013" s="11">
        <f t="shared" si="2036"/>
        <v>0</v>
      </c>
      <c r="X2013" s="12">
        <v>0</v>
      </c>
      <c r="Y2013" s="11">
        <f t="shared" si="2037"/>
        <v>0</v>
      </c>
      <c r="AF2013" s="12">
        <v>0</v>
      </c>
      <c r="AG2013" s="11">
        <f t="shared" si="2038"/>
        <v>0</v>
      </c>
      <c r="AH2013" s="12">
        <v>0</v>
      </c>
      <c r="AI2013" s="11">
        <f t="shared" si="2039"/>
        <v>0</v>
      </c>
      <c r="AJ2013" s="12">
        <v>0</v>
      </c>
      <c r="AK2013" s="13">
        <f t="shared" si="2040"/>
        <v>0</v>
      </c>
      <c r="AL2013" s="12">
        <v>0</v>
      </c>
      <c r="AM2013" s="13">
        <f t="shared" si="2041"/>
        <v>0</v>
      </c>
      <c r="AN2013" s="12">
        <v>0</v>
      </c>
      <c r="AO2013" s="11">
        <f t="shared" si="2042"/>
        <v>0</v>
      </c>
      <c r="AP2013" s="12">
        <v>0</v>
      </c>
      <c r="AQ2013" s="11">
        <f t="shared" si="2043"/>
        <v>0</v>
      </c>
      <c r="AR2013" s="12">
        <v>11283</v>
      </c>
      <c r="AS2013" s="11">
        <f t="shared" si="2044"/>
        <v>564150</v>
      </c>
      <c r="AU2013" s="11">
        <f t="shared" si="2045"/>
        <v>0</v>
      </c>
      <c r="AW2013" s="11">
        <f t="shared" si="2046"/>
        <v>0</v>
      </c>
      <c r="AY2013" s="11">
        <f t="shared" si="2047"/>
        <v>0</v>
      </c>
      <c r="BA2013" s="11">
        <f t="shared" si="2048"/>
        <v>0</v>
      </c>
      <c r="BC2013" s="11">
        <f t="shared" si="2049"/>
        <v>0</v>
      </c>
      <c r="BE2013" s="11">
        <f t="shared" si="2050"/>
        <v>0</v>
      </c>
      <c r="BG2013" s="11">
        <f t="shared" si="2051"/>
        <v>0</v>
      </c>
      <c r="BN2013" s="8">
        <f t="shared" si="2007"/>
        <v>11283</v>
      </c>
      <c r="BO2013" s="8">
        <f t="shared" si="2008"/>
        <v>564150</v>
      </c>
      <c r="BP2013" s="8">
        <f t="shared" si="2011"/>
        <v>0</v>
      </c>
      <c r="BQ2013" s="12">
        <f t="shared" si="2012"/>
        <v>0</v>
      </c>
    </row>
    <row r="2014" spans="1:69">
      <c r="A2014" s="28">
        <v>1995</v>
      </c>
      <c r="B2014" s="27" t="s">
        <v>89</v>
      </c>
      <c r="C2014" s="24">
        <f t="shared" si="2014"/>
        <v>1974</v>
      </c>
      <c r="D2014" s="7" t="e">
        <f t="shared" ca="1" si="2033"/>
        <v>#N/A</v>
      </c>
      <c r="E2014" s="26">
        <f t="array" aca="1" ref="E2014" ca="1">AVERAGE(IF(INDIRECT(DatCol&amp;"$"&amp;TEXT(C2014,"###")):INDIRECT(DatCol&amp;"$"&amp;TEXT(C2014+57,"###"))&gt;0,INDIRECT(DatCol&amp;"$"&amp;TEXT(C2014,"###")):INDIRECT(DatCol&amp;"$"&amp;TEXT(C2014+57,"###"))))</f>
        <v>1634.4</v>
      </c>
      <c r="F2014" s="26" t="str">
        <f t="shared" si="2010"/>
        <v>S</v>
      </c>
      <c r="G2014" s="9">
        <v>59</v>
      </c>
      <c r="H2014" s="9">
        <v>92</v>
      </c>
      <c r="I2014" s="9">
        <v>3</v>
      </c>
      <c r="J2014" s="9">
        <v>722</v>
      </c>
      <c r="K2014" s="9">
        <f t="shared" si="2009"/>
        <v>873</v>
      </c>
      <c r="L2014" s="10">
        <v>0</v>
      </c>
      <c r="M2014" s="11">
        <f t="shared" si="2034"/>
        <v>0</v>
      </c>
      <c r="N2014" s="10">
        <v>1500</v>
      </c>
      <c r="O2014" s="11">
        <f t="shared" si="2035"/>
        <v>75000</v>
      </c>
      <c r="P2014" s="10">
        <v>0</v>
      </c>
      <c r="Q2014" s="11">
        <f t="shared" si="2036"/>
        <v>0</v>
      </c>
      <c r="X2014" s="10">
        <v>100</v>
      </c>
      <c r="Y2014" s="11">
        <f t="shared" si="2037"/>
        <v>6000</v>
      </c>
      <c r="AF2014" s="10">
        <v>0</v>
      </c>
      <c r="AG2014" s="11">
        <f t="shared" si="2038"/>
        <v>0</v>
      </c>
      <c r="AH2014" s="10">
        <v>0</v>
      </c>
      <c r="AI2014" s="11">
        <f t="shared" si="2039"/>
        <v>0</v>
      </c>
      <c r="AJ2014" s="10">
        <v>0</v>
      </c>
      <c r="AK2014" s="13">
        <f t="shared" si="2040"/>
        <v>0</v>
      </c>
      <c r="AL2014" s="10">
        <v>0</v>
      </c>
      <c r="AM2014" s="13">
        <f t="shared" si="2041"/>
        <v>0</v>
      </c>
      <c r="AN2014" s="10">
        <v>0</v>
      </c>
      <c r="AO2014" s="11">
        <f t="shared" si="2042"/>
        <v>0</v>
      </c>
      <c r="AP2014" s="10">
        <v>1000</v>
      </c>
      <c r="AQ2014" s="11">
        <f t="shared" si="2043"/>
        <v>80000</v>
      </c>
      <c r="AR2014" s="10">
        <v>0</v>
      </c>
      <c r="AS2014" s="11">
        <f t="shared" si="2044"/>
        <v>0</v>
      </c>
      <c r="AT2014" s="10">
        <v>0</v>
      </c>
      <c r="AU2014" s="11">
        <f t="shared" si="2045"/>
        <v>0</v>
      </c>
      <c r="AV2014" s="10">
        <v>0</v>
      </c>
      <c r="AW2014" s="11">
        <f t="shared" si="2046"/>
        <v>0</v>
      </c>
      <c r="AX2014" s="10">
        <v>0</v>
      </c>
      <c r="AY2014" s="11">
        <f t="shared" si="2047"/>
        <v>0</v>
      </c>
      <c r="AZ2014" s="10">
        <v>0</v>
      </c>
      <c r="BA2014" s="11">
        <f t="shared" si="2048"/>
        <v>0</v>
      </c>
      <c r="BB2014" s="10">
        <v>100</v>
      </c>
      <c r="BC2014" s="11">
        <f t="shared" si="2049"/>
        <v>4000</v>
      </c>
      <c r="BE2014" s="11">
        <f t="shared" si="2050"/>
        <v>0</v>
      </c>
      <c r="BG2014" s="11">
        <f t="shared" si="2051"/>
        <v>0</v>
      </c>
      <c r="BN2014" s="8">
        <f t="shared" si="2007"/>
        <v>100</v>
      </c>
      <c r="BO2014" s="8">
        <f t="shared" si="2008"/>
        <v>6000</v>
      </c>
      <c r="BP2014" s="8">
        <f t="shared" si="2011"/>
        <v>2700</v>
      </c>
      <c r="BQ2014" s="12">
        <f t="shared" si="2012"/>
        <v>165000</v>
      </c>
    </row>
    <row r="2015" spans="1:69">
      <c r="A2015" s="28">
        <v>1996</v>
      </c>
      <c r="B2015" s="27" t="s">
        <v>89</v>
      </c>
      <c r="C2015" s="24">
        <f t="shared" si="2014"/>
        <v>1974</v>
      </c>
      <c r="D2015" s="7" t="e">
        <f t="shared" ca="1" si="2033"/>
        <v>#N/A</v>
      </c>
      <c r="E2015" s="26">
        <f t="array" aca="1" ref="E2015" ca="1">AVERAGE(IF(INDIRECT(DatCol&amp;"$"&amp;TEXT(C2015,"###")):INDIRECT(DatCol&amp;"$"&amp;TEXT(C2015+57,"###"))&gt;0,INDIRECT(DatCol&amp;"$"&amp;TEXT(C2015,"###")):INDIRECT(DatCol&amp;"$"&amp;TEXT(C2015+57,"###"))))</f>
        <v>1634.4</v>
      </c>
      <c r="F2015" s="26" t="str">
        <f t="shared" si="2010"/>
        <v>S</v>
      </c>
      <c r="G2015" s="9">
        <v>90</v>
      </c>
      <c r="H2015" s="9">
        <v>216</v>
      </c>
      <c r="I2015" s="9">
        <v>3</v>
      </c>
      <c r="J2015" s="9">
        <v>983</v>
      </c>
      <c r="K2015" s="9">
        <f t="shared" si="2009"/>
        <v>1289</v>
      </c>
      <c r="L2015" s="10">
        <v>0</v>
      </c>
      <c r="M2015" s="11">
        <f t="shared" si="2034"/>
        <v>0</v>
      </c>
      <c r="N2015" s="10">
        <v>1500</v>
      </c>
      <c r="O2015" s="11">
        <f t="shared" si="2035"/>
        <v>75000</v>
      </c>
      <c r="P2015" s="10">
        <v>0</v>
      </c>
      <c r="Q2015" s="11">
        <f t="shared" si="2036"/>
        <v>0</v>
      </c>
      <c r="X2015" s="10">
        <v>100</v>
      </c>
      <c r="Y2015" s="11">
        <f t="shared" si="2037"/>
        <v>6000</v>
      </c>
      <c r="AF2015" s="10">
        <v>0</v>
      </c>
      <c r="AG2015" s="11">
        <f t="shared" si="2038"/>
        <v>0</v>
      </c>
      <c r="AH2015" s="10">
        <v>0</v>
      </c>
      <c r="AI2015" s="11">
        <f t="shared" si="2039"/>
        <v>0</v>
      </c>
      <c r="AJ2015" s="10">
        <v>0</v>
      </c>
      <c r="AK2015" s="13">
        <f t="shared" si="2040"/>
        <v>0</v>
      </c>
      <c r="AL2015" s="10">
        <v>0</v>
      </c>
      <c r="AM2015" s="13">
        <f t="shared" si="2041"/>
        <v>0</v>
      </c>
      <c r="AN2015" s="10">
        <v>0</v>
      </c>
      <c r="AO2015" s="11">
        <f t="shared" si="2042"/>
        <v>0</v>
      </c>
      <c r="AP2015" s="10">
        <v>1000</v>
      </c>
      <c r="AQ2015" s="11">
        <f t="shared" si="2043"/>
        <v>80000</v>
      </c>
      <c r="AR2015" s="10">
        <v>0</v>
      </c>
      <c r="AS2015" s="11">
        <f t="shared" si="2044"/>
        <v>0</v>
      </c>
      <c r="AT2015" s="10">
        <v>0</v>
      </c>
      <c r="AU2015" s="11">
        <f t="shared" si="2045"/>
        <v>0</v>
      </c>
      <c r="AV2015" s="10">
        <v>0</v>
      </c>
      <c r="AW2015" s="11">
        <f t="shared" si="2046"/>
        <v>0</v>
      </c>
      <c r="AX2015" s="10">
        <v>0</v>
      </c>
      <c r="AY2015" s="11">
        <f t="shared" si="2047"/>
        <v>0</v>
      </c>
      <c r="AZ2015" s="10">
        <v>0</v>
      </c>
      <c r="BA2015" s="11">
        <f t="shared" si="2048"/>
        <v>0</v>
      </c>
      <c r="BB2015" s="10">
        <v>100</v>
      </c>
      <c r="BC2015" s="11">
        <f t="shared" si="2049"/>
        <v>4000</v>
      </c>
      <c r="BE2015" s="11">
        <f t="shared" si="2050"/>
        <v>0</v>
      </c>
      <c r="BN2015" s="8">
        <f t="shared" si="2007"/>
        <v>100</v>
      </c>
      <c r="BO2015" s="8">
        <f t="shared" si="2008"/>
        <v>6000</v>
      </c>
      <c r="BP2015" s="8">
        <f t="shared" si="2011"/>
        <v>2700</v>
      </c>
      <c r="BQ2015" s="12">
        <f t="shared" si="2012"/>
        <v>165000</v>
      </c>
    </row>
    <row r="2016" spans="1:69">
      <c r="A2016" s="28">
        <v>1997</v>
      </c>
      <c r="B2016" s="27" t="s">
        <v>89</v>
      </c>
      <c r="C2016" s="24">
        <f t="shared" si="2014"/>
        <v>1974</v>
      </c>
      <c r="D2016" s="7" t="e">
        <f t="shared" ca="1" si="2033"/>
        <v>#N/A</v>
      </c>
      <c r="E2016" s="26">
        <f t="array" aca="1" ref="E2016" ca="1">AVERAGE(IF(INDIRECT(DatCol&amp;"$"&amp;TEXT(C2016,"###")):INDIRECT(DatCol&amp;"$"&amp;TEXT(C2016+57,"###"))&gt;0,INDIRECT(DatCol&amp;"$"&amp;TEXT(C2016,"###")):INDIRECT(DatCol&amp;"$"&amp;TEXT(C2016+57,"###"))))</f>
        <v>1634.4</v>
      </c>
      <c r="F2016" s="26" t="str">
        <f t="shared" si="2010"/>
        <v>S</v>
      </c>
      <c r="G2016" s="9">
        <v>106</v>
      </c>
      <c r="H2016" s="9">
        <v>260</v>
      </c>
      <c r="I2016" s="9">
        <v>0</v>
      </c>
      <c r="J2016" s="9">
        <v>1565</v>
      </c>
      <c r="K2016" s="9">
        <f t="shared" si="2009"/>
        <v>1931</v>
      </c>
      <c r="L2016" s="10">
        <v>0</v>
      </c>
      <c r="M2016" s="11">
        <f t="shared" si="2034"/>
        <v>0</v>
      </c>
      <c r="N2016" s="10">
        <v>3000</v>
      </c>
      <c r="O2016" s="11">
        <f t="shared" si="2035"/>
        <v>150000</v>
      </c>
      <c r="P2016" s="10">
        <v>0</v>
      </c>
      <c r="Q2016" s="11">
        <f t="shared" si="2036"/>
        <v>0</v>
      </c>
      <c r="X2016" s="10">
        <v>200</v>
      </c>
      <c r="Y2016" s="11">
        <f t="shared" si="2037"/>
        <v>12000</v>
      </c>
      <c r="AF2016" s="10">
        <v>0</v>
      </c>
      <c r="AG2016" s="11">
        <f t="shared" si="2038"/>
        <v>0</v>
      </c>
      <c r="AH2016" s="10">
        <v>0</v>
      </c>
      <c r="AI2016" s="11">
        <f t="shared" si="2039"/>
        <v>0</v>
      </c>
      <c r="AJ2016" s="10">
        <v>0</v>
      </c>
      <c r="AK2016" s="13">
        <f t="shared" si="2040"/>
        <v>0</v>
      </c>
      <c r="AL2016" s="10">
        <v>0</v>
      </c>
      <c r="AM2016" s="13">
        <f t="shared" si="2041"/>
        <v>0</v>
      </c>
      <c r="AN2016" s="10">
        <v>0</v>
      </c>
      <c r="AO2016" s="11">
        <f t="shared" si="2042"/>
        <v>0</v>
      </c>
      <c r="AP2016" s="10">
        <v>2000</v>
      </c>
      <c r="AQ2016" s="11">
        <f t="shared" si="2043"/>
        <v>160000</v>
      </c>
      <c r="AR2016" s="10">
        <v>0</v>
      </c>
      <c r="AS2016" s="11">
        <f t="shared" si="2044"/>
        <v>0</v>
      </c>
      <c r="AT2016" s="10">
        <v>0</v>
      </c>
      <c r="AU2016" s="11">
        <f t="shared" si="2045"/>
        <v>0</v>
      </c>
      <c r="AV2016" s="10">
        <v>0</v>
      </c>
      <c r="AW2016" s="11">
        <f t="shared" si="2046"/>
        <v>0</v>
      </c>
      <c r="AX2016" s="10">
        <v>0</v>
      </c>
      <c r="AY2016" s="11">
        <f t="shared" si="2047"/>
        <v>0</v>
      </c>
      <c r="AZ2016" s="10">
        <v>0</v>
      </c>
      <c r="BA2016" s="11">
        <f t="shared" si="2048"/>
        <v>0</v>
      </c>
      <c r="BB2016" s="10">
        <v>200</v>
      </c>
      <c r="BC2016" s="11">
        <f t="shared" si="2049"/>
        <v>8000</v>
      </c>
      <c r="BE2016" s="11">
        <f t="shared" si="2050"/>
        <v>0</v>
      </c>
      <c r="BN2016" s="8">
        <f t="shared" si="2007"/>
        <v>200</v>
      </c>
      <c r="BO2016" s="8">
        <f t="shared" si="2008"/>
        <v>12000</v>
      </c>
      <c r="BP2016" s="8">
        <f t="shared" si="2011"/>
        <v>5400</v>
      </c>
      <c r="BQ2016" s="12">
        <f t="shared" si="2012"/>
        <v>330000</v>
      </c>
    </row>
    <row r="2017" spans="1:69">
      <c r="A2017" s="28">
        <v>1998</v>
      </c>
      <c r="B2017" s="27" t="s">
        <v>89</v>
      </c>
      <c r="C2017" s="24">
        <f t="shared" si="2014"/>
        <v>1974</v>
      </c>
      <c r="D2017" s="7" t="e">
        <f t="shared" ca="1" si="2033"/>
        <v>#N/A</v>
      </c>
      <c r="E2017" s="26">
        <f t="array" aca="1" ref="E2017" ca="1">AVERAGE(IF(INDIRECT(DatCol&amp;"$"&amp;TEXT(C2017,"###")):INDIRECT(DatCol&amp;"$"&amp;TEXT(C2017+57,"###"))&gt;0,INDIRECT(DatCol&amp;"$"&amp;TEXT(C2017,"###")):INDIRECT(DatCol&amp;"$"&amp;TEXT(C2017+57,"###"))))</f>
        <v>1634.4</v>
      </c>
      <c r="F2017" s="26" t="str">
        <f t="shared" si="2010"/>
        <v>S</v>
      </c>
      <c r="G2017" s="9">
        <v>106</v>
      </c>
      <c r="H2017" s="9">
        <v>260</v>
      </c>
      <c r="I2017" s="9">
        <v>0</v>
      </c>
      <c r="J2017" s="9">
        <v>1459</v>
      </c>
      <c r="K2017" s="9">
        <f t="shared" si="2009"/>
        <v>1825</v>
      </c>
      <c r="L2017" s="10">
        <v>0</v>
      </c>
      <c r="M2017" s="11">
        <v>0</v>
      </c>
      <c r="N2017" s="10">
        <f>O2017/50</f>
        <v>3090</v>
      </c>
      <c r="O2017" s="11">
        <v>154500</v>
      </c>
      <c r="P2017" s="10">
        <v>0</v>
      </c>
      <c r="Q2017" s="11">
        <v>0</v>
      </c>
      <c r="R2017" s="10">
        <v>0</v>
      </c>
      <c r="S2017" s="11">
        <v>0</v>
      </c>
      <c r="T2017" s="10">
        <v>0</v>
      </c>
      <c r="U2017" s="11">
        <v>0</v>
      </c>
      <c r="V2017" s="10">
        <v>0</v>
      </c>
      <c r="W2017" s="11">
        <v>0</v>
      </c>
      <c r="X2017" s="10">
        <v>0</v>
      </c>
      <c r="Y2017" s="11">
        <v>0</v>
      </c>
      <c r="Z2017" s="10">
        <v>0</v>
      </c>
      <c r="AA2017" s="11">
        <v>0</v>
      </c>
      <c r="AB2017" s="10">
        <v>0</v>
      </c>
      <c r="AC2017" s="11">
        <v>0</v>
      </c>
      <c r="AD2017" s="10">
        <v>0</v>
      </c>
      <c r="AE2017" s="11">
        <v>0</v>
      </c>
      <c r="AF2017" s="10">
        <v>0</v>
      </c>
      <c r="AG2017" s="11">
        <v>0</v>
      </c>
      <c r="AH2017" s="10">
        <v>0</v>
      </c>
      <c r="AI2017" s="11">
        <v>0</v>
      </c>
      <c r="AJ2017" s="10">
        <v>0</v>
      </c>
      <c r="AK2017" s="13">
        <v>0</v>
      </c>
      <c r="AL2017" s="10">
        <v>0</v>
      </c>
      <c r="AM2017" s="13">
        <v>0</v>
      </c>
      <c r="BN2017" s="8">
        <f t="shared" si="2007"/>
        <v>0</v>
      </c>
      <c r="BO2017" s="8">
        <f t="shared" si="2008"/>
        <v>0</v>
      </c>
      <c r="BP2017" s="8">
        <f t="shared" si="2011"/>
        <v>3090</v>
      </c>
      <c r="BQ2017" s="12">
        <f t="shared" si="2012"/>
        <v>154500</v>
      </c>
    </row>
    <row r="2018" spans="1:69">
      <c r="A2018" s="28">
        <v>1999</v>
      </c>
      <c r="B2018" s="27" t="s">
        <v>89</v>
      </c>
      <c r="C2018" s="24">
        <f t="shared" si="2014"/>
        <v>1974</v>
      </c>
      <c r="D2018" s="7" t="e">
        <f t="shared" ca="1" si="2033"/>
        <v>#N/A</v>
      </c>
      <c r="E2018" s="26">
        <f t="array" aca="1" ref="E2018" ca="1">AVERAGE(IF(INDIRECT(DatCol&amp;"$"&amp;TEXT(C2018,"###")):INDIRECT(DatCol&amp;"$"&amp;TEXT(C2018+57,"###"))&gt;0,INDIRECT(DatCol&amp;"$"&amp;TEXT(C2018,"###")):INDIRECT(DatCol&amp;"$"&amp;TEXT(C2018+57,"###"))))</f>
        <v>1634.4</v>
      </c>
      <c r="F2018" s="26" t="str">
        <f t="shared" si="2010"/>
        <v>S</v>
      </c>
      <c r="G2018" s="9">
        <v>156</v>
      </c>
      <c r="H2018" s="9">
        <v>286</v>
      </c>
      <c r="I2018" s="9">
        <v>0</v>
      </c>
      <c r="J2018" s="9">
        <v>1424</v>
      </c>
      <c r="K2018" s="9">
        <f t="shared" si="2009"/>
        <v>1866</v>
      </c>
      <c r="L2018" s="10">
        <v>0</v>
      </c>
      <c r="M2018" s="11">
        <v>0</v>
      </c>
      <c r="N2018" s="10">
        <f>O2018/50</f>
        <v>3630</v>
      </c>
      <c r="O2018" s="11">
        <v>181500</v>
      </c>
      <c r="AK2018" s="13"/>
      <c r="AM2018" s="13"/>
      <c r="BN2018" s="8">
        <f t="shared" si="2007"/>
        <v>0</v>
      </c>
      <c r="BO2018" s="8">
        <f t="shared" si="2008"/>
        <v>0</v>
      </c>
      <c r="BP2018" s="8">
        <f t="shared" si="2011"/>
        <v>3630</v>
      </c>
      <c r="BQ2018" s="12">
        <f t="shared" si="2012"/>
        <v>181500</v>
      </c>
    </row>
    <row r="2019" spans="1:69">
      <c r="A2019" s="28">
        <v>2000</v>
      </c>
      <c r="B2019" s="27" t="s">
        <v>89</v>
      </c>
      <c r="C2019" s="24">
        <f t="shared" si="2014"/>
        <v>1974</v>
      </c>
      <c r="D2019" s="7" t="e">
        <f t="shared" ca="1" si="2033"/>
        <v>#N/A</v>
      </c>
      <c r="E2019" s="26">
        <f t="array" aca="1" ref="E2019" ca="1">AVERAGE(IF(INDIRECT(DatCol&amp;"$"&amp;TEXT(C2019,"###")):INDIRECT(DatCol&amp;"$"&amp;TEXT(C2019+57,"###"))&gt;0,INDIRECT(DatCol&amp;"$"&amp;TEXT(C2019,"###")):INDIRECT(DatCol&amp;"$"&amp;TEXT(C2019+57,"###"))))</f>
        <v>1634.4</v>
      </c>
      <c r="F2019" s="26" t="str">
        <f t="shared" si="2010"/>
        <v>S</v>
      </c>
      <c r="G2019" s="9">
        <v>212</v>
      </c>
      <c r="H2019" s="9">
        <v>122</v>
      </c>
      <c r="I2019" s="9">
        <v>0</v>
      </c>
      <c r="J2019" s="9">
        <v>958</v>
      </c>
      <c r="K2019" s="9">
        <f t="shared" si="2009"/>
        <v>1292</v>
      </c>
      <c r="L2019" s="10">
        <v>0</v>
      </c>
      <c r="M2019" s="11">
        <v>0</v>
      </c>
      <c r="N2019" s="10">
        <v>0</v>
      </c>
      <c r="O2019" s="11">
        <v>0</v>
      </c>
      <c r="Q2019" s="11">
        <v>0</v>
      </c>
      <c r="R2019" s="10">
        <v>0</v>
      </c>
      <c r="S2019" s="11">
        <v>0</v>
      </c>
      <c r="T2019" s="10">
        <v>0</v>
      </c>
      <c r="V2019" s="10">
        <v>0</v>
      </c>
      <c r="W2019" s="11">
        <v>0</v>
      </c>
      <c r="X2019" s="10">
        <v>0</v>
      </c>
      <c r="Y2019" s="11">
        <v>0</v>
      </c>
      <c r="Z2019" s="10">
        <v>0</v>
      </c>
      <c r="AA2019" s="11">
        <v>0</v>
      </c>
      <c r="AB2019" s="10">
        <v>0</v>
      </c>
      <c r="AC2019" s="11">
        <v>0</v>
      </c>
      <c r="AD2019" s="10">
        <v>0</v>
      </c>
      <c r="AE2019" s="11">
        <v>0</v>
      </c>
      <c r="AF2019" s="10">
        <v>0</v>
      </c>
      <c r="AG2019" s="11">
        <v>0</v>
      </c>
      <c r="AH2019" s="10">
        <v>0</v>
      </c>
      <c r="AI2019" s="11">
        <v>0</v>
      </c>
      <c r="AJ2019" s="10">
        <v>0</v>
      </c>
      <c r="AK2019" s="13">
        <v>0</v>
      </c>
      <c r="AL2019" s="10">
        <v>0</v>
      </c>
      <c r="AM2019" s="13">
        <v>0</v>
      </c>
      <c r="AN2019" s="10">
        <v>0</v>
      </c>
      <c r="AO2019" s="11">
        <v>0</v>
      </c>
      <c r="AP2019" s="10">
        <v>0</v>
      </c>
      <c r="AQ2019" s="11">
        <v>0</v>
      </c>
      <c r="AR2019" s="10">
        <v>0</v>
      </c>
      <c r="AS2019" s="11">
        <v>0</v>
      </c>
      <c r="AT2019" s="10">
        <v>0</v>
      </c>
      <c r="AU2019" s="11">
        <v>0</v>
      </c>
      <c r="AV2019" s="10">
        <v>0</v>
      </c>
      <c r="AW2019" s="11">
        <v>0</v>
      </c>
      <c r="AX2019" s="10">
        <v>0</v>
      </c>
      <c r="AY2019" s="11">
        <v>0</v>
      </c>
      <c r="AZ2019" s="10">
        <v>0</v>
      </c>
      <c r="BA2019" s="11">
        <v>0</v>
      </c>
      <c r="BB2019" s="10">
        <v>0</v>
      </c>
      <c r="BC2019" s="11">
        <v>0</v>
      </c>
      <c r="BD2019" s="10">
        <v>0</v>
      </c>
      <c r="BE2019" s="11">
        <v>0</v>
      </c>
      <c r="BF2019" s="10">
        <v>0</v>
      </c>
      <c r="BG2019" s="11">
        <v>0</v>
      </c>
      <c r="BN2019" s="8">
        <f t="shared" ref="BN2019:BN2083" si="2052">(L2019+P2019+R2019+T2019+V2019+X2019+Z2019+AB2019+AD2019+AF2019+AJ2019+AN2019+AR2019+AV2019+AZ2019+BD2019)</f>
        <v>0</v>
      </c>
      <c r="BO2019" s="8">
        <f t="shared" si="2008"/>
        <v>0</v>
      </c>
      <c r="BP2019" s="8">
        <f t="shared" si="2011"/>
        <v>0</v>
      </c>
      <c r="BQ2019" s="12">
        <f t="shared" si="2012"/>
        <v>0</v>
      </c>
    </row>
    <row r="2020" spans="1:69">
      <c r="A2020" s="28">
        <v>2001</v>
      </c>
      <c r="B2020" s="27" t="s">
        <v>89</v>
      </c>
      <c r="C2020" s="24">
        <f t="shared" si="2014"/>
        <v>1974</v>
      </c>
      <c r="D2020" s="7" t="e">
        <f t="shared" ca="1" si="2033"/>
        <v>#N/A</v>
      </c>
      <c r="E2020" s="26">
        <f t="array" aca="1" ref="E2020" ca="1">AVERAGE(IF(INDIRECT(DatCol&amp;"$"&amp;TEXT(C2020,"###")):INDIRECT(DatCol&amp;"$"&amp;TEXT(C2020+57,"###"))&gt;0,INDIRECT(DatCol&amp;"$"&amp;TEXT(C2020,"###")):INDIRECT(DatCol&amp;"$"&amp;TEXT(C2020+57,"###"))))</f>
        <v>1634.4</v>
      </c>
      <c r="F2020" s="26" t="str">
        <f t="shared" si="2010"/>
        <v>S</v>
      </c>
      <c r="G2020" s="9">
        <v>0</v>
      </c>
      <c r="H2020" s="9">
        <v>75</v>
      </c>
      <c r="I2020" s="9">
        <v>0</v>
      </c>
      <c r="J2020" s="9">
        <v>1040</v>
      </c>
      <c r="K2020" s="9">
        <f t="shared" si="2009"/>
        <v>1115</v>
      </c>
      <c r="L2020" s="10">
        <v>0</v>
      </c>
      <c r="M2020" s="11">
        <v>0</v>
      </c>
      <c r="N2020" s="10">
        <f>O2020/50</f>
        <v>2000</v>
      </c>
      <c r="O2020" s="11">
        <v>100000</v>
      </c>
      <c r="P2020" s="10">
        <v>0</v>
      </c>
      <c r="Q2020" s="11">
        <v>0</v>
      </c>
      <c r="R2020" s="10">
        <v>0</v>
      </c>
      <c r="S2020" s="11">
        <v>0</v>
      </c>
      <c r="T2020" s="10">
        <v>0</v>
      </c>
      <c r="U2020" s="11">
        <v>0</v>
      </c>
      <c r="V2020" s="10">
        <v>0</v>
      </c>
      <c r="W2020" s="11">
        <v>0</v>
      </c>
      <c r="X2020" s="10">
        <f>Y2020/75</f>
        <v>93.333333333333329</v>
      </c>
      <c r="Y2020" s="11">
        <v>7000</v>
      </c>
      <c r="Z2020" s="10">
        <v>0</v>
      </c>
      <c r="AA2020" s="11">
        <v>0</v>
      </c>
      <c r="AB2020" s="10">
        <v>0</v>
      </c>
      <c r="AC2020" s="11">
        <v>0</v>
      </c>
      <c r="AD2020" s="10">
        <v>0</v>
      </c>
      <c r="AE2020" s="11">
        <v>0</v>
      </c>
      <c r="AF2020" s="10">
        <v>0</v>
      </c>
      <c r="AG2020" s="11">
        <v>0</v>
      </c>
      <c r="AH2020" s="10">
        <v>0</v>
      </c>
      <c r="AI2020" s="11">
        <v>0</v>
      </c>
      <c r="AJ2020" s="10">
        <v>0</v>
      </c>
      <c r="AK2020" s="13">
        <v>0</v>
      </c>
      <c r="AL2020" s="10">
        <v>0</v>
      </c>
      <c r="AM2020" s="13">
        <v>0</v>
      </c>
      <c r="AN2020" s="10">
        <v>0</v>
      </c>
      <c r="AO2020" s="11">
        <v>0</v>
      </c>
      <c r="AP2020" s="10">
        <v>1500</v>
      </c>
      <c r="AQ2020" s="11">
        <f>1500*80</f>
        <v>120000</v>
      </c>
      <c r="AR2020" s="10">
        <v>0</v>
      </c>
      <c r="AS2020" s="11">
        <v>0</v>
      </c>
      <c r="AT2020" s="10">
        <v>0</v>
      </c>
      <c r="AU2020" s="11">
        <v>0</v>
      </c>
      <c r="AV2020" s="10">
        <v>0</v>
      </c>
      <c r="AW2020" s="11">
        <v>0</v>
      </c>
      <c r="AX2020" s="10">
        <v>0</v>
      </c>
      <c r="AY2020" s="11">
        <v>0</v>
      </c>
      <c r="AZ2020" s="10">
        <v>0</v>
      </c>
      <c r="BA2020" s="11">
        <v>0</v>
      </c>
      <c r="BB2020" s="10">
        <v>100</v>
      </c>
      <c r="BC2020" s="11">
        <v>5000</v>
      </c>
      <c r="BN2020" s="8">
        <f t="shared" si="2052"/>
        <v>93.333333333333329</v>
      </c>
      <c r="BO2020" s="8">
        <f t="shared" ref="BO2020:BO2084" si="2053">(M2020+Q2020+S2020+U2020+W2020+Y2020+AA2020+AC2020+AG2020+AK2020+AO2020+AS2020+AW2020+BA2020+BE2020)</f>
        <v>7000</v>
      </c>
      <c r="BP2020" s="8">
        <f t="shared" si="2011"/>
        <v>3693.3333333333335</v>
      </c>
      <c r="BQ2020" s="12">
        <f t="shared" si="2012"/>
        <v>232000</v>
      </c>
    </row>
    <row r="2021" spans="1:69">
      <c r="A2021" s="28">
        <v>2002</v>
      </c>
      <c r="B2021" s="27" t="s">
        <v>89</v>
      </c>
      <c r="C2021" s="24">
        <f t="shared" si="2014"/>
        <v>1974</v>
      </c>
      <c r="D2021" s="7" t="e">
        <f t="shared" ca="1" si="2033"/>
        <v>#N/A</v>
      </c>
      <c r="E2021" s="26">
        <f t="array" aca="1" ref="E2021" ca="1">AVERAGE(IF(INDIRECT(DatCol&amp;"$"&amp;TEXT(C2021,"###")):INDIRECT(DatCol&amp;"$"&amp;TEXT(C2021+57,"###"))&gt;0,INDIRECT(DatCol&amp;"$"&amp;TEXT(C2021,"###")):INDIRECT(DatCol&amp;"$"&amp;TEXT(C2021+57,"###"))))</f>
        <v>1634.4</v>
      </c>
      <c r="F2021" s="26" t="str">
        <f t="shared" si="2010"/>
        <v>S</v>
      </c>
      <c r="G2021" s="9">
        <v>0</v>
      </c>
      <c r="H2021" s="9">
        <v>10</v>
      </c>
      <c r="I2021" s="9">
        <v>0</v>
      </c>
      <c r="J2021" s="9">
        <v>1078</v>
      </c>
      <c r="K2021" s="9">
        <f t="shared" ref="K2021:K2085" si="2054">G2021+H2021+J2021</f>
        <v>1088</v>
      </c>
      <c r="L2021" s="10">
        <v>0</v>
      </c>
      <c r="M2021" s="11">
        <v>0</v>
      </c>
      <c r="N2021" s="10">
        <f>O2021/50</f>
        <v>1000</v>
      </c>
      <c r="O2021" s="11">
        <v>50000</v>
      </c>
      <c r="P2021" s="10">
        <v>0</v>
      </c>
      <c r="Q2021" s="11">
        <v>0</v>
      </c>
      <c r="R2021" s="10">
        <v>0</v>
      </c>
      <c r="S2021" s="11">
        <v>0</v>
      </c>
      <c r="T2021" s="10">
        <v>0</v>
      </c>
      <c r="U2021" s="11">
        <v>0</v>
      </c>
      <c r="V2021" s="10">
        <v>0</v>
      </c>
      <c r="W2021" s="11">
        <v>0</v>
      </c>
      <c r="X2021" s="10">
        <f>Y2021/75</f>
        <v>66.666666666666671</v>
      </c>
      <c r="Y2021" s="11">
        <v>5000</v>
      </c>
      <c r="Z2021" s="10">
        <v>0</v>
      </c>
      <c r="AA2021" s="11">
        <v>0</v>
      </c>
      <c r="AB2021" s="10">
        <v>0</v>
      </c>
      <c r="AC2021" s="11">
        <v>0</v>
      </c>
      <c r="AD2021" s="10">
        <v>0</v>
      </c>
      <c r="AE2021" s="11">
        <v>0</v>
      </c>
      <c r="AF2021" s="10">
        <v>0</v>
      </c>
      <c r="AG2021" s="11">
        <v>0</v>
      </c>
      <c r="AH2021" s="10">
        <v>0</v>
      </c>
      <c r="AI2021" s="11">
        <v>0</v>
      </c>
      <c r="AJ2021" s="10">
        <v>0</v>
      </c>
      <c r="AK2021" s="13">
        <v>0</v>
      </c>
      <c r="AL2021" s="10">
        <v>0</v>
      </c>
      <c r="AM2021" s="13">
        <v>0</v>
      </c>
      <c r="AN2021" s="10">
        <v>0</v>
      </c>
      <c r="AO2021" s="11">
        <v>0</v>
      </c>
      <c r="AP2021" s="10">
        <f>AQ2021/80</f>
        <v>1250</v>
      </c>
      <c r="AQ2021" s="11">
        <v>100000</v>
      </c>
      <c r="BN2021" s="8">
        <f t="shared" si="2052"/>
        <v>66.666666666666671</v>
      </c>
      <c r="BO2021" s="8">
        <f t="shared" si="2053"/>
        <v>5000</v>
      </c>
      <c r="BP2021" s="8">
        <f t="shared" si="2011"/>
        <v>2316.666666666667</v>
      </c>
      <c r="BQ2021" s="12">
        <f t="shared" si="2012"/>
        <v>155000</v>
      </c>
    </row>
    <row r="2022" spans="1:69">
      <c r="A2022" s="28">
        <v>2003</v>
      </c>
      <c r="B2022" s="27" t="s">
        <v>89</v>
      </c>
      <c r="C2022" s="24">
        <f t="shared" si="2014"/>
        <v>1974</v>
      </c>
      <c r="D2022" s="7" t="e">
        <f t="shared" ca="1" si="2033"/>
        <v>#N/A</v>
      </c>
      <c r="E2022" s="26">
        <f t="array" aca="1" ref="E2022" ca="1">AVERAGE(IF(INDIRECT(DatCol&amp;"$"&amp;TEXT(C2022,"###")):INDIRECT(DatCol&amp;"$"&amp;TEXT(C2022+57,"###"))&gt;0,INDIRECT(DatCol&amp;"$"&amp;TEXT(C2022,"###")):INDIRECT(DatCol&amp;"$"&amp;TEXT(C2022+57,"###"))))</f>
        <v>1634.4</v>
      </c>
      <c r="F2022" s="26" t="str">
        <f t="shared" si="2010"/>
        <v>S</v>
      </c>
      <c r="H2022" s="9">
        <v>26</v>
      </c>
      <c r="I2022" s="9">
        <v>0</v>
      </c>
      <c r="J2022" s="9">
        <v>756</v>
      </c>
      <c r="K2022" s="9">
        <f t="shared" si="2054"/>
        <v>782</v>
      </c>
      <c r="L2022" s="10">
        <v>0</v>
      </c>
      <c r="M2022" s="11">
        <v>0</v>
      </c>
      <c r="N2022" s="10">
        <f>O2022/50</f>
        <v>400</v>
      </c>
      <c r="O2022" s="11">
        <v>20000</v>
      </c>
      <c r="P2022" s="10">
        <v>0</v>
      </c>
      <c r="Q2022" s="11">
        <v>0</v>
      </c>
      <c r="R2022" s="10">
        <v>0</v>
      </c>
      <c r="S2022" s="11">
        <v>0</v>
      </c>
      <c r="T2022" s="10">
        <v>0</v>
      </c>
      <c r="U2022" s="11">
        <v>0</v>
      </c>
      <c r="V2022" s="10">
        <v>0</v>
      </c>
      <c r="W2022" s="11">
        <v>0</v>
      </c>
      <c r="X2022" s="10">
        <f>Y2022/75</f>
        <v>26.666666666666668</v>
      </c>
      <c r="Y2022" s="11">
        <v>2000</v>
      </c>
      <c r="Z2022" s="10">
        <v>0</v>
      </c>
      <c r="AA2022" s="11">
        <v>0</v>
      </c>
      <c r="AB2022" s="10">
        <v>0</v>
      </c>
      <c r="AC2022" s="11">
        <v>0</v>
      </c>
      <c r="AD2022" s="10">
        <v>0</v>
      </c>
      <c r="AE2022" s="11">
        <v>0</v>
      </c>
      <c r="AF2022" s="10">
        <v>0</v>
      </c>
      <c r="AG2022" s="11">
        <v>0</v>
      </c>
      <c r="AH2022" s="10">
        <v>0</v>
      </c>
      <c r="AI2022" s="11">
        <v>0</v>
      </c>
      <c r="AJ2022" s="10">
        <v>0</v>
      </c>
      <c r="AK2022" s="13">
        <v>0</v>
      </c>
      <c r="AL2022" s="10">
        <v>0</v>
      </c>
      <c r="AM2022" s="13">
        <v>0</v>
      </c>
      <c r="AN2022" s="10">
        <v>0</v>
      </c>
      <c r="AO2022" s="11">
        <v>0</v>
      </c>
      <c r="AP2022" s="10">
        <f>AQ2022/80</f>
        <v>937.5</v>
      </c>
      <c r="AQ2022" s="11">
        <v>75000</v>
      </c>
      <c r="BN2022" s="8">
        <f t="shared" si="2052"/>
        <v>26.666666666666668</v>
      </c>
      <c r="BO2022" s="8">
        <f t="shared" si="2053"/>
        <v>2000</v>
      </c>
      <c r="BP2022" s="8">
        <f t="shared" si="2011"/>
        <v>1364.1666666666667</v>
      </c>
      <c r="BQ2022" s="12">
        <f t="shared" si="2012"/>
        <v>97000</v>
      </c>
    </row>
    <row r="2023" spans="1:69">
      <c r="A2023" s="28">
        <v>2004</v>
      </c>
      <c r="B2023" s="27" t="s">
        <v>89</v>
      </c>
      <c r="C2023" s="24">
        <f t="shared" si="2014"/>
        <v>1974</v>
      </c>
      <c r="D2023" s="7" t="e">
        <f t="shared" ca="1" si="2033"/>
        <v>#N/A</v>
      </c>
      <c r="E2023" s="26">
        <f t="array" aca="1" ref="E2023" ca="1">AVERAGE(IF(INDIRECT(DatCol&amp;"$"&amp;TEXT(C2023,"###")):INDIRECT(DatCol&amp;"$"&amp;TEXT(C2023+57,"###"))&gt;0,INDIRECT(DatCol&amp;"$"&amp;TEXT(C2023,"###")):INDIRECT(DatCol&amp;"$"&amp;TEXT(C2023+57,"###"))))</f>
        <v>1634.4</v>
      </c>
      <c r="F2023" s="26" t="str">
        <f t="shared" si="2010"/>
        <v>S</v>
      </c>
      <c r="H2023" s="9">
        <v>15</v>
      </c>
      <c r="I2023" s="9">
        <v>0</v>
      </c>
      <c r="J2023" s="9">
        <v>697</v>
      </c>
      <c r="K2023" s="9">
        <f t="shared" si="2054"/>
        <v>712</v>
      </c>
      <c r="L2023" s="10">
        <v>0</v>
      </c>
      <c r="M2023" s="11">
        <v>0</v>
      </c>
      <c r="N2023" s="10">
        <f>O2023/50</f>
        <v>200</v>
      </c>
      <c r="O2023" s="11">
        <v>10000</v>
      </c>
      <c r="P2023" s="10">
        <v>0</v>
      </c>
      <c r="Q2023" s="11">
        <v>0</v>
      </c>
      <c r="R2023" s="10">
        <v>0</v>
      </c>
      <c r="S2023" s="11">
        <v>0</v>
      </c>
      <c r="T2023" s="10">
        <v>0</v>
      </c>
      <c r="U2023" s="11">
        <v>0</v>
      </c>
      <c r="V2023" s="10">
        <v>0</v>
      </c>
      <c r="W2023" s="11">
        <v>0</v>
      </c>
      <c r="X2023" s="10">
        <f>Y2023/75</f>
        <v>26.666666666666668</v>
      </c>
      <c r="Y2023" s="11">
        <v>2000</v>
      </c>
      <c r="Z2023" s="10">
        <v>0</v>
      </c>
      <c r="AA2023" s="11">
        <v>0</v>
      </c>
      <c r="AB2023" s="10">
        <v>0</v>
      </c>
      <c r="AC2023" s="11">
        <v>0</v>
      </c>
      <c r="AD2023" s="10">
        <v>0</v>
      </c>
      <c r="AE2023" s="11">
        <v>0</v>
      </c>
      <c r="AF2023" s="10">
        <v>0</v>
      </c>
      <c r="AG2023" s="11">
        <v>0</v>
      </c>
      <c r="AH2023" s="10">
        <v>0</v>
      </c>
      <c r="AI2023" s="11">
        <v>0</v>
      </c>
      <c r="AJ2023" s="10">
        <v>0</v>
      </c>
      <c r="AK2023" s="13">
        <v>0</v>
      </c>
      <c r="AL2023" s="10">
        <v>0</v>
      </c>
      <c r="AM2023" s="13">
        <v>0</v>
      </c>
      <c r="AN2023" s="10">
        <v>0</v>
      </c>
      <c r="AO2023" s="11">
        <v>0</v>
      </c>
      <c r="AP2023" s="10">
        <f>AQ2023/80</f>
        <v>937.5</v>
      </c>
      <c r="AQ2023" s="11">
        <v>75000</v>
      </c>
      <c r="BN2023" s="8">
        <f t="shared" si="2052"/>
        <v>26.666666666666668</v>
      </c>
      <c r="BO2023" s="8">
        <f t="shared" si="2053"/>
        <v>2000</v>
      </c>
      <c r="BP2023" s="8">
        <f t="shared" si="2011"/>
        <v>1164.1666666666667</v>
      </c>
      <c r="BQ2023" s="12">
        <f t="shared" si="2012"/>
        <v>87000</v>
      </c>
    </row>
    <row r="2024" spans="1:69">
      <c r="A2024" s="28">
        <v>2005</v>
      </c>
      <c r="B2024" s="27" t="s">
        <v>89</v>
      </c>
      <c r="C2024" s="24">
        <f t="shared" si="2014"/>
        <v>1974</v>
      </c>
      <c r="D2024" s="7" t="e">
        <f t="shared" ca="1" si="2033"/>
        <v>#N/A</v>
      </c>
      <c r="E2024" s="26">
        <f t="array" aca="1" ref="E2024" ca="1">AVERAGE(IF(INDIRECT(DatCol&amp;"$"&amp;TEXT(C2024,"###")):INDIRECT(DatCol&amp;"$"&amp;TEXT(C2024+57,"###"))&gt;0,INDIRECT(DatCol&amp;"$"&amp;TEXT(C2024,"###")):INDIRECT(DatCol&amp;"$"&amp;TEXT(C2024+57,"###"))))</f>
        <v>1634.4</v>
      </c>
      <c r="F2024" s="26" t="str">
        <f t="shared" ref="F2024:F2093" si="2055">VLOOKUP(B2024,town_region,2,FALSE)</f>
        <v>S</v>
      </c>
      <c r="K2024" s="9">
        <f t="shared" si="2054"/>
        <v>0</v>
      </c>
      <c r="AK2024" s="13"/>
      <c r="AM2024" s="13"/>
      <c r="BN2024" s="8">
        <f t="shared" si="2052"/>
        <v>0</v>
      </c>
      <c r="BO2024" s="8">
        <f t="shared" si="2053"/>
        <v>0</v>
      </c>
      <c r="BP2024" s="8">
        <f t="shared" si="2011"/>
        <v>0</v>
      </c>
      <c r="BQ2024" s="12">
        <f t="shared" si="2012"/>
        <v>0</v>
      </c>
    </row>
    <row r="2025" spans="1:69">
      <c r="A2025" s="28">
        <v>2006</v>
      </c>
      <c r="B2025" s="27" t="s">
        <v>89</v>
      </c>
      <c r="C2025" s="24">
        <f t="shared" si="2014"/>
        <v>1974</v>
      </c>
      <c r="D2025" s="7" t="e">
        <f t="shared" ca="1" si="2033"/>
        <v>#N/A</v>
      </c>
      <c r="E2025" s="26">
        <f t="array" aca="1" ref="E2025" ca="1">AVERAGE(IF(INDIRECT(DatCol&amp;"$"&amp;TEXT(C2025,"###")):INDIRECT(DatCol&amp;"$"&amp;TEXT(C2025+57,"###"))&gt;0,INDIRECT(DatCol&amp;"$"&amp;TEXT(C2025,"###")):INDIRECT(DatCol&amp;"$"&amp;TEXT(C2025+57,"###"))))</f>
        <v>1634.4</v>
      </c>
      <c r="F2025" s="26" t="str">
        <f t="shared" si="2055"/>
        <v>S</v>
      </c>
      <c r="K2025" s="9">
        <f t="shared" si="2054"/>
        <v>0</v>
      </c>
      <c r="AK2025" s="13"/>
      <c r="AM2025" s="13"/>
      <c r="BN2025" s="8">
        <f t="shared" si="2052"/>
        <v>0</v>
      </c>
      <c r="BO2025" s="8">
        <f t="shared" si="2053"/>
        <v>0</v>
      </c>
      <c r="BP2025" s="8">
        <f t="shared" si="2011"/>
        <v>0</v>
      </c>
      <c r="BQ2025" s="12">
        <f t="shared" si="2012"/>
        <v>0</v>
      </c>
    </row>
    <row r="2026" spans="1:69">
      <c r="A2026" s="28">
        <v>2007</v>
      </c>
      <c r="B2026" s="27" t="s">
        <v>89</v>
      </c>
      <c r="C2026" s="24">
        <f t="shared" si="2014"/>
        <v>1974</v>
      </c>
      <c r="D2026" s="7" t="e">
        <f t="shared" ca="1" si="2033"/>
        <v>#N/A</v>
      </c>
      <c r="E2026" s="26">
        <f t="array" aca="1" ref="E2026" ca="1">AVERAGE(IF(INDIRECT(DatCol&amp;"$"&amp;TEXT(C2026,"###")):INDIRECT(DatCol&amp;"$"&amp;TEXT(C2026+57,"###"))&gt;0,INDIRECT(DatCol&amp;"$"&amp;TEXT(C2026,"###")):INDIRECT(DatCol&amp;"$"&amp;TEXT(C2026+57,"###"))))</f>
        <v>1634.4</v>
      </c>
      <c r="F2026" s="26" t="str">
        <f t="shared" si="2055"/>
        <v>S</v>
      </c>
      <c r="K2026" s="9">
        <f t="shared" si="2054"/>
        <v>0</v>
      </c>
      <c r="AK2026" s="13"/>
      <c r="AM2026" s="13"/>
      <c r="BN2026" s="8">
        <f t="shared" si="2052"/>
        <v>0</v>
      </c>
      <c r="BO2026" s="8">
        <f t="shared" si="2053"/>
        <v>0</v>
      </c>
      <c r="BP2026" s="8">
        <f t="shared" si="2011"/>
        <v>0</v>
      </c>
      <c r="BQ2026" s="12">
        <f t="shared" si="2012"/>
        <v>0</v>
      </c>
    </row>
    <row r="2027" spans="1:69">
      <c r="A2027" s="28">
        <v>2008</v>
      </c>
      <c r="B2027" s="27" t="s">
        <v>89</v>
      </c>
      <c r="C2027" s="24">
        <f t="shared" si="2014"/>
        <v>1974</v>
      </c>
      <c r="D2027" s="7" t="e">
        <f t="shared" ca="1" si="2033"/>
        <v>#N/A</v>
      </c>
      <c r="E2027" s="26">
        <f t="array" aca="1" ref="E2027" ca="1">AVERAGE(IF(INDIRECT(DatCol&amp;"$"&amp;TEXT(C2027,"###")):INDIRECT(DatCol&amp;"$"&amp;TEXT(C2027+57,"###"))&gt;0,INDIRECT(DatCol&amp;"$"&amp;TEXT(C2027,"###")):INDIRECT(DatCol&amp;"$"&amp;TEXT(C2027+57,"###"))))</f>
        <v>1634.4</v>
      </c>
      <c r="F2027" s="26" t="str">
        <f t="shared" si="2055"/>
        <v>S</v>
      </c>
      <c r="K2027" s="9">
        <f t="shared" si="2054"/>
        <v>0</v>
      </c>
      <c r="AK2027" s="13"/>
      <c r="AM2027" s="13"/>
      <c r="BN2027" s="8">
        <f t="shared" si="2052"/>
        <v>0</v>
      </c>
      <c r="BO2027" s="8">
        <f t="shared" si="2053"/>
        <v>0</v>
      </c>
      <c r="BP2027" s="8">
        <f t="shared" si="2011"/>
        <v>0</v>
      </c>
      <c r="BQ2027" s="12">
        <f t="shared" si="2012"/>
        <v>0</v>
      </c>
    </row>
    <row r="2028" spans="1:69">
      <c r="A2028" s="28">
        <v>2009</v>
      </c>
      <c r="B2028" s="27" t="s">
        <v>89</v>
      </c>
      <c r="C2028" s="24">
        <f t="shared" si="2014"/>
        <v>1974</v>
      </c>
      <c r="D2028" s="7" t="e">
        <f t="shared" ca="1" si="2033"/>
        <v>#N/A</v>
      </c>
      <c r="E2028" s="26">
        <f t="array" aca="1" ref="E2028" ca="1">AVERAGE(IF(INDIRECT(DatCol&amp;"$"&amp;TEXT(C2028,"###")):INDIRECT(DatCol&amp;"$"&amp;TEXT(C2028+57,"###"))&gt;0,INDIRECT(DatCol&amp;"$"&amp;TEXT(C2028,"###")):INDIRECT(DatCol&amp;"$"&amp;TEXT(C2028+57,"###"))))</f>
        <v>1634.4</v>
      </c>
      <c r="F2028" s="26" t="str">
        <f t="shared" si="2055"/>
        <v>S</v>
      </c>
      <c r="K2028" s="9">
        <f t="shared" si="2054"/>
        <v>0</v>
      </c>
      <c r="AK2028" s="13"/>
      <c r="AM2028" s="13"/>
      <c r="BN2028" s="8">
        <f t="shared" si="2052"/>
        <v>0</v>
      </c>
      <c r="BO2028" s="8">
        <f t="shared" si="2053"/>
        <v>0</v>
      </c>
      <c r="BP2028" s="8">
        <f t="shared" si="2011"/>
        <v>0</v>
      </c>
      <c r="BQ2028" s="12">
        <f t="shared" si="2012"/>
        <v>0</v>
      </c>
    </row>
    <row r="2029" spans="1:69">
      <c r="A2029" s="28">
        <v>2010</v>
      </c>
      <c r="B2029" s="27" t="s">
        <v>89</v>
      </c>
      <c r="C2029" s="24">
        <f t="shared" si="2014"/>
        <v>1974</v>
      </c>
      <c r="D2029" s="7" t="e">
        <f t="shared" ca="1" si="2033"/>
        <v>#N/A</v>
      </c>
      <c r="E2029" s="26">
        <f t="array" aca="1" ref="E2029" ca="1">AVERAGE(IF(INDIRECT(DatCol&amp;"$"&amp;TEXT(C2029,"###")):INDIRECT(DatCol&amp;"$"&amp;TEXT(C2029+57,"###"))&gt;0,INDIRECT(DatCol&amp;"$"&amp;TEXT(C2029,"###")):INDIRECT(DatCol&amp;"$"&amp;TEXT(C2029+57,"###"))))</f>
        <v>1634.4</v>
      </c>
      <c r="F2029" s="26" t="str">
        <f t="shared" ref="F2029:F2031" si="2056">VLOOKUP(B2029,town_region,2,FALSE)</f>
        <v>S</v>
      </c>
      <c r="AK2029" s="13"/>
      <c r="AM2029" s="13"/>
      <c r="BN2029" s="8"/>
      <c r="BO2029" s="8"/>
      <c r="BP2029" s="8"/>
      <c r="BQ2029" s="12"/>
    </row>
    <row r="2030" spans="1:69">
      <c r="A2030" s="28">
        <v>2011</v>
      </c>
      <c r="B2030" s="27" t="s">
        <v>89</v>
      </c>
      <c r="C2030" s="24">
        <f t="shared" si="2014"/>
        <v>1974</v>
      </c>
      <c r="D2030" s="7" t="e">
        <f t="shared" ca="1" si="2033"/>
        <v>#N/A</v>
      </c>
      <c r="E2030" s="26">
        <f t="array" aca="1" ref="E2030" ca="1">AVERAGE(IF(INDIRECT(DatCol&amp;"$"&amp;TEXT(C2030,"###")):INDIRECT(DatCol&amp;"$"&amp;TEXT(C2030+57,"###"))&gt;0,INDIRECT(DatCol&amp;"$"&amp;TEXT(C2030,"###")):INDIRECT(DatCol&amp;"$"&amp;TEXT(C2030+57,"###"))))</f>
        <v>1634.4</v>
      </c>
      <c r="F2030" s="26" t="str">
        <f t="shared" si="2056"/>
        <v>S</v>
      </c>
      <c r="AK2030" s="13"/>
      <c r="AM2030" s="13"/>
      <c r="BN2030" s="8"/>
      <c r="BO2030" s="8"/>
      <c r="BP2030" s="8"/>
      <c r="BQ2030" s="12"/>
    </row>
    <row r="2031" spans="1:69">
      <c r="A2031" s="28">
        <v>2012</v>
      </c>
      <c r="B2031" s="27" t="s">
        <v>89</v>
      </c>
      <c r="C2031" s="24">
        <f t="shared" si="2014"/>
        <v>1974</v>
      </c>
      <c r="D2031" s="7" t="e">
        <f t="shared" ca="1" si="2033"/>
        <v>#N/A</v>
      </c>
      <c r="E2031" s="26">
        <f t="array" aca="1" ref="E2031" ca="1">AVERAGE(IF(INDIRECT(DatCol&amp;"$"&amp;TEXT(C2031,"###")):INDIRECT(DatCol&amp;"$"&amp;TEXT(C2031+57,"###"))&gt;0,INDIRECT(DatCol&amp;"$"&amp;TEXT(C2031,"###")):INDIRECT(DatCol&amp;"$"&amp;TEXT(C2031+57,"###"))))</f>
        <v>1634.4</v>
      </c>
      <c r="F2031" s="26" t="str">
        <f t="shared" si="2056"/>
        <v>S</v>
      </c>
      <c r="AK2031" s="13"/>
      <c r="AM2031" s="13"/>
      <c r="BN2031" s="8"/>
      <c r="BO2031" s="8"/>
      <c r="BP2031" s="8"/>
      <c r="BQ2031" s="12"/>
    </row>
    <row r="2032" spans="1:69">
      <c r="A2032" s="28">
        <v>1955</v>
      </c>
      <c r="B2032" s="27" t="s">
        <v>90</v>
      </c>
      <c r="C2032" s="24">
        <f>ROW()</f>
        <v>2032</v>
      </c>
      <c r="D2032" s="7" t="e">
        <f t="shared" ca="1" si="2033"/>
        <v>#N/A</v>
      </c>
      <c r="E2032" s="26">
        <f t="array" aca="1" ref="E2032" ca="1">AVERAGE(IF(INDIRECT(DatCol&amp;"$"&amp;TEXT(C2032,"###")):INDIRECT(DatCol&amp;"$"&amp;TEXT(C2032+57,"###"))&gt;0,INDIRECT(DatCol&amp;"$"&amp;TEXT(C2032,"###")):INDIRECT(DatCol&amp;"$"&amp;TEXT(C2032+57,"###"))))</f>
        <v>1200</v>
      </c>
      <c r="F2032" s="26" t="str">
        <f t="shared" si="2055"/>
        <v>S</v>
      </c>
      <c r="G2032" s="8"/>
      <c r="K2032" s="9">
        <f t="shared" si="2054"/>
        <v>0</v>
      </c>
      <c r="M2032" s="11">
        <f t="shared" ref="M2032:M2047" si="2057">(L2032*50)</f>
        <v>0</v>
      </c>
      <c r="O2032" s="11">
        <f t="shared" ref="O2032:O2047" si="2058">(N2032*50)</f>
        <v>0</v>
      </c>
      <c r="Q2032" s="11">
        <f t="shared" ref="Q2032:Q2047" si="2059">((P2032*330)/5.5)</f>
        <v>0</v>
      </c>
      <c r="Y2032" s="11">
        <f t="shared" ref="Y2032:Y2047" si="2060">((X2032*330)/5.5)</f>
        <v>0</v>
      </c>
      <c r="AG2032" s="11">
        <f t="shared" ref="AG2032:AG2047" si="2061">(AF2032*65)</f>
        <v>0</v>
      </c>
      <c r="AI2032" s="11">
        <f t="shared" ref="AI2032:AI2047" si="2062">(AH2032*65)</f>
        <v>0</v>
      </c>
      <c r="AK2032" s="13">
        <f t="shared" ref="AK2032:AK2047" si="2063">(AJ2032*9)</f>
        <v>0</v>
      </c>
      <c r="AM2032" s="13">
        <f t="shared" ref="AM2032:AM2047" si="2064">(AL2032*9)</f>
        <v>0</v>
      </c>
      <c r="AO2032" s="11">
        <f t="shared" ref="AO2032:AO2047" si="2065">(AN2032*80)</f>
        <v>0</v>
      </c>
      <c r="AQ2032" s="11">
        <f t="shared" ref="AQ2032:AQ2047" si="2066">(AP2032*80)</f>
        <v>0</v>
      </c>
      <c r="AS2032" s="11">
        <f t="shared" ref="AS2032:AS2047" si="2067">(AR2032*50)</f>
        <v>0</v>
      </c>
      <c r="AU2032" s="11">
        <f t="shared" ref="AU2032:AU2047" si="2068">(AT2032*50)</f>
        <v>0</v>
      </c>
      <c r="AW2032" s="11">
        <f t="shared" ref="AW2032:AW2047" si="2069">(AV2032*60)</f>
        <v>0</v>
      </c>
      <c r="AY2032" s="11">
        <f t="shared" ref="AY2032:AY2047" si="2070">(AX2032*60)</f>
        <v>0</v>
      </c>
      <c r="BA2032" s="11">
        <f t="shared" ref="BA2032:BA2047" si="2071">(AZ2032*40)</f>
        <v>0</v>
      </c>
      <c r="BC2032" s="11">
        <f t="shared" ref="BC2032:BC2047" si="2072">(BB2032*40)</f>
        <v>0</v>
      </c>
      <c r="BE2032" s="11">
        <f t="shared" ref="BE2032:BE2047" si="2073">(BD2032*95)</f>
        <v>0</v>
      </c>
      <c r="BG2032" s="11">
        <f t="shared" ref="BG2032:BG2047" si="2074">(BF2032*95)</f>
        <v>0</v>
      </c>
      <c r="BN2032" s="8">
        <f t="shared" si="2052"/>
        <v>0</v>
      </c>
      <c r="BO2032" s="8">
        <f t="shared" si="2053"/>
        <v>0</v>
      </c>
      <c r="BP2032" s="8">
        <f t="shared" ref="BP2032:BP2095" si="2075">(N2032+X2032+Z2032+AB2032+AD2032+AH2032+AL2032+AP2032+AT2032+AX2032+BB2032+BF2032)</f>
        <v>0</v>
      </c>
      <c r="BQ2032" s="12">
        <f t="shared" ref="BQ2032:BQ2095" si="2076">(O2032+Y2032+AA2032+AC2032+AE2032+AI2032+AM2032+AQ2032+AU2032+AY2032+BC2032+BG2032)</f>
        <v>0</v>
      </c>
    </row>
    <row r="2033" spans="1:69">
      <c r="A2033" s="28">
        <v>1956</v>
      </c>
      <c r="B2033" s="27" t="s">
        <v>90</v>
      </c>
      <c r="C2033" s="24">
        <f t="shared" ref="C2033:C2089" si="2077">C2032</f>
        <v>2032</v>
      </c>
      <c r="D2033" s="7" t="e">
        <f t="shared" ca="1" si="2033"/>
        <v>#N/A</v>
      </c>
      <c r="E2033" s="26">
        <f t="array" aca="1" ref="E2033" ca="1">AVERAGE(IF(INDIRECT(DatCol&amp;"$"&amp;TEXT(C2033,"###")):INDIRECT(DatCol&amp;"$"&amp;TEXT(C2033+57,"###"))&gt;0,INDIRECT(DatCol&amp;"$"&amp;TEXT(C2033,"###")):INDIRECT(DatCol&amp;"$"&amp;TEXT(C2033+57,"###"))))</f>
        <v>1200</v>
      </c>
      <c r="F2033" s="26" t="str">
        <f t="shared" si="2055"/>
        <v>S</v>
      </c>
      <c r="G2033" s="8"/>
      <c r="K2033" s="9">
        <f t="shared" si="2054"/>
        <v>0</v>
      </c>
      <c r="M2033" s="11">
        <f t="shared" si="2057"/>
        <v>0</v>
      </c>
      <c r="O2033" s="11">
        <f t="shared" si="2058"/>
        <v>0</v>
      </c>
      <c r="Q2033" s="11">
        <f t="shared" si="2059"/>
        <v>0</v>
      </c>
      <c r="Y2033" s="11">
        <f t="shared" si="2060"/>
        <v>0</v>
      </c>
      <c r="AG2033" s="11">
        <f t="shared" si="2061"/>
        <v>0</v>
      </c>
      <c r="AI2033" s="11">
        <f t="shared" si="2062"/>
        <v>0</v>
      </c>
      <c r="AK2033" s="13">
        <f t="shared" si="2063"/>
        <v>0</v>
      </c>
      <c r="AM2033" s="13">
        <f t="shared" si="2064"/>
        <v>0</v>
      </c>
      <c r="AO2033" s="11">
        <f t="shared" si="2065"/>
        <v>0</v>
      </c>
      <c r="AQ2033" s="11">
        <f t="shared" si="2066"/>
        <v>0</v>
      </c>
      <c r="AS2033" s="11">
        <f t="shared" si="2067"/>
        <v>0</v>
      </c>
      <c r="AU2033" s="11">
        <f t="shared" si="2068"/>
        <v>0</v>
      </c>
      <c r="AW2033" s="11">
        <f t="shared" si="2069"/>
        <v>0</v>
      </c>
      <c r="AY2033" s="11">
        <f t="shared" si="2070"/>
        <v>0</v>
      </c>
      <c r="BA2033" s="11">
        <f t="shared" si="2071"/>
        <v>0</v>
      </c>
      <c r="BC2033" s="11">
        <f t="shared" si="2072"/>
        <v>0</v>
      </c>
      <c r="BE2033" s="11">
        <f t="shared" si="2073"/>
        <v>0</v>
      </c>
      <c r="BG2033" s="11">
        <f t="shared" si="2074"/>
        <v>0</v>
      </c>
      <c r="BN2033" s="8">
        <f t="shared" si="2052"/>
        <v>0</v>
      </c>
      <c r="BO2033" s="8">
        <f t="shared" si="2053"/>
        <v>0</v>
      </c>
      <c r="BP2033" s="8">
        <f t="shared" si="2075"/>
        <v>0</v>
      </c>
      <c r="BQ2033" s="12">
        <f t="shared" si="2076"/>
        <v>0</v>
      </c>
    </row>
    <row r="2034" spans="1:69">
      <c r="A2034" s="28">
        <v>1957</v>
      </c>
      <c r="B2034" s="27" t="s">
        <v>90</v>
      </c>
      <c r="C2034" s="24">
        <f t="shared" si="2077"/>
        <v>2032</v>
      </c>
      <c r="D2034" s="7" t="e">
        <f t="shared" ca="1" si="2033"/>
        <v>#N/A</v>
      </c>
      <c r="E2034" s="26">
        <f t="array" aca="1" ref="E2034" ca="1">AVERAGE(IF(INDIRECT(DatCol&amp;"$"&amp;TEXT(C2034,"###")):INDIRECT(DatCol&amp;"$"&amp;TEXT(C2034+57,"###"))&gt;0,INDIRECT(DatCol&amp;"$"&amp;TEXT(C2034,"###")):INDIRECT(DatCol&amp;"$"&amp;TEXT(C2034+57,"###"))))</f>
        <v>1200</v>
      </c>
      <c r="F2034" s="26" t="str">
        <f t="shared" si="2055"/>
        <v>S</v>
      </c>
      <c r="G2034" s="8"/>
      <c r="K2034" s="9">
        <f t="shared" si="2054"/>
        <v>0</v>
      </c>
      <c r="M2034" s="11">
        <f t="shared" si="2057"/>
        <v>0</v>
      </c>
      <c r="O2034" s="11">
        <f t="shared" si="2058"/>
        <v>0</v>
      </c>
      <c r="Q2034" s="11">
        <f t="shared" si="2059"/>
        <v>0</v>
      </c>
      <c r="Y2034" s="11">
        <f t="shared" si="2060"/>
        <v>0</v>
      </c>
      <c r="AG2034" s="11">
        <f t="shared" si="2061"/>
        <v>0</v>
      </c>
      <c r="AI2034" s="11">
        <f t="shared" si="2062"/>
        <v>0</v>
      </c>
      <c r="AK2034" s="13">
        <f t="shared" si="2063"/>
        <v>0</v>
      </c>
      <c r="AM2034" s="13">
        <f t="shared" si="2064"/>
        <v>0</v>
      </c>
      <c r="AO2034" s="11">
        <f t="shared" si="2065"/>
        <v>0</v>
      </c>
      <c r="AQ2034" s="11">
        <f t="shared" si="2066"/>
        <v>0</v>
      </c>
      <c r="AS2034" s="11">
        <f t="shared" si="2067"/>
        <v>0</v>
      </c>
      <c r="AU2034" s="11">
        <f t="shared" si="2068"/>
        <v>0</v>
      </c>
      <c r="AW2034" s="11">
        <f t="shared" si="2069"/>
        <v>0</v>
      </c>
      <c r="AY2034" s="11">
        <f t="shared" si="2070"/>
        <v>0</v>
      </c>
      <c r="BA2034" s="11">
        <f t="shared" si="2071"/>
        <v>0</v>
      </c>
      <c r="BC2034" s="11">
        <f t="shared" si="2072"/>
        <v>0</v>
      </c>
      <c r="BE2034" s="11">
        <f t="shared" si="2073"/>
        <v>0</v>
      </c>
      <c r="BG2034" s="11">
        <f t="shared" si="2074"/>
        <v>0</v>
      </c>
      <c r="BN2034" s="8">
        <f t="shared" si="2052"/>
        <v>0</v>
      </c>
      <c r="BO2034" s="8">
        <f t="shared" si="2053"/>
        <v>0</v>
      </c>
      <c r="BP2034" s="8">
        <f t="shared" si="2075"/>
        <v>0</v>
      </c>
      <c r="BQ2034" s="12">
        <f t="shared" si="2076"/>
        <v>0</v>
      </c>
    </row>
    <row r="2035" spans="1:69">
      <c r="A2035" s="28">
        <v>1958</v>
      </c>
      <c r="B2035" s="27" t="s">
        <v>90</v>
      </c>
      <c r="C2035" s="24">
        <f t="shared" si="2077"/>
        <v>2032</v>
      </c>
      <c r="D2035" s="7" t="e">
        <f t="shared" ca="1" si="2033"/>
        <v>#N/A</v>
      </c>
      <c r="E2035" s="26">
        <f t="array" aca="1" ref="E2035" ca="1">AVERAGE(IF(INDIRECT(DatCol&amp;"$"&amp;TEXT(C2035,"###")):INDIRECT(DatCol&amp;"$"&amp;TEXT(C2035+57,"###"))&gt;0,INDIRECT(DatCol&amp;"$"&amp;TEXT(C2035,"###")):INDIRECT(DatCol&amp;"$"&amp;TEXT(C2035+57,"###"))))</f>
        <v>1200</v>
      </c>
      <c r="F2035" s="26" t="str">
        <f t="shared" si="2055"/>
        <v>S</v>
      </c>
      <c r="G2035" s="8"/>
      <c r="K2035" s="9">
        <f t="shared" si="2054"/>
        <v>0</v>
      </c>
      <c r="M2035" s="11">
        <f t="shared" si="2057"/>
        <v>0</v>
      </c>
      <c r="O2035" s="11">
        <f t="shared" si="2058"/>
        <v>0</v>
      </c>
      <c r="Q2035" s="11">
        <f t="shared" si="2059"/>
        <v>0</v>
      </c>
      <c r="Y2035" s="11">
        <f t="shared" si="2060"/>
        <v>0</v>
      </c>
      <c r="AG2035" s="11">
        <f t="shared" si="2061"/>
        <v>0</v>
      </c>
      <c r="AI2035" s="11">
        <f t="shared" si="2062"/>
        <v>0</v>
      </c>
      <c r="AK2035" s="13">
        <f t="shared" si="2063"/>
        <v>0</v>
      </c>
      <c r="AM2035" s="13">
        <f t="shared" si="2064"/>
        <v>0</v>
      </c>
      <c r="AO2035" s="11">
        <f t="shared" si="2065"/>
        <v>0</v>
      </c>
      <c r="AQ2035" s="11">
        <f t="shared" si="2066"/>
        <v>0</v>
      </c>
      <c r="AS2035" s="11">
        <f t="shared" si="2067"/>
        <v>0</v>
      </c>
      <c r="AU2035" s="11">
        <f t="shared" si="2068"/>
        <v>0</v>
      </c>
      <c r="AW2035" s="11">
        <f t="shared" si="2069"/>
        <v>0</v>
      </c>
      <c r="AY2035" s="11">
        <f t="shared" si="2070"/>
        <v>0</v>
      </c>
      <c r="BA2035" s="11">
        <f t="shared" si="2071"/>
        <v>0</v>
      </c>
      <c r="BC2035" s="11">
        <f t="shared" si="2072"/>
        <v>0</v>
      </c>
      <c r="BE2035" s="11">
        <f t="shared" si="2073"/>
        <v>0</v>
      </c>
      <c r="BG2035" s="11">
        <f t="shared" si="2074"/>
        <v>0</v>
      </c>
      <c r="BN2035" s="8">
        <f t="shared" si="2052"/>
        <v>0</v>
      </c>
      <c r="BO2035" s="8">
        <f t="shared" si="2053"/>
        <v>0</v>
      </c>
      <c r="BP2035" s="8">
        <f t="shared" si="2075"/>
        <v>0</v>
      </c>
      <c r="BQ2035" s="12">
        <f t="shared" si="2076"/>
        <v>0</v>
      </c>
    </row>
    <row r="2036" spans="1:69">
      <c r="A2036" s="28">
        <v>1959</v>
      </c>
      <c r="B2036" s="27" t="s">
        <v>90</v>
      </c>
      <c r="C2036" s="24">
        <f t="shared" si="2077"/>
        <v>2032</v>
      </c>
      <c r="D2036" s="7" t="e">
        <f t="shared" ca="1" si="2033"/>
        <v>#N/A</v>
      </c>
      <c r="E2036" s="26">
        <f t="array" aca="1" ref="E2036" ca="1">AVERAGE(IF(INDIRECT(DatCol&amp;"$"&amp;TEXT(C2036,"###")):INDIRECT(DatCol&amp;"$"&amp;TEXT(C2036+57,"###"))&gt;0,INDIRECT(DatCol&amp;"$"&amp;TEXT(C2036,"###")):INDIRECT(DatCol&amp;"$"&amp;TEXT(C2036+57,"###"))))</f>
        <v>1200</v>
      </c>
      <c r="F2036" s="26" t="str">
        <f t="shared" si="2055"/>
        <v>S</v>
      </c>
      <c r="G2036" s="8"/>
      <c r="K2036" s="9">
        <f t="shared" si="2054"/>
        <v>0</v>
      </c>
      <c r="M2036" s="11">
        <f t="shared" si="2057"/>
        <v>0</v>
      </c>
      <c r="O2036" s="11">
        <f t="shared" si="2058"/>
        <v>0</v>
      </c>
      <c r="Q2036" s="11">
        <f t="shared" si="2059"/>
        <v>0</v>
      </c>
      <c r="Y2036" s="11">
        <f t="shared" si="2060"/>
        <v>0</v>
      </c>
      <c r="AG2036" s="11">
        <f t="shared" si="2061"/>
        <v>0</v>
      </c>
      <c r="AI2036" s="11">
        <f t="shared" si="2062"/>
        <v>0</v>
      </c>
      <c r="AK2036" s="13">
        <f t="shared" si="2063"/>
        <v>0</v>
      </c>
      <c r="AM2036" s="13">
        <f t="shared" si="2064"/>
        <v>0</v>
      </c>
      <c r="AO2036" s="11">
        <f t="shared" si="2065"/>
        <v>0</v>
      </c>
      <c r="AQ2036" s="11">
        <f t="shared" si="2066"/>
        <v>0</v>
      </c>
      <c r="AS2036" s="11">
        <f t="shared" si="2067"/>
        <v>0</v>
      </c>
      <c r="AU2036" s="11">
        <f t="shared" si="2068"/>
        <v>0</v>
      </c>
      <c r="AW2036" s="11">
        <f t="shared" si="2069"/>
        <v>0</v>
      </c>
      <c r="AY2036" s="11">
        <f t="shared" si="2070"/>
        <v>0</v>
      </c>
      <c r="BA2036" s="11">
        <f t="shared" si="2071"/>
        <v>0</v>
      </c>
      <c r="BC2036" s="11">
        <f t="shared" si="2072"/>
        <v>0</v>
      </c>
      <c r="BE2036" s="11">
        <f t="shared" si="2073"/>
        <v>0</v>
      </c>
      <c r="BG2036" s="11">
        <f t="shared" si="2074"/>
        <v>0</v>
      </c>
      <c r="BN2036" s="8">
        <f t="shared" si="2052"/>
        <v>0</v>
      </c>
      <c r="BO2036" s="8">
        <f t="shared" si="2053"/>
        <v>0</v>
      </c>
      <c r="BP2036" s="8">
        <f t="shared" si="2075"/>
        <v>0</v>
      </c>
      <c r="BQ2036" s="12">
        <f t="shared" si="2076"/>
        <v>0</v>
      </c>
    </row>
    <row r="2037" spans="1:69">
      <c r="A2037" s="28">
        <v>1960</v>
      </c>
      <c r="B2037" s="27" t="s">
        <v>90</v>
      </c>
      <c r="C2037" s="24">
        <f t="shared" si="2077"/>
        <v>2032</v>
      </c>
      <c r="D2037" s="7" t="e">
        <f t="shared" ca="1" si="2033"/>
        <v>#N/A</v>
      </c>
      <c r="E2037" s="26">
        <f t="array" aca="1" ref="E2037" ca="1">AVERAGE(IF(INDIRECT(DatCol&amp;"$"&amp;TEXT(C2037,"###")):INDIRECT(DatCol&amp;"$"&amp;TEXT(C2037+57,"###"))&gt;0,INDIRECT(DatCol&amp;"$"&amp;TEXT(C2037,"###")):INDIRECT(DatCol&amp;"$"&amp;TEXT(C2037+57,"###"))))</f>
        <v>1200</v>
      </c>
      <c r="F2037" s="26" t="str">
        <f t="shared" si="2055"/>
        <v>S</v>
      </c>
      <c r="G2037" s="8"/>
      <c r="K2037" s="9">
        <f t="shared" si="2054"/>
        <v>0</v>
      </c>
      <c r="M2037" s="11">
        <f t="shared" si="2057"/>
        <v>0</v>
      </c>
      <c r="O2037" s="11">
        <f t="shared" si="2058"/>
        <v>0</v>
      </c>
      <c r="Q2037" s="11">
        <f t="shared" si="2059"/>
        <v>0</v>
      </c>
      <c r="Y2037" s="11">
        <f t="shared" si="2060"/>
        <v>0</v>
      </c>
      <c r="AG2037" s="11">
        <f t="shared" si="2061"/>
        <v>0</v>
      </c>
      <c r="AI2037" s="11">
        <f t="shared" si="2062"/>
        <v>0</v>
      </c>
      <c r="AK2037" s="13">
        <f t="shared" si="2063"/>
        <v>0</v>
      </c>
      <c r="AM2037" s="13">
        <f t="shared" si="2064"/>
        <v>0</v>
      </c>
      <c r="AO2037" s="11">
        <f t="shared" si="2065"/>
        <v>0</v>
      </c>
      <c r="AQ2037" s="11">
        <f t="shared" si="2066"/>
        <v>0</v>
      </c>
      <c r="AS2037" s="11">
        <f t="shared" si="2067"/>
        <v>0</v>
      </c>
      <c r="AU2037" s="11">
        <f t="shared" si="2068"/>
        <v>0</v>
      </c>
      <c r="AW2037" s="11">
        <f t="shared" si="2069"/>
        <v>0</v>
      </c>
      <c r="AY2037" s="11">
        <f t="shared" si="2070"/>
        <v>0</v>
      </c>
      <c r="BA2037" s="11">
        <f t="shared" si="2071"/>
        <v>0</v>
      </c>
      <c r="BC2037" s="11">
        <f t="shared" si="2072"/>
        <v>0</v>
      </c>
      <c r="BE2037" s="11">
        <f t="shared" si="2073"/>
        <v>0</v>
      </c>
      <c r="BG2037" s="11">
        <f t="shared" si="2074"/>
        <v>0</v>
      </c>
      <c r="BN2037" s="8">
        <f t="shared" si="2052"/>
        <v>0</v>
      </c>
      <c r="BO2037" s="8">
        <f t="shared" si="2053"/>
        <v>0</v>
      </c>
      <c r="BP2037" s="8">
        <f t="shared" si="2075"/>
        <v>0</v>
      </c>
      <c r="BQ2037" s="12">
        <f t="shared" si="2076"/>
        <v>0</v>
      </c>
    </row>
    <row r="2038" spans="1:69">
      <c r="A2038" s="28">
        <v>1961</v>
      </c>
      <c r="B2038" s="27" t="s">
        <v>90</v>
      </c>
      <c r="C2038" s="24">
        <f t="shared" si="2077"/>
        <v>2032</v>
      </c>
      <c r="D2038" s="7" t="e">
        <f t="shared" ca="1" si="2033"/>
        <v>#N/A</v>
      </c>
      <c r="E2038" s="26">
        <f t="array" aca="1" ref="E2038" ca="1">AVERAGE(IF(INDIRECT(DatCol&amp;"$"&amp;TEXT(C2038,"###")):INDIRECT(DatCol&amp;"$"&amp;TEXT(C2038+57,"###"))&gt;0,INDIRECT(DatCol&amp;"$"&amp;TEXT(C2038,"###")):INDIRECT(DatCol&amp;"$"&amp;TEXT(C2038+57,"###"))))</f>
        <v>1200</v>
      </c>
      <c r="F2038" s="26" t="str">
        <f t="shared" si="2055"/>
        <v>S</v>
      </c>
      <c r="G2038" s="8"/>
      <c r="K2038" s="9">
        <f t="shared" si="2054"/>
        <v>0</v>
      </c>
      <c r="M2038" s="11">
        <f t="shared" si="2057"/>
        <v>0</v>
      </c>
      <c r="O2038" s="11">
        <f t="shared" si="2058"/>
        <v>0</v>
      </c>
      <c r="Q2038" s="11">
        <f t="shared" si="2059"/>
        <v>0</v>
      </c>
      <c r="Y2038" s="11">
        <f t="shared" si="2060"/>
        <v>0</v>
      </c>
      <c r="AG2038" s="11">
        <f t="shared" si="2061"/>
        <v>0</v>
      </c>
      <c r="AI2038" s="11">
        <f t="shared" si="2062"/>
        <v>0</v>
      </c>
      <c r="AK2038" s="13">
        <f t="shared" si="2063"/>
        <v>0</v>
      </c>
      <c r="AM2038" s="13">
        <f t="shared" si="2064"/>
        <v>0</v>
      </c>
      <c r="AO2038" s="11">
        <f t="shared" si="2065"/>
        <v>0</v>
      </c>
      <c r="AQ2038" s="11">
        <f t="shared" si="2066"/>
        <v>0</v>
      </c>
      <c r="AS2038" s="11">
        <f t="shared" si="2067"/>
        <v>0</v>
      </c>
      <c r="AU2038" s="11">
        <f t="shared" si="2068"/>
        <v>0</v>
      </c>
      <c r="AW2038" s="11">
        <f t="shared" si="2069"/>
        <v>0</v>
      </c>
      <c r="AY2038" s="11">
        <f t="shared" si="2070"/>
        <v>0</v>
      </c>
      <c r="BA2038" s="11">
        <f t="shared" si="2071"/>
        <v>0</v>
      </c>
      <c r="BC2038" s="11">
        <f t="shared" si="2072"/>
        <v>0</v>
      </c>
      <c r="BE2038" s="11">
        <f t="shared" si="2073"/>
        <v>0</v>
      </c>
      <c r="BG2038" s="11">
        <f t="shared" si="2074"/>
        <v>0</v>
      </c>
      <c r="BN2038" s="8">
        <f t="shared" si="2052"/>
        <v>0</v>
      </c>
      <c r="BO2038" s="8">
        <f t="shared" si="2053"/>
        <v>0</v>
      </c>
      <c r="BP2038" s="8">
        <f t="shared" si="2075"/>
        <v>0</v>
      </c>
      <c r="BQ2038" s="12">
        <f t="shared" si="2076"/>
        <v>0</v>
      </c>
    </row>
    <row r="2039" spans="1:69">
      <c r="A2039" s="28">
        <v>1962</v>
      </c>
      <c r="B2039" s="27" t="s">
        <v>90</v>
      </c>
      <c r="C2039" s="24">
        <f t="shared" si="2077"/>
        <v>2032</v>
      </c>
      <c r="D2039" s="7" t="e">
        <f t="shared" ca="1" si="2033"/>
        <v>#N/A</v>
      </c>
      <c r="E2039" s="26">
        <f t="array" aca="1" ref="E2039" ca="1">AVERAGE(IF(INDIRECT(DatCol&amp;"$"&amp;TEXT(C2039,"###")):INDIRECT(DatCol&amp;"$"&amp;TEXT(C2039+57,"###"))&gt;0,INDIRECT(DatCol&amp;"$"&amp;TEXT(C2039,"###")):INDIRECT(DatCol&amp;"$"&amp;TEXT(C2039+57,"###"))))</f>
        <v>1200</v>
      </c>
      <c r="F2039" s="26" t="str">
        <f t="shared" si="2055"/>
        <v>S</v>
      </c>
      <c r="G2039" s="8"/>
      <c r="K2039" s="9">
        <f t="shared" si="2054"/>
        <v>0</v>
      </c>
      <c r="M2039" s="11">
        <f t="shared" si="2057"/>
        <v>0</v>
      </c>
      <c r="O2039" s="11">
        <f t="shared" si="2058"/>
        <v>0</v>
      </c>
      <c r="Q2039" s="11">
        <f t="shared" si="2059"/>
        <v>0</v>
      </c>
      <c r="Y2039" s="11">
        <f t="shared" si="2060"/>
        <v>0</v>
      </c>
      <c r="AG2039" s="11">
        <f t="shared" si="2061"/>
        <v>0</v>
      </c>
      <c r="AI2039" s="11">
        <f t="shared" si="2062"/>
        <v>0</v>
      </c>
      <c r="AK2039" s="13">
        <f t="shared" si="2063"/>
        <v>0</v>
      </c>
      <c r="AM2039" s="13">
        <f t="shared" si="2064"/>
        <v>0</v>
      </c>
      <c r="AO2039" s="11">
        <f t="shared" si="2065"/>
        <v>0</v>
      </c>
      <c r="AQ2039" s="11">
        <f t="shared" si="2066"/>
        <v>0</v>
      </c>
      <c r="AS2039" s="11">
        <f t="shared" si="2067"/>
        <v>0</v>
      </c>
      <c r="AU2039" s="11">
        <f t="shared" si="2068"/>
        <v>0</v>
      </c>
      <c r="AW2039" s="11">
        <f t="shared" si="2069"/>
        <v>0</v>
      </c>
      <c r="AY2039" s="11">
        <f t="shared" si="2070"/>
        <v>0</v>
      </c>
      <c r="BA2039" s="11">
        <f t="shared" si="2071"/>
        <v>0</v>
      </c>
      <c r="BC2039" s="11">
        <f t="shared" si="2072"/>
        <v>0</v>
      </c>
      <c r="BE2039" s="11">
        <f t="shared" si="2073"/>
        <v>0</v>
      </c>
      <c r="BG2039" s="11">
        <f t="shared" si="2074"/>
        <v>0</v>
      </c>
      <c r="BN2039" s="8">
        <f t="shared" si="2052"/>
        <v>0</v>
      </c>
      <c r="BO2039" s="8">
        <f t="shared" si="2053"/>
        <v>0</v>
      </c>
      <c r="BP2039" s="8">
        <f t="shared" si="2075"/>
        <v>0</v>
      </c>
      <c r="BQ2039" s="12">
        <f t="shared" si="2076"/>
        <v>0</v>
      </c>
    </row>
    <row r="2040" spans="1:69">
      <c r="A2040" s="28">
        <v>1963</v>
      </c>
      <c r="B2040" s="27" t="s">
        <v>90</v>
      </c>
      <c r="C2040" s="24">
        <f t="shared" si="2077"/>
        <v>2032</v>
      </c>
      <c r="D2040" s="7" t="e">
        <f t="shared" ca="1" si="2033"/>
        <v>#N/A</v>
      </c>
      <c r="E2040" s="26">
        <f t="array" aca="1" ref="E2040" ca="1">AVERAGE(IF(INDIRECT(DatCol&amp;"$"&amp;TEXT(C2040,"###")):INDIRECT(DatCol&amp;"$"&amp;TEXT(C2040+57,"###"))&gt;0,INDIRECT(DatCol&amp;"$"&amp;TEXT(C2040,"###")):INDIRECT(DatCol&amp;"$"&amp;TEXT(C2040+57,"###"))))</f>
        <v>1200</v>
      </c>
      <c r="F2040" s="26" t="str">
        <f t="shared" si="2055"/>
        <v>S</v>
      </c>
      <c r="G2040" s="8"/>
      <c r="K2040" s="9">
        <f t="shared" si="2054"/>
        <v>0</v>
      </c>
      <c r="M2040" s="11">
        <f t="shared" si="2057"/>
        <v>0</v>
      </c>
      <c r="O2040" s="11">
        <f t="shared" si="2058"/>
        <v>0</v>
      </c>
      <c r="Q2040" s="11">
        <f t="shared" si="2059"/>
        <v>0</v>
      </c>
      <c r="Y2040" s="11">
        <f t="shared" si="2060"/>
        <v>0</v>
      </c>
      <c r="AG2040" s="11">
        <f t="shared" si="2061"/>
        <v>0</v>
      </c>
      <c r="AI2040" s="11">
        <f t="shared" si="2062"/>
        <v>0</v>
      </c>
      <c r="AK2040" s="13">
        <f t="shared" si="2063"/>
        <v>0</v>
      </c>
      <c r="AM2040" s="13">
        <f t="shared" si="2064"/>
        <v>0</v>
      </c>
      <c r="AO2040" s="11">
        <f t="shared" si="2065"/>
        <v>0</v>
      </c>
      <c r="AQ2040" s="11">
        <f t="shared" si="2066"/>
        <v>0</v>
      </c>
      <c r="AS2040" s="11">
        <f t="shared" si="2067"/>
        <v>0</v>
      </c>
      <c r="AU2040" s="11">
        <f t="shared" si="2068"/>
        <v>0</v>
      </c>
      <c r="AW2040" s="11">
        <f t="shared" si="2069"/>
        <v>0</v>
      </c>
      <c r="AY2040" s="11">
        <f t="shared" si="2070"/>
        <v>0</v>
      </c>
      <c r="BA2040" s="11">
        <f t="shared" si="2071"/>
        <v>0</v>
      </c>
      <c r="BC2040" s="11">
        <f t="shared" si="2072"/>
        <v>0</v>
      </c>
      <c r="BE2040" s="11">
        <f t="shared" si="2073"/>
        <v>0</v>
      </c>
      <c r="BG2040" s="11">
        <f t="shared" si="2074"/>
        <v>0</v>
      </c>
      <c r="BN2040" s="8">
        <f t="shared" si="2052"/>
        <v>0</v>
      </c>
      <c r="BO2040" s="8">
        <f t="shared" si="2053"/>
        <v>0</v>
      </c>
      <c r="BP2040" s="8">
        <f t="shared" si="2075"/>
        <v>0</v>
      </c>
      <c r="BQ2040" s="12">
        <f t="shared" si="2076"/>
        <v>0</v>
      </c>
    </row>
    <row r="2041" spans="1:69">
      <c r="A2041" s="28">
        <v>1964</v>
      </c>
      <c r="B2041" s="27" t="s">
        <v>90</v>
      </c>
      <c r="C2041" s="24">
        <f t="shared" si="2077"/>
        <v>2032</v>
      </c>
      <c r="D2041" s="7" t="e">
        <f t="shared" ca="1" si="2033"/>
        <v>#N/A</v>
      </c>
      <c r="E2041" s="26">
        <f t="array" aca="1" ref="E2041" ca="1">AVERAGE(IF(INDIRECT(DatCol&amp;"$"&amp;TEXT(C2041,"###")):INDIRECT(DatCol&amp;"$"&amp;TEXT(C2041+57,"###"))&gt;0,INDIRECT(DatCol&amp;"$"&amp;TEXT(C2041,"###")):INDIRECT(DatCol&amp;"$"&amp;TEXT(C2041+57,"###"))))</f>
        <v>1200</v>
      </c>
      <c r="F2041" s="26" t="str">
        <f t="shared" si="2055"/>
        <v>S</v>
      </c>
      <c r="G2041" s="8"/>
      <c r="K2041" s="9">
        <f t="shared" si="2054"/>
        <v>0</v>
      </c>
      <c r="M2041" s="11">
        <f t="shared" si="2057"/>
        <v>0</v>
      </c>
      <c r="O2041" s="11">
        <f t="shared" si="2058"/>
        <v>0</v>
      </c>
      <c r="Q2041" s="11">
        <f t="shared" si="2059"/>
        <v>0</v>
      </c>
      <c r="Y2041" s="11">
        <f t="shared" si="2060"/>
        <v>0</v>
      </c>
      <c r="AG2041" s="11">
        <f t="shared" si="2061"/>
        <v>0</v>
      </c>
      <c r="AI2041" s="11">
        <f t="shared" si="2062"/>
        <v>0</v>
      </c>
      <c r="AK2041" s="13">
        <f t="shared" si="2063"/>
        <v>0</v>
      </c>
      <c r="AM2041" s="13">
        <f t="shared" si="2064"/>
        <v>0</v>
      </c>
      <c r="AO2041" s="11">
        <f t="shared" si="2065"/>
        <v>0</v>
      </c>
      <c r="AQ2041" s="11">
        <f t="shared" si="2066"/>
        <v>0</v>
      </c>
      <c r="AS2041" s="11">
        <f t="shared" si="2067"/>
        <v>0</v>
      </c>
      <c r="AU2041" s="11">
        <f t="shared" si="2068"/>
        <v>0</v>
      </c>
      <c r="AW2041" s="11">
        <f t="shared" si="2069"/>
        <v>0</v>
      </c>
      <c r="AY2041" s="11">
        <f t="shared" si="2070"/>
        <v>0</v>
      </c>
      <c r="BA2041" s="11">
        <f t="shared" si="2071"/>
        <v>0</v>
      </c>
      <c r="BC2041" s="11">
        <f t="shared" si="2072"/>
        <v>0</v>
      </c>
      <c r="BE2041" s="11">
        <f t="shared" si="2073"/>
        <v>0</v>
      </c>
      <c r="BG2041" s="11">
        <f t="shared" si="2074"/>
        <v>0</v>
      </c>
      <c r="BN2041" s="8">
        <f t="shared" si="2052"/>
        <v>0</v>
      </c>
      <c r="BO2041" s="8">
        <f t="shared" si="2053"/>
        <v>0</v>
      </c>
      <c r="BP2041" s="8">
        <f t="shared" si="2075"/>
        <v>0</v>
      </c>
      <c r="BQ2041" s="12">
        <f t="shared" si="2076"/>
        <v>0</v>
      </c>
    </row>
    <row r="2042" spans="1:69">
      <c r="A2042" s="28">
        <v>1965</v>
      </c>
      <c r="B2042" s="27" t="s">
        <v>90</v>
      </c>
      <c r="C2042" s="24">
        <f t="shared" si="2077"/>
        <v>2032</v>
      </c>
      <c r="D2042" s="7" t="e">
        <f t="shared" ca="1" si="2033"/>
        <v>#N/A</v>
      </c>
      <c r="E2042" s="26">
        <f t="array" aca="1" ref="E2042" ca="1">AVERAGE(IF(INDIRECT(DatCol&amp;"$"&amp;TEXT(C2042,"###")):INDIRECT(DatCol&amp;"$"&amp;TEXT(C2042+57,"###"))&gt;0,INDIRECT(DatCol&amp;"$"&amp;TEXT(C2042,"###")):INDIRECT(DatCol&amp;"$"&amp;TEXT(C2042+57,"###"))))</f>
        <v>1200</v>
      </c>
      <c r="F2042" s="26" t="str">
        <f t="shared" si="2055"/>
        <v>S</v>
      </c>
      <c r="G2042" s="8"/>
      <c r="K2042" s="9">
        <f t="shared" si="2054"/>
        <v>0</v>
      </c>
      <c r="M2042" s="11">
        <f t="shared" si="2057"/>
        <v>0</v>
      </c>
      <c r="O2042" s="11">
        <f t="shared" si="2058"/>
        <v>0</v>
      </c>
      <c r="Q2042" s="11">
        <f t="shared" si="2059"/>
        <v>0</v>
      </c>
      <c r="Y2042" s="11">
        <f t="shared" si="2060"/>
        <v>0</v>
      </c>
      <c r="AG2042" s="11">
        <f t="shared" si="2061"/>
        <v>0</v>
      </c>
      <c r="AI2042" s="11">
        <f t="shared" si="2062"/>
        <v>0</v>
      </c>
      <c r="AK2042" s="13">
        <f t="shared" si="2063"/>
        <v>0</v>
      </c>
      <c r="AM2042" s="13">
        <f t="shared" si="2064"/>
        <v>0</v>
      </c>
      <c r="AO2042" s="11">
        <f t="shared" si="2065"/>
        <v>0</v>
      </c>
      <c r="AQ2042" s="11">
        <f t="shared" si="2066"/>
        <v>0</v>
      </c>
      <c r="AS2042" s="11">
        <f t="shared" si="2067"/>
        <v>0</v>
      </c>
      <c r="AU2042" s="11">
        <f t="shared" si="2068"/>
        <v>0</v>
      </c>
      <c r="AW2042" s="11">
        <f t="shared" si="2069"/>
        <v>0</v>
      </c>
      <c r="AY2042" s="11">
        <f t="shared" si="2070"/>
        <v>0</v>
      </c>
      <c r="BA2042" s="11">
        <f t="shared" si="2071"/>
        <v>0</v>
      </c>
      <c r="BC2042" s="11">
        <f t="shared" si="2072"/>
        <v>0</v>
      </c>
      <c r="BE2042" s="11">
        <f t="shared" si="2073"/>
        <v>0</v>
      </c>
      <c r="BG2042" s="11">
        <f t="shared" si="2074"/>
        <v>0</v>
      </c>
      <c r="BN2042" s="8">
        <f t="shared" si="2052"/>
        <v>0</v>
      </c>
      <c r="BO2042" s="8">
        <f t="shared" si="2053"/>
        <v>0</v>
      </c>
      <c r="BP2042" s="8">
        <f t="shared" si="2075"/>
        <v>0</v>
      </c>
      <c r="BQ2042" s="12">
        <f t="shared" si="2076"/>
        <v>0</v>
      </c>
    </row>
    <row r="2043" spans="1:69">
      <c r="A2043" s="28">
        <v>1966</v>
      </c>
      <c r="B2043" s="27" t="s">
        <v>90</v>
      </c>
      <c r="C2043" s="24">
        <f t="shared" si="2077"/>
        <v>2032</v>
      </c>
      <c r="D2043" s="7" t="e">
        <f t="shared" ca="1" si="2033"/>
        <v>#N/A</v>
      </c>
      <c r="E2043" s="26">
        <f t="array" aca="1" ref="E2043" ca="1">AVERAGE(IF(INDIRECT(DatCol&amp;"$"&amp;TEXT(C2043,"###")):INDIRECT(DatCol&amp;"$"&amp;TEXT(C2043+57,"###"))&gt;0,INDIRECT(DatCol&amp;"$"&amp;TEXT(C2043,"###")):INDIRECT(DatCol&amp;"$"&amp;TEXT(C2043+57,"###"))))</f>
        <v>1200</v>
      </c>
      <c r="F2043" s="26" t="str">
        <f t="shared" si="2055"/>
        <v>S</v>
      </c>
      <c r="G2043" s="8"/>
      <c r="K2043" s="9">
        <f t="shared" si="2054"/>
        <v>0</v>
      </c>
      <c r="M2043" s="11">
        <f t="shared" si="2057"/>
        <v>0</v>
      </c>
      <c r="O2043" s="11">
        <f t="shared" si="2058"/>
        <v>0</v>
      </c>
      <c r="Q2043" s="11">
        <f t="shared" si="2059"/>
        <v>0</v>
      </c>
      <c r="Y2043" s="11">
        <f t="shared" si="2060"/>
        <v>0</v>
      </c>
      <c r="AG2043" s="11">
        <f t="shared" si="2061"/>
        <v>0</v>
      </c>
      <c r="AI2043" s="11">
        <f t="shared" si="2062"/>
        <v>0</v>
      </c>
      <c r="AK2043" s="13">
        <f t="shared" si="2063"/>
        <v>0</v>
      </c>
      <c r="AM2043" s="13">
        <f t="shared" si="2064"/>
        <v>0</v>
      </c>
      <c r="AO2043" s="11">
        <f t="shared" si="2065"/>
        <v>0</v>
      </c>
      <c r="AQ2043" s="11">
        <f t="shared" si="2066"/>
        <v>0</v>
      </c>
      <c r="AS2043" s="11">
        <f t="shared" si="2067"/>
        <v>0</v>
      </c>
      <c r="AU2043" s="11">
        <f t="shared" si="2068"/>
        <v>0</v>
      </c>
      <c r="AW2043" s="11">
        <f t="shared" si="2069"/>
        <v>0</v>
      </c>
      <c r="AY2043" s="11">
        <f t="shared" si="2070"/>
        <v>0</v>
      </c>
      <c r="BA2043" s="11">
        <f t="shared" si="2071"/>
        <v>0</v>
      </c>
      <c r="BC2043" s="11">
        <f t="shared" si="2072"/>
        <v>0</v>
      </c>
      <c r="BE2043" s="11">
        <f t="shared" si="2073"/>
        <v>0</v>
      </c>
      <c r="BG2043" s="11">
        <f t="shared" si="2074"/>
        <v>0</v>
      </c>
      <c r="BN2043" s="8">
        <f t="shared" si="2052"/>
        <v>0</v>
      </c>
      <c r="BO2043" s="8">
        <f t="shared" si="2053"/>
        <v>0</v>
      </c>
      <c r="BP2043" s="8">
        <f t="shared" si="2075"/>
        <v>0</v>
      </c>
      <c r="BQ2043" s="12">
        <f t="shared" si="2076"/>
        <v>0</v>
      </c>
    </row>
    <row r="2044" spans="1:69">
      <c r="A2044" s="28">
        <v>1967</v>
      </c>
      <c r="B2044" s="27" t="s">
        <v>90</v>
      </c>
      <c r="C2044" s="24">
        <f t="shared" si="2077"/>
        <v>2032</v>
      </c>
      <c r="D2044" s="7" t="e">
        <f t="shared" ca="1" si="2033"/>
        <v>#N/A</v>
      </c>
      <c r="E2044" s="26">
        <f t="array" aca="1" ref="E2044" ca="1">AVERAGE(IF(INDIRECT(DatCol&amp;"$"&amp;TEXT(C2044,"###")):INDIRECT(DatCol&amp;"$"&amp;TEXT(C2044+57,"###"))&gt;0,INDIRECT(DatCol&amp;"$"&amp;TEXT(C2044,"###")):INDIRECT(DatCol&amp;"$"&amp;TEXT(C2044+57,"###"))))</f>
        <v>1200</v>
      </c>
      <c r="F2044" s="26" t="str">
        <f t="shared" si="2055"/>
        <v>S</v>
      </c>
      <c r="G2044" s="8"/>
      <c r="K2044" s="9">
        <f t="shared" si="2054"/>
        <v>0</v>
      </c>
      <c r="M2044" s="11">
        <f t="shared" si="2057"/>
        <v>0</v>
      </c>
      <c r="O2044" s="11">
        <f t="shared" si="2058"/>
        <v>0</v>
      </c>
      <c r="Q2044" s="11">
        <f t="shared" si="2059"/>
        <v>0</v>
      </c>
      <c r="Y2044" s="11">
        <f t="shared" si="2060"/>
        <v>0</v>
      </c>
      <c r="AG2044" s="11">
        <f t="shared" si="2061"/>
        <v>0</v>
      </c>
      <c r="AI2044" s="11">
        <f t="shared" si="2062"/>
        <v>0</v>
      </c>
      <c r="AK2044" s="13">
        <f t="shared" si="2063"/>
        <v>0</v>
      </c>
      <c r="AM2044" s="13">
        <f t="shared" si="2064"/>
        <v>0</v>
      </c>
      <c r="AO2044" s="11">
        <f t="shared" si="2065"/>
        <v>0</v>
      </c>
      <c r="AQ2044" s="11">
        <f t="shared" si="2066"/>
        <v>0</v>
      </c>
      <c r="AS2044" s="11">
        <f t="shared" si="2067"/>
        <v>0</v>
      </c>
      <c r="AU2044" s="11">
        <f t="shared" si="2068"/>
        <v>0</v>
      </c>
      <c r="AW2044" s="11">
        <f t="shared" si="2069"/>
        <v>0</v>
      </c>
      <c r="AY2044" s="11">
        <f t="shared" si="2070"/>
        <v>0</v>
      </c>
      <c r="BA2044" s="11">
        <f t="shared" si="2071"/>
        <v>0</v>
      </c>
      <c r="BC2044" s="11">
        <f t="shared" si="2072"/>
        <v>0</v>
      </c>
      <c r="BE2044" s="11">
        <f t="shared" si="2073"/>
        <v>0</v>
      </c>
      <c r="BG2044" s="11">
        <f t="shared" si="2074"/>
        <v>0</v>
      </c>
      <c r="BN2044" s="8">
        <f t="shared" si="2052"/>
        <v>0</v>
      </c>
      <c r="BO2044" s="8">
        <f t="shared" si="2053"/>
        <v>0</v>
      </c>
      <c r="BP2044" s="8">
        <f t="shared" si="2075"/>
        <v>0</v>
      </c>
      <c r="BQ2044" s="12">
        <f t="shared" si="2076"/>
        <v>0</v>
      </c>
    </row>
    <row r="2045" spans="1:69">
      <c r="A2045" s="28">
        <v>1968</v>
      </c>
      <c r="B2045" s="27" t="s">
        <v>90</v>
      </c>
      <c r="C2045" s="24">
        <f t="shared" si="2077"/>
        <v>2032</v>
      </c>
      <c r="D2045" s="7" t="e">
        <f t="shared" ca="1" si="2033"/>
        <v>#N/A</v>
      </c>
      <c r="E2045" s="26">
        <f t="array" aca="1" ref="E2045" ca="1">AVERAGE(IF(INDIRECT(DatCol&amp;"$"&amp;TEXT(C2045,"###")):INDIRECT(DatCol&amp;"$"&amp;TEXT(C2045+57,"###"))&gt;0,INDIRECT(DatCol&amp;"$"&amp;TEXT(C2045,"###")):INDIRECT(DatCol&amp;"$"&amp;TEXT(C2045+57,"###"))))</f>
        <v>1200</v>
      </c>
      <c r="F2045" s="26" t="str">
        <f t="shared" si="2055"/>
        <v>S</v>
      </c>
      <c r="G2045" s="8"/>
      <c r="H2045" s="8">
        <v>34</v>
      </c>
      <c r="I2045" s="8">
        <v>52</v>
      </c>
      <c r="J2045" s="8">
        <v>667</v>
      </c>
      <c r="K2045" s="9">
        <f t="shared" si="2054"/>
        <v>701</v>
      </c>
      <c r="L2045" s="12">
        <v>12000</v>
      </c>
      <c r="M2045" s="11">
        <f t="shared" si="2057"/>
        <v>600000</v>
      </c>
      <c r="N2045" s="12">
        <v>1200</v>
      </c>
      <c r="O2045" s="11">
        <f t="shared" si="2058"/>
        <v>60000</v>
      </c>
      <c r="Q2045" s="11">
        <f t="shared" si="2059"/>
        <v>0</v>
      </c>
      <c r="Y2045" s="11">
        <f t="shared" si="2060"/>
        <v>0</v>
      </c>
      <c r="AG2045" s="11">
        <f t="shared" si="2061"/>
        <v>0</v>
      </c>
      <c r="AI2045" s="11">
        <f t="shared" si="2062"/>
        <v>0</v>
      </c>
      <c r="AK2045" s="13">
        <f t="shared" si="2063"/>
        <v>0</v>
      </c>
      <c r="AM2045" s="13">
        <f t="shared" si="2064"/>
        <v>0</v>
      </c>
      <c r="AO2045" s="11">
        <f t="shared" si="2065"/>
        <v>0</v>
      </c>
      <c r="AQ2045" s="11">
        <f t="shared" si="2066"/>
        <v>0</v>
      </c>
      <c r="AS2045" s="11">
        <f t="shared" si="2067"/>
        <v>0</v>
      </c>
      <c r="AU2045" s="11">
        <f t="shared" si="2068"/>
        <v>0</v>
      </c>
      <c r="AW2045" s="11">
        <f t="shared" si="2069"/>
        <v>0</v>
      </c>
      <c r="AY2045" s="11">
        <f t="shared" si="2070"/>
        <v>0</v>
      </c>
      <c r="BA2045" s="11">
        <f t="shared" si="2071"/>
        <v>0</v>
      </c>
      <c r="BC2045" s="11">
        <f t="shared" si="2072"/>
        <v>0</v>
      </c>
      <c r="BE2045" s="11">
        <f t="shared" si="2073"/>
        <v>0</v>
      </c>
      <c r="BG2045" s="11">
        <f t="shared" si="2074"/>
        <v>0</v>
      </c>
      <c r="BN2045" s="8">
        <f t="shared" si="2052"/>
        <v>12000</v>
      </c>
      <c r="BO2045" s="8">
        <f t="shared" si="2053"/>
        <v>600000</v>
      </c>
      <c r="BP2045" s="8">
        <f t="shared" si="2075"/>
        <v>1200</v>
      </c>
      <c r="BQ2045" s="12">
        <f t="shared" si="2076"/>
        <v>60000</v>
      </c>
    </row>
    <row r="2046" spans="1:69">
      <c r="A2046" s="28">
        <v>1969</v>
      </c>
      <c r="B2046" s="27" t="s">
        <v>90</v>
      </c>
      <c r="C2046" s="24">
        <f t="shared" si="2077"/>
        <v>2032</v>
      </c>
      <c r="D2046" s="7" t="e">
        <f t="shared" ca="1" si="2033"/>
        <v>#N/A</v>
      </c>
      <c r="E2046" s="26">
        <f t="array" aca="1" ref="E2046" ca="1">AVERAGE(IF(INDIRECT(DatCol&amp;"$"&amp;TEXT(C2046,"###")):INDIRECT(DatCol&amp;"$"&amp;TEXT(C2046+57,"###"))&gt;0,INDIRECT(DatCol&amp;"$"&amp;TEXT(C2046,"###")):INDIRECT(DatCol&amp;"$"&amp;TEXT(C2046+57,"###"))))</f>
        <v>1200</v>
      </c>
      <c r="F2046" s="26" t="str">
        <f t="shared" si="2055"/>
        <v>S</v>
      </c>
      <c r="G2046" s="8"/>
      <c r="H2046" s="8">
        <v>0</v>
      </c>
      <c r="I2046" s="8">
        <v>51</v>
      </c>
      <c r="J2046" s="8">
        <v>0</v>
      </c>
      <c r="K2046" s="9">
        <f t="shared" si="2054"/>
        <v>0</v>
      </c>
      <c r="L2046" s="12">
        <v>5290</v>
      </c>
      <c r="M2046" s="11">
        <f t="shared" si="2057"/>
        <v>264500</v>
      </c>
      <c r="N2046" s="12">
        <v>0</v>
      </c>
      <c r="O2046" s="11">
        <f t="shared" si="2058"/>
        <v>0</v>
      </c>
      <c r="Q2046" s="11">
        <f t="shared" si="2059"/>
        <v>0</v>
      </c>
      <c r="Y2046" s="11">
        <f t="shared" si="2060"/>
        <v>0</v>
      </c>
      <c r="AG2046" s="11">
        <f t="shared" si="2061"/>
        <v>0</v>
      </c>
      <c r="AI2046" s="11">
        <f t="shared" si="2062"/>
        <v>0</v>
      </c>
      <c r="AK2046" s="13">
        <f t="shared" si="2063"/>
        <v>0</v>
      </c>
      <c r="AM2046" s="13">
        <f t="shared" si="2064"/>
        <v>0</v>
      </c>
      <c r="AO2046" s="11">
        <f t="shared" si="2065"/>
        <v>0</v>
      </c>
      <c r="AQ2046" s="11">
        <f t="shared" si="2066"/>
        <v>0</v>
      </c>
      <c r="AS2046" s="11">
        <f t="shared" si="2067"/>
        <v>0</v>
      </c>
      <c r="AU2046" s="11">
        <f t="shared" si="2068"/>
        <v>0</v>
      </c>
      <c r="AW2046" s="11">
        <f t="shared" si="2069"/>
        <v>0</v>
      </c>
      <c r="AY2046" s="11">
        <f t="shared" si="2070"/>
        <v>0</v>
      </c>
      <c r="BA2046" s="11">
        <f t="shared" si="2071"/>
        <v>0</v>
      </c>
      <c r="BC2046" s="11">
        <f t="shared" si="2072"/>
        <v>0</v>
      </c>
      <c r="BE2046" s="11">
        <f t="shared" si="2073"/>
        <v>0</v>
      </c>
      <c r="BG2046" s="11">
        <f t="shared" si="2074"/>
        <v>0</v>
      </c>
      <c r="BN2046" s="8">
        <f t="shared" si="2052"/>
        <v>5290</v>
      </c>
      <c r="BO2046" s="8">
        <f t="shared" si="2053"/>
        <v>264500</v>
      </c>
      <c r="BP2046" s="8">
        <f t="shared" si="2075"/>
        <v>0</v>
      </c>
      <c r="BQ2046" s="12">
        <f t="shared" si="2076"/>
        <v>0</v>
      </c>
    </row>
    <row r="2047" spans="1:69">
      <c r="A2047" s="28">
        <v>1970</v>
      </c>
      <c r="B2047" s="27" t="s">
        <v>90</v>
      </c>
      <c r="C2047" s="24">
        <f t="shared" si="2077"/>
        <v>2032</v>
      </c>
      <c r="D2047" s="7" t="e">
        <f t="shared" ca="1" si="2033"/>
        <v>#N/A</v>
      </c>
      <c r="E2047" s="26">
        <f t="array" aca="1" ref="E2047" ca="1">AVERAGE(IF(INDIRECT(DatCol&amp;"$"&amp;TEXT(C2047,"###")):INDIRECT(DatCol&amp;"$"&amp;TEXT(C2047+57,"###"))&gt;0,INDIRECT(DatCol&amp;"$"&amp;TEXT(C2047,"###")):INDIRECT(DatCol&amp;"$"&amp;TEXT(C2047+57,"###"))))</f>
        <v>1200</v>
      </c>
      <c r="F2047" s="26" t="str">
        <f t="shared" si="2055"/>
        <v>S</v>
      </c>
      <c r="G2047" s="8"/>
      <c r="K2047" s="9">
        <f t="shared" si="2054"/>
        <v>0</v>
      </c>
      <c r="M2047" s="11">
        <f t="shared" si="2057"/>
        <v>0</v>
      </c>
      <c r="O2047" s="11">
        <f t="shared" si="2058"/>
        <v>0</v>
      </c>
      <c r="Q2047" s="11">
        <f t="shared" si="2059"/>
        <v>0</v>
      </c>
      <c r="Y2047" s="11">
        <f t="shared" si="2060"/>
        <v>0</v>
      </c>
      <c r="AG2047" s="11">
        <f t="shared" si="2061"/>
        <v>0</v>
      </c>
      <c r="AI2047" s="11">
        <f t="shared" si="2062"/>
        <v>0</v>
      </c>
      <c r="AK2047" s="13">
        <f t="shared" si="2063"/>
        <v>0</v>
      </c>
      <c r="AM2047" s="13">
        <f t="shared" si="2064"/>
        <v>0</v>
      </c>
      <c r="AO2047" s="11">
        <f t="shared" si="2065"/>
        <v>0</v>
      </c>
      <c r="AQ2047" s="11">
        <f t="shared" si="2066"/>
        <v>0</v>
      </c>
      <c r="AS2047" s="11">
        <f t="shared" si="2067"/>
        <v>0</v>
      </c>
      <c r="AU2047" s="11">
        <f t="shared" si="2068"/>
        <v>0</v>
      </c>
      <c r="AW2047" s="11">
        <f t="shared" si="2069"/>
        <v>0</v>
      </c>
      <c r="AY2047" s="11">
        <f t="shared" si="2070"/>
        <v>0</v>
      </c>
      <c r="BA2047" s="11">
        <f t="shared" si="2071"/>
        <v>0</v>
      </c>
      <c r="BC2047" s="11">
        <f t="shared" si="2072"/>
        <v>0</v>
      </c>
      <c r="BE2047" s="11">
        <f t="shared" si="2073"/>
        <v>0</v>
      </c>
      <c r="BG2047" s="11">
        <f t="shared" si="2074"/>
        <v>0</v>
      </c>
      <c r="BN2047" s="8">
        <f t="shared" si="2052"/>
        <v>0</v>
      </c>
      <c r="BO2047" s="8">
        <f t="shared" si="2053"/>
        <v>0</v>
      </c>
      <c r="BP2047" s="8">
        <f t="shared" si="2075"/>
        <v>0</v>
      </c>
      <c r="BQ2047" s="12">
        <f t="shared" si="2076"/>
        <v>0</v>
      </c>
    </row>
    <row r="2048" spans="1:69">
      <c r="A2048" s="28">
        <v>1971</v>
      </c>
      <c r="B2048" s="27" t="s">
        <v>90</v>
      </c>
      <c r="C2048" s="24">
        <f t="shared" si="2077"/>
        <v>2032</v>
      </c>
      <c r="D2048" s="7" t="e">
        <f t="shared" ca="1" si="2033"/>
        <v>#N/A</v>
      </c>
      <c r="E2048" s="26">
        <f t="array" aca="1" ref="E2048" ca="1">AVERAGE(IF(INDIRECT(DatCol&amp;"$"&amp;TEXT(C2048,"###")):INDIRECT(DatCol&amp;"$"&amp;TEXT(C2048+57,"###"))&gt;0,INDIRECT(DatCol&amp;"$"&amp;TEXT(C2048,"###")):INDIRECT(DatCol&amp;"$"&amp;TEXT(C2048+57,"###"))))</f>
        <v>1200</v>
      </c>
      <c r="F2048" s="26" t="str">
        <f t="shared" si="2055"/>
        <v>S</v>
      </c>
      <c r="G2048" s="8"/>
      <c r="K2048" s="9">
        <f t="shared" si="2054"/>
        <v>0</v>
      </c>
      <c r="M2048" s="11">
        <f t="shared" ref="M2048:M2063" si="2078">(L2048*50)</f>
        <v>0</v>
      </c>
      <c r="O2048" s="11">
        <f t="shared" ref="O2048:O2063" si="2079">(N2048*50)</f>
        <v>0</v>
      </c>
      <c r="Q2048" s="11">
        <f t="shared" ref="Q2048:Q2063" si="2080">((P2048*330)/5.5)</f>
        <v>0</v>
      </c>
      <c r="Y2048" s="11">
        <f t="shared" ref="Y2048:Y2063" si="2081">((X2048*330)/5.5)</f>
        <v>0</v>
      </c>
      <c r="AG2048" s="11">
        <f t="shared" ref="AG2048:AG2063" si="2082">(AF2048*65)</f>
        <v>0</v>
      </c>
      <c r="AI2048" s="11">
        <f t="shared" ref="AI2048:AI2063" si="2083">(AH2048*65)</f>
        <v>0</v>
      </c>
      <c r="AK2048" s="13">
        <f t="shared" ref="AK2048:AK2063" si="2084">(AJ2048*9)</f>
        <v>0</v>
      </c>
      <c r="AM2048" s="13">
        <f t="shared" ref="AM2048:AM2063" si="2085">(AL2048*9)</f>
        <v>0</v>
      </c>
      <c r="AO2048" s="11">
        <f t="shared" ref="AO2048:AO2063" si="2086">(AN2048*80)</f>
        <v>0</v>
      </c>
      <c r="AQ2048" s="11">
        <f t="shared" ref="AQ2048:AQ2063" si="2087">(AP2048*80)</f>
        <v>0</v>
      </c>
      <c r="AS2048" s="11">
        <f t="shared" ref="AS2048:AS2063" si="2088">(AR2048*50)</f>
        <v>0</v>
      </c>
      <c r="AU2048" s="11">
        <f t="shared" ref="AU2048:AU2063" si="2089">(AT2048*50)</f>
        <v>0</v>
      </c>
      <c r="AW2048" s="11">
        <f t="shared" ref="AW2048:AW2063" si="2090">(AV2048*60)</f>
        <v>0</v>
      </c>
      <c r="AY2048" s="11">
        <f t="shared" ref="AY2048:AY2063" si="2091">(AX2048*60)</f>
        <v>0</v>
      </c>
      <c r="BA2048" s="11">
        <f t="shared" ref="BA2048:BA2063" si="2092">(AZ2048*40)</f>
        <v>0</v>
      </c>
      <c r="BC2048" s="11">
        <f t="shared" ref="BC2048:BC2063" si="2093">(BB2048*40)</f>
        <v>0</v>
      </c>
      <c r="BE2048" s="11">
        <f t="shared" ref="BE2048:BE2063" si="2094">(BD2048*95)</f>
        <v>0</v>
      </c>
      <c r="BG2048" s="11">
        <f t="shared" ref="BG2048:BG2063" si="2095">(BF2048*95)</f>
        <v>0</v>
      </c>
      <c r="BN2048" s="8">
        <f t="shared" si="2052"/>
        <v>0</v>
      </c>
      <c r="BO2048" s="8">
        <f t="shared" si="2053"/>
        <v>0</v>
      </c>
      <c r="BP2048" s="8">
        <f t="shared" si="2075"/>
        <v>0</v>
      </c>
      <c r="BQ2048" s="12">
        <f t="shared" si="2076"/>
        <v>0</v>
      </c>
    </row>
    <row r="2049" spans="1:69">
      <c r="A2049" s="28">
        <v>1972</v>
      </c>
      <c r="B2049" s="27" t="s">
        <v>90</v>
      </c>
      <c r="C2049" s="24">
        <f t="shared" si="2077"/>
        <v>2032</v>
      </c>
      <c r="D2049" s="7" t="e">
        <f t="shared" ca="1" si="2033"/>
        <v>#N/A</v>
      </c>
      <c r="E2049" s="26">
        <f t="array" aca="1" ref="E2049" ca="1">AVERAGE(IF(INDIRECT(DatCol&amp;"$"&amp;TEXT(C2049,"###")):INDIRECT(DatCol&amp;"$"&amp;TEXT(C2049+57,"###"))&gt;0,INDIRECT(DatCol&amp;"$"&amp;TEXT(C2049,"###")):INDIRECT(DatCol&amp;"$"&amp;TEXT(C2049+57,"###"))))</f>
        <v>1200</v>
      </c>
      <c r="F2049" s="26" t="str">
        <f t="shared" si="2055"/>
        <v>S</v>
      </c>
      <c r="G2049" s="8"/>
      <c r="K2049" s="9">
        <f t="shared" si="2054"/>
        <v>0</v>
      </c>
      <c r="M2049" s="11">
        <f t="shared" si="2078"/>
        <v>0</v>
      </c>
      <c r="O2049" s="11">
        <f t="shared" si="2079"/>
        <v>0</v>
      </c>
      <c r="Q2049" s="11">
        <f t="shared" si="2080"/>
        <v>0</v>
      </c>
      <c r="Y2049" s="11">
        <f t="shared" si="2081"/>
        <v>0</v>
      </c>
      <c r="AG2049" s="11">
        <f t="shared" si="2082"/>
        <v>0</v>
      </c>
      <c r="AI2049" s="11">
        <f t="shared" si="2083"/>
        <v>0</v>
      </c>
      <c r="AK2049" s="13">
        <f t="shared" si="2084"/>
        <v>0</v>
      </c>
      <c r="AM2049" s="13">
        <f t="shared" si="2085"/>
        <v>0</v>
      </c>
      <c r="AO2049" s="11">
        <f t="shared" si="2086"/>
        <v>0</v>
      </c>
      <c r="AQ2049" s="11">
        <f t="shared" si="2087"/>
        <v>0</v>
      </c>
      <c r="AS2049" s="11">
        <f t="shared" si="2088"/>
        <v>0</v>
      </c>
      <c r="AU2049" s="11">
        <f t="shared" si="2089"/>
        <v>0</v>
      </c>
      <c r="AW2049" s="11">
        <f t="shared" si="2090"/>
        <v>0</v>
      </c>
      <c r="AY2049" s="11">
        <f t="shared" si="2091"/>
        <v>0</v>
      </c>
      <c r="BA2049" s="11">
        <f t="shared" si="2092"/>
        <v>0</v>
      </c>
      <c r="BC2049" s="11">
        <f t="shared" si="2093"/>
        <v>0</v>
      </c>
      <c r="BE2049" s="11">
        <f t="shared" si="2094"/>
        <v>0</v>
      </c>
      <c r="BG2049" s="11">
        <f t="shared" si="2095"/>
        <v>0</v>
      </c>
      <c r="BN2049" s="8">
        <f t="shared" si="2052"/>
        <v>0</v>
      </c>
      <c r="BO2049" s="8">
        <f t="shared" si="2053"/>
        <v>0</v>
      </c>
      <c r="BP2049" s="8">
        <f t="shared" si="2075"/>
        <v>0</v>
      </c>
      <c r="BQ2049" s="12">
        <f t="shared" si="2076"/>
        <v>0</v>
      </c>
    </row>
    <row r="2050" spans="1:69">
      <c r="A2050" s="28">
        <v>1973</v>
      </c>
      <c r="B2050" s="27" t="s">
        <v>90</v>
      </c>
      <c r="C2050" s="24">
        <f t="shared" si="2077"/>
        <v>2032</v>
      </c>
      <c r="D2050" s="7" t="e">
        <f t="shared" ref="D2050:D2113" ca="1" si="2096">IF(AND((INDIRECT(DatCol&amp;TEXT(ROW(),"###"))&gt;0),((F2050=RegionSelect)+(RegionSelect="A"))),INDIRECT(DatCol&amp;TEXT(ROW(),"###"))/E2050,NA())</f>
        <v>#N/A</v>
      </c>
      <c r="E2050" s="26">
        <f t="array" aca="1" ref="E2050" ca="1">AVERAGE(IF(INDIRECT(DatCol&amp;"$"&amp;TEXT(C2050,"###")):INDIRECT(DatCol&amp;"$"&amp;TEXT(C2050+57,"###"))&gt;0,INDIRECT(DatCol&amp;"$"&amp;TEXT(C2050,"###")):INDIRECT(DatCol&amp;"$"&amp;TEXT(C2050+57,"###"))))</f>
        <v>1200</v>
      </c>
      <c r="F2050" s="26" t="str">
        <f t="shared" si="2055"/>
        <v>S</v>
      </c>
      <c r="G2050" s="8"/>
      <c r="K2050" s="9">
        <f t="shared" si="2054"/>
        <v>0</v>
      </c>
      <c r="M2050" s="11">
        <f t="shared" si="2078"/>
        <v>0</v>
      </c>
      <c r="O2050" s="11">
        <f t="shared" si="2079"/>
        <v>0</v>
      </c>
      <c r="Q2050" s="11">
        <f t="shared" si="2080"/>
        <v>0</v>
      </c>
      <c r="Y2050" s="11">
        <f t="shared" si="2081"/>
        <v>0</v>
      </c>
      <c r="AG2050" s="11">
        <f t="shared" si="2082"/>
        <v>0</v>
      </c>
      <c r="AI2050" s="11">
        <f t="shared" si="2083"/>
        <v>0</v>
      </c>
      <c r="AK2050" s="13">
        <f t="shared" si="2084"/>
        <v>0</v>
      </c>
      <c r="AM2050" s="13">
        <f t="shared" si="2085"/>
        <v>0</v>
      </c>
      <c r="AO2050" s="11">
        <f t="shared" si="2086"/>
        <v>0</v>
      </c>
      <c r="AQ2050" s="11">
        <f t="shared" si="2087"/>
        <v>0</v>
      </c>
      <c r="AS2050" s="11">
        <f t="shared" si="2088"/>
        <v>0</v>
      </c>
      <c r="AU2050" s="11">
        <f t="shared" si="2089"/>
        <v>0</v>
      </c>
      <c r="AW2050" s="11">
        <f t="shared" si="2090"/>
        <v>0</v>
      </c>
      <c r="AY2050" s="11">
        <f t="shared" si="2091"/>
        <v>0</v>
      </c>
      <c r="BA2050" s="11">
        <f t="shared" si="2092"/>
        <v>0</v>
      </c>
      <c r="BC2050" s="11">
        <f t="shared" si="2093"/>
        <v>0</v>
      </c>
      <c r="BE2050" s="11">
        <f t="shared" si="2094"/>
        <v>0</v>
      </c>
      <c r="BG2050" s="11">
        <f t="shared" si="2095"/>
        <v>0</v>
      </c>
      <c r="BN2050" s="8">
        <f t="shared" si="2052"/>
        <v>0</v>
      </c>
      <c r="BO2050" s="8">
        <f t="shared" si="2053"/>
        <v>0</v>
      </c>
      <c r="BP2050" s="8">
        <f t="shared" si="2075"/>
        <v>0</v>
      </c>
      <c r="BQ2050" s="12">
        <f t="shared" si="2076"/>
        <v>0</v>
      </c>
    </row>
    <row r="2051" spans="1:69">
      <c r="A2051" s="28">
        <v>1974</v>
      </c>
      <c r="B2051" s="27" t="s">
        <v>90</v>
      </c>
      <c r="C2051" s="24">
        <f t="shared" si="2077"/>
        <v>2032</v>
      </c>
      <c r="D2051" s="7" t="e">
        <f t="shared" ca="1" si="2096"/>
        <v>#N/A</v>
      </c>
      <c r="E2051" s="26">
        <f t="array" aca="1" ref="E2051" ca="1">AVERAGE(IF(INDIRECT(DatCol&amp;"$"&amp;TEXT(C2051,"###")):INDIRECT(DatCol&amp;"$"&amp;TEXT(C2051+57,"###"))&gt;0,INDIRECT(DatCol&amp;"$"&amp;TEXT(C2051,"###")):INDIRECT(DatCol&amp;"$"&amp;TEXT(C2051+57,"###"))))</f>
        <v>1200</v>
      </c>
      <c r="F2051" s="26" t="str">
        <f t="shared" si="2055"/>
        <v>S</v>
      </c>
      <c r="G2051" s="8"/>
      <c r="K2051" s="9">
        <f t="shared" si="2054"/>
        <v>0</v>
      </c>
      <c r="M2051" s="11">
        <f t="shared" si="2078"/>
        <v>0</v>
      </c>
      <c r="O2051" s="11">
        <f t="shared" si="2079"/>
        <v>0</v>
      </c>
      <c r="Q2051" s="11">
        <f t="shared" si="2080"/>
        <v>0</v>
      </c>
      <c r="Y2051" s="11">
        <f t="shared" si="2081"/>
        <v>0</v>
      </c>
      <c r="AG2051" s="11">
        <f t="shared" si="2082"/>
        <v>0</v>
      </c>
      <c r="AI2051" s="11">
        <f t="shared" si="2083"/>
        <v>0</v>
      </c>
      <c r="AK2051" s="13">
        <f t="shared" si="2084"/>
        <v>0</v>
      </c>
      <c r="AM2051" s="13">
        <f t="shared" si="2085"/>
        <v>0</v>
      </c>
      <c r="AO2051" s="11">
        <f t="shared" si="2086"/>
        <v>0</v>
      </c>
      <c r="AQ2051" s="11">
        <f t="shared" si="2087"/>
        <v>0</v>
      </c>
      <c r="AS2051" s="11">
        <f t="shared" si="2088"/>
        <v>0</v>
      </c>
      <c r="AU2051" s="11">
        <f t="shared" si="2089"/>
        <v>0</v>
      </c>
      <c r="AW2051" s="11">
        <f t="shared" si="2090"/>
        <v>0</v>
      </c>
      <c r="AY2051" s="11">
        <f t="shared" si="2091"/>
        <v>0</v>
      </c>
      <c r="BA2051" s="11">
        <f t="shared" si="2092"/>
        <v>0</v>
      </c>
      <c r="BC2051" s="11">
        <f t="shared" si="2093"/>
        <v>0</v>
      </c>
      <c r="BE2051" s="11">
        <f t="shared" si="2094"/>
        <v>0</v>
      </c>
      <c r="BG2051" s="11">
        <f t="shared" si="2095"/>
        <v>0</v>
      </c>
      <c r="BN2051" s="8">
        <f t="shared" si="2052"/>
        <v>0</v>
      </c>
      <c r="BO2051" s="8">
        <f t="shared" si="2053"/>
        <v>0</v>
      </c>
      <c r="BP2051" s="8">
        <f t="shared" si="2075"/>
        <v>0</v>
      </c>
      <c r="BQ2051" s="12">
        <f t="shared" si="2076"/>
        <v>0</v>
      </c>
    </row>
    <row r="2052" spans="1:69">
      <c r="A2052" s="28">
        <v>1975</v>
      </c>
      <c r="B2052" s="27" t="s">
        <v>90</v>
      </c>
      <c r="C2052" s="24">
        <f t="shared" si="2077"/>
        <v>2032</v>
      </c>
      <c r="D2052" s="7" t="e">
        <f t="shared" ca="1" si="2096"/>
        <v>#N/A</v>
      </c>
      <c r="E2052" s="26">
        <f t="array" aca="1" ref="E2052" ca="1">AVERAGE(IF(INDIRECT(DatCol&amp;"$"&amp;TEXT(C2052,"###")):INDIRECT(DatCol&amp;"$"&amp;TEXT(C2052+57,"###"))&gt;0,INDIRECT(DatCol&amp;"$"&amp;TEXT(C2052,"###")):INDIRECT(DatCol&amp;"$"&amp;TEXT(C2052+57,"###"))))</f>
        <v>1200</v>
      </c>
      <c r="F2052" s="26" t="str">
        <f t="shared" si="2055"/>
        <v>S</v>
      </c>
      <c r="G2052" s="8"/>
      <c r="K2052" s="9">
        <f t="shared" si="2054"/>
        <v>0</v>
      </c>
      <c r="M2052" s="11">
        <f t="shared" si="2078"/>
        <v>0</v>
      </c>
      <c r="O2052" s="11">
        <f t="shared" si="2079"/>
        <v>0</v>
      </c>
      <c r="Q2052" s="11">
        <f t="shared" si="2080"/>
        <v>0</v>
      </c>
      <c r="Y2052" s="11">
        <f t="shared" si="2081"/>
        <v>0</v>
      </c>
      <c r="AG2052" s="11">
        <f t="shared" si="2082"/>
        <v>0</v>
      </c>
      <c r="AI2052" s="11">
        <f t="shared" si="2083"/>
        <v>0</v>
      </c>
      <c r="AK2052" s="13">
        <f t="shared" si="2084"/>
        <v>0</v>
      </c>
      <c r="AM2052" s="13">
        <f t="shared" si="2085"/>
        <v>0</v>
      </c>
      <c r="AO2052" s="11">
        <f t="shared" si="2086"/>
        <v>0</v>
      </c>
      <c r="AQ2052" s="11">
        <f t="shared" si="2087"/>
        <v>0</v>
      </c>
      <c r="AS2052" s="11">
        <f t="shared" si="2088"/>
        <v>0</v>
      </c>
      <c r="AU2052" s="11">
        <f t="shared" si="2089"/>
        <v>0</v>
      </c>
      <c r="AW2052" s="11">
        <f t="shared" si="2090"/>
        <v>0</v>
      </c>
      <c r="AY2052" s="11">
        <f t="shared" si="2091"/>
        <v>0</v>
      </c>
      <c r="BA2052" s="11">
        <f t="shared" si="2092"/>
        <v>0</v>
      </c>
      <c r="BC2052" s="11">
        <f t="shared" si="2093"/>
        <v>0</v>
      </c>
      <c r="BE2052" s="11">
        <f t="shared" si="2094"/>
        <v>0</v>
      </c>
      <c r="BG2052" s="11">
        <f t="shared" si="2095"/>
        <v>0</v>
      </c>
      <c r="BN2052" s="8">
        <f t="shared" si="2052"/>
        <v>0</v>
      </c>
      <c r="BO2052" s="8">
        <f t="shared" si="2053"/>
        <v>0</v>
      </c>
      <c r="BP2052" s="8">
        <f t="shared" si="2075"/>
        <v>0</v>
      </c>
      <c r="BQ2052" s="12">
        <f t="shared" si="2076"/>
        <v>0</v>
      </c>
    </row>
    <row r="2053" spans="1:69">
      <c r="A2053" s="28">
        <v>1976</v>
      </c>
      <c r="B2053" s="27" t="s">
        <v>90</v>
      </c>
      <c r="C2053" s="24">
        <f t="shared" si="2077"/>
        <v>2032</v>
      </c>
      <c r="D2053" s="7" t="e">
        <f t="shared" ca="1" si="2096"/>
        <v>#N/A</v>
      </c>
      <c r="E2053" s="26">
        <f t="array" aca="1" ref="E2053" ca="1">AVERAGE(IF(INDIRECT(DatCol&amp;"$"&amp;TEXT(C2053,"###")):INDIRECT(DatCol&amp;"$"&amp;TEXT(C2053+57,"###"))&gt;0,INDIRECT(DatCol&amp;"$"&amp;TEXT(C2053,"###")):INDIRECT(DatCol&amp;"$"&amp;TEXT(C2053+57,"###"))))</f>
        <v>1200</v>
      </c>
      <c r="F2053" s="26" t="str">
        <f t="shared" si="2055"/>
        <v>S</v>
      </c>
      <c r="G2053" s="8"/>
      <c r="K2053" s="9">
        <f t="shared" si="2054"/>
        <v>0</v>
      </c>
      <c r="M2053" s="11">
        <f t="shared" si="2078"/>
        <v>0</v>
      </c>
      <c r="O2053" s="11">
        <f t="shared" si="2079"/>
        <v>0</v>
      </c>
      <c r="Q2053" s="11">
        <f t="shared" si="2080"/>
        <v>0</v>
      </c>
      <c r="Y2053" s="11">
        <f t="shared" si="2081"/>
        <v>0</v>
      </c>
      <c r="AG2053" s="11">
        <f t="shared" si="2082"/>
        <v>0</v>
      </c>
      <c r="AI2053" s="11">
        <f t="shared" si="2083"/>
        <v>0</v>
      </c>
      <c r="AK2053" s="13">
        <f t="shared" si="2084"/>
        <v>0</v>
      </c>
      <c r="AM2053" s="13">
        <f t="shared" si="2085"/>
        <v>0</v>
      </c>
      <c r="AO2053" s="11">
        <f t="shared" si="2086"/>
        <v>0</v>
      </c>
      <c r="AQ2053" s="11">
        <f t="shared" si="2087"/>
        <v>0</v>
      </c>
      <c r="AS2053" s="11">
        <f t="shared" si="2088"/>
        <v>0</v>
      </c>
      <c r="AU2053" s="11">
        <f t="shared" si="2089"/>
        <v>0</v>
      </c>
      <c r="AW2053" s="11">
        <f t="shared" si="2090"/>
        <v>0</v>
      </c>
      <c r="AY2053" s="11">
        <f t="shared" si="2091"/>
        <v>0</v>
      </c>
      <c r="BA2053" s="11">
        <f t="shared" si="2092"/>
        <v>0</v>
      </c>
      <c r="BC2053" s="11">
        <f t="shared" si="2093"/>
        <v>0</v>
      </c>
      <c r="BE2053" s="11">
        <f t="shared" si="2094"/>
        <v>0</v>
      </c>
      <c r="BG2053" s="11">
        <f t="shared" si="2095"/>
        <v>0</v>
      </c>
      <c r="BN2053" s="8">
        <f t="shared" si="2052"/>
        <v>0</v>
      </c>
      <c r="BO2053" s="8">
        <f t="shared" si="2053"/>
        <v>0</v>
      </c>
      <c r="BP2053" s="8">
        <f t="shared" si="2075"/>
        <v>0</v>
      </c>
      <c r="BQ2053" s="12">
        <f t="shared" si="2076"/>
        <v>0</v>
      </c>
    </row>
    <row r="2054" spans="1:69">
      <c r="A2054" s="28">
        <v>1977</v>
      </c>
      <c r="B2054" s="27" t="s">
        <v>90</v>
      </c>
      <c r="C2054" s="24">
        <f t="shared" si="2077"/>
        <v>2032</v>
      </c>
      <c r="D2054" s="7" t="e">
        <f t="shared" ca="1" si="2096"/>
        <v>#N/A</v>
      </c>
      <c r="E2054" s="26">
        <f t="array" aca="1" ref="E2054" ca="1">AVERAGE(IF(INDIRECT(DatCol&amp;"$"&amp;TEXT(C2054,"###")):INDIRECT(DatCol&amp;"$"&amp;TEXT(C2054+57,"###"))&gt;0,INDIRECT(DatCol&amp;"$"&amp;TEXT(C2054,"###")):INDIRECT(DatCol&amp;"$"&amp;TEXT(C2054+57,"###"))))</f>
        <v>1200</v>
      </c>
      <c r="F2054" s="26" t="str">
        <f t="shared" si="2055"/>
        <v>S</v>
      </c>
      <c r="G2054" s="8"/>
      <c r="K2054" s="9">
        <f t="shared" si="2054"/>
        <v>0</v>
      </c>
      <c r="M2054" s="11">
        <f t="shared" si="2078"/>
        <v>0</v>
      </c>
      <c r="O2054" s="11">
        <f t="shared" si="2079"/>
        <v>0</v>
      </c>
      <c r="Q2054" s="11">
        <f t="shared" si="2080"/>
        <v>0</v>
      </c>
      <c r="Y2054" s="11">
        <f t="shared" si="2081"/>
        <v>0</v>
      </c>
      <c r="AG2054" s="11">
        <f t="shared" si="2082"/>
        <v>0</v>
      </c>
      <c r="AI2054" s="11">
        <f t="shared" si="2083"/>
        <v>0</v>
      </c>
      <c r="AK2054" s="13">
        <f t="shared" si="2084"/>
        <v>0</v>
      </c>
      <c r="AM2054" s="13">
        <f t="shared" si="2085"/>
        <v>0</v>
      </c>
      <c r="AO2054" s="11">
        <f t="shared" si="2086"/>
        <v>0</v>
      </c>
      <c r="AQ2054" s="11">
        <f t="shared" si="2087"/>
        <v>0</v>
      </c>
      <c r="AS2054" s="11">
        <f t="shared" si="2088"/>
        <v>0</v>
      </c>
      <c r="AU2054" s="11">
        <f t="shared" si="2089"/>
        <v>0</v>
      </c>
      <c r="AW2054" s="11">
        <f t="shared" si="2090"/>
        <v>0</v>
      </c>
      <c r="AY2054" s="11">
        <f t="shared" si="2091"/>
        <v>0</v>
      </c>
      <c r="BA2054" s="11">
        <f t="shared" si="2092"/>
        <v>0</v>
      </c>
      <c r="BC2054" s="11">
        <f t="shared" si="2093"/>
        <v>0</v>
      </c>
      <c r="BE2054" s="11">
        <f t="shared" si="2094"/>
        <v>0</v>
      </c>
      <c r="BG2054" s="11">
        <f t="shared" si="2095"/>
        <v>0</v>
      </c>
      <c r="BN2054" s="8">
        <f t="shared" si="2052"/>
        <v>0</v>
      </c>
      <c r="BO2054" s="8">
        <f t="shared" si="2053"/>
        <v>0</v>
      </c>
      <c r="BP2054" s="8">
        <f t="shared" si="2075"/>
        <v>0</v>
      </c>
      <c r="BQ2054" s="12">
        <f t="shared" si="2076"/>
        <v>0</v>
      </c>
    </row>
    <row r="2055" spans="1:69">
      <c r="A2055" s="28">
        <v>1978</v>
      </c>
      <c r="B2055" s="27" t="s">
        <v>90</v>
      </c>
      <c r="C2055" s="24">
        <f t="shared" si="2077"/>
        <v>2032</v>
      </c>
      <c r="D2055" s="7" t="e">
        <f t="shared" ca="1" si="2096"/>
        <v>#N/A</v>
      </c>
      <c r="E2055" s="26">
        <f t="array" aca="1" ref="E2055" ca="1">AVERAGE(IF(INDIRECT(DatCol&amp;"$"&amp;TEXT(C2055,"###")):INDIRECT(DatCol&amp;"$"&amp;TEXT(C2055+57,"###"))&gt;0,INDIRECT(DatCol&amp;"$"&amp;TEXT(C2055,"###")):INDIRECT(DatCol&amp;"$"&amp;TEXT(C2055+57,"###"))))</f>
        <v>1200</v>
      </c>
      <c r="F2055" s="26" t="str">
        <f t="shared" si="2055"/>
        <v>S</v>
      </c>
      <c r="G2055" s="8"/>
      <c r="I2055" s="8">
        <v>108</v>
      </c>
      <c r="K2055" s="9">
        <f t="shared" si="2054"/>
        <v>0</v>
      </c>
      <c r="M2055" s="11">
        <f t="shared" si="2078"/>
        <v>0</v>
      </c>
      <c r="O2055" s="11">
        <f t="shared" si="2079"/>
        <v>0</v>
      </c>
      <c r="Q2055" s="11">
        <f t="shared" si="2080"/>
        <v>0</v>
      </c>
      <c r="Y2055" s="11">
        <f t="shared" si="2081"/>
        <v>0</v>
      </c>
      <c r="AG2055" s="11">
        <f t="shared" si="2082"/>
        <v>0</v>
      </c>
      <c r="AI2055" s="11">
        <f t="shared" si="2083"/>
        <v>0</v>
      </c>
      <c r="AK2055" s="13">
        <f t="shared" si="2084"/>
        <v>0</v>
      </c>
      <c r="AM2055" s="13">
        <f t="shared" si="2085"/>
        <v>0</v>
      </c>
      <c r="AO2055" s="11">
        <f t="shared" si="2086"/>
        <v>0</v>
      </c>
      <c r="AQ2055" s="11">
        <f t="shared" si="2087"/>
        <v>0</v>
      </c>
      <c r="AS2055" s="11">
        <f t="shared" si="2088"/>
        <v>0</v>
      </c>
      <c r="AU2055" s="11">
        <f t="shared" si="2089"/>
        <v>0</v>
      </c>
      <c r="AW2055" s="11">
        <f t="shared" si="2090"/>
        <v>0</v>
      </c>
      <c r="AY2055" s="11">
        <f t="shared" si="2091"/>
        <v>0</v>
      </c>
      <c r="BA2055" s="11">
        <f t="shared" si="2092"/>
        <v>0</v>
      </c>
      <c r="BC2055" s="11">
        <f t="shared" si="2093"/>
        <v>0</v>
      </c>
      <c r="BE2055" s="11">
        <f t="shared" si="2094"/>
        <v>0</v>
      </c>
      <c r="BG2055" s="11">
        <f t="shared" si="2095"/>
        <v>0</v>
      </c>
      <c r="BN2055" s="8">
        <f t="shared" si="2052"/>
        <v>0</v>
      </c>
      <c r="BO2055" s="8">
        <f t="shared" si="2053"/>
        <v>0</v>
      </c>
      <c r="BP2055" s="8">
        <f t="shared" si="2075"/>
        <v>0</v>
      </c>
      <c r="BQ2055" s="12">
        <f t="shared" si="2076"/>
        <v>0</v>
      </c>
    </row>
    <row r="2056" spans="1:69">
      <c r="A2056" s="28">
        <v>1979</v>
      </c>
      <c r="B2056" s="27" t="s">
        <v>90</v>
      </c>
      <c r="C2056" s="24">
        <f t="shared" si="2077"/>
        <v>2032</v>
      </c>
      <c r="D2056" s="7" t="e">
        <f t="shared" ca="1" si="2096"/>
        <v>#N/A</v>
      </c>
      <c r="E2056" s="26">
        <f t="array" aca="1" ref="E2056" ca="1">AVERAGE(IF(INDIRECT(DatCol&amp;"$"&amp;TEXT(C2056,"###")):INDIRECT(DatCol&amp;"$"&amp;TEXT(C2056+57,"###"))&gt;0,INDIRECT(DatCol&amp;"$"&amp;TEXT(C2056,"###")):INDIRECT(DatCol&amp;"$"&amp;TEXT(C2056+57,"###"))))</f>
        <v>1200</v>
      </c>
      <c r="F2056" s="26" t="str">
        <f t="shared" si="2055"/>
        <v>S</v>
      </c>
      <c r="G2056" s="8"/>
      <c r="K2056" s="9">
        <f t="shared" si="2054"/>
        <v>0</v>
      </c>
      <c r="M2056" s="11">
        <f t="shared" si="2078"/>
        <v>0</v>
      </c>
      <c r="O2056" s="11">
        <f t="shared" si="2079"/>
        <v>0</v>
      </c>
      <c r="Q2056" s="11">
        <f t="shared" si="2080"/>
        <v>0</v>
      </c>
      <c r="Y2056" s="11">
        <f t="shared" si="2081"/>
        <v>0</v>
      </c>
      <c r="AG2056" s="11">
        <f t="shared" si="2082"/>
        <v>0</v>
      </c>
      <c r="AI2056" s="11">
        <f t="shared" si="2083"/>
        <v>0</v>
      </c>
      <c r="AK2056" s="13">
        <f t="shared" si="2084"/>
        <v>0</v>
      </c>
      <c r="AM2056" s="13">
        <f t="shared" si="2085"/>
        <v>0</v>
      </c>
      <c r="AO2056" s="11">
        <f t="shared" si="2086"/>
        <v>0</v>
      </c>
      <c r="AQ2056" s="11">
        <f t="shared" si="2087"/>
        <v>0</v>
      </c>
      <c r="AS2056" s="11">
        <f t="shared" si="2088"/>
        <v>0</v>
      </c>
      <c r="AU2056" s="11">
        <f t="shared" si="2089"/>
        <v>0</v>
      </c>
      <c r="AW2056" s="11">
        <f t="shared" si="2090"/>
        <v>0</v>
      </c>
      <c r="AY2056" s="11">
        <f t="shared" si="2091"/>
        <v>0</v>
      </c>
      <c r="BA2056" s="11">
        <f t="shared" si="2092"/>
        <v>0</v>
      </c>
      <c r="BC2056" s="11">
        <f t="shared" si="2093"/>
        <v>0</v>
      </c>
      <c r="BE2056" s="11">
        <f t="shared" si="2094"/>
        <v>0</v>
      </c>
      <c r="BG2056" s="11">
        <f t="shared" si="2095"/>
        <v>0</v>
      </c>
      <c r="BN2056" s="8">
        <f t="shared" si="2052"/>
        <v>0</v>
      </c>
      <c r="BO2056" s="8">
        <f t="shared" si="2053"/>
        <v>0</v>
      </c>
      <c r="BP2056" s="8">
        <f t="shared" si="2075"/>
        <v>0</v>
      </c>
      <c r="BQ2056" s="12">
        <f t="shared" si="2076"/>
        <v>0</v>
      </c>
    </row>
    <row r="2057" spans="1:69">
      <c r="A2057" s="28">
        <v>1980</v>
      </c>
      <c r="B2057" s="27" t="s">
        <v>90</v>
      </c>
      <c r="C2057" s="24">
        <f t="shared" si="2077"/>
        <v>2032</v>
      </c>
      <c r="D2057" s="7" t="e">
        <f t="shared" ca="1" si="2096"/>
        <v>#N/A</v>
      </c>
      <c r="E2057" s="26">
        <f t="array" aca="1" ref="E2057" ca="1">AVERAGE(IF(INDIRECT(DatCol&amp;"$"&amp;TEXT(C2057,"###")):INDIRECT(DatCol&amp;"$"&amp;TEXT(C2057+57,"###"))&gt;0,INDIRECT(DatCol&amp;"$"&amp;TEXT(C2057,"###")):INDIRECT(DatCol&amp;"$"&amp;TEXT(C2057+57,"###"))))</f>
        <v>1200</v>
      </c>
      <c r="F2057" s="26" t="str">
        <f t="shared" si="2055"/>
        <v>S</v>
      </c>
      <c r="G2057" s="8"/>
      <c r="I2057" s="8">
        <v>123</v>
      </c>
      <c r="K2057" s="9">
        <f t="shared" si="2054"/>
        <v>0</v>
      </c>
      <c r="L2057" s="12">
        <v>12531</v>
      </c>
      <c r="M2057" s="11">
        <f t="shared" si="2078"/>
        <v>626550</v>
      </c>
      <c r="O2057" s="11">
        <f t="shared" si="2079"/>
        <v>0</v>
      </c>
      <c r="Q2057" s="11">
        <f t="shared" si="2080"/>
        <v>0</v>
      </c>
      <c r="Y2057" s="11">
        <f t="shared" si="2081"/>
        <v>0</v>
      </c>
      <c r="AG2057" s="11">
        <f t="shared" si="2082"/>
        <v>0</v>
      </c>
      <c r="AI2057" s="11">
        <f t="shared" si="2083"/>
        <v>0</v>
      </c>
      <c r="AK2057" s="13">
        <f t="shared" si="2084"/>
        <v>0</v>
      </c>
      <c r="AM2057" s="13">
        <f t="shared" si="2085"/>
        <v>0</v>
      </c>
      <c r="AO2057" s="11">
        <f t="shared" si="2086"/>
        <v>0</v>
      </c>
      <c r="AQ2057" s="11">
        <f t="shared" si="2087"/>
        <v>0</v>
      </c>
      <c r="AS2057" s="11">
        <f t="shared" si="2088"/>
        <v>0</v>
      </c>
      <c r="AU2057" s="11">
        <f t="shared" si="2089"/>
        <v>0</v>
      </c>
      <c r="AW2057" s="11">
        <f t="shared" si="2090"/>
        <v>0</v>
      </c>
      <c r="AY2057" s="11">
        <f t="shared" si="2091"/>
        <v>0</v>
      </c>
      <c r="BA2057" s="11">
        <f t="shared" si="2092"/>
        <v>0</v>
      </c>
      <c r="BC2057" s="11">
        <f t="shared" si="2093"/>
        <v>0</v>
      </c>
      <c r="BE2057" s="11">
        <f t="shared" si="2094"/>
        <v>0</v>
      </c>
      <c r="BG2057" s="11">
        <f t="shared" si="2095"/>
        <v>0</v>
      </c>
      <c r="BN2057" s="8">
        <f t="shared" si="2052"/>
        <v>12531</v>
      </c>
      <c r="BO2057" s="8">
        <f t="shared" si="2053"/>
        <v>626550</v>
      </c>
      <c r="BP2057" s="8">
        <f t="shared" si="2075"/>
        <v>0</v>
      </c>
      <c r="BQ2057" s="12">
        <f t="shared" si="2076"/>
        <v>0</v>
      </c>
    </row>
    <row r="2058" spans="1:69">
      <c r="A2058" s="28">
        <v>1981</v>
      </c>
      <c r="B2058" s="27" t="s">
        <v>90</v>
      </c>
      <c r="C2058" s="24">
        <f t="shared" si="2077"/>
        <v>2032</v>
      </c>
      <c r="D2058" s="7" t="e">
        <f t="shared" ca="1" si="2096"/>
        <v>#N/A</v>
      </c>
      <c r="E2058" s="26">
        <f t="array" aca="1" ref="E2058" ca="1">AVERAGE(IF(INDIRECT(DatCol&amp;"$"&amp;TEXT(C2058,"###")):INDIRECT(DatCol&amp;"$"&amp;TEXT(C2058+57,"###"))&gt;0,INDIRECT(DatCol&amp;"$"&amp;TEXT(C2058,"###")):INDIRECT(DatCol&amp;"$"&amp;TEXT(C2058+57,"###"))))</f>
        <v>1200</v>
      </c>
      <c r="F2058" s="26" t="str">
        <f t="shared" si="2055"/>
        <v>S</v>
      </c>
      <c r="G2058" s="8"/>
      <c r="K2058" s="9">
        <f t="shared" si="2054"/>
        <v>0</v>
      </c>
      <c r="M2058" s="11">
        <f t="shared" si="2078"/>
        <v>0</v>
      </c>
      <c r="O2058" s="11">
        <f t="shared" si="2079"/>
        <v>0</v>
      </c>
      <c r="Q2058" s="11">
        <f t="shared" si="2080"/>
        <v>0</v>
      </c>
      <c r="Y2058" s="11">
        <f t="shared" si="2081"/>
        <v>0</v>
      </c>
      <c r="AG2058" s="11">
        <f t="shared" si="2082"/>
        <v>0</v>
      </c>
      <c r="AI2058" s="11">
        <f t="shared" si="2083"/>
        <v>0</v>
      </c>
      <c r="AK2058" s="13">
        <f t="shared" si="2084"/>
        <v>0</v>
      </c>
      <c r="AM2058" s="13">
        <f t="shared" si="2085"/>
        <v>0</v>
      </c>
      <c r="AO2058" s="11">
        <f t="shared" si="2086"/>
        <v>0</v>
      </c>
      <c r="AQ2058" s="11">
        <f t="shared" si="2087"/>
        <v>0</v>
      </c>
      <c r="AS2058" s="11">
        <f t="shared" si="2088"/>
        <v>0</v>
      </c>
      <c r="AU2058" s="11">
        <f t="shared" si="2089"/>
        <v>0</v>
      </c>
      <c r="AW2058" s="11">
        <f t="shared" si="2090"/>
        <v>0</v>
      </c>
      <c r="AY2058" s="11">
        <f t="shared" si="2091"/>
        <v>0</v>
      </c>
      <c r="BA2058" s="11">
        <f t="shared" si="2092"/>
        <v>0</v>
      </c>
      <c r="BC2058" s="11">
        <f t="shared" si="2093"/>
        <v>0</v>
      </c>
      <c r="BE2058" s="11">
        <f t="shared" si="2094"/>
        <v>0</v>
      </c>
      <c r="BG2058" s="11">
        <f t="shared" si="2095"/>
        <v>0</v>
      </c>
      <c r="BN2058" s="8">
        <f t="shared" si="2052"/>
        <v>0</v>
      </c>
      <c r="BO2058" s="8">
        <f t="shared" si="2053"/>
        <v>0</v>
      </c>
      <c r="BP2058" s="8">
        <f t="shared" si="2075"/>
        <v>0</v>
      </c>
      <c r="BQ2058" s="12">
        <f t="shared" si="2076"/>
        <v>0</v>
      </c>
    </row>
    <row r="2059" spans="1:69">
      <c r="A2059" s="28">
        <v>1982</v>
      </c>
      <c r="B2059" s="27" t="s">
        <v>90</v>
      </c>
      <c r="C2059" s="24">
        <f t="shared" si="2077"/>
        <v>2032</v>
      </c>
      <c r="D2059" s="7" t="e">
        <f t="shared" ca="1" si="2096"/>
        <v>#N/A</v>
      </c>
      <c r="E2059" s="26">
        <f t="array" aca="1" ref="E2059" ca="1">AVERAGE(IF(INDIRECT(DatCol&amp;"$"&amp;TEXT(C2059,"###")):INDIRECT(DatCol&amp;"$"&amp;TEXT(C2059+57,"###"))&gt;0,INDIRECT(DatCol&amp;"$"&amp;TEXT(C2059,"###")):INDIRECT(DatCol&amp;"$"&amp;TEXT(C2059+57,"###"))))</f>
        <v>1200</v>
      </c>
      <c r="F2059" s="26" t="str">
        <f t="shared" si="2055"/>
        <v>S</v>
      </c>
      <c r="G2059" s="8"/>
      <c r="I2059" s="8" t="s">
        <v>52</v>
      </c>
      <c r="K2059" s="9">
        <f t="shared" si="2054"/>
        <v>0</v>
      </c>
      <c r="L2059" s="12">
        <v>8586</v>
      </c>
      <c r="M2059" s="11">
        <f t="shared" si="2078"/>
        <v>429300</v>
      </c>
      <c r="O2059" s="11">
        <f t="shared" si="2079"/>
        <v>0</v>
      </c>
      <c r="Q2059" s="11">
        <f t="shared" si="2080"/>
        <v>0</v>
      </c>
      <c r="Y2059" s="11">
        <f t="shared" si="2081"/>
        <v>0</v>
      </c>
      <c r="AG2059" s="11">
        <f t="shared" si="2082"/>
        <v>0</v>
      </c>
      <c r="AI2059" s="11">
        <f t="shared" si="2083"/>
        <v>0</v>
      </c>
      <c r="AK2059" s="13">
        <f t="shared" si="2084"/>
        <v>0</v>
      </c>
      <c r="AM2059" s="13">
        <f t="shared" si="2085"/>
        <v>0</v>
      </c>
      <c r="AO2059" s="11">
        <f t="shared" si="2086"/>
        <v>0</v>
      </c>
      <c r="AQ2059" s="11">
        <f t="shared" si="2087"/>
        <v>0</v>
      </c>
      <c r="AS2059" s="11">
        <f t="shared" si="2088"/>
        <v>0</v>
      </c>
      <c r="AU2059" s="11">
        <f t="shared" si="2089"/>
        <v>0</v>
      </c>
      <c r="AW2059" s="11">
        <f t="shared" si="2090"/>
        <v>0</v>
      </c>
      <c r="AY2059" s="11">
        <f t="shared" si="2091"/>
        <v>0</v>
      </c>
      <c r="BA2059" s="11">
        <f t="shared" si="2092"/>
        <v>0</v>
      </c>
      <c r="BC2059" s="11">
        <f t="shared" si="2093"/>
        <v>0</v>
      </c>
      <c r="BE2059" s="11">
        <f t="shared" si="2094"/>
        <v>0</v>
      </c>
      <c r="BG2059" s="11">
        <f t="shared" si="2095"/>
        <v>0</v>
      </c>
      <c r="BN2059" s="8">
        <f t="shared" si="2052"/>
        <v>8586</v>
      </c>
      <c r="BO2059" s="8">
        <f t="shared" si="2053"/>
        <v>429300</v>
      </c>
      <c r="BP2059" s="8">
        <f t="shared" si="2075"/>
        <v>0</v>
      </c>
      <c r="BQ2059" s="12">
        <f t="shared" si="2076"/>
        <v>0</v>
      </c>
    </row>
    <row r="2060" spans="1:69">
      <c r="A2060" s="28">
        <v>1983</v>
      </c>
      <c r="B2060" s="27" t="s">
        <v>90</v>
      </c>
      <c r="C2060" s="24">
        <f t="shared" si="2077"/>
        <v>2032</v>
      </c>
      <c r="D2060" s="7" t="e">
        <f t="shared" ca="1" si="2096"/>
        <v>#N/A</v>
      </c>
      <c r="E2060" s="26">
        <f t="array" aca="1" ref="E2060" ca="1">AVERAGE(IF(INDIRECT(DatCol&amp;"$"&amp;TEXT(C2060,"###")):INDIRECT(DatCol&amp;"$"&amp;TEXT(C2060+57,"###"))&gt;0,INDIRECT(DatCol&amp;"$"&amp;TEXT(C2060,"###")):INDIRECT(DatCol&amp;"$"&amp;TEXT(C2060+57,"###"))))</f>
        <v>1200</v>
      </c>
      <c r="F2060" s="26" t="str">
        <f t="shared" si="2055"/>
        <v>S</v>
      </c>
      <c r="G2060" s="8"/>
      <c r="I2060" s="8">
        <v>79</v>
      </c>
      <c r="J2060" s="8">
        <v>0</v>
      </c>
      <c r="K2060" s="9">
        <f t="shared" si="2054"/>
        <v>0</v>
      </c>
      <c r="L2060" s="12">
        <v>12361</v>
      </c>
      <c r="M2060" s="11">
        <f t="shared" si="2078"/>
        <v>618050</v>
      </c>
      <c r="O2060" s="11">
        <f t="shared" si="2079"/>
        <v>0</v>
      </c>
      <c r="Q2060" s="11">
        <f t="shared" si="2080"/>
        <v>0</v>
      </c>
      <c r="Y2060" s="11">
        <f t="shared" si="2081"/>
        <v>0</v>
      </c>
      <c r="AG2060" s="11">
        <f t="shared" si="2082"/>
        <v>0</v>
      </c>
      <c r="AI2060" s="11">
        <f t="shared" si="2083"/>
        <v>0</v>
      </c>
      <c r="AK2060" s="13">
        <f t="shared" si="2084"/>
        <v>0</v>
      </c>
      <c r="AM2060" s="13">
        <f t="shared" si="2085"/>
        <v>0</v>
      </c>
      <c r="AO2060" s="11">
        <f t="shared" si="2086"/>
        <v>0</v>
      </c>
      <c r="AQ2060" s="11">
        <f t="shared" si="2087"/>
        <v>0</v>
      </c>
      <c r="AS2060" s="11">
        <f t="shared" si="2088"/>
        <v>0</v>
      </c>
      <c r="AU2060" s="11">
        <f t="shared" si="2089"/>
        <v>0</v>
      </c>
      <c r="AW2060" s="11">
        <f t="shared" si="2090"/>
        <v>0</v>
      </c>
      <c r="AY2060" s="11">
        <f t="shared" si="2091"/>
        <v>0</v>
      </c>
      <c r="BA2060" s="11">
        <f t="shared" si="2092"/>
        <v>0</v>
      </c>
      <c r="BC2060" s="11">
        <f t="shared" si="2093"/>
        <v>0</v>
      </c>
      <c r="BE2060" s="11">
        <f t="shared" si="2094"/>
        <v>0</v>
      </c>
      <c r="BG2060" s="11">
        <f t="shared" si="2095"/>
        <v>0</v>
      </c>
      <c r="BN2060" s="8">
        <f t="shared" si="2052"/>
        <v>12361</v>
      </c>
      <c r="BO2060" s="8">
        <f t="shared" si="2053"/>
        <v>618050</v>
      </c>
      <c r="BP2060" s="8">
        <f t="shared" si="2075"/>
        <v>0</v>
      </c>
      <c r="BQ2060" s="12">
        <f t="shared" si="2076"/>
        <v>0</v>
      </c>
    </row>
    <row r="2061" spans="1:69">
      <c r="A2061" s="28">
        <v>1984</v>
      </c>
      <c r="B2061" s="27" t="s">
        <v>90</v>
      </c>
      <c r="C2061" s="24">
        <f t="shared" si="2077"/>
        <v>2032</v>
      </c>
      <c r="D2061" s="7" t="e">
        <f t="shared" ca="1" si="2096"/>
        <v>#N/A</v>
      </c>
      <c r="E2061" s="26">
        <f t="array" aca="1" ref="E2061" ca="1">AVERAGE(IF(INDIRECT(DatCol&amp;"$"&amp;TEXT(C2061,"###")):INDIRECT(DatCol&amp;"$"&amp;TEXT(C2061+57,"###"))&gt;0,INDIRECT(DatCol&amp;"$"&amp;TEXT(C2061,"###")):INDIRECT(DatCol&amp;"$"&amp;TEXT(C2061+57,"###"))))</f>
        <v>1200</v>
      </c>
      <c r="F2061" s="26" t="str">
        <f t="shared" si="2055"/>
        <v>S</v>
      </c>
      <c r="G2061" s="8"/>
      <c r="I2061" s="8">
        <v>151</v>
      </c>
      <c r="J2061" s="8">
        <v>0</v>
      </c>
      <c r="K2061" s="9">
        <f t="shared" si="2054"/>
        <v>0</v>
      </c>
      <c r="L2061" s="12">
        <v>12415</v>
      </c>
      <c r="M2061" s="11">
        <f t="shared" si="2078"/>
        <v>620750</v>
      </c>
      <c r="O2061" s="11">
        <f t="shared" si="2079"/>
        <v>0</v>
      </c>
      <c r="Q2061" s="11">
        <f t="shared" si="2080"/>
        <v>0</v>
      </c>
      <c r="Y2061" s="11">
        <f t="shared" si="2081"/>
        <v>0</v>
      </c>
      <c r="AG2061" s="11">
        <f t="shared" si="2082"/>
        <v>0</v>
      </c>
      <c r="AI2061" s="11">
        <f t="shared" si="2083"/>
        <v>0</v>
      </c>
      <c r="AK2061" s="13">
        <f t="shared" si="2084"/>
        <v>0</v>
      </c>
      <c r="AM2061" s="13">
        <f t="shared" si="2085"/>
        <v>0</v>
      </c>
      <c r="AO2061" s="11">
        <f t="shared" si="2086"/>
        <v>0</v>
      </c>
      <c r="AQ2061" s="11">
        <f t="shared" si="2087"/>
        <v>0</v>
      </c>
      <c r="AS2061" s="11">
        <f t="shared" si="2088"/>
        <v>0</v>
      </c>
      <c r="AU2061" s="11">
        <f t="shared" si="2089"/>
        <v>0</v>
      </c>
      <c r="AW2061" s="11">
        <f t="shared" si="2090"/>
        <v>0</v>
      </c>
      <c r="AY2061" s="11">
        <f t="shared" si="2091"/>
        <v>0</v>
      </c>
      <c r="BA2061" s="11">
        <f t="shared" si="2092"/>
        <v>0</v>
      </c>
      <c r="BC2061" s="11">
        <f t="shared" si="2093"/>
        <v>0</v>
      </c>
      <c r="BE2061" s="11">
        <f t="shared" si="2094"/>
        <v>0</v>
      </c>
      <c r="BG2061" s="11">
        <f t="shared" si="2095"/>
        <v>0</v>
      </c>
      <c r="BN2061" s="8">
        <f t="shared" si="2052"/>
        <v>12415</v>
      </c>
      <c r="BO2061" s="8">
        <f t="shared" si="2053"/>
        <v>620750</v>
      </c>
      <c r="BP2061" s="8">
        <f t="shared" si="2075"/>
        <v>0</v>
      </c>
      <c r="BQ2061" s="12">
        <f t="shared" si="2076"/>
        <v>0</v>
      </c>
    </row>
    <row r="2062" spans="1:69">
      <c r="A2062" s="28">
        <v>1985</v>
      </c>
      <c r="B2062" s="27" t="s">
        <v>90</v>
      </c>
      <c r="C2062" s="24">
        <f t="shared" si="2077"/>
        <v>2032</v>
      </c>
      <c r="D2062" s="7" t="e">
        <f t="shared" ca="1" si="2096"/>
        <v>#N/A</v>
      </c>
      <c r="E2062" s="26">
        <f t="array" aca="1" ref="E2062" ca="1">AVERAGE(IF(INDIRECT(DatCol&amp;"$"&amp;TEXT(C2062,"###")):INDIRECT(DatCol&amp;"$"&amp;TEXT(C2062+57,"###"))&gt;0,INDIRECT(DatCol&amp;"$"&amp;TEXT(C2062,"###")):INDIRECT(DatCol&amp;"$"&amp;TEXT(C2062+57,"###"))))</f>
        <v>1200</v>
      </c>
      <c r="F2062" s="26" t="str">
        <f t="shared" si="2055"/>
        <v>S</v>
      </c>
      <c r="G2062" s="8"/>
      <c r="I2062" s="8">
        <v>140</v>
      </c>
      <c r="J2062" s="8">
        <v>0</v>
      </c>
      <c r="K2062" s="9">
        <f t="shared" si="2054"/>
        <v>0</v>
      </c>
      <c r="L2062" s="12">
        <v>12247</v>
      </c>
      <c r="M2062" s="11">
        <f t="shared" si="2078"/>
        <v>612350</v>
      </c>
      <c r="O2062" s="11">
        <f t="shared" si="2079"/>
        <v>0</v>
      </c>
      <c r="Q2062" s="11">
        <f t="shared" si="2080"/>
        <v>0</v>
      </c>
      <c r="Y2062" s="11">
        <f t="shared" si="2081"/>
        <v>0</v>
      </c>
      <c r="AG2062" s="11">
        <f t="shared" si="2082"/>
        <v>0</v>
      </c>
      <c r="AI2062" s="11">
        <f t="shared" si="2083"/>
        <v>0</v>
      </c>
      <c r="AK2062" s="13">
        <f t="shared" si="2084"/>
        <v>0</v>
      </c>
      <c r="AM2062" s="13">
        <f t="shared" si="2085"/>
        <v>0</v>
      </c>
      <c r="AO2062" s="11">
        <f t="shared" si="2086"/>
        <v>0</v>
      </c>
      <c r="AQ2062" s="11">
        <f t="shared" si="2087"/>
        <v>0</v>
      </c>
      <c r="AS2062" s="11">
        <f t="shared" si="2088"/>
        <v>0</v>
      </c>
      <c r="AU2062" s="11">
        <f t="shared" si="2089"/>
        <v>0</v>
      </c>
      <c r="AW2062" s="11">
        <f t="shared" si="2090"/>
        <v>0</v>
      </c>
      <c r="AY2062" s="11">
        <f t="shared" si="2091"/>
        <v>0</v>
      </c>
      <c r="BA2062" s="11">
        <f t="shared" si="2092"/>
        <v>0</v>
      </c>
      <c r="BC2062" s="11">
        <f t="shared" si="2093"/>
        <v>0</v>
      </c>
      <c r="BE2062" s="11">
        <f t="shared" si="2094"/>
        <v>0</v>
      </c>
      <c r="BG2062" s="11">
        <f t="shared" si="2095"/>
        <v>0</v>
      </c>
      <c r="BN2062" s="8">
        <f t="shared" si="2052"/>
        <v>12247</v>
      </c>
      <c r="BO2062" s="8">
        <f t="shared" si="2053"/>
        <v>612350</v>
      </c>
      <c r="BP2062" s="8">
        <f t="shared" si="2075"/>
        <v>0</v>
      </c>
      <c r="BQ2062" s="12">
        <f t="shared" si="2076"/>
        <v>0</v>
      </c>
    </row>
    <row r="2063" spans="1:69">
      <c r="A2063" s="28">
        <v>1986</v>
      </c>
      <c r="B2063" s="27" t="s">
        <v>90</v>
      </c>
      <c r="C2063" s="24">
        <f t="shared" si="2077"/>
        <v>2032</v>
      </c>
      <c r="D2063" s="7" t="e">
        <f t="shared" ca="1" si="2096"/>
        <v>#N/A</v>
      </c>
      <c r="E2063" s="26">
        <f t="array" aca="1" ref="E2063" ca="1">AVERAGE(IF(INDIRECT(DatCol&amp;"$"&amp;TEXT(C2063,"###")):INDIRECT(DatCol&amp;"$"&amp;TEXT(C2063+57,"###"))&gt;0,INDIRECT(DatCol&amp;"$"&amp;TEXT(C2063,"###")):INDIRECT(DatCol&amp;"$"&amp;TEXT(C2063+57,"###"))))</f>
        <v>1200</v>
      </c>
      <c r="F2063" s="26" t="str">
        <f t="shared" si="2055"/>
        <v>S</v>
      </c>
      <c r="G2063" s="8"/>
      <c r="I2063" s="8">
        <v>136</v>
      </c>
      <c r="J2063" s="8">
        <v>0</v>
      </c>
      <c r="K2063" s="9">
        <f t="shared" si="2054"/>
        <v>0</v>
      </c>
      <c r="L2063" s="12">
        <v>12293</v>
      </c>
      <c r="M2063" s="11">
        <f t="shared" si="2078"/>
        <v>614650</v>
      </c>
      <c r="O2063" s="11">
        <f t="shared" si="2079"/>
        <v>0</v>
      </c>
      <c r="Q2063" s="11">
        <f t="shared" si="2080"/>
        <v>0</v>
      </c>
      <c r="Y2063" s="11">
        <f t="shared" si="2081"/>
        <v>0</v>
      </c>
      <c r="AG2063" s="11">
        <f t="shared" si="2082"/>
        <v>0</v>
      </c>
      <c r="AI2063" s="11">
        <f t="shared" si="2083"/>
        <v>0</v>
      </c>
      <c r="AK2063" s="13">
        <f t="shared" si="2084"/>
        <v>0</v>
      </c>
      <c r="AM2063" s="13">
        <f t="shared" si="2085"/>
        <v>0</v>
      </c>
      <c r="AO2063" s="11">
        <f t="shared" si="2086"/>
        <v>0</v>
      </c>
      <c r="AQ2063" s="11">
        <f t="shared" si="2087"/>
        <v>0</v>
      </c>
      <c r="AS2063" s="11">
        <f t="shared" si="2088"/>
        <v>0</v>
      </c>
      <c r="AU2063" s="11">
        <f t="shared" si="2089"/>
        <v>0</v>
      </c>
      <c r="AW2063" s="11">
        <f t="shared" si="2090"/>
        <v>0</v>
      </c>
      <c r="AY2063" s="11">
        <f t="shared" si="2091"/>
        <v>0</v>
      </c>
      <c r="BA2063" s="11">
        <f t="shared" si="2092"/>
        <v>0</v>
      </c>
      <c r="BC2063" s="11">
        <f t="shared" si="2093"/>
        <v>0</v>
      </c>
      <c r="BE2063" s="11">
        <f t="shared" si="2094"/>
        <v>0</v>
      </c>
      <c r="BG2063" s="11">
        <f t="shared" si="2095"/>
        <v>0</v>
      </c>
      <c r="BN2063" s="8">
        <f t="shared" si="2052"/>
        <v>12293</v>
      </c>
      <c r="BO2063" s="8">
        <f t="shared" si="2053"/>
        <v>614650</v>
      </c>
      <c r="BP2063" s="8">
        <f t="shared" si="2075"/>
        <v>0</v>
      </c>
      <c r="BQ2063" s="12">
        <f t="shared" si="2076"/>
        <v>0</v>
      </c>
    </row>
    <row r="2064" spans="1:69">
      <c r="A2064" s="28">
        <v>1987</v>
      </c>
      <c r="B2064" s="27" t="s">
        <v>90</v>
      </c>
      <c r="C2064" s="24">
        <f t="shared" si="2077"/>
        <v>2032</v>
      </c>
      <c r="D2064" s="7" t="e">
        <f t="shared" ca="1" si="2096"/>
        <v>#N/A</v>
      </c>
      <c r="E2064" s="26">
        <f t="array" aca="1" ref="E2064" ca="1">AVERAGE(IF(INDIRECT(DatCol&amp;"$"&amp;TEXT(C2064,"###")):INDIRECT(DatCol&amp;"$"&amp;TEXT(C2064+57,"###"))&gt;0,INDIRECT(DatCol&amp;"$"&amp;TEXT(C2064,"###")):INDIRECT(DatCol&amp;"$"&amp;TEXT(C2064+57,"###"))))</f>
        <v>1200</v>
      </c>
      <c r="F2064" s="26" t="str">
        <f t="shared" si="2055"/>
        <v>S</v>
      </c>
      <c r="G2064" s="8"/>
      <c r="I2064" s="8">
        <v>101</v>
      </c>
      <c r="J2064" s="8">
        <v>0</v>
      </c>
      <c r="K2064" s="9">
        <f t="shared" si="2054"/>
        <v>0</v>
      </c>
      <c r="L2064" s="12">
        <v>8134</v>
      </c>
      <c r="M2064" s="11">
        <f t="shared" ref="M2064:M2094" si="2097">(L2064*50)</f>
        <v>406700</v>
      </c>
      <c r="O2064" s="11">
        <f t="shared" ref="O2064:O2094" si="2098">(N2064*50)</f>
        <v>0</v>
      </c>
      <c r="Q2064" s="11">
        <f t="shared" ref="Q2064:Q2094" si="2099">((P2064*330)/5.5)</f>
        <v>0</v>
      </c>
      <c r="Y2064" s="11">
        <f t="shared" ref="Y2064:Y2094" si="2100">((X2064*330)/5.5)</f>
        <v>0</v>
      </c>
      <c r="AG2064" s="11">
        <f t="shared" ref="AG2064:AG2094" si="2101">(AF2064*65)</f>
        <v>0</v>
      </c>
      <c r="AI2064" s="11">
        <f t="shared" ref="AI2064:AI2094" si="2102">(AH2064*65)</f>
        <v>0</v>
      </c>
      <c r="AK2064" s="13">
        <f t="shared" ref="AK2064:AK2094" si="2103">(AJ2064*9)</f>
        <v>0</v>
      </c>
      <c r="AM2064" s="13">
        <f t="shared" ref="AM2064:AM2094" si="2104">(AL2064*9)</f>
        <v>0</v>
      </c>
      <c r="AO2064" s="11">
        <f t="shared" ref="AO2064:AO2094" si="2105">(AN2064*80)</f>
        <v>0</v>
      </c>
      <c r="AQ2064" s="11">
        <f t="shared" ref="AQ2064:AQ2094" si="2106">(AP2064*80)</f>
        <v>0</v>
      </c>
      <c r="AS2064" s="11">
        <f t="shared" ref="AS2064:AS2094" si="2107">(AR2064*50)</f>
        <v>0</v>
      </c>
      <c r="AU2064" s="11">
        <f t="shared" ref="AU2064:AU2094" si="2108">(AT2064*50)</f>
        <v>0</v>
      </c>
      <c r="AW2064" s="11">
        <f t="shared" ref="AW2064:AW2094" si="2109">(AV2064*60)</f>
        <v>0</v>
      </c>
      <c r="AY2064" s="11">
        <f t="shared" ref="AY2064:AY2094" si="2110">(AX2064*60)</f>
        <v>0</v>
      </c>
      <c r="BA2064" s="11">
        <f t="shared" ref="BA2064:BA2094" si="2111">(AZ2064*40)</f>
        <v>0</v>
      </c>
      <c r="BC2064" s="11">
        <f t="shared" ref="BC2064:BC2094" si="2112">(BB2064*40)</f>
        <v>0</v>
      </c>
      <c r="BE2064" s="11">
        <f t="shared" ref="BE2064:BE2094" si="2113">(BD2064*95)</f>
        <v>0</v>
      </c>
      <c r="BG2064" s="11">
        <f t="shared" ref="BG2064:BG2094" si="2114">(BF2064*95)</f>
        <v>0</v>
      </c>
      <c r="BN2064" s="8">
        <f t="shared" si="2052"/>
        <v>8134</v>
      </c>
      <c r="BO2064" s="8">
        <f t="shared" si="2053"/>
        <v>406700</v>
      </c>
      <c r="BP2064" s="8">
        <f t="shared" si="2075"/>
        <v>0</v>
      </c>
      <c r="BQ2064" s="12">
        <f t="shared" si="2076"/>
        <v>0</v>
      </c>
    </row>
    <row r="2065" spans="1:69">
      <c r="A2065" s="28">
        <v>1988</v>
      </c>
      <c r="B2065" s="27" t="s">
        <v>90</v>
      </c>
      <c r="C2065" s="24">
        <f t="shared" si="2077"/>
        <v>2032</v>
      </c>
      <c r="D2065" s="7" t="e">
        <f t="shared" ca="1" si="2096"/>
        <v>#N/A</v>
      </c>
      <c r="E2065" s="26">
        <f t="array" aca="1" ref="E2065" ca="1">AVERAGE(IF(INDIRECT(DatCol&amp;"$"&amp;TEXT(C2065,"###")):INDIRECT(DatCol&amp;"$"&amp;TEXT(C2065+57,"###"))&gt;0,INDIRECT(DatCol&amp;"$"&amp;TEXT(C2065,"###")):INDIRECT(DatCol&amp;"$"&amp;TEXT(C2065+57,"###"))))</f>
        <v>1200</v>
      </c>
      <c r="F2065" s="26" t="str">
        <f t="shared" si="2055"/>
        <v>S</v>
      </c>
      <c r="G2065" s="8"/>
      <c r="H2065" s="8">
        <v>0</v>
      </c>
      <c r="I2065" s="8">
        <v>63</v>
      </c>
      <c r="K2065" s="9">
        <f t="shared" si="2054"/>
        <v>0</v>
      </c>
      <c r="L2065" s="12">
        <v>4037</v>
      </c>
      <c r="M2065" s="11">
        <f t="shared" si="2097"/>
        <v>201850</v>
      </c>
      <c r="O2065" s="11">
        <f t="shared" si="2098"/>
        <v>0</v>
      </c>
      <c r="Q2065" s="11">
        <f t="shared" si="2099"/>
        <v>0</v>
      </c>
      <c r="Y2065" s="11">
        <f t="shared" si="2100"/>
        <v>0</v>
      </c>
      <c r="AG2065" s="11">
        <f t="shared" si="2101"/>
        <v>0</v>
      </c>
      <c r="AI2065" s="11">
        <f t="shared" si="2102"/>
        <v>0</v>
      </c>
      <c r="AK2065" s="13">
        <f t="shared" si="2103"/>
        <v>0</v>
      </c>
      <c r="AM2065" s="13">
        <f t="shared" si="2104"/>
        <v>0</v>
      </c>
      <c r="AO2065" s="11">
        <f t="shared" si="2105"/>
        <v>0</v>
      </c>
      <c r="AQ2065" s="11">
        <f t="shared" si="2106"/>
        <v>0</v>
      </c>
      <c r="AS2065" s="11">
        <f t="shared" si="2107"/>
        <v>0</v>
      </c>
      <c r="AU2065" s="11">
        <f t="shared" si="2108"/>
        <v>0</v>
      </c>
      <c r="AW2065" s="11">
        <f t="shared" si="2109"/>
        <v>0</v>
      </c>
      <c r="AY2065" s="11">
        <f t="shared" si="2110"/>
        <v>0</v>
      </c>
      <c r="BA2065" s="11">
        <f t="shared" si="2111"/>
        <v>0</v>
      </c>
      <c r="BC2065" s="11">
        <f t="shared" si="2112"/>
        <v>0</v>
      </c>
      <c r="BE2065" s="11">
        <f t="shared" si="2113"/>
        <v>0</v>
      </c>
      <c r="BG2065" s="11">
        <f t="shared" si="2114"/>
        <v>0</v>
      </c>
      <c r="BN2065" s="8">
        <f t="shared" si="2052"/>
        <v>4037</v>
      </c>
      <c r="BO2065" s="8">
        <f t="shared" si="2053"/>
        <v>201850</v>
      </c>
      <c r="BP2065" s="8">
        <f t="shared" si="2075"/>
        <v>0</v>
      </c>
      <c r="BQ2065" s="12">
        <f t="shared" si="2076"/>
        <v>0</v>
      </c>
    </row>
    <row r="2066" spans="1:69">
      <c r="A2066" s="28">
        <v>1989</v>
      </c>
      <c r="B2066" s="27" t="s">
        <v>90</v>
      </c>
      <c r="C2066" s="24">
        <f t="shared" si="2077"/>
        <v>2032</v>
      </c>
      <c r="D2066" s="7" t="e">
        <f t="shared" ca="1" si="2096"/>
        <v>#N/A</v>
      </c>
      <c r="E2066" s="26">
        <f t="array" aca="1" ref="E2066" ca="1">AVERAGE(IF(INDIRECT(DatCol&amp;"$"&amp;TEXT(C2066,"###")):INDIRECT(DatCol&amp;"$"&amp;TEXT(C2066+57,"###"))&gt;0,INDIRECT(DatCol&amp;"$"&amp;TEXT(C2066,"###")):INDIRECT(DatCol&amp;"$"&amp;TEXT(C2066+57,"###"))))</f>
        <v>1200</v>
      </c>
      <c r="F2066" s="26" t="str">
        <f t="shared" si="2055"/>
        <v>S</v>
      </c>
      <c r="G2066" s="8"/>
      <c r="H2066" s="8">
        <v>0</v>
      </c>
      <c r="I2066" s="8">
        <v>80</v>
      </c>
      <c r="J2066" s="8">
        <v>0</v>
      </c>
      <c r="K2066" s="9">
        <f t="shared" si="2054"/>
        <v>0</v>
      </c>
      <c r="L2066" s="12">
        <v>4671</v>
      </c>
      <c r="M2066" s="11">
        <f t="shared" si="2097"/>
        <v>233550</v>
      </c>
      <c r="O2066" s="11">
        <f t="shared" si="2098"/>
        <v>0</v>
      </c>
      <c r="Q2066" s="11">
        <f t="shared" si="2099"/>
        <v>0</v>
      </c>
      <c r="Y2066" s="11">
        <f t="shared" si="2100"/>
        <v>0</v>
      </c>
      <c r="AG2066" s="11">
        <f t="shared" si="2101"/>
        <v>0</v>
      </c>
      <c r="AI2066" s="11">
        <f t="shared" si="2102"/>
        <v>0</v>
      </c>
      <c r="AK2066" s="13">
        <f t="shared" si="2103"/>
        <v>0</v>
      </c>
      <c r="AM2066" s="13">
        <f t="shared" si="2104"/>
        <v>0</v>
      </c>
      <c r="AO2066" s="11">
        <f t="shared" si="2105"/>
        <v>0</v>
      </c>
      <c r="AQ2066" s="11">
        <f t="shared" si="2106"/>
        <v>0</v>
      </c>
      <c r="AS2066" s="11">
        <f t="shared" si="2107"/>
        <v>0</v>
      </c>
      <c r="AU2066" s="11">
        <f t="shared" si="2108"/>
        <v>0</v>
      </c>
      <c r="AW2066" s="11">
        <f t="shared" si="2109"/>
        <v>0</v>
      </c>
      <c r="AY2066" s="11">
        <f t="shared" si="2110"/>
        <v>0</v>
      </c>
      <c r="BA2066" s="11">
        <f t="shared" si="2111"/>
        <v>0</v>
      </c>
      <c r="BC2066" s="11">
        <f t="shared" si="2112"/>
        <v>0</v>
      </c>
      <c r="BE2066" s="11">
        <f t="shared" si="2113"/>
        <v>0</v>
      </c>
      <c r="BG2066" s="11">
        <f t="shared" si="2114"/>
        <v>0</v>
      </c>
      <c r="BN2066" s="8">
        <f t="shared" si="2052"/>
        <v>4671</v>
      </c>
      <c r="BO2066" s="8">
        <f t="shared" si="2053"/>
        <v>233550</v>
      </c>
      <c r="BP2066" s="8">
        <f t="shared" si="2075"/>
        <v>0</v>
      </c>
      <c r="BQ2066" s="12">
        <f t="shared" si="2076"/>
        <v>0</v>
      </c>
    </row>
    <row r="2067" spans="1:69">
      <c r="A2067" s="28">
        <v>1990</v>
      </c>
      <c r="B2067" s="27" t="s">
        <v>90</v>
      </c>
      <c r="C2067" s="24">
        <f t="shared" si="2077"/>
        <v>2032</v>
      </c>
      <c r="D2067" s="7" t="e">
        <f t="shared" ca="1" si="2096"/>
        <v>#N/A</v>
      </c>
      <c r="E2067" s="26">
        <f t="array" aca="1" ref="E2067" ca="1">AVERAGE(IF(INDIRECT(DatCol&amp;"$"&amp;TEXT(C2067,"###")):INDIRECT(DatCol&amp;"$"&amp;TEXT(C2067+57,"###"))&gt;0,INDIRECT(DatCol&amp;"$"&amp;TEXT(C2067,"###")):INDIRECT(DatCol&amp;"$"&amp;TEXT(C2067+57,"###"))))</f>
        <v>1200</v>
      </c>
      <c r="F2067" s="26" t="str">
        <f t="shared" si="2055"/>
        <v>S</v>
      </c>
      <c r="G2067" s="8"/>
      <c r="H2067" s="8">
        <v>0</v>
      </c>
      <c r="I2067" s="8">
        <v>85</v>
      </c>
      <c r="J2067" s="8">
        <v>0</v>
      </c>
      <c r="K2067" s="9">
        <f t="shared" si="2054"/>
        <v>0</v>
      </c>
      <c r="L2067" s="12">
        <v>8508</v>
      </c>
      <c r="M2067" s="11">
        <f t="shared" si="2097"/>
        <v>425400</v>
      </c>
      <c r="O2067" s="11">
        <f t="shared" si="2098"/>
        <v>0</v>
      </c>
      <c r="Q2067" s="11">
        <f t="shared" si="2099"/>
        <v>0</v>
      </c>
      <c r="Y2067" s="11">
        <f t="shared" si="2100"/>
        <v>0</v>
      </c>
      <c r="AG2067" s="11">
        <f t="shared" si="2101"/>
        <v>0</v>
      </c>
      <c r="AI2067" s="11">
        <f t="shared" si="2102"/>
        <v>0</v>
      </c>
      <c r="AK2067" s="13">
        <f t="shared" si="2103"/>
        <v>0</v>
      </c>
      <c r="AM2067" s="13">
        <f t="shared" si="2104"/>
        <v>0</v>
      </c>
      <c r="AO2067" s="11">
        <f t="shared" si="2105"/>
        <v>0</v>
      </c>
      <c r="AQ2067" s="11">
        <f t="shared" si="2106"/>
        <v>0</v>
      </c>
      <c r="AS2067" s="11">
        <f t="shared" si="2107"/>
        <v>0</v>
      </c>
      <c r="AU2067" s="11">
        <f t="shared" si="2108"/>
        <v>0</v>
      </c>
      <c r="AW2067" s="11">
        <f t="shared" si="2109"/>
        <v>0</v>
      </c>
      <c r="AY2067" s="11">
        <f t="shared" si="2110"/>
        <v>0</v>
      </c>
      <c r="BA2067" s="11">
        <f t="shared" si="2111"/>
        <v>0</v>
      </c>
      <c r="BC2067" s="11">
        <f t="shared" si="2112"/>
        <v>0</v>
      </c>
      <c r="BE2067" s="11">
        <f t="shared" si="2113"/>
        <v>0</v>
      </c>
      <c r="BG2067" s="11">
        <f t="shared" si="2114"/>
        <v>0</v>
      </c>
      <c r="BN2067" s="8">
        <f t="shared" si="2052"/>
        <v>8508</v>
      </c>
      <c r="BO2067" s="8">
        <f t="shared" si="2053"/>
        <v>425400</v>
      </c>
      <c r="BP2067" s="8">
        <f t="shared" si="2075"/>
        <v>0</v>
      </c>
      <c r="BQ2067" s="12">
        <f t="shared" si="2076"/>
        <v>0</v>
      </c>
    </row>
    <row r="2068" spans="1:69">
      <c r="A2068" s="28">
        <v>1991</v>
      </c>
      <c r="B2068" s="27" t="s">
        <v>90</v>
      </c>
      <c r="C2068" s="24">
        <f t="shared" si="2077"/>
        <v>2032</v>
      </c>
      <c r="D2068" s="7" t="e">
        <f t="shared" ca="1" si="2096"/>
        <v>#N/A</v>
      </c>
      <c r="E2068" s="26">
        <f t="array" aca="1" ref="E2068" ca="1">AVERAGE(IF(INDIRECT(DatCol&amp;"$"&amp;TEXT(C2068,"###")):INDIRECT(DatCol&amp;"$"&amp;TEXT(C2068+57,"###"))&gt;0,INDIRECT(DatCol&amp;"$"&amp;TEXT(C2068,"###")):INDIRECT(DatCol&amp;"$"&amp;TEXT(C2068+57,"###"))))</f>
        <v>1200</v>
      </c>
      <c r="F2068" s="26" t="str">
        <f t="shared" si="2055"/>
        <v>S</v>
      </c>
      <c r="G2068" s="8"/>
      <c r="H2068" s="8">
        <v>0</v>
      </c>
      <c r="I2068" s="8">
        <v>103</v>
      </c>
      <c r="J2068" s="8">
        <v>0</v>
      </c>
      <c r="K2068" s="9">
        <f t="shared" si="2054"/>
        <v>0</v>
      </c>
      <c r="L2068" s="12">
        <v>7270</v>
      </c>
      <c r="M2068" s="11">
        <f t="shared" si="2097"/>
        <v>363500</v>
      </c>
      <c r="O2068" s="11">
        <f t="shared" si="2098"/>
        <v>0</v>
      </c>
      <c r="Q2068" s="11">
        <f t="shared" si="2099"/>
        <v>0</v>
      </c>
      <c r="Y2068" s="11">
        <f t="shared" si="2100"/>
        <v>0</v>
      </c>
      <c r="AG2068" s="11">
        <f t="shared" si="2101"/>
        <v>0</v>
      </c>
      <c r="AI2068" s="11">
        <f t="shared" si="2102"/>
        <v>0</v>
      </c>
      <c r="AK2068" s="13">
        <f t="shared" si="2103"/>
        <v>0</v>
      </c>
      <c r="AM2068" s="13">
        <f t="shared" si="2104"/>
        <v>0</v>
      </c>
      <c r="AO2068" s="11">
        <f t="shared" si="2105"/>
        <v>0</v>
      </c>
      <c r="AQ2068" s="11">
        <f t="shared" si="2106"/>
        <v>0</v>
      </c>
      <c r="AS2068" s="11">
        <f t="shared" si="2107"/>
        <v>0</v>
      </c>
      <c r="AU2068" s="11">
        <f t="shared" si="2108"/>
        <v>0</v>
      </c>
      <c r="AW2068" s="11">
        <f t="shared" si="2109"/>
        <v>0</v>
      </c>
      <c r="AY2068" s="11">
        <f t="shared" si="2110"/>
        <v>0</v>
      </c>
      <c r="BA2068" s="11">
        <f t="shared" si="2111"/>
        <v>0</v>
      </c>
      <c r="BC2068" s="11">
        <f t="shared" si="2112"/>
        <v>0</v>
      </c>
      <c r="BE2068" s="11">
        <f t="shared" si="2113"/>
        <v>0</v>
      </c>
      <c r="BG2068" s="11">
        <f t="shared" si="2114"/>
        <v>0</v>
      </c>
      <c r="BN2068" s="8">
        <f t="shared" si="2052"/>
        <v>7270</v>
      </c>
      <c r="BO2068" s="8">
        <f t="shared" si="2053"/>
        <v>363500</v>
      </c>
      <c r="BP2068" s="8">
        <f t="shared" si="2075"/>
        <v>0</v>
      </c>
      <c r="BQ2068" s="12">
        <f t="shared" si="2076"/>
        <v>0</v>
      </c>
    </row>
    <row r="2069" spans="1:69">
      <c r="A2069" s="28">
        <v>1992</v>
      </c>
      <c r="B2069" s="27" t="s">
        <v>90</v>
      </c>
      <c r="C2069" s="24">
        <f t="shared" si="2077"/>
        <v>2032</v>
      </c>
      <c r="D2069" s="7" t="e">
        <f t="shared" ca="1" si="2096"/>
        <v>#N/A</v>
      </c>
      <c r="E2069" s="26">
        <f t="array" aca="1" ref="E2069" ca="1">AVERAGE(IF(INDIRECT(DatCol&amp;"$"&amp;TEXT(C2069,"###")):INDIRECT(DatCol&amp;"$"&amp;TEXT(C2069+57,"###"))&gt;0,INDIRECT(DatCol&amp;"$"&amp;TEXT(C2069,"###")):INDIRECT(DatCol&amp;"$"&amp;TEXT(C2069+57,"###"))))</f>
        <v>1200</v>
      </c>
      <c r="F2069" s="26" t="str">
        <f t="shared" si="2055"/>
        <v>S</v>
      </c>
      <c r="G2069" s="8"/>
      <c r="H2069" s="8">
        <v>0</v>
      </c>
      <c r="I2069" s="8">
        <v>112</v>
      </c>
      <c r="J2069" s="8">
        <v>0</v>
      </c>
      <c r="K2069" s="9">
        <f t="shared" si="2054"/>
        <v>0</v>
      </c>
      <c r="L2069" s="12">
        <v>22400</v>
      </c>
      <c r="M2069" s="11">
        <f t="shared" si="2097"/>
        <v>1120000</v>
      </c>
      <c r="O2069" s="11">
        <f t="shared" si="2098"/>
        <v>0</v>
      </c>
      <c r="Q2069" s="11">
        <f t="shared" si="2099"/>
        <v>0</v>
      </c>
      <c r="Y2069" s="11">
        <f t="shared" si="2100"/>
        <v>0</v>
      </c>
      <c r="AG2069" s="11">
        <f t="shared" si="2101"/>
        <v>0</v>
      </c>
      <c r="AI2069" s="11">
        <f t="shared" si="2102"/>
        <v>0</v>
      </c>
      <c r="AK2069" s="13">
        <f t="shared" si="2103"/>
        <v>0</v>
      </c>
      <c r="AM2069" s="13">
        <f t="shared" si="2104"/>
        <v>0</v>
      </c>
      <c r="AO2069" s="11">
        <f t="shared" si="2105"/>
        <v>0</v>
      </c>
      <c r="AQ2069" s="11">
        <f t="shared" si="2106"/>
        <v>0</v>
      </c>
      <c r="AS2069" s="11">
        <f t="shared" si="2107"/>
        <v>0</v>
      </c>
      <c r="AU2069" s="11">
        <f t="shared" si="2108"/>
        <v>0</v>
      </c>
      <c r="AW2069" s="11">
        <f t="shared" si="2109"/>
        <v>0</v>
      </c>
      <c r="AY2069" s="11">
        <f t="shared" si="2110"/>
        <v>0</v>
      </c>
      <c r="BA2069" s="11">
        <f t="shared" si="2111"/>
        <v>0</v>
      </c>
      <c r="BC2069" s="11">
        <f t="shared" si="2112"/>
        <v>0</v>
      </c>
      <c r="BE2069" s="11">
        <f t="shared" si="2113"/>
        <v>0</v>
      </c>
      <c r="BG2069" s="11">
        <f t="shared" si="2114"/>
        <v>0</v>
      </c>
      <c r="BN2069" s="8">
        <f t="shared" si="2052"/>
        <v>22400</v>
      </c>
      <c r="BO2069" s="8">
        <f t="shared" si="2053"/>
        <v>1120000</v>
      </c>
      <c r="BP2069" s="8">
        <f t="shared" si="2075"/>
        <v>0</v>
      </c>
      <c r="BQ2069" s="12">
        <f t="shared" si="2076"/>
        <v>0</v>
      </c>
    </row>
    <row r="2070" spans="1:69">
      <c r="A2070" s="28">
        <v>1993</v>
      </c>
      <c r="B2070" s="27" t="s">
        <v>90</v>
      </c>
      <c r="C2070" s="24">
        <f t="shared" si="2077"/>
        <v>2032</v>
      </c>
      <c r="D2070" s="7" t="e">
        <f t="shared" ca="1" si="2096"/>
        <v>#N/A</v>
      </c>
      <c r="E2070" s="26">
        <f t="array" aca="1" ref="E2070" ca="1">AVERAGE(IF(INDIRECT(DatCol&amp;"$"&amp;TEXT(C2070,"###")):INDIRECT(DatCol&amp;"$"&amp;TEXT(C2070+57,"###"))&gt;0,INDIRECT(DatCol&amp;"$"&amp;TEXT(C2070,"###")):INDIRECT(DatCol&amp;"$"&amp;TEXT(C2070+57,"###"))))</f>
        <v>1200</v>
      </c>
      <c r="F2070" s="26" t="str">
        <f t="shared" si="2055"/>
        <v>S</v>
      </c>
      <c r="G2070" s="8"/>
      <c r="H2070" s="8">
        <v>0</v>
      </c>
      <c r="I2070" s="8">
        <v>106</v>
      </c>
      <c r="J2070" s="8">
        <v>0</v>
      </c>
      <c r="K2070" s="9">
        <f t="shared" si="2054"/>
        <v>0</v>
      </c>
      <c r="L2070" s="12">
        <v>10600</v>
      </c>
      <c r="M2070" s="11">
        <f t="shared" si="2097"/>
        <v>530000</v>
      </c>
      <c r="O2070" s="11">
        <f t="shared" si="2098"/>
        <v>0</v>
      </c>
      <c r="Q2070" s="11">
        <f t="shared" si="2099"/>
        <v>0</v>
      </c>
      <c r="Y2070" s="11">
        <f t="shared" si="2100"/>
        <v>0</v>
      </c>
      <c r="AG2070" s="11">
        <f t="shared" si="2101"/>
        <v>0</v>
      </c>
      <c r="AI2070" s="11">
        <f t="shared" si="2102"/>
        <v>0</v>
      </c>
      <c r="AK2070" s="13">
        <f t="shared" si="2103"/>
        <v>0</v>
      </c>
      <c r="AM2070" s="13">
        <f t="shared" si="2104"/>
        <v>0</v>
      </c>
      <c r="AO2070" s="11">
        <f t="shared" si="2105"/>
        <v>0</v>
      </c>
      <c r="AQ2070" s="11">
        <f t="shared" si="2106"/>
        <v>0</v>
      </c>
      <c r="AS2070" s="11">
        <f t="shared" si="2107"/>
        <v>0</v>
      </c>
      <c r="AU2070" s="11">
        <f t="shared" si="2108"/>
        <v>0</v>
      </c>
      <c r="AW2070" s="11">
        <f t="shared" si="2109"/>
        <v>0</v>
      </c>
      <c r="AY2070" s="11">
        <f t="shared" si="2110"/>
        <v>0</v>
      </c>
      <c r="BA2070" s="11">
        <f t="shared" si="2111"/>
        <v>0</v>
      </c>
      <c r="BC2070" s="11">
        <f t="shared" si="2112"/>
        <v>0</v>
      </c>
      <c r="BE2070" s="11">
        <f t="shared" si="2113"/>
        <v>0</v>
      </c>
      <c r="BG2070" s="11">
        <f t="shared" si="2114"/>
        <v>0</v>
      </c>
      <c r="BN2070" s="8">
        <f t="shared" si="2052"/>
        <v>10600</v>
      </c>
      <c r="BO2070" s="8">
        <f t="shared" si="2053"/>
        <v>530000</v>
      </c>
      <c r="BP2070" s="8">
        <f t="shared" si="2075"/>
        <v>0</v>
      </c>
      <c r="BQ2070" s="12">
        <f t="shared" si="2076"/>
        <v>0</v>
      </c>
    </row>
    <row r="2071" spans="1:69">
      <c r="A2071" s="28">
        <v>1994</v>
      </c>
      <c r="B2071" s="27" t="s">
        <v>90</v>
      </c>
      <c r="C2071" s="24">
        <f t="shared" si="2077"/>
        <v>2032</v>
      </c>
      <c r="D2071" s="7" t="e">
        <f t="shared" ca="1" si="2096"/>
        <v>#N/A</v>
      </c>
      <c r="E2071" s="26">
        <f t="array" aca="1" ref="E2071" ca="1">AVERAGE(IF(INDIRECT(DatCol&amp;"$"&amp;TEXT(C2071,"###")):INDIRECT(DatCol&amp;"$"&amp;TEXT(C2071+57,"###"))&gt;0,INDIRECT(DatCol&amp;"$"&amp;TEXT(C2071,"###")):INDIRECT(DatCol&amp;"$"&amp;TEXT(C2071+57,"###"))))</f>
        <v>1200</v>
      </c>
      <c r="F2071" s="26" t="str">
        <f t="shared" si="2055"/>
        <v>S</v>
      </c>
      <c r="G2071" s="8"/>
      <c r="H2071" s="8">
        <v>0</v>
      </c>
      <c r="I2071" s="8">
        <v>76</v>
      </c>
      <c r="J2071" s="8">
        <v>0</v>
      </c>
      <c r="K2071" s="9">
        <f t="shared" si="2054"/>
        <v>0</v>
      </c>
      <c r="L2071" s="12">
        <v>6075</v>
      </c>
      <c r="M2071" s="11">
        <f t="shared" si="2097"/>
        <v>303750</v>
      </c>
      <c r="O2071" s="11">
        <f t="shared" si="2098"/>
        <v>0</v>
      </c>
      <c r="Q2071" s="11">
        <f t="shared" si="2099"/>
        <v>0</v>
      </c>
      <c r="Y2071" s="11">
        <f t="shared" si="2100"/>
        <v>0</v>
      </c>
      <c r="AG2071" s="11">
        <f t="shared" si="2101"/>
        <v>0</v>
      </c>
      <c r="AI2071" s="11">
        <f t="shared" si="2102"/>
        <v>0</v>
      </c>
      <c r="AK2071" s="13">
        <f t="shared" si="2103"/>
        <v>0</v>
      </c>
      <c r="AM2071" s="13">
        <f t="shared" si="2104"/>
        <v>0</v>
      </c>
      <c r="AO2071" s="11">
        <f t="shared" si="2105"/>
        <v>0</v>
      </c>
      <c r="AQ2071" s="11">
        <f t="shared" si="2106"/>
        <v>0</v>
      </c>
      <c r="AS2071" s="11">
        <f t="shared" si="2107"/>
        <v>0</v>
      </c>
      <c r="AU2071" s="11">
        <f t="shared" si="2108"/>
        <v>0</v>
      </c>
      <c r="AW2071" s="11">
        <f t="shared" si="2109"/>
        <v>0</v>
      </c>
      <c r="AY2071" s="11">
        <f t="shared" si="2110"/>
        <v>0</v>
      </c>
      <c r="BA2071" s="11">
        <f t="shared" si="2111"/>
        <v>0</v>
      </c>
      <c r="BC2071" s="11">
        <f t="shared" si="2112"/>
        <v>0</v>
      </c>
      <c r="BE2071" s="11">
        <f t="shared" si="2113"/>
        <v>0</v>
      </c>
      <c r="BG2071" s="11">
        <f t="shared" si="2114"/>
        <v>0</v>
      </c>
      <c r="BN2071" s="8">
        <f t="shared" si="2052"/>
        <v>6075</v>
      </c>
      <c r="BO2071" s="8">
        <f t="shared" si="2053"/>
        <v>303750</v>
      </c>
      <c r="BP2071" s="8">
        <f t="shared" si="2075"/>
        <v>0</v>
      </c>
      <c r="BQ2071" s="12">
        <f t="shared" si="2076"/>
        <v>0</v>
      </c>
    </row>
    <row r="2072" spans="1:69">
      <c r="A2072" s="28">
        <v>1995</v>
      </c>
      <c r="B2072" s="27" t="s">
        <v>90</v>
      </c>
      <c r="C2072" s="24">
        <f t="shared" si="2077"/>
        <v>2032</v>
      </c>
      <c r="D2072" s="7" t="e">
        <f t="shared" ca="1" si="2096"/>
        <v>#N/A</v>
      </c>
      <c r="E2072" s="26">
        <f t="array" aca="1" ref="E2072" ca="1">AVERAGE(IF(INDIRECT(DatCol&amp;"$"&amp;TEXT(C2072,"###")):INDIRECT(DatCol&amp;"$"&amp;TEXT(C2072+57,"###"))&gt;0,INDIRECT(DatCol&amp;"$"&amp;TEXT(C2072,"###")):INDIRECT(DatCol&amp;"$"&amp;TEXT(C2072+57,"###"))))</f>
        <v>1200</v>
      </c>
      <c r="F2072" s="26" t="str">
        <f t="shared" si="2055"/>
        <v>S</v>
      </c>
      <c r="H2072" s="9">
        <v>0</v>
      </c>
      <c r="I2072" s="9">
        <v>73</v>
      </c>
      <c r="J2072" s="9">
        <v>0</v>
      </c>
      <c r="K2072" s="9">
        <f t="shared" si="2054"/>
        <v>0</v>
      </c>
      <c r="L2072" s="10">
        <v>13500</v>
      </c>
      <c r="M2072" s="11">
        <f t="shared" si="2097"/>
        <v>675000</v>
      </c>
      <c r="O2072" s="11">
        <f t="shared" si="2098"/>
        <v>0</v>
      </c>
      <c r="Q2072" s="11">
        <f t="shared" si="2099"/>
        <v>0</v>
      </c>
      <c r="Y2072" s="11">
        <f t="shared" si="2100"/>
        <v>0</v>
      </c>
      <c r="AG2072" s="11">
        <f t="shared" si="2101"/>
        <v>0</v>
      </c>
      <c r="AI2072" s="11">
        <f t="shared" si="2102"/>
        <v>0</v>
      </c>
      <c r="AK2072" s="13">
        <f t="shared" si="2103"/>
        <v>0</v>
      </c>
      <c r="AM2072" s="13">
        <f t="shared" si="2104"/>
        <v>0</v>
      </c>
      <c r="AO2072" s="11">
        <f t="shared" si="2105"/>
        <v>0</v>
      </c>
      <c r="AQ2072" s="11">
        <f t="shared" si="2106"/>
        <v>0</v>
      </c>
      <c r="AS2072" s="11">
        <f t="shared" si="2107"/>
        <v>0</v>
      </c>
      <c r="AU2072" s="11">
        <f t="shared" si="2108"/>
        <v>0</v>
      </c>
      <c r="AW2072" s="11">
        <f t="shared" si="2109"/>
        <v>0</v>
      </c>
      <c r="AY2072" s="11">
        <f t="shared" si="2110"/>
        <v>0</v>
      </c>
      <c r="BA2072" s="11">
        <f t="shared" si="2111"/>
        <v>0</v>
      </c>
      <c r="BC2072" s="11">
        <f t="shared" si="2112"/>
        <v>0</v>
      </c>
      <c r="BE2072" s="11">
        <f t="shared" si="2113"/>
        <v>0</v>
      </c>
      <c r="BG2072" s="11">
        <f t="shared" si="2114"/>
        <v>0</v>
      </c>
      <c r="BN2072" s="8">
        <f t="shared" si="2052"/>
        <v>13500</v>
      </c>
      <c r="BO2072" s="8">
        <f t="shared" si="2053"/>
        <v>675000</v>
      </c>
      <c r="BP2072" s="8">
        <f t="shared" si="2075"/>
        <v>0</v>
      </c>
      <c r="BQ2072" s="12">
        <f t="shared" si="2076"/>
        <v>0</v>
      </c>
    </row>
    <row r="2073" spans="1:69">
      <c r="A2073" s="28">
        <v>1996</v>
      </c>
      <c r="B2073" s="27" t="s">
        <v>90</v>
      </c>
      <c r="C2073" s="24">
        <f t="shared" si="2077"/>
        <v>2032</v>
      </c>
      <c r="D2073" s="7" t="e">
        <f t="shared" ca="1" si="2096"/>
        <v>#N/A</v>
      </c>
      <c r="E2073" s="26">
        <f t="array" aca="1" ref="E2073" ca="1">AVERAGE(IF(INDIRECT(DatCol&amp;"$"&amp;TEXT(C2073,"###")):INDIRECT(DatCol&amp;"$"&amp;TEXT(C2073+57,"###"))&gt;0,INDIRECT(DatCol&amp;"$"&amp;TEXT(C2073,"###")):INDIRECT(DatCol&amp;"$"&amp;TEXT(C2073+57,"###"))))</f>
        <v>1200</v>
      </c>
      <c r="F2073" s="26" t="str">
        <f t="shared" si="2055"/>
        <v>S</v>
      </c>
      <c r="H2073" s="9">
        <v>0</v>
      </c>
      <c r="I2073" s="9">
        <v>72</v>
      </c>
      <c r="J2073" s="9">
        <v>0</v>
      </c>
      <c r="K2073" s="9">
        <f t="shared" si="2054"/>
        <v>0</v>
      </c>
      <c r="L2073" s="10">
        <v>13800</v>
      </c>
      <c r="M2073" s="11">
        <f t="shared" si="2097"/>
        <v>690000</v>
      </c>
      <c r="O2073" s="11">
        <f t="shared" si="2098"/>
        <v>0</v>
      </c>
      <c r="Q2073" s="11">
        <f t="shared" si="2099"/>
        <v>0</v>
      </c>
      <c r="Y2073" s="11">
        <f t="shared" si="2100"/>
        <v>0</v>
      </c>
      <c r="AG2073" s="11">
        <f t="shared" si="2101"/>
        <v>0</v>
      </c>
      <c r="AI2073" s="11">
        <f t="shared" si="2102"/>
        <v>0</v>
      </c>
      <c r="AK2073" s="13">
        <f t="shared" si="2103"/>
        <v>0</v>
      </c>
      <c r="AM2073" s="13">
        <f t="shared" si="2104"/>
        <v>0</v>
      </c>
      <c r="AO2073" s="11">
        <f t="shared" si="2105"/>
        <v>0</v>
      </c>
      <c r="AQ2073" s="11">
        <f t="shared" si="2106"/>
        <v>0</v>
      </c>
      <c r="AS2073" s="11">
        <f t="shared" si="2107"/>
        <v>0</v>
      </c>
      <c r="AU2073" s="11">
        <f t="shared" si="2108"/>
        <v>0</v>
      </c>
      <c r="AW2073" s="11">
        <f t="shared" si="2109"/>
        <v>0</v>
      </c>
      <c r="AY2073" s="11">
        <f t="shared" si="2110"/>
        <v>0</v>
      </c>
      <c r="BA2073" s="11">
        <f t="shared" si="2111"/>
        <v>0</v>
      </c>
      <c r="BC2073" s="11">
        <f t="shared" si="2112"/>
        <v>0</v>
      </c>
      <c r="BE2073" s="11">
        <f t="shared" si="2113"/>
        <v>0</v>
      </c>
      <c r="BG2073" s="11">
        <f t="shared" si="2114"/>
        <v>0</v>
      </c>
      <c r="BN2073" s="8">
        <f t="shared" si="2052"/>
        <v>13800</v>
      </c>
      <c r="BO2073" s="8">
        <f t="shared" si="2053"/>
        <v>690000</v>
      </c>
      <c r="BP2073" s="8">
        <f t="shared" si="2075"/>
        <v>0</v>
      </c>
      <c r="BQ2073" s="12">
        <f t="shared" si="2076"/>
        <v>0</v>
      </c>
    </row>
    <row r="2074" spans="1:69">
      <c r="A2074" s="28">
        <v>1997</v>
      </c>
      <c r="B2074" s="27" t="s">
        <v>90</v>
      </c>
      <c r="C2074" s="24">
        <f t="shared" si="2077"/>
        <v>2032</v>
      </c>
      <c r="D2074" s="7" t="e">
        <f t="shared" ca="1" si="2096"/>
        <v>#N/A</v>
      </c>
      <c r="E2074" s="26">
        <f t="array" aca="1" ref="E2074" ca="1">AVERAGE(IF(INDIRECT(DatCol&amp;"$"&amp;TEXT(C2074,"###")):INDIRECT(DatCol&amp;"$"&amp;TEXT(C2074+57,"###"))&gt;0,INDIRECT(DatCol&amp;"$"&amp;TEXT(C2074,"###")):INDIRECT(DatCol&amp;"$"&amp;TEXT(C2074+57,"###"))))</f>
        <v>1200</v>
      </c>
      <c r="F2074" s="26" t="str">
        <f t="shared" si="2055"/>
        <v>S</v>
      </c>
      <c r="H2074" s="9">
        <v>0</v>
      </c>
      <c r="I2074" s="9">
        <v>65</v>
      </c>
      <c r="J2074" s="9">
        <v>0</v>
      </c>
      <c r="K2074" s="9">
        <f t="shared" si="2054"/>
        <v>0</v>
      </c>
      <c r="L2074" s="10">
        <f>12958*0.8</f>
        <v>10366.400000000001</v>
      </c>
      <c r="M2074" s="11">
        <f t="shared" si="2097"/>
        <v>518320.00000000006</v>
      </c>
      <c r="AK2074" s="13"/>
      <c r="AM2074" s="13"/>
      <c r="BN2074" s="8">
        <f t="shared" si="2052"/>
        <v>10366.400000000001</v>
      </c>
      <c r="BO2074" s="8">
        <f t="shared" si="2053"/>
        <v>518320.00000000006</v>
      </c>
      <c r="BP2074" s="8">
        <f t="shared" si="2075"/>
        <v>0</v>
      </c>
      <c r="BQ2074" s="12">
        <f t="shared" si="2076"/>
        <v>0</v>
      </c>
    </row>
    <row r="2075" spans="1:69">
      <c r="A2075" s="28">
        <v>1998</v>
      </c>
      <c r="B2075" s="27" t="s">
        <v>90</v>
      </c>
      <c r="C2075" s="24">
        <f t="shared" si="2077"/>
        <v>2032</v>
      </c>
      <c r="D2075" s="7" t="e">
        <f t="shared" ca="1" si="2096"/>
        <v>#N/A</v>
      </c>
      <c r="E2075" s="26">
        <f t="array" aca="1" ref="E2075" ca="1">AVERAGE(IF(INDIRECT(DatCol&amp;"$"&amp;TEXT(C2075,"###")):INDIRECT(DatCol&amp;"$"&amp;TEXT(C2075+57,"###"))&gt;0,INDIRECT(DatCol&amp;"$"&amp;TEXT(C2075,"###")):INDIRECT(DatCol&amp;"$"&amp;TEXT(C2075+57,"###"))))</f>
        <v>1200</v>
      </c>
      <c r="F2075" s="26" t="str">
        <f t="shared" si="2055"/>
        <v>S</v>
      </c>
      <c r="H2075" s="9">
        <v>0</v>
      </c>
      <c r="I2075" s="9">
        <v>62</v>
      </c>
      <c r="J2075" s="9">
        <v>0</v>
      </c>
      <c r="K2075" s="9">
        <f t="shared" si="2054"/>
        <v>0</v>
      </c>
      <c r="L2075" s="10">
        <f>(M2075/50)</f>
        <v>8052</v>
      </c>
      <c r="M2075" s="11">
        <v>402600</v>
      </c>
      <c r="AK2075" s="13"/>
      <c r="AM2075" s="13"/>
      <c r="BN2075" s="8">
        <f t="shared" si="2052"/>
        <v>8052</v>
      </c>
      <c r="BO2075" s="8">
        <f t="shared" si="2053"/>
        <v>402600</v>
      </c>
      <c r="BP2075" s="8">
        <f t="shared" si="2075"/>
        <v>0</v>
      </c>
      <c r="BQ2075" s="12">
        <f t="shared" si="2076"/>
        <v>0</v>
      </c>
    </row>
    <row r="2076" spans="1:69">
      <c r="A2076" s="28">
        <v>1999</v>
      </c>
      <c r="B2076" s="27" t="s">
        <v>90</v>
      </c>
      <c r="C2076" s="24">
        <f t="shared" si="2077"/>
        <v>2032</v>
      </c>
      <c r="D2076" s="7" t="e">
        <f t="shared" ca="1" si="2096"/>
        <v>#N/A</v>
      </c>
      <c r="E2076" s="26">
        <f t="array" aca="1" ref="E2076" ca="1">AVERAGE(IF(INDIRECT(DatCol&amp;"$"&amp;TEXT(C2076,"###")):INDIRECT(DatCol&amp;"$"&amp;TEXT(C2076+57,"###"))&gt;0,INDIRECT(DatCol&amp;"$"&amp;TEXT(C2076,"###")):INDIRECT(DatCol&amp;"$"&amp;TEXT(C2076+57,"###"))))</f>
        <v>1200</v>
      </c>
      <c r="F2076" s="26" t="str">
        <f t="shared" si="2055"/>
        <v>S</v>
      </c>
      <c r="G2076" s="9">
        <v>0</v>
      </c>
      <c r="H2076" s="9">
        <v>0</v>
      </c>
      <c r="I2076" s="9">
        <v>47</v>
      </c>
      <c r="J2076" s="9">
        <v>0</v>
      </c>
      <c r="K2076" s="9">
        <f t="shared" si="2054"/>
        <v>0</v>
      </c>
      <c r="L2076" s="10">
        <f>M2076/50</f>
        <v>8114</v>
      </c>
      <c r="M2076" s="11">
        <v>405700</v>
      </c>
      <c r="N2076" s="10">
        <v>0</v>
      </c>
      <c r="O2076" s="11">
        <v>0</v>
      </c>
      <c r="AK2076" s="13"/>
      <c r="AM2076" s="13"/>
      <c r="BN2076" s="8">
        <f t="shared" si="2052"/>
        <v>8114</v>
      </c>
      <c r="BO2076" s="8">
        <f t="shared" si="2053"/>
        <v>405700</v>
      </c>
      <c r="BP2076" s="8">
        <f t="shared" si="2075"/>
        <v>0</v>
      </c>
      <c r="BQ2076" s="12">
        <f t="shared" si="2076"/>
        <v>0</v>
      </c>
    </row>
    <row r="2077" spans="1:69">
      <c r="A2077" s="28">
        <v>2000</v>
      </c>
      <c r="B2077" s="27" t="s">
        <v>90</v>
      </c>
      <c r="C2077" s="24">
        <f t="shared" si="2077"/>
        <v>2032</v>
      </c>
      <c r="D2077" s="7" t="e">
        <f t="shared" ca="1" si="2096"/>
        <v>#N/A</v>
      </c>
      <c r="E2077" s="26">
        <f t="array" aca="1" ref="E2077" ca="1">AVERAGE(IF(INDIRECT(DatCol&amp;"$"&amp;TEXT(C2077,"###")):INDIRECT(DatCol&amp;"$"&amp;TEXT(C2077+57,"###"))&gt;0,INDIRECT(DatCol&amp;"$"&amp;TEXT(C2077,"###")):INDIRECT(DatCol&amp;"$"&amp;TEXT(C2077+57,"###"))))</f>
        <v>1200</v>
      </c>
      <c r="F2077" s="26" t="str">
        <f t="shared" si="2055"/>
        <v>S</v>
      </c>
      <c r="G2077" s="9">
        <v>0</v>
      </c>
      <c r="H2077" s="9">
        <v>0</v>
      </c>
      <c r="I2077" s="9">
        <v>47</v>
      </c>
      <c r="J2077" s="9">
        <v>0</v>
      </c>
      <c r="K2077" s="9">
        <f t="shared" si="2054"/>
        <v>0</v>
      </c>
      <c r="L2077" s="10">
        <f>M2077/50</f>
        <v>4588</v>
      </c>
      <c r="M2077" s="11">
        <v>229400</v>
      </c>
      <c r="N2077" s="10">
        <v>0</v>
      </c>
      <c r="O2077" s="11">
        <v>0</v>
      </c>
      <c r="AK2077" s="13"/>
      <c r="AM2077" s="13"/>
      <c r="BN2077" s="8">
        <f t="shared" si="2052"/>
        <v>4588</v>
      </c>
      <c r="BO2077" s="8">
        <f t="shared" si="2053"/>
        <v>229400</v>
      </c>
      <c r="BP2077" s="8">
        <f t="shared" si="2075"/>
        <v>0</v>
      </c>
      <c r="BQ2077" s="12">
        <f t="shared" si="2076"/>
        <v>0</v>
      </c>
    </row>
    <row r="2078" spans="1:69">
      <c r="A2078" s="28">
        <v>2001</v>
      </c>
      <c r="B2078" s="27" t="s">
        <v>90</v>
      </c>
      <c r="C2078" s="24">
        <f t="shared" si="2077"/>
        <v>2032</v>
      </c>
      <c r="D2078" s="7" t="e">
        <f t="shared" ca="1" si="2096"/>
        <v>#N/A</v>
      </c>
      <c r="E2078" s="26">
        <f t="array" aca="1" ref="E2078" ca="1">AVERAGE(IF(INDIRECT(DatCol&amp;"$"&amp;TEXT(C2078,"###")):INDIRECT(DatCol&amp;"$"&amp;TEXT(C2078+57,"###"))&gt;0,INDIRECT(DatCol&amp;"$"&amp;TEXT(C2078,"###")):INDIRECT(DatCol&amp;"$"&amp;TEXT(C2078+57,"###"))))</f>
        <v>1200</v>
      </c>
      <c r="F2078" s="26" t="str">
        <f t="shared" si="2055"/>
        <v>S</v>
      </c>
      <c r="G2078" s="9">
        <v>0</v>
      </c>
      <c r="H2078" s="9">
        <v>0</v>
      </c>
      <c r="I2078" s="9">
        <v>41</v>
      </c>
      <c r="J2078" s="9">
        <v>0</v>
      </c>
      <c r="K2078" s="9">
        <f t="shared" si="2054"/>
        <v>0</v>
      </c>
      <c r="L2078" s="10">
        <f>M2078/50</f>
        <v>4840</v>
      </c>
      <c r="M2078" s="11">
        <v>242000</v>
      </c>
      <c r="AK2078" s="13"/>
      <c r="AM2078" s="13"/>
      <c r="BN2078" s="8">
        <f t="shared" si="2052"/>
        <v>4840</v>
      </c>
      <c r="BO2078" s="8">
        <f t="shared" si="2053"/>
        <v>242000</v>
      </c>
      <c r="BP2078" s="8">
        <f t="shared" si="2075"/>
        <v>0</v>
      </c>
      <c r="BQ2078" s="12">
        <f t="shared" si="2076"/>
        <v>0</v>
      </c>
    </row>
    <row r="2079" spans="1:69">
      <c r="A2079" s="28">
        <v>2002</v>
      </c>
      <c r="B2079" s="27" t="s">
        <v>90</v>
      </c>
      <c r="C2079" s="24">
        <f t="shared" si="2077"/>
        <v>2032</v>
      </c>
      <c r="D2079" s="7" t="e">
        <f t="shared" ca="1" si="2096"/>
        <v>#N/A</v>
      </c>
      <c r="E2079" s="26">
        <f t="array" aca="1" ref="E2079" ca="1">AVERAGE(IF(INDIRECT(DatCol&amp;"$"&amp;TEXT(C2079,"###")):INDIRECT(DatCol&amp;"$"&amp;TEXT(C2079+57,"###"))&gt;0,INDIRECT(DatCol&amp;"$"&amp;TEXT(C2079,"###")):INDIRECT(DatCol&amp;"$"&amp;TEXT(C2079+57,"###"))))</f>
        <v>1200</v>
      </c>
      <c r="F2079" s="26" t="str">
        <f t="shared" si="2055"/>
        <v>S</v>
      </c>
      <c r="G2079" s="9">
        <v>0</v>
      </c>
      <c r="H2079" s="9">
        <v>0</v>
      </c>
      <c r="I2079" s="9">
        <v>38</v>
      </c>
      <c r="J2079" s="9">
        <v>0</v>
      </c>
      <c r="K2079" s="9">
        <f t="shared" si="2054"/>
        <v>0</v>
      </c>
      <c r="L2079" s="10">
        <f>M2079/50</f>
        <v>3610</v>
      </c>
      <c r="M2079" s="11">
        <v>180500</v>
      </c>
      <c r="N2079" s="10">
        <v>0</v>
      </c>
      <c r="O2079" s="11">
        <v>0</v>
      </c>
      <c r="AK2079" s="13"/>
      <c r="AM2079" s="13"/>
      <c r="BN2079" s="8">
        <f t="shared" si="2052"/>
        <v>3610</v>
      </c>
      <c r="BO2079" s="8">
        <f t="shared" si="2053"/>
        <v>180500</v>
      </c>
      <c r="BP2079" s="8">
        <f t="shared" si="2075"/>
        <v>0</v>
      </c>
      <c r="BQ2079" s="12">
        <f t="shared" si="2076"/>
        <v>0</v>
      </c>
    </row>
    <row r="2080" spans="1:69">
      <c r="A2080" s="28">
        <v>2003</v>
      </c>
      <c r="B2080" s="27" t="s">
        <v>90</v>
      </c>
      <c r="C2080" s="24">
        <f t="shared" si="2077"/>
        <v>2032</v>
      </c>
      <c r="D2080" s="7" t="e">
        <f t="shared" ca="1" si="2096"/>
        <v>#N/A</v>
      </c>
      <c r="E2080" s="26">
        <f t="array" aca="1" ref="E2080" ca="1">AVERAGE(IF(INDIRECT(DatCol&amp;"$"&amp;TEXT(C2080,"###")):INDIRECT(DatCol&amp;"$"&amp;TEXT(C2080+57,"###"))&gt;0,INDIRECT(DatCol&amp;"$"&amp;TEXT(C2080,"###")):INDIRECT(DatCol&amp;"$"&amp;TEXT(C2080+57,"###"))))</f>
        <v>1200</v>
      </c>
      <c r="F2080" s="26" t="str">
        <f t="shared" si="2055"/>
        <v>S</v>
      </c>
      <c r="K2080" s="9">
        <f t="shared" si="2054"/>
        <v>0</v>
      </c>
      <c r="AK2080" s="13"/>
      <c r="AM2080" s="13"/>
      <c r="BN2080" s="8">
        <f t="shared" si="2052"/>
        <v>0</v>
      </c>
      <c r="BO2080" s="8">
        <f t="shared" si="2053"/>
        <v>0</v>
      </c>
      <c r="BP2080" s="8">
        <f t="shared" si="2075"/>
        <v>0</v>
      </c>
      <c r="BQ2080" s="12">
        <f t="shared" si="2076"/>
        <v>0</v>
      </c>
    </row>
    <row r="2081" spans="1:69">
      <c r="A2081" s="28">
        <v>2004</v>
      </c>
      <c r="B2081" s="27" t="s">
        <v>90</v>
      </c>
      <c r="C2081" s="24">
        <f t="shared" si="2077"/>
        <v>2032</v>
      </c>
      <c r="D2081" s="7" t="e">
        <f t="shared" ca="1" si="2096"/>
        <v>#N/A</v>
      </c>
      <c r="E2081" s="26">
        <f t="array" aca="1" ref="E2081" ca="1">AVERAGE(IF(INDIRECT(DatCol&amp;"$"&amp;TEXT(C2081,"###")):INDIRECT(DatCol&amp;"$"&amp;TEXT(C2081+57,"###"))&gt;0,INDIRECT(DatCol&amp;"$"&amp;TEXT(C2081,"###")):INDIRECT(DatCol&amp;"$"&amp;TEXT(C2081+57,"###"))))</f>
        <v>1200</v>
      </c>
      <c r="F2081" s="26" t="str">
        <f t="shared" si="2055"/>
        <v>S</v>
      </c>
      <c r="K2081" s="9">
        <f t="shared" si="2054"/>
        <v>0</v>
      </c>
      <c r="AK2081" s="13"/>
      <c r="AM2081" s="13"/>
      <c r="BN2081" s="8">
        <f t="shared" si="2052"/>
        <v>0</v>
      </c>
      <c r="BO2081" s="8">
        <f t="shared" si="2053"/>
        <v>0</v>
      </c>
      <c r="BP2081" s="8">
        <f t="shared" si="2075"/>
        <v>0</v>
      </c>
      <c r="BQ2081" s="12">
        <f t="shared" si="2076"/>
        <v>0</v>
      </c>
    </row>
    <row r="2082" spans="1:69">
      <c r="A2082" s="28">
        <v>2005</v>
      </c>
      <c r="B2082" s="27" t="s">
        <v>90</v>
      </c>
      <c r="C2082" s="24">
        <f t="shared" si="2077"/>
        <v>2032</v>
      </c>
      <c r="D2082" s="7" t="e">
        <f t="shared" ca="1" si="2096"/>
        <v>#N/A</v>
      </c>
      <c r="E2082" s="26">
        <f t="array" aca="1" ref="E2082" ca="1">AVERAGE(IF(INDIRECT(DatCol&amp;"$"&amp;TEXT(C2082,"###")):INDIRECT(DatCol&amp;"$"&amp;TEXT(C2082+57,"###"))&gt;0,INDIRECT(DatCol&amp;"$"&amp;TEXT(C2082,"###")):INDIRECT(DatCol&amp;"$"&amp;TEXT(C2082+57,"###"))))</f>
        <v>1200</v>
      </c>
      <c r="F2082" s="26" t="str">
        <f t="shared" si="2055"/>
        <v>S</v>
      </c>
      <c r="K2082" s="9">
        <f t="shared" si="2054"/>
        <v>0</v>
      </c>
      <c r="AK2082" s="13"/>
      <c r="AM2082" s="13"/>
      <c r="BN2082" s="8">
        <f t="shared" si="2052"/>
        <v>0</v>
      </c>
      <c r="BO2082" s="8">
        <f t="shared" si="2053"/>
        <v>0</v>
      </c>
      <c r="BP2082" s="8">
        <f t="shared" si="2075"/>
        <v>0</v>
      </c>
      <c r="BQ2082" s="12">
        <f t="shared" si="2076"/>
        <v>0</v>
      </c>
    </row>
    <row r="2083" spans="1:69">
      <c r="A2083" s="28">
        <v>2006</v>
      </c>
      <c r="B2083" s="27" t="s">
        <v>90</v>
      </c>
      <c r="C2083" s="24">
        <f t="shared" si="2077"/>
        <v>2032</v>
      </c>
      <c r="D2083" s="7" t="e">
        <f t="shared" ca="1" si="2096"/>
        <v>#N/A</v>
      </c>
      <c r="E2083" s="26">
        <f t="array" aca="1" ref="E2083" ca="1">AVERAGE(IF(INDIRECT(DatCol&amp;"$"&amp;TEXT(C2083,"###")):INDIRECT(DatCol&amp;"$"&amp;TEXT(C2083+57,"###"))&gt;0,INDIRECT(DatCol&amp;"$"&amp;TEXT(C2083,"###")):INDIRECT(DatCol&amp;"$"&amp;TEXT(C2083+57,"###"))))</f>
        <v>1200</v>
      </c>
      <c r="F2083" s="26" t="str">
        <f t="shared" si="2055"/>
        <v>S</v>
      </c>
      <c r="K2083" s="9">
        <f t="shared" si="2054"/>
        <v>0</v>
      </c>
      <c r="AK2083" s="13"/>
      <c r="AM2083" s="13"/>
      <c r="BN2083" s="8">
        <f t="shared" si="2052"/>
        <v>0</v>
      </c>
      <c r="BO2083" s="8">
        <f t="shared" si="2053"/>
        <v>0</v>
      </c>
      <c r="BP2083" s="8">
        <f t="shared" si="2075"/>
        <v>0</v>
      </c>
      <c r="BQ2083" s="12">
        <f t="shared" si="2076"/>
        <v>0</v>
      </c>
    </row>
    <row r="2084" spans="1:69">
      <c r="A2084" s="28">
        <v>2007</v>
      </c>
      <c r="B2084" s="27" t="s">
        <v>90</v>
      </c>
      <c r="C2084" s="24">
        <f t="shared" si="2077"/>
        <v>2032</v>
      </c>
      <c r="D2084" s="7" t="e">
        <f t="shared" ca="1" si="2096"/>
        <v>#N/A</v>
      </c>
      <c r="E2084" s="26">
        <f t="array" aca="1" ref="E2084" ca="1">AVERAGE(IF(INDIRECT(DatCol&amp;"$"&amp;TEXT(C2084,"###")):INDIRECT(DatCol&amp;"$"&amp;TEXT(C2084+57,"###"))&gt;0,INDIRECT(DatCol&amp;"$"&amp;TEXT(C2084,"###")):INDIRECT(DatCol&amp;"$"&amp;TEXT(C2084+57,"###"))))</f>
        <v>1200</v>
      </c>
      <c r="F2084" s="26" t="str">
        <f t="shared" si="2055"/>
        <v>S</v>
      </c>
      <c r="K2084" s="9">
        <f t="shared" si="2054"/>
        <v>0</v>
      </c>
      <c r="AK2084" s="13"/>
      <c r="AM2084" s="13"/>
      <c r="BN2084" s="8">
        <f t="shared" ref="BN2084:BN2149" si="2115">(L2084+P2084+R2084+T2084+V2084+X2084+Z2084+AB2084+AD2084+AF2084+AJ2084+AN2084+AR2084+AV2084+AZ2084+BD2084)</f>
        <v>0</v>
      </c>
      <c r="BO2084" s="8">
        <f t="shared" si="2053"/>
        <v>0</v>
      </c>
      <c r="BP2084" s="8">
        <f t="shared" si="2075"/>
        <v>0</v>
      </c>
      <c r="BQ2084" s="12">
        <f t="shared" si="2076"/>
        <v>0</v>
      </c>
    </row>
    <row r="2085" spans="1:69">
      <c r="A2085" s="28">
        <v>2008</v>
      </c>
      <c r="B2085" s="27" t="s">
        <v>90</v>
      </c>
      <c r="C2085" s="24">
        <f t="shared" si="2077"/>
        <v>2032</v>
      </c>
      <c r="D2085" s="7" t="e">
        <f t="shared" ca="1" si="2096"/>
        <v>#N/A</v>
      </c>
      <c r="E2085" s="26">
        <f t="array" aca="1" ref="E2085" ca="1">AVERAGE(IF(INDIRECT(DatCol&amp;"$"&amp;TEXT(C2085,"###")):INDIRECT(DatCol&amp;"$"&amp;TEXT(C2085+57,"###"))&gt;0,INDIRECT(DatCol&amp;"$"&amp;TEXT(C2085,"###")):INDIRECT(DatCol&amp;"$"&amp;TEXT(C2085+57,"###"))))</f>
        <v>1200</v>
      </c>
      <c r="F2085" s="26" t="str">
        <f t="shared" si="2055"/>
        <v>S</v>
      </c>
      <c r="K2085" s="9">
        <f t="shared" si="2054"/>
        <v>0</v>
      </c>
      <c r="AK2085" s="13"/>
      <c r="AM2085" s="13"/>
      <c r="BN2085" s="8">
        <f t="shared" si="2115"/>
        <v>0</v>
      </c>
      <c r="BO2085" s="8">
        <f t="shared" ref="BO2085:BO2150" si="2116">(M2085+Q2085+S2085+U2085+W2085+Y2085+AA2085+AC2085+AG2085+AK2085+AO2085+AS2085+AW2085+BA2085+BE2085)</f>
        <v>0</v>
      </c>
      <c r="BP2085" s="8">
        <f t="shared" si="2075"/>
        <v>0</v>
      </c>
      <c r="BQ2085" s="12">
        <f t="shared" si="2076"/>
        <v>0</v>
      </c>
    </row>
    <row r="2086" spans="1:69">
      <c r="A2086" s="28">
        <v>2009</v>
      </c>
      <c r="B2086" s="27" t="s">
        <v>90</v>
      </c>
      <c r="C2086" s="24">
        <f t="shared" si="2077"/>
        <v>2032</v>
      </c>
      <c r="D2086" s="7" t="e">
        <f t="shared" ca="1" si="2096"/>
        <v>#N/A</v>
      </c>
      <c r="E2086" s="26">
        <f t="array" aca="1" ref="E2086" ca="1">AVERAGE(IF(INDIRECT(DatCol&amp;"$"&amp;TEXT(C2086,"###")):INDIRECT(DatCol&amp;"$"&amp;TEXT(C2086+57,"###"))&gt;0,INDIRECT(DatCol&amp;"$"&amp;TEXT(C2086,"###")):INDIRECT(DatCol&amp;"$"&amp;TEXT(C2086+57,"###"))))</f>
        <v>1200</v>
      </c>
      <c r="F2086" s="26" t="str">
        <f t="shared" si="2055"/>
        <v>S</v>
      </c>
      <c r="K2086" s="9">
        <f t="shared" ref="K2086:K2151" si="2117">G2086+H2086+J2086</f>
        <v>0</v>
      </c>
      <c r="AK2086" s="13"/>
      <c r="AM2086" s="13"/>
      <c r="BN2086" s="8">
        <f t="shared" si="2115"/>
        <v>0</v>
      </c>
      <c r="BO2086" s="8">
        <f t="shared" si="2116"/>
        <v>0</v>
      </c>
      <c r="BP2086" s="8">
        <f t="shared" si="2075"/>
        <v>0</v>
      </c>
      <c r="BQ2086" s="12">
        <f t="shared" si="2076"/>
        <v>0</v>
      </c>
    </row>
    <row r="2087" spans="1:69">
      <c r="A2087" s="28">
        <v>2010</v>
      </c>
      <c r="B2087" s="27" t="s">
        <v>90</v>
      </c>
      <c r="C2087" s="24">
        <f t="shared" si="2077"/>
        <v>2032</v>
      </c>
      <c r="D2087" s="7" t="e">
        <f t="shared" ca="1" si="2096"/>
        <v>#N/A</v>
      </c>
      <c r="E2087" s="26">
        <f t="array" aca="1" ref="E2087" ca="1">AVERAGE(IF(INDIRECT(DatCol&amp;"$"&amp;TEXT(C2087,"###")):INDIRECT(DatCol&amp;"$"&amp;TEXT(C2087+57,"###"))&gt;0,INDIRECT(DatCol&amp;"$"&amp;TEXT(C2087,"###")):INDIRECT(DatCol&amp;"$"&amp;TEXT(C2087+57,"###"))))</f>
        <v>1200</v>
      </c>
      <c r="F2087" s="26" t="str">
        <f t="shared" ref="F2087:F2089" si="2118">VLOOKUP(B2087,town_region,2,FALSE)</f>
        <v>S</v>
      </c>
      <c r="AK2087" s="13"/>
      <c r="AM2087" s="13"/>
      <c r="BN2087" s="8"/>
      <c r="BO2087" s="8"/>
      <c r="BP2087" s="8"/>
      <c r="BQ2087" s="12"/>
    </row>
    <row r="2088" spans="1:69">
      <c r="A2088" s="28">
        <v>2011</v>
      </c>
      <c r="B2088" s="27" t="s">
        <v>90</v>
      </c>
      <c r="C2088" s="24">
        <f t="shared" si="2077"/>
        <v>2032</v>
      </c>
      <c r="D2088" s="7" t="e">
        <f t="shared" ca="1" si="2096"/>
        <v>#N/A</v>
      </c>
      <c r="E2088" s="26">
        <f t="array" aca="1" ref="E2088" ca="1">AVERAGE(IF(INDIRECT(DatCol&amp;"$"&amp;TEXT(C2088,"###")):INDIRECT(DatCol&amp;"$"&amp;TEXT(C2088+57,"###"))&gt;0,INDIRECT(DatCol&amp;"$"&amp;TEXT(C2088,"###")):INDIRECT(DatCol&amp;"$"&amp;TEXT(C2088+57,"###"))))</f>
        <v>1200</v>
      </c>
      <c r="F2088" s="26" t="str">
        <f t="shared" si="2118"/>
        <v>S</v>
      </c>
      <c r="AK2088" s="13"/>
      <c r="AM2088" s="13"/>
      <c r="BN2088" s="8"/>
      <c r="BO2088" s="8"/>
      <c r="BP2088" s="8"/>
      <c r="BQ2088" s="12"/>
    </row>
    <row r="2089" spans="1:69">
      <c r="A2089" s="28">
        <v>2012</v>
      </c>
      <c r="B2089" s="27" t="s">
        <v>90</v>
      </c>
      <c r="C2089" s="24">
        <f t="shared" si="2077"/>
        <v>2032</v>
      </c>
      <c r="D2089" s="7" t="e">
        <f t="shared" ca="1" si="2096"/>
        <v>#N/A</v>
      </c>
      <c r="E2089" s="26">
        <f t="array" aca="1" ref="E2089" ca="1">AVERAGE(IF(INDIRECT(DatCol&amp;"$"&amp;TEXT(C2089,"###")):INDIRECT(DatCol&amp;"$"&amp;TEXT(C2089+57,"###"))&gt;0,INDIRECT(DatCol&amp;"$"&amp;TEXT(C2089,"###")):INDIRECT(DatCol&amp;"$"&amp;TEXT(C2089+57,"###"))))</f>
        <v>1200</v>
      </c>
      <c r="F2089" s="26" t="str">
        <f t="shared" si="2118"/>
        <v>S</v>
      </c>
      <c r="AK2089" s="13"/>
      <c r="AM2089" s="13"/>
      <c r="BN2089" s="8"/>
      <c r="BO2089" s="8"/>
      <c r="BP2089" s="8"/>
      <c r="BQ2089" s="12"/>
    </row>
    <row r="2090" spans="1:69">
      <c r="A2090" s="28">
        <v>1955</v>
      </c>
      <c r="B2090" s="27" t="s">
        <v>91</v>
      </c>
      <c r="C2090" s="24">
        <f>ROW()</f>
        <v>2090</v>
      </c>
      <c r="D2090" s="7" t="e">
        <f t="shared" ca="1" si="2096"/>
        <v>#N/A</v>
      </c>
      <c r="E2090" s="26">
        <f t="array" aca="1" ref="E2090" ca="1">AVERAGE(IF(INDIRECT(DatCol&amp;"$"&amp;TEXT(C2090,"###")):INDIRECT(DatCol&amp;"$"&amp;TEXT(C2090+57,"###"))&gt;0,INDIRECT(DatCol&amp;"$"&amp;TEXT(C2090,"###")):INDIRECT(DatCol&amp;"$"&amp;TEXT(C2090+57,"###"))))</f>
        <v>447.96153846153845</v>
      </c>
      <c r="F2090" s="26" t="str">
        <f t="shared" si="2055"/>
        <v>N</v>
      </c>
      <c r="G2090" s="8"/>
      <c r="K2090" s="9">
        <f t="shared" si="2117"/>
        <v>0</v>
      </c>
      <c r="M2090" s="11">
        <f t="shared" si="2097"/>
        <v>0</v>
      </c>
      <c r="O2090" s="11">
        <f t="shared" si="2098"/>
        <v>0</v>
      </c>
      <c r="Q2090" s="11">
        <f t="shared" si="2099"/>
        <v>0</v>
      </c>
      <c r="Y2090" s="11">
        <f t="shared" si="2100"/>
        <v>0</v>
      </c>
      <c r="AG2090" s="11">
        <f t="shared" si="2101"/>
        <v>0</v>
      </c>
      <c r="AI2090" s="11">
        <f t="shared" si="2102"/>
        <v>0</v>
      </c>
      <c r="AK2090" s="13">
        <f t="shared" si="2103"/>
        <v>0</v>
      </c>
      <c r="AM2090" s="13">
        <f t="shared" si="2104"/>
        <v>0</v>
      </c>
      <c r="AO2090" s="11">
        <f t="shared" si="2105"/>
        <v>0</v>
      </c>
      <c r="AQ2090" s="11">
        <f t="shared" si="2106"/>
        <v>0</v>
      </c>
      <c r="AS2090" s="11">
        <f t="shared" si="2107"/>
        <v>0</v>
      </c>
      <c r="AU2090" s="11">
        <f t="shared" si="2108"/>
        <v>0</v>
      </c>
      <c r="AW2090" s="11">
        <f t="shared" si="2109"/>
        <v>0</v>
      </c>
      <c r="AY2090" s="11">
        <f t="shared" si="2110"/>
        <v>0</v>
      </c>
      <c r="BA2090" s="11">
        <f t="shared" si="2111"/>
        <v>0</v>
      </c>
      <c r="BC2090" s="11">
        <f t="shared" si="2112"/>
        <v>0</v>
      </c>
      <c r="BE2090" s="11">
        <f t="shared" si="2113"/>
        <v>0</v>
      </c>
      <c r="BG2090" s="11">
        <f t="shared" si="2114"/>
        <v>0</v>
      </c>
      <c r="BN2090" s="8">
        <f t="shared" si="2115"/>
        <v>0</v>
      </c>
      <c r="BO2090" s="8">
        <f t="shared" si="2116"/>
        <v>0</v>
      </c>
      <c r="BP2090" s="8">
        <f t="shared" si="2075"/>
        <v>0</v>
      </c>
      <c r="BQ2090" s="12">
        <f t="shared" si="2076"/>
        <v>0</v>
      </c>
    </row>
    <row r="2091" spans="1:69">
      <c r="A2091" s="28">
        <v>1956</v>
      </c>
      <c r="B2091" s="27" t="s">
        <v>91</v>
      </c>
      <c r="C2091" s="24">
        <f t="shared" ref="C2091:C2147" si="2119">C2090</f>
        <v>2090</v>
      </c>
      <c r="D2091" s="7" t="e">
        <f t="shared" ca="1" si="2096"/>
        <v>#N/A</v>
      </c>
      <c r="E2091" s="26">
        <f t="array" aca="1" ref="E2091" ca="1">AVERAGE(IF(INDIRECT(DatCol&amp;"$"&amp;TEXT(C2091,"###")):INDIRECT(DatCol&amp;"$"&amp;TEXT(C2091+57,"###"))&gt;0,INDIRECT(DatCol&amp;"$"&amp;TEXT(C2091,"###")):INDIRECT(DatCol&amp;"$"&amp;TEXT(C2091+57,"###"))))</f>
        <v>447.96153846153845</v>
      </c>
      <c r="F2091" s="26" t="str">
        <f t="shared" si="2055"/>
        <v>N</v>
      </c>
      <c r="G2091" s="8"/>
      <c r="K2091" s="9">
        <f t="shared" si="2117"/>
        <v>0</v>
      </c>
      <c r="M2091" s="11">
        <f t="shared" si="2097"/>
        <v>0</v>
      </c>
      <c r="O2091" s="11">
        <f t="shared" si="2098"/>
        <v>0</v>
      </c>
      <c r="Q2091" s="11">
        <f t="shared" si="2099"/>
        <v>0</v>
      </c>
      <c r="Y2091" s="11">
        <f t="shared" si="2100"/>
        <v>0</v>
      </c>
      <c r="AG2091" s="11">
        <f t="shared" si="2101"/>
        <v>0</v>
      </c>
      <c r="AI2091" s="11">
        <f t="shared" si="2102"/>
        <v>0</v>
      </c>
      <c r="AK2091" s="13">
        <f t="shared" si="2103"/>
        <v>0</v>
      </c>
      <c r="AM2091" s="13">
        <f t="shared" si="2104"/>
        <v>0</v>
      </c>
      <c r="AO2091" s="11">
        <f t="shared" si="2105"/>
        <v>0</v>
      </c>
      <c r="AQ2091" s="11">
        <f t="shared" si="2106"/>
        <v>0</v>
      </c>
      <c r="AS2091" s="11">
        <f t="shared" si="2107"/>
        <v>0</v>
      </c>
      <c r="AU2091" s="11">
        <f t="shared" si="2108"/>
        <v>0</v>
      </c>
      <c r="AW2091" s="11">
        <f t="shared" si="2109"/>
        <v>0</v>
      </c>
      <c r="AY2091" s="11">
        <f t="shared" si="2110"/>
        <v>0</v>
      </c>
      <c r="BA2091" s="11">
        <f t="shared" si="2111"/>
        <v>0</v>
      </c>
      <c r="BC2091" s="11">
        <f t="shared" si="2112"/>
        <v>0</v>
      </c>
      <c r="BE2091" s="11">
        <f t="shared" si="2113"/>
        <v>0</v>
      </c>
      <c r="BG2091" s="11">
        <f t="shared" si="2114"/>
        <v>0</v>
      </c>
      <c r="BN2091" s="8">
        <f t="shared" si="2115"/>
        <v>0</v>
      </c>
      <c r="BO2091" s="8">
        <f t="shared" si="2116"/>
        <v>0</v>
      </c>
      <c r="BP2091" s="8">
        <f t="shared" si="2075"/>
        <v>0</v>
      </c>
      <c r="BQ2091" s="12">
        <f t="shared" si="2076"/>
        <v>0</v>
      </c>
    </row>
    <row r="2092" spans="1:69">
      <c r="A2092" s="28">
        <v>1957</v>
      </c>
      <c r="B2092" s="27" t="s">
        <v>91</v>
      </c>
      <c r="C2092" s="24">
        <f t="shared" si="2119"/>
        <v>2090</v>
      </c>
      <c r="D2092" s="7" t="e">
        <f t="shared" ca="1" si="2096"/>
        <v>#N/A</v>
      </c>
      <c r="E2092" s="26">
        <f t="array" aca="1" ref="E2092" ca="1">AVERAGE(IF(INDIRECT(DatCol&amp;"$"&amp;TEXT(C2092,"###")):INDIRECT(DatCol&amp;"$"&amp;TEXT(C2092+57,"###"))&gt;0,INDIRECT(DatCol&amp;"$"&amp;TEXT(C2092,"###")):INDIRECT(DatCol&amp;"$"&amp;TEXT(C2092+57,"###"))))</f>
        <v>447.96153846153845</v>
      </c>
      <c r="F2092" s="26" t="str">
        <f t="shared" si="2055"/>
        <v>N</v>
      </c>
      <c r="G2092" s="8"/>
      <c r="K2092" s="9">
        <f t="shared" si="2117"/>
        <v>0</v>
      </c>
      <c r="M2092" s="11">
        <f t="shared" si="2097"/>
        <v>0</v>
      </c>
      <c r="O2092" s="11">
        <f t="shared" si="2098"/>
        <v>0</v>
      </c>
      <c r="Q2092" s="11">
        <f t="shared" si="2099"/>
        <v>0</v>
      </c>
      <c r="Y2092" s="11">
        <f t="shared" si="2100"/>
        <v>0</v>
      </c>
      <c r="AG2092" s="11">
        <f t="shared" si="2101"/>
        <v>0</v>
      </c>
      <c r="AI2092" s="11">
        <f t="shared" si="2102"/>
        <v>0</v>
      </c>
      <c r="AK2092" s="13">
        <f t="shared" si="2103"/>
        <v>0</v>
      </c>
      <c r="AM2092" s="13">
        <f t="shared" si="2104"/>
        <v>0</v>
      </c>
      <c r="AO2092" s="11">
        <f t="shared" si="2105"/>
        <v>0</v>
      </c>
      <c r="AQ2092" s="11">
        <f t="shared" si="2106"/>
        <v>0</v>
      </c>
      <c r="AS2092" s="11">
        <f t="shared" si="2107"/>
        <v>0</v>
      </c>
      <c r="AU2092" s="11">
        <f t="shared" si="2108"/>
        <v>0</v>
      </c>
      <c r="AW2092" s="11">
        <f t="shared" si="2109"/>
        <v>0</v>
      </c>
      <c r="AY2092" s="11">
        <f t="shared" si="2110"/>
        <v>0</v>
      </c>
      <c r="BA2092" s="11">
        <f t="shared" si="2111"/>
        <v>0</v>
      </c>
      <c r="BC2092" s="11">
        <f t="shared" si="2112"/>
        <v>0</v>
      </c>
      <c r="BE2092" s="11">
        <f t="shared" si="2113"/>
        <v>0</v>
      </c>
      <c r="BG2092" s="11">
        <f t="shared" si="2114"/>
        <v>0</v>
      </c>
      <c r="BN2092" s="8">
        <f t="shared" si="2115"/>
        <v>0</v>
      </c>
      <c r="BO2092" s="8">
        <f t="shared" si="2116"/>
        <v>0</v>
      </c>
      <c r="BP2092" s="8">
        <f t="shared" si="2075"/>
        <v>0</v>
      </c>
      <c r="BQ2092" s="12">
        <f t="shared" si="2076"/>
        <v>0</v>
      </c>
    </row>
    <row r="2093" spans="1:69">
      <c r="A2093" s="28">
        <v>1958</v>
      </c>
      <c r="B2093" s="27" t="s">
        <v>91</v>
      </c>
      <c r="C2093" s="24">
        <f t="shared" si="2119"/>
        <v>2090</v>
      </c>
      <c r="D2093" s="7" t="e">
        <f t="shared" ca="1" si="2096"/>
        <v>#N/A</v>
      </c>
      <c r="E2093" s="26">
        <f t="array" aca="1" ref="E2093" ca="1">AVERAGE(IF(INDIRECT(DatCol&amp;"$"&amp;TEXT(C2093,"###")):INDIRECT(DatCol&amp;"$"&amp;TEXT(C2093+57,"###"))&gt;0,INDIRECT(DatCol&amp;"$"&amp;TEXT(C2093,"###")):INDIRECT(DatCol&amp;"$"&amp;TEXT(C2093+57,"###"))))</f>
        <v>447.96153846153845</v>
      </c>
      <c r="F2093" s="26" t="str">
        <f t="shared" si="2055"/>
        <v>N</v>
      </c>
      <c r="G2093" s="8"/>
      <c r="K2093" s="9">
        <f t="shared" si="2117"/>
        <v>0</v>
      </c>
      <c r="M2093" s="11">
        <f t="shared" si="2097"/>
        <v>0</v>
      </c>
      <c r="O2093" s="11">
        <f t="shared" si="2098"/>
        <v>0</v>
      </c>
      <c r="Q2093" s="11">
        <f t="shared" si="2099"/>
        <v>0</v>
      </c>
      <c r="Y2093" s="11">
        <f t="shared" si="2100"/>
        <v>0</v>
      </c>
      <c r="AG2093" s="11">
        <f t="shared" si="2101"/>
        <v>0</v>
      </c>
      <c r="AI2093" s="11">
        <f t="shared" si="2102"/>
        <v>0</v>
      </c>
      <c r="AK2093" s="13">
        <f t="shared" si="2103"/>
        <v>0</v>
      </c>
      <c r="AM2093" s="13">
        <f t="shared" si="2104"/>
        <v>0</v>
      </c>
      <c r="AO2093" s="11">
        <f t="shared" si="2105"/>
        <v>0</v>
      </c>
      <c r="AQ2093" s="11">
        <f t="shared" si="2106"/>
        <v>0</v>
      </c>
      <c r="AS2093" s="11">
        <f t="shared" si="2107"/>
        <v>0</v>
      </c>
      <c r="AU2093" s="11">
        <f t="shared" si="2108"/>
        <v>0</v>
      </c>
      <c r="AW2093" s="11">
        <f t="shared" si="2109"/>
        <v>0</v>
      </c>
      <c r="AY2093" s="11">
        <f t="shared" si="2110"/>
        <v>0</v>
      </c>
      <c r="BA2093" s="11">
        <f t="shared" si="2111"/>
        <v>0</v>
      </c>
      <c r="BC2093" s="11">
        <f t="shared" si="2112"/>
        <v>0</v>
      </c>
      <c r="BE2093" s="11">
        <f t="shared" si="2113"/>
        <v>0</v>
      </c>
      <c r="BG2093" s="11">
        <f t="shared" si="2114"/>
        <v>0</v>
      </c>
      <c r="BN2093" s="8">
        <f t="shared" si="2115"/>
        <v>0</v>
      </c>
      <c r="BO2093" s="8">
        <f t="shared" si="2116"/>
        <v>0</v>
      </c>
      <c r="BP2093" s="8">
        <f t="shared" si="2075"/>
        <v>0</v>
      </c>
      <c r="BQ2093" s="12">
        <f t="shared" si="2076"/>
        <v>0</v>
      </c>
    </row>
    <row r="2094" spans="1:69">
      <c r="A2094" s="28">
        <v>1959</v>
      </c>
      <c r="B2094" s="27" t="s">
        <v>91</v>
      </c>
      <c r="C2094" s="24">
        <f t="shared" si="2119"/>
        <v>2090</v>
      </c>
      <c r="D2094" s="7" t="e">
        <f t="shared" ca="1" si="2096"/>
        <v>#N/A</v>
      </c>
      <c r="E2094" s="26">
        <f t="array" aca="1" ref="E2094" ca="1">AVERAGE(IF(INDIRECT(DatCol&amp;"$"&amp;TEXT(C2094,"###")):INDIRECT(DatCol&amp;"$"&amp;TEXT(C2094+57,"###"))&gt;0,INDIRECT(DatCol&amp;"$"&amp;TEXT(C2094,"###")):INDIRECT(DatCol&amp;"$"&amp;TEXT(C2094+57,"###"))))</f>
        <v>447.96153846153845</v>
      </c>
      <c r="F2094" s="26" t="str">
        <f t="shared" ref="F2094:F2160" si="2120">VLOOKUP(B2094,town_region,2,FALSE)</f>
        <v>N</v>
      </c>
      <c r="G2094" s="8"/>
      <c r="K2094" s="9">
        <f t="shared" si="2117"/>
        <v>0</v>
      </c>
      <c r="M2094" s="11">
        <f t="shared" si="2097"/>
        <v>0</v>
      </c>
      <c r="O2094" s="11">
        <f t="shared" si="2098"/>
        <v>0</v>
      </c>
      <c r="Q2094" s="11">
        <f t="shared" si="2099"/>
        <v>0</v>
      </c>
      <c r="Y2094" s="11">
        <f t="shared" si="2100"/>
        <v>0</v>
      </c>
      <c r="AG2094" s="11">
        <f t="shared" si="2101"/>
        <v>0</v>
      </c>
      <c r="AI2094" s="11">
        <f t="shared" si="2102"/>
        <v>0</v>
      </c>
      <c r="AK2094" s="13">
        <f t="shared" si="2103"/>
        <v>0</v>
      </c>
      <c r="AM2094" s="13">
        <f t="shared" si="2104"/>
        <v>0</v>
      </c>
      <c r="AO2094" s="11">
        <f t="shared" si="2105"/>
        <v>0</v>
      </c>
      <c r="AQ2094" s="11">
        <f t="shared" si="2106"/>
        <v>0</v>
      </c>
      <c r="AS2094" s="11">
        <f t="shared" si="2107"/>
        <v>0</v>
      </c>
      <c r="AU2094" s="11">
        <f t="shared" si="2108"/>
        <v>0</v>
      </c>
      <c r="AW2094" s="11">
        <f t="shared" si="2109"/>
        <v>0</v>
      </c>
      <c r="AY2094" s="11">
        <f t="shared" si="2110"/>
        <v>0</v>
      </c>
      <c r="BA2094" s="11">
        <f t="shared" si="2111"/>
        <v>0</v>
      </c>
      <c r="BC2094" s="11">
        <f t="shared" si="2112"/>
        <v>0</v>
      </c>
      <c r="BE2094" s="11">
        <f t="shared" si="2113"/>
        <v>0</v>
      </c>
      <c r="BG2094" s="11">
        <f t="shared" si="2114"/>
        <v>0</v>
      </c>
      <c r="BN2094" s="8">
        <f t="shared" si="2115"/>
        <v>0</v>
      </c>
      <c r="BO2094" s="8">
        <f t="shared" si="2116"/>
        <v>0</v>
      </c>
      <c r="BP2094" s="8">
        <f t="shared" si="2075"/>
        <v>0</v>
      </c>
      <c r="BQ2094" s="12">
        <f t="shared" si="2076"/>
        <v>0</v>
      </c>
    </row>
    <row r="2095" spans="1:69">
      <c r="A2095" s="28">
        <v>1960</v>
      </c>
      <c r="B2095" s="27" t="s">
        <v>91</v>
      </c>
      <c r="C2095" s="24">
        <f t="shared" si="2119"/>
        <v>2090</v>
      </c>
      <c r="D2095" s="7" t="e">
        <f t="shared" ca="1" si="2096"/>
        <v>#N/A</v>
      </c>
      <c r="E2095" s="26">
        <f t="array" aca="1" ref="E2095" ca="1">AVERAGE(IF(INDIRECT(DatCol&amp;"$"&amp;TEXT(C2095,"###")):INDIRECT(DatCol&amp;"$"&amp;TEXT(C2095+57,"###"))&gt;0,INDIRECT(DatCol&amp;"$"&amp;TEXT(C2095,"###")):INDIRECT(DatCol&amp;"$"&amp;TEXT(C2095+57,"###"))))</f>
        <v>447.96153846153845</v>
      </c>
      <c r="F2095" s="26" t="str">
        <f t="shared" si="2120"/>
        <v>N</v>
      </c>
      <c r="G2095" s="8"/>
      <c r="K2095" s="9">
        <f t="shared" si="2117"/>
        <v>0</v>
      </c>
      <c r="M2095" s="11">
        <f t="shared" ref="M2095:M2110" si="2121">(L2095*50)</f>
        <v>0</v>
      </c>
      <c r="O2095" s="11">
        <f t="shared" ref="O2095:O2110" si="2122">(N2095*50)</f>
        <v>0</v>
      </c>
      <c r="Q2095" s="11">
        <f t="shared" ref="Q2095:Q2110" si="2123">((P2095*330)/5.5)</f>
        <v>0</v>
      </c>
      <c r="Y2095" s="11">
        <f t="shared" ref="Y2095:Y2110" si="2124">((X2095*330)/5.5)</f>
        <v>0</v>
      </c>
      <c r="AG2095" s="11">
        <f t="shared" ref="AG2095:AG2110" si="2125">(AF2095*65)</f>
        <v>0</v>
      </c>
      <c r="AI2095" s="11">
        <f t="shared" ref="AI2095:AI2110" si="2126">(AH2095*65)</f>
        <v>0</v>
      </c>
      <c r="AK2095" s="13">
        <f t="shared" ref="AK2095:AK2110" si="2127">(AJ2095*9)</f>
        <v>0</v>
      </c>
      <c r="AM2095" s="13">
        <f t="shared" ref="AM2095:AM2110" si="2128">(AL2095*9)</f>
        <v>0</v>
      </c>
      <c r="AO2095" s="11">
        <f t="shared" ref="AO2095:AO2110" si="2129">(AN2095*80)</f>
        <v>0</v>
      </c>
      <c r="AQ2095" s="11">
        <f t="shared" ref="AQ2095:AQ2110" si="2130">(AP2095*80)</f>
        <v>0</v>
      </c>
      <c r="AS2095" s="11">
        <f t="shared" ref="AS2095:AS2110" si="2131">(AR2095*50)</f>
        <v>0</v>
      </c>
      <c r="AU2095" s="11">
        <f t="shared" ref="AU2095:AU2110" si="2132">(AT2095*50)</f>
        <v>0</v>
      </c>
      <c r="AW2095" s="11">
        <f t="shared" ref="AW2095:AW2110" si="2133">(AV2095*60)</f>
        <v>0</v>
      </c>
      <c r="AY2095" s="11">
        <f t="shared" ref="AY2095:AY2110" si="2134">(AX2095*60)</f>
        <v>0</v>
      </c>
      <c r="BA2095" s="11">
        <f t="shared" ref="BA2095:BA2110" si="2135">(AZ2095*40)</f>
        <v>0</v>
      </c>
      <c r="BC2095" s="11">
        <f t="shared" ref="BC2095:BC2110" si="2136">(BB2095*40)</f>
        <v>0</v>
      </c>
      <c r="BE2095" s="11">
        <f t="shared" ref="BE2095:BE2110" si="2137">(BD2095*95)</f>
        <v>0</v>
      </c>
      <c r="BG2095" s="11">
        <f t="shared" ref="BG2095:BG2110" si="2138">(BF2095*95)</f>
        <v>0</v>
      </c>
      <c r="BN2095" s="8">
        <f t="shared" si="2115"/>
        <v>0</v>
      </c>
      <c r="BO2095" s="8">
        <f t="shared" si="2116"/>
        <v>0</v>
      </c>
      <c r="BP2095" s="8">
        <f t="shared" si="2075"/>
        <v>0</v>
      </c>
      <c r="BQ2095" s="12">
        <f t="shared" si="2076"/>
        <v>0</v>
      </c>
    </row>
    <row r="2096" spans="1:69">
      <c r="A2096" s="28">
        <v>1961</v>
      </c>
      <c r="B2096" s="27" t="s">
        <v>91</v>
      </c>
      <c r="C2096" s="24">
        <f t="shared" si="2119"/>
        <v>2090</v>
      </c>
      <c r="D2096" s="7" t="e">
        <f t="shared" ca="1" si="2096"/>
        <v>#N/A</v>
      </c>
      <c r="E2096" s="26">
        <f t="array" aca="1" ref="E2096" ca="1">AVERAGE(IF(INDIRECT(DatCol&amp;"$"&amp;TEXT(C2096,"###")):INDIRECT(DatCol&amp;"$"&amp;TEXT(C2096+57,"###"))&gt;0,INDIRECT(DatCol&amp;"$"&amp;TEXT(C2096,"###")):INDIRECT(DatCol&amp;"$"&amp;TEXT(C2096+57,"###"))))</f>
        <v>447.96153846153845</v>
      </c>
      <c r="F2096" s="26" t="str">
        <f t="shared" si="2120"/>
        <v>N</v>
      </c>
      <c r="G2096" s="8"/>
      <c r="K2096" s="9">
        <f t="shared" si="2117"/>
        <v>0</v>
      </c>
      <c r="M2096" s="11">
        <f t="shared" si="2121"/>
        <v>0</v>
      </c>
      <c r="O2096" s="11">
        <f t="shared" si="2122"/>
        <v>0</v>
      </c>
      <c r="Q2096" s="11">
        <f t="shared" si="2123"/>
        <v>0</v>
      </c>
      <c r="Y2096" s="11">
        <f t="shared" si="2124"/>
        <v>0</v>
      </c>
      <c r="AG2096" s="11">
        <f t="shared" si="2125"/>
        <v>0</v>
      </c>
      <c r="AI2096" s="11">
        <f t="shared" si="2126"/>
        <v>0</v>
      </c>
      <c r="AK2096" s="13">
        <f t="shared" si="2127"/>
        <v>0</v>
      </c>
      <c r="AM2096" s="13">
        <f t="shared" si="2128"/>
        <v>0</v>
      </c>
      <c r="AO2096" s="11">
        <f t="shared" si="2129"/>
        <v>0</v>
      </c>
      <c r="AQ2096" s="11">
        <f t="shared" si="2130"/>
        <v>0</v>
      </c>
      <c r="AS2096" s="11">
        <f t="shared" si="2131"/>
        <v>0</v>
      </c>
      <c r="AU2096" s="11">
        <f t="shared" si="2132"/>
        <v>0</v>
      </c>
      <c r="AW2096" s="11">
        <f t="shared" si="2133"/>
        <v>0</v>
      </c>
      <c r="AY2096" s="11">
        <f t="shared" si="2134"/>
        <v>0</v>
      </c>
      <c r="BA2096" s="11">
        <f t="shared" si="2135"/>
        <v>0</v>
      </c>
      <c r="BC2096" s="11">
        <f t="shared" si="2136"/>
        <v>0</v>
      </c>
      <c r="BE2096" s="11">
        <f t="shared" si="2137"/>
        <v>0</v>
      </c>
      <c r="BG2096" s="11">
        <f t="shared" si="2138"/>
        <v>0</v>
      </c>
      <c r="BN2096" s="8">
        <f t="shared" si="2115"/>
        <v>0</v>
      </c>
      <c r="BO2096" s="8">
        <f t="shared" si="2116"/>
        <v>0</v>
      </c>
      <c r="BP2096" s="8">
        <f t="shared" ref="BP2096:BP2160" si="2139">(N2096+X2096+Z2096+AB2096+AD2096+AH2096+AL2096+AP2096+AT2096+AX2096+BB2096+BF2096)</f>
        <v>0</v>
      </c>
      <c r="BQ2096" s="12">
        <f t="shared" ref="BQ2096:BQ2160" si="2140">(O2096+Y2096+AA2096+AC2096+AE2096+AI2096+AM2096+AQ2096+AU2096+AY2096+BC2096+BG2096)</f>
        <v>0</v>
      </c>
    </row>
    <row r="2097" spans="1:69">
      <c r="A2097" s="28">
        <v>1962</v>
      </c>
      <c r="B2097" s="27" t="s">
        <v>91</v>
      </c>
      <c r="C2097" s="24">
        <f t="shared" si="2119"/>
        <v>2090</v>
      </c>
      <c r="D2097" s="7" t="e">
        <f t="shared" ca="1" si="2096"/>
        <v>#N/A</v>
      </c>
      <c r="E2097" s="26">
        <f t="array" aca="1" ref="E2097" ca="1">AVERAGE(IF(INDIRECT(DatCol&amp;"$"&amp;TEXT(C2097,"###")):INDIRECT(DatCol&amp;"$"&amp;TEXT(C2097+57,"###"))&gt;0,INDIRECT(DatCol&amp;"$"&amp;TEXT(C2097,"###")):INDIRECT(DatCol&amp;"$"&amp;TEXT(C2097+57,"###"))))</f>
        <v>447.96153846153845</v>
      </c>
      <c r="F2097" s="26" t="str">
        <f t="shared" si="2120"/>
        <v>N</v>
      </c>
      <c r="G2097" s="8"/>
      <c r="K2097" s="9">
        <f t="shared" si="2117"/>
        <v>0</v>
      </c>
      <c r="M2097" s="11">
        <f t="shared" si="2121"/>
        <v>0</v>
      </c>
      <c r="O2097" s="11">
        <f t="shared" si="2122"/>
        <v>0</v>
      </c>
      <c r="Q2097" s="11">
        <f t="shared" si="2123"/>
        <v>0</v>
      </c>
      <c r="Y2097" s="11">
        <f t="shared" si="2124"/>
        <v>0</v>
      </c>
      <c r="AG2097" s="11">
        <f t="shared" si="2125"/>
        <v>0</v>
      </c>
      <c r="AI2097" s="11">
        <f t="shared" si="2126"/>
        <v>0</v>
      </c>
      <c r="AK2097" s="13">
        <f t="shared" si="2127"/>
        <v>0</v>
      </c>
      <c r="AM2097" s="13">
        <f t="shared" si="2128"/>
        <v>0</v>
      </c>
      <c r="AO2097" s="11">
        <f t="shared" si="2129"/>
        <v>0</v>
      </c>
      <c r="AQ2097" s="11">
        <f t="shared" si="2130"/>
        <v>0</v>
      </c>
      <c r="AS2097" s="11">
        <f t="shared" si="2131"/>
        <v>0</v>
      </c>
      <c r="AU2097" s="11">
        <f t="shared" si="2132"/>
        <v>0</v>
      </c>
      <c r="AW2097" s="11">
        <f t="shared" si="2133"/>
        <v>0</v>
      </c>
      <c r="AY2097" s="11">
        <f t="shared" si="2134"/>
        <v>0</v>
      </c>
      <c r="BA2097" s="11">
        <f t="shared" si="2135"/>
        <v>0</v>
      </c>
      <c r="BC2097" s="11">
        <f t="shared" si="2136"/>
        <v>0</v>
      </c>
      <c r="BE2097" s="11">
        <f t="shared" si="2137"/>
        <v>0</v>
      </c>
      <c r="BG2097" s="11">
        <f t="shared" si="2138"/>
        <v>0</v>
      </c>
      <c r="BN2097" s="8">
        <f t="shared" si="2115"/>
        <v>0</v>
      </c>
      <c r="BO2097" s="8">
        <f t="shared" si="2116"/>
        <v>0</v>
      </c>
      <c r="BP2097" s="8">
        <f t="shared" si="2139"/>
        <v>0</v>
      </c>
      <c r="BQ2097" s="12">
        <f t="shared" si="2140"/>
        <v>0</v>
      </c>
    </row>
    <row r="2098" spans="1:69">
      <c r="A2098" s="28">
        <v>1963</v>
      </c>
      <c r="B2098" s="27" t="s">
        <v>91</v>
      </c>
      <c r="C2098" s="24">
        <f t="shared" si="2119"/>
        <v>2090</v>
      </c>
      <c r="D2098" s="7" t="e">
        <f t="shared" ca="1" si="2096"/>
        <v>#N/A</v>
      </c>
      <c r="E2098" s="26">
        <f t="array" aca="1" ref="E2098" ca="1">AVERAGE(IF(INDIRECT(DatCol&amp;"$"&amp;TEXT(C2098,"###")):INDIRECT(DatCol&amp;"$"&amp;TEXT(C2098+57,"###"))&gt;0,INDIRECT(DatCol&amp;"$"&amp;TEXT(C2098,"###")):INDIRECT(DatCol&amp;"$"&amp;TEXT(C2098+57,"###"))))</f>
        <v>447.96153846153845</v>
      </c>
      <c r="F2098" s="26" t="str">
        <f t="shared" si="2120"/>
        <v>N</v>
      </c>
      <c r="G2098" s="8"/>
      <c r="K2098" s="9">
        <f t="shared" si="2117"/>
        <v>0</v>
      </c>
      <c r="M2098" s="11">
        <f t="shared" si="2121"/>
        <v>0</v>
      </c>
      <c r="O2098" s="11">
        <f t="shared" si="2122"/>
        <v>0</v>
      </c>
      <c r="Q2098" s="11">
        <f t="shared" si="2123"/>
        <v>0</v>
      </c>
      <c r="Y2098" s="11">
        <f t="shared" si="2124"/>
        <v>0</v>
      </c>
      <c r="AG2098" s="11">
        <f t="shared" si="2125"/>
        <v>0</v>
      </c>
      <c r="AI2098" s="11">
        <f t="shared" si="2126"/>
        <v>0</v>
      </c>
      <c r="AK2098" s="13">
        <f t="shared" si="2127"/>
        <v>0</v>
      </c>
      <c r="AM2098" s="13">
        <f t="shared" si="2128"/>
        <v>0</v>
      </c>
      <c r="AO2098" s="11">
        <f t="shared" si="2129"/>
        <v>0</v>
      </c>
      <c r="AQ2098" s="11">
        <f t="shared" si="2130"/>
        <v>0</v>
      </c>
      <c r="AS2098" s="11">
        <f t="shared" si="2131"/>
        <v>0</v>
      </c>
      <c r="AU2098" s="11">
        <f t="shared" si="2132"/>
        <v>0</v>
      </c>
      <c r="AW2098" s="11">
        <f t="shared" si="2133"/>
        <v>0</v>
      </c>
      <c r="AY2098" s="11">
        <f t="shared" si="2134"/>
        <v>0</v>
      </c>
      <c r="BA2098" s="11">
        <f t="shared" si="2135"/>
        <v>0</v>
      </c>
      <c r="BC2098" s="11">
        <f t="shared" si="2136"/>
        <v>0</v>
      </c>
      <c r="BE2098" s="11">
        <f t="shared" si="2137"/>
        <v>0</v>
      </c>
      <c r="BG2098" s="11">
        <f t="shared" si="2138"/>
        <v>0</v>
      </c>
      <c r="BN2098" s="8">
        <f t="shared" si="2115"/>
        <v>0</v>
      </c>
      <c r="BO2098" s="8">
        <f t="shared" si="2116"/>
        <v>0</v>
      </c>
      <c r="BP2098" s="8">
        <f t="shared" si="2139"/>
        <v>0</v>
      </c>
      <c r="BQ2098" s="12">
        <f t="shared" si="2140"/>
        <v>0</v>
      </c>
    </row>
    <row r="2099" spans="1:69">
      <c r="A2099" s="28">
        <v>1964</v>
      </c>
      <c r="B2099" s="27" t="s">
        <v>91</v>
      </c>
      <c r="C2099" s="24">
        <f t="shared" si="2119"/>
        <v>2090</v>
      </c>
      <c r="D2099" s="7" t="e">
        <f t="shared" ca="1" si="2096"/>
        <v>#N/A</v>
      </c>
      <c r="E2099" s="26">
        <f t="array" aca="1" ref="E2099" ca="1">AVERAGE(IF(INDIRECT(DatCol&amp;"$"&amp;TEXT(C2099,"###")):INDIRECT(DatCol&amp;"$"&amp;TEXT(C2099+57,"###"))&gt;0,INDIRECT(DatCol&amp;"$"&amp;TEXT(C2099,"###")):INDIRECT(DatCol&amp;"$"&amp;TEXT(C2099+57,"###"))))</f>
        <v>447.96153846153845</v>
      </c>
      <c r="F2099" s="26" t="str">
        <f t="shared" si="2120"/>
        <v>N</v>
      </c>
      <c r="G2099" s="8"/>
      <c r="K2099" s="9">
        <f t="shared" si="2117"/>
        <v>0</v>
      </c>
      <c r="M2099" s="11">
        <f t="shared" si="2121"/>
        <v>0</v>
      </c>
      <c r="O2099" s="11">
        <f t="shared" si="2122"/>
        <v>0</v>
      </c>
      <c r="Q2099" s="11">
        <f t="shared" si="2123"/>
        <v>0</v>
      </c>
      <c r="Y2099" s="11">
        <f t="shared" si="2124"/>
        <v>0</v>
      </c>
      <c r="AG2099" s="11">
        <f t="shared" si="2125"/>
        <v>0</v>
      </c>
      <c r="AI2099" s="11">
        <f t="shared" si="2126"/>
        <v>0</v>
      </c>
      <c r="AK2099" s="13">
        <f t="shared" si="2127"/>
        <v>0</v>
      </c>
      <c r="AM2099" s="13">
        <f t="shared" si="2128"/>
        <v>0</v>
      </c>
      <c r="AO2099" s="11">
        <f t="shared" si="2129"/>
        <v>0</v>
      </c>
      <c r="AQ2099" s="11">
        <f t="shared" si="2130"/>
        <v>0</v>
      </c>
      <c r="AS2099" s="11">
        <f t="shared" si="2131"/>
        <v>0</v>
      </c>
      <c r="AU2099" s="11">
        <f t="shared" si="2132"/>
        <v>0</v>
      </c>
      <c r="AW2099" s="11">
        <f t="shared" si="2133"/>
        <v>0</v>
      </c>
      <c r="AY2099" s="11">
        <f t="shared" si="2134"/>
        <v>0</v>
      </c>
      <c r="BA2099" s="11">
        <f t="shared" si="2135"/>
        <v>0</v>
      </c>
      <c r="BC2099" s="11">
        <f t="shared" si="2136"/>
        <v>0</v>
      </c>
      <c r="BE2099" s="11">
        <f t="shared" si="2137"/>
        <v>0</v>
      </c>
      <c r="BG2099" s="11">
        <f t="shared" si="2138"/>
        <v>0</v>
      </c>
      <c r="BN2099" s="8">
        <f t="shared" si="2115"/>
        <v>0</v>
      </c>
      <c r="BO2099" s="8">
        <f t="shared" si="2116"/>
        <v>0</v>
      </c>
      <c r="BP2099" s="8">
        <f t="shared" si="2139"/>
        <v>0</v>
      </c>
      <c r="BQ2099" s="12">
        <f t="shared" si="2140"/>
        <v>0</v>
      </c>
    </row>
    <row r="2100" spans="1:69">
      <c r="A2100" s="28">
        <v>1965</v>
      </c>
      <c r="B2100" s="27" t="s">
        <v>91</v>
      </c>
      <c r="C2100" s="24">
        <f t="shared" si="2119"/>
        <v>2090</v>
      </c>
      <c r="D2100" s="7" t="e">
        <f t="shared" ca="1" si="2096"/>
        <v>#N/A</v>
      </c>
      <c r="E2100" s="26">
        <f t="array" aca="1" ref="E2100" ca="1">AVERAGE(IF(INDIRECT(DatCol&amp;"$"&amp;TEXT(C2100,"###")):INDIRECT(DatCol&amp;"$"&amp;TEXT(C2100+57,"###"))&gt;0,INDIRECT(DatCol&amp;"$"&amp;TEXT(C2100,"###")):INDIRECT(DatCol&amp;"$"&amp;TEXT(C2100+57,"###"))))</f>
        <v>447.96153846153845</v>
      </c>
      <c r="F2100" s="26" t="str">
        <f t="shared" si="2120"/>
        <v>N</v>
      </c>
      <c r="G2100" s="8"/>
      <c r="K2100" s="9">
        <f t="shared" si="2117"/>
        <v>0</v>
      </c>
      <c r="M2100" s="11">
        <f t="shared" si="2121"/>
        <v>0</v>
      </c>
      <c r="O2100" s="11">
        <f t="shared" si="2122"/>
        <v>0</v>
      </c>
      <c r="Q2100" s="11">
        <f t="shared" si="2123"/>
        <v>0</v>
      </c>
      <c r="Y2100" s="11">
        <f t="shared" si="2124"/>
        <v>0</v>
      </c>
      <c r="AG2100" s="11">
        <f t="shared" si="2125"/>
        <v>0</v>
      </c>
      <c r="AI2100" s="11">
        <f t="shared" si="2126"/>
        <v>0</v>
      </c>
      <c r="AK2100" s="13">
        <f t="shared" si="2127"/>
        <v>0</v>
      </c>
      <c r="AM2100" s="13">
        <f t="shared" si="2128"/>
        <v>0</v>
      </c>
      <c r="AO2100" s="11">
        <f t="shared" si="2129"/>
        <v>0</v>
      </c>
      <c r="AQ2100" s="11">
        <f t="shared" si="2130"/>
        <v>0</v>
      </c>
      <c r="AS2100" s="11">
        <f t="shared" si="2131"/>
        <v>0</v>
      </c>
      <c r="AU2100" s="11">
        <f t="shared" si="2132"/>
        <v>0</v>
      </c>
      <c r="AW2100" s="11">
        <f t="shared" si="2133"/>
        <v>0</v>
      </c>
      <c r="AY2100" s="11">
        <f t="shared" si="2134"/>
        <v>0</v>
      </c>
      <c r="BA2100" s="11">
        <f t="shared" si="2135"/>
        <v>0</v>
      </c>
      <c r="BC2100" s="11">
        <f t="shared" si="2136"/>
        <v>0</v>
      </c>
      <c r="BE2100" s="11">
        <f t="shared" si="2137"/>
        <v>0</v>
      </c>
      <c r="BG2100" s="11">
        <f t="shared" si="2138"/>
        <v>0</v>
      </c>
      <c r="BN2100" s="8">
        <f t="shared" si="2115"/>
        <v>0</v>
      </c>
      <c r="BO2100" s="8">
        <f t="shared" si="2116"/>
        <v>0</v>
      </c>
      <c r="BP2100" s="8">
        <f t="shared" si="2139"/>
        <v>0</v>
      </c>
      <c r="BQ2100" s="12">
        <f t="shared" si="2140"/>
        <v>0</v>
      </c>
    </row>
    <row r="2101" spans="1:69">
      <c r="A2101" s="28">
        <v>1966</v>
      </c>
      <c r="B2101" s="27" t="s">
        <v>91</v>
      </c>
      <c r="C2101" s="24">
        <f t="shared" si="2119"/>
        <v>2090</v>
      </c>
      <c r="D2101" s="7" t="e">
        <f t="shared" ca="1" si="2096"/>
        <v>#N/A</v>
      </c>
      <c r="E2101" s="26">
        <f t="array" aca="1" ref="E2101" ca="1">AVERAGE(IF(INDIRECT(DatCol&amp;"$"&amp;TEXT(C2101,"###")):INDIRECT(DatCol&amp;"$"&amp;TEXT(C2101+57,"###"))&gt;0,INDIRECT(DatCol&amp;"$"&amp;TEXT(C2101,"###")):INDIRECT(DatCol&amp;"$"&amp;TEXT(C2101+57,"###"))))</f>
        <v>447.96153846153845</v>
      </c>
      <c r="F2101" s="26" t="str">
        <f t="shared" si="2120"/>
        <v>N</v>
      </c>
      <c r="G2101" s="8"/>
      <c r="K2101" s="9">
        <f t="shared" si="2117"/>
        <v>0</v>
      </c>
      <c r="M2101" s="11">
        <f t="shared" si="2121"/>
        <v>0</v>
      </c>
      <c r="O2101" s="11">
        <f t="shared" si="2122"/>
        <v>0</v>
      </c>
      <c r="Q2101" s="11">
        <f t="shared" si="2123"/>
        <v>0</v>
      </c>
      <c r="Y2101" s="11">
        <f t="shared" si="2124"/>
        <v>0</v>
      </c>
      <c r="AG2101" s="11">
        <f t="shared" si="2125"/>
        <v>0</v>
      </c>
      <c r="AI2101" s="11">
        <f t="shared" si="2126"/>
        <v>0</v>
      </c>
      <c r="AK2101" s="13">
        <f t="shared" si="2127"/>
        <v>0</v>
      </c>
      <c r="AM2101" s="13">
        <f t="shared" si="2128"/>
        <v>0</v>
      </c>
      <c r="AO2101" s="11">
        <f t="shared" si="2129"/>
        <v>0</v>
      </c>
      <c r="AQ2101" s="11">
        <f t="shared" si="2130"/>
        <v>0</v>
      </c>
      <c r="AS2101" s="11">
        <f t="shared" si="2131"/>
        <v>0</v>
      </c>
      <c r="AU2101" s="11">
        <f t="shared" si="2132"/>
        <v>0</v>
      </c>
      <c r="AW2101" s="11">
        <f t="shared" si="2133"/>
        <v>0</v>
      </c>
      <c r="AY2101" s="11">
        <f t="shared" si="2134"/>
        <v>0</v>
      </c>
      <c r="BA2101" s="11">
        <f t="shared" si="2135"/>
        <v>0</v>
      </c>
      <c r="BC2101" s="11">
        <f t="shared" si="2136"/>
        <v>0</v>
      </c>
      <c r="BE2101" s="11">
        <f t="shared" si="2137"/>
        <v>0</v>
      </c>
      <c r="BG2101" s="11">
        <f t="shared" si="2138"/>
        <v>0</v>
      </c>
      <c r="BN2101" s="8">
        <f t="shared" si="2115"/>
        <v>0</v>
      </c>
      <c r="BO2101" s="8">
        <f t="shared" si="2116"/>
        <v>0</v>
      </c>
      <c r="BP2101" s="8">
        <f t="shared" si="2139"/>
        <v>0</v>
      </c>
      <c r="BQ2101" s="12">
        <f t="shared" si="2140"/>
        <v>0</v>
      </c>
    </row>
    <row r="2102" spans="1:69">
      <c r="A2102" s="28">
        <v>1967</v>
      </c>
      <c r="B2102" s="27" t="s">
        <v>91</v>
      </c>
      <c r="C2102" s="24">
        <f t="shared" si="2119"/>
        <v>2090</v>
      </c>
      <c r="D2102" s="7" t="e">
        <f t="shared" ca="1" si="2096"/>
        <v>#N/A</v>
      </c>
      <c r="E2102" s="26">
        <f t="array" aca="1" ref="E2102" ca="1">AVERAGE(IF(INDIRECT(DatCol&amp;"$"&amp;TEXT(C2102,"###")):INDIRECT(DatCol&amp;"$"&amp;TEXT(C2102+57,"###"))&gt;0,INDIRECT(DatCol&amp;"$"&amp;TEXT(C2102,"###")):INDIRECT(DatCol&amp;"$"&amp;TEXT(C2102+57,"###"))))</f>
        <v>447.96153846153845</v>
      </c>
      <c r="F2102" s="26" t="str">
        <f t="shared" si="2120"/>
        <v>N</v>
      </c>
      <c r="G2102" s="8"/>
      <c r="K2102" s="9">
        <f t="shared" si="2117"/>
        <v>0</v>
      </c>
      <c r="M2102" s="11">
        <f t="shared" si="2121"/>
        <v>0</v>
      </c>
      <c r="O2102" s="11">
        <f t="shared" si="2122"/>
        <v>0</v>
      </c>
      <c r="Q2102" s="11">
        <f t="shared" si="2123"/>
        <v>0</v>
      </c>
      <c r="Y2102" s="11">
        <f t="shared" si="2124"/>
        <v>0</v>
      </c>
      <c r="AG2102" s="11">
        <f t="shared" si="2125"/>
        <v>0</v>
      </c>
      <c r="AI2102" s="11">
        <f t="shared" si="2126"/>
        <v>0</v>
      </c>
      <c r="AK2102" s="13">
        <f t="shared" si="2127"/>
        <v>0</v>
      </c>
      <c r="AM2102" s="13">
        <f t="shared" si="2128"/>
        <v>0</v>
      </c>
      <c r="AO2102" s="11">
        <f t="shared" si="2129"/>
        <v>0</v>
      </c>
      <c r="AQ2102" s="11">
        <f t="shared" si="2130"/>
        <v>0</v>
      </c>
      <c r="AS2102" s="11">
        <f t="shared" si="2131"/>
        <v>0</v>
      </c>
      <c r="AU2102" s="11">
        <f t="shared" si="2132"/>
        <v>0</v>
      </c>
      <c r="AW2102" s="11">
        <f t="shared" si="2133"/>
        <v>0</v>
      </c>
      <c r="AY2102" s="11">
        <f t="shared" si="2134"/>
        <v>0</v>
      </c>
      <c r="BA2102" s="11">
        <f t="shared" si="2135"/>
        <v>0</v>
      </c>
      <c r="BC2102" s="11">
        <f t="shared" si="2136"/>
        <v>0</v>
      </c>
      <c r="BE2102" s="11">
        <f t="shared" si="2137"/>
        <v>0</v>
      </c>
      <c r="BG2102" s="11">
        <f t="shared" si="2138"/>
        <v>0</v>
      </c>
      <c r="BN2102" s="8">
        <f t="shared" si="2115"/>
        <v>0</v>
      </c>
      <c r="BO2102" s="8">
        <f t="shared" si="2116"/>
        <v>0</v>
      </c>
      <c r="BP2102" s="8">
        <f t="shared" si="2139"/>
        <v>0</v>
      </c>
      <c r="BQ2102" s="12">
        <f t="shared" si="2140"/>
        <v>0</v>
      </c>
    </row>
    <row r="2103" spans="1:69">
      <c r="A2103" s="28">
        <v>1968</v>
      </c>
      <c r="B2103" s="27" t="s">
        <v>91</v>
      </c>
      <c r="C2103" s="24">
        <f t="shared" si="2119"/>
        <v>2090</v>
      </c>
      <c r="D2103" s="7" t="e">
        <f t="shared" ca="1" si="2096"/>
        <v>#N/A</v>
      </c>
      <c r="E2103" s="26">
        <f t="array" aca="1" ref="E2103" ca="1">AVERAGE(IF(INDIRECT(DatCol&amp;"$"&amp;TEXT(C2103,"###")):INDIRECT(DatCol&amp;"$"&amp;TEXT(C2103+57,"###"))&gt;0,INDIRECT(DatCol&amp;"$"&amp;TEXT(C2103,"###")):INDIRECT(DatCol&amp;"$"&amp;TEXT(C2103+57,"###"))))</f>
        <v>447.96153846153845</v>
      </c>
      <c r="F2103" s="26" t="str">
        <f t="shared" si="2120"/>
        <v>N</v>
      </c>
      <c r="G2103" s="8"/>
      <c r="H2103" s="8">
        <v>23</v>
      </c>
      <c r="I2103" s="8">
        <v>16</v>
      </c>
      <c r="J2103" s="8">
        <v>36</v>
      </c>
      <c r="K2103" s="9">
        <f t="shared" si="2117"/>
        <v>59</v>
      </c>
      <c r="L2103" s="12">
        <v>3768</v>
      </c>
      <c r="M2103" s="11">
        <f t="shared" si="2121"/>
        <v>188400</v>
      </c>
      <c r="N2103" s="12">
        <v>432</v>
      </c>
      <c r="O2103" s="11">
        <f t="shared" si="2122"/>
        <v>21600</v>
      </c>
      <c r="Q2103" s="11">
        <f t="shared" si="2123"/>
        <v>0</v>
      </c>
      <c r="Y2103" s="11">
        <f t="shared" si="2124"/>
        <v>0</v>
      </c>
      <c r="AG2103" s="11">
        <f t="shared" si="2125"/>
        <v>0</v>
      </c>
      <c r="AI2103" s="11">
        <f t="shared" si="2126"/>
        <v>0</v>
      </c>
      <c r="AK2103" s="13">
        <f t="shared" si="2127"/>
        <v>0</v>
      </c>
      <c r="AM2103" s="13">
        <f t="shared" si="2128"/>
        <v>0</v>
      </c>
      <c r="AN2103" s="12">
        <v>600</v>
      </c>
      <c r="AO2103" s="11">
        <f t="shared" si="2129"/>
        <v>48000</v>
      </c>
      <c r="AP2103" s="12">
        <v>900</v>
      </c>
      <c r="AQ2103" s="11">
        <f t="shared" si="2130"/>
        <v>72000</v>
      </c>
      <c r="AS2103" s="11">
        <f t="shared" si="2131"/>
        <v>0</v>
      </c>
      <c r="AU2103" s="11">
        <f t="shared" si="2132"/>
        <v>0</v>
      </c>
      <c r="AW2103" s="11">
        <f t="shared" si="2133"/>
        <v>0</v>
      </c>
      <c r="AY2103" s="11">
        <f t="shared" si="2134"/>
        <v>0</v>
      </c>
      <c r="AZ2103" s="12">
        <v>9</v>
      </c>
      <c r="BA2103" s="11">
        <f t="shared" si="2135"/>
        <v>360</v>
      </c>
      <c r="BC2103" s="11">
        <f t="shared" si="2136"/>
        <v>0</v>
      </c>
      <c r="BE2103" s="11">
        <f t="shared" si="2137"/>
        <v>0</v>
      </c>
      <c r="BG2103" s="11">
        <f t="shared" si="2138"/>
        <v>0</v>
      </c>
      <c r="BN2103" s="8">
        <f t="shared" si="2115"/>
        <v>4377</v>
      </c>
      <c r="BO2103" s="8">
        <f t="shared" si="2116"/>
        <v>236760</v>
      </c>
      <c r="BP2103" s="8">
        <f t="shared" si="2139"/>
        <v>1332</v>
      </c>
      <c r="BQ2103" s="12">
        <f t="shared" si="2140"/>
        <v>93600</v>
      </c>
    </row>
    <row r="2104" spans="1:69">
      <c r="A2104" s="28">
        <v>1969</v>
      </c>
      <c r="B2104" s="27" t="s">
        <v>91</v>
      </c>
      <c r="C2104" s="24">
        <f t="shared" si="2119"/>
        <v>2090</v>
      </c>
      <c r="D2104" s="7" t="e">
        <f t="shared" ca="1" si="2096"/>
        <v>#N/A</v>
      </c>
      <c r="E2104" s="26">
        <f t="array" aca="1" ref="E2104" ca="1">AVERAGE(IF(INDIRECT(DatCol&amp;"$"&amp;TEXT(C2104,"###")):INDIRECT(DatCol&amp;"$"&amp;TEXT(C2104+57,"###"))&gt;0,INDIRECT(DatCol&amp;"$"&amp;TEXT(C2104,"###")):INDIRECT(DatCol&amp;"$"&amp;TEXT(C2104+57,"###"))))</f>
        <v>447.96153846153845</v>
      </c>
      <c r="F2104" s="26" t="str">
        <f t="shared" si="2120"/>
        <v>N</v>
      </c>
      <c r="G2104" s="8"/>
      <c r="H2104" s="8">
        <v>39</v>
      </c>
      <c r="I2104" s="8">
        <v>18</v>
      </c>
      <c r="J2104" s="8">
        <v>76</v>
      </c>
      <c r="K2104" s="9">
        <f t="shared" si="2117"/>
        <v>115</v>
      </c>
      <c r="L2104" s="12">
        <v>3900</v>
      </c>
      <c r="M2104" s="11">
        <f t="shared" si="2121"/>
        <v>195000</v>
      </c>
      <c r="N2104" s="12">
        <v>917</v>
      </c>
      <c r="O2104" s="11">
        <f t="shared" si="2122"/>
        <v>45850</v>
      </c>
      <c r="Q2104" s="11">
        <f t="shared" si="2123"/>
        <v>0</v>
      </c>
      <c r="Y2104" s="11">
        <f t="shared" si="2124"/>
        <v>0</v>
      </c>
      <c r="AG2104" s="11">
        <f t="shared" si="2125"/>
        <v>0</v>
      </c>
      <c r="AI2104" s="11">
        <f t="shared" si="2126"/>
        <v>0</v>
      </c>
      <c r="AK2104" s="13">
        <f t="shared" si="2127"/>
        <v>0</v>
      </c>
      <c r="AM2104" s="13">
        <f t="shared" si="2128"/>
        <v>0</v>
      </c>
      <c r="AN2104" s="12">
        <v>800</v>
      </c>
      <c r="AO2104" s="11">
        <f t="shared" si="2129"/>
        <v>64000</v>
      </c>
      <c r="AP2104" s="12">
        <v>2640</v>
      </c>
      <c r="AQ2104" s="11">
        <f t="shared" si="2130"/>
        <v>211200</v>
      </c>
      <c r="AS2104" s="11">
        <f t="shared" si="2131"/>
        <v>0</v>
      </c>
      <c r="AU2104" s="11">
        <f t="shared" si="2132"/>
        <v>0</v>
      </c>
      <c r="AW2104" s="11">
        <f t="shared" si="2133"/>
        <v>0</v>
      </c>
      <c r="AY2104" s="11">
        <f t="shared" si="2134"/>
        <v>0</v>
      </c>
      <c r="AZ2104" s="12">
        <v>9</v>
      </c>
      <c r="BA2104" s="11">
        <f t="shared" si="2135"/>
        <v>360</v>
      </c>
      <c r="BC2104" s="11">
        <f t="shared" si="2136"/>
        <v>0</v>
      </c>
      <c r="BE2104" s="11">
        <f t="shared" si="2137"/>
        <v>0</v>
      </c>
      <c r="BG2104" s="11">
        <f t="shared" si="2138"/>
        <v>0</v>
      </c>
      <c r="BN2104" s="8">
        <f t="shared" si="2115"/>
        <v>4709</v>
      </c>
      <c r="BO2104" s="8">
        <f t="shared" si="2116"/>
        <v>259360</v>
      </c>
      <c r="BP2104" s="8">
        <f t="shared" si="2139"/>
        <v>3557</v>
      </c>
      <c r="BQ2104" s="12">
        <f t="shared" si="2140"/>
        <v>257050</v>
      </c>
    </row>
    <row r="2105" spans="1:69">
      <c r="A2105" s="28">
        <v>1970</v>
      </c>
      <c r="B2105" s="27" t="s">
        <v>91</v>
      </c>
      <c r="C2105" s="24">
        <f t="shared" si="2119"/>
        <v>2090</v>
      </c>
      <c r="D2105" s="7" t="e">
        <f t="shared" ca="1" si="2096"/>
        <v>#N/A</v>
      </c>
      <c r="E2105" s="26">
        <f t="array" aca="1" ref="E2105" ca="1">AVERAGE(IF(INDIRECT(DatCol&amp;"$"&amp;TEXT(C2105,"###")):INDIRECT(DatCol&amp;"$"&amp;TEXT(C2105+57,"###"))&gt;0,INDIRECT(DatCol&amp;"$"&amp;TEXT(C2105,"###")):INDIRECT(DatCol&amp;"$"&amp;TEXT(C2105+57,"###"))))</f>
        <v>447.96153846153845</v>
      </c>
      <c r="F2105" s="26" t="str">
        <f t="shared" si="2120"/>
        <v>N</v>
      </c>
      <c r="G2105" s="8"/>
      <c r="H2105" s="8">
        <v>45</v>
      </c>
      <c r="I2105" s="8">
        <v>15</v>
      </c>
      <c r="J2105" s="8">
        <v>76</v>
      </c>
      <c r="K2105" s="9">
        <f t="shared" si="2117"/>
        <v>121</v>
      </c>
      <c r="L2105" s="12">
        <v>3780</v>
      </c>
      <c r="M2105" s="11">
        <f t="shared" si="2121"/>
        <v>189000</v>
      </c>
      <c r="N2105" s="12">
        <v>612</v>
      </c>
      <c r="O2105" s="11">
        <f t="shared" si="2122"/>
        <v>30600</v>
      </c>
      <c r="Q2105" s="11">
        <f t="shared" si="2123"/>
        <v>0</v>
      </c>
      <c r="Y2105" s="11">
        <f t="shared" si="2124"/>
        <v>0</v>
      </c>
      <c r="AG2105" s="11">
        <f t="shared" si="2125"/>
        <v>0</v>
      </c>
      <c r="AI2105" s="11">
        <f t="shared" si="2126"/>
        <v>0</v>
      </c>
      <c r="AK2105" s="13">
        <f t="shared" si="2127"/>
        <v>0</v>
      </c>
      <c r="AM2105" s="13">
        <f t="shared" si="2128"/>
        <v>0</v>
      </c>
      <c r="AN2105" s="12">
        <v>700</v>
      </c>
      <c r="AO2105" s="11">
        <f t="shared" si="2129"/>
        <v>56000</v>
      </c>
      <c r="AP2105" s="12">
        <v>1560</v>
      </c>
      <c r="AQ2105" s="11">
        <f t="shared" si="2130"/>
        <v>124800</v>
      </c>
      <c r="AS2105" s="11">
        <f t="shared" si="2131"/>
        <v>0</v>
      </c>
      <c r="AU2105" s="11">
        <f t="shared" si="2132"/>
        <v>0</v>
      </c>
      <c r="AW2105" s="11">
        <f t="shared" si="2133"/>
        <v>0</v>
      </c>
      <c r="AY2105" s="11">
        <f t="shared" si="2134"/>
        <v>0</v>
      </c>
      <c r="BA2105" s="11">
        <f t="shared" si="2135"/>
        <v>0</v>
      </c>
      <c r="BC2105" s="11">
        <f t="shared" si="2136"/>
        <v>0</v>
      </c>
      <c r="BE2105" s="11">
        <f t="shared" si="2137"/>
        <v>0</v>
      </c>
      <c r="BG2105" s="11">
        <f t="shared" si="2138"/>
        <v>0</v>
      </c>
      <c r="BN2105" s="8">
        <f t="shared" si="2115"/>
        <v>4480</v>
      </c>
      <c r="BO2105" s="8">
        <f t="shared" si="2116"/>
        <v>245000</v>
      </c>
      <c r="BP2105" s="8">
        <f t="shared" si="2139"/>
        <v>2172</v>
      </c>
      <c r="BQ2105" s="12">
        <f t="shared" si="2140"/>
        <v>155400</v>
      </c>
    </row>
    <row r="2106" spans="1:69">
      <c r="A2106" s="28">
        <v>1971</v>
      </c>
      <c r="B2106" s="27" t="s">
        <v>91</v>
      </c>
      <c r="C2106" s="24">
        <f t="shared" si="2119"/>
        <v>2090</v>
      </c>
      <c r="D2106" s="7" t="e">
        <f t="shared" ca="1" si="2096"/>
        <v>#N/A</v>
      </c>
      <c r="E2106" s="26">
        <f t="array" aca="1" ref="E2106" ca="1">AVERAGE(IF(INDIRECT(DatCol&amp;"$"&amp;TEXT(C2106,"###")):INDIRECT(DatCol&amp;"$"&amp;TEXT(C2106+57,"###"))&gt;0,INDIRECT(DatCol&amp;"$"&amp;TEXT(C2106,"###")):INDIRECT(DatCol&amp;"$"&amp;TEXT(C2106+57,"###"))))</f>
        <v>447.96153846153845</v>
      </c>
      <c r="F2106" s="26" t="str">
        <f t="shared" si="2120"/>
        <v>N</v>
      </c>
      <c r="G2106" s="8"/>
      <c r="H2106" s="8">
        <v>51</v>
      </c>
      <c r="I2106" s="8">
        <v>8</v>
      </c>
      <c r="J2106" s="8">
        <v>100</v>
      </c>
      <c r="K2106" s="9">
        <f t="shared" si="2117"/>
        <v>151</v>
      </c>
      <c r="L2106" s="12">
        <v>600</v>
      </c>
      <c r="M2106" s="11">
        <f t="shared" si="2121"/>
        <v>30000</v>
      </c>
      <c r="N2106" s="12">
        <v>23</v>
      </c>
      <c r="O2106" s="11">
        <f t="shared" si="2122"/>
        <v>1150</v>
      </c>
      <c r="Q2106" s="11">
        <f t="shared" si="2123"/>
        <v>0</v>
      </c>
      <c r="Y2106" s="11">
        <f t="shared" si="2124"/>
        <v>0</v>
      </c>
      <c r="AG2106" s="11">
        <f t="shared" si="2125"/>
        <v>0</v>
      </c>
      <c r="AI2106" s="11">
        <f t="shared" si="2126"/>
        <v>0</v>
      </c>
      <c r="AK2106" s="13">
        <f t="shared" si="2127"/>
        <v>0</v>
      </c>
      <c r="AM2106" s="13">
        <f t="shared" si="2128"/>
        <v>0</v>
      </c>
      <c r="AN2106" s="12" t="s">
        <v>52</v>
      </c>
      <c r="AO2106" s="11">
        <f t="shared" si="2129"/>
        <v>0</v>
      </c>
      <c r="AP2106" s="12">
        <v>92</v>
      </c>
      <c r="AQ2106" s="11">
        <f t="shared" si="2130"/>
        <v>7360</v>
      </c>
      <c r="AS2106" s="11">
        <f t="shared" si="2131"/>
        <v>0</v>
      </c>
      <c r="AU2106" s="11">
        <f t="shared" si="2132"/>
        <v>0</v>
      </c>
      <c r="AW2106" s="11">
        <f t="shared" si="2133"/>
        <v>0</v>
      </c>
      <c r="AY2106" s="11">
        <f t="shared" si="2134"/>
        <v>0</v>
      </c>
      <c r="BA2106" s="11">
        <f t="shared" si="2135"/>
        <v>0</v>
      </c>
      <c r="BC2106" s="11">
        <f t="shared" si="2136"/>
        <v>0</v>
      </c>
      <c r="BE2106" s="11">
        <f t="shared" si="2137"/>
        <v>0</v>
      </c>
      <c r="BG2106" s="11">
        <f t="shared" si="2138"/>
        <v>0</v>
      </c>
      <c r="BN2106" s="8">
        <f t="shared" si="2115"/>
        <v>600</v>
      </c>
      <c r="BO2106" s="8">
        <f t="shared" si="2116"/>
        <v>30000</v>
      </c>
      <c r="BP2106" s="8">
        <f t="shared" si="2139"/>
        <v>115</v>
      </c>
      <c r="BQ2106" s="12">
        <f t="shared" si="2140"/>
        <v>8510</v>
      </c>
    </row>
    <row r="2107" spans="1:69">
      <c r="A2107" s="28">
        <v>1972</v>
      </c>
      <c r="B2107" s="27" t="s">
        <v>91</v>
      </c>
      <c r="C2107" s="24">
        <f t="shared" si="2119"/>
        <v>2090</v>
      </c>
      <c r="D2107" s="7" t="e">
        <f t="shared" ca="1" si="2096"/>
        <v>#N/A</v>
      </c>
      <c r="E2107" s="26">
        <f t="array" aca="1" ref="E2107" ca="1">AVERAGE(IF(INDIRECT(DatCol&amp;"$"&amp;TEXT(C2107,"###")):INDIRECT(DatCol&amp;"$"&amp;TEXT(C2107+57,"###"))&gt;0,INDIRECT(DatCol&amp;"$"&amp;TEXT(C2107,"###")):INDIRECT(DatCol&amp;"$"&amp;TEXT(C2107+57,"###"))))</f>
        <v>447.96153846153845</v>
      </c>
      <c r="F2107" s="26" t="str">
        <f t="shared" si="2120"/>
        <v>N</v>
      </c>
      <c r="G2107" s="8"/>
      <c r="H2107" s="8">
        <v>34</v>
      </c>
      <c r="I2107" s="8">
        <v>6</v>
      </c>
      <c r="J2107" s="8">
        <v>49</v>
      </c>
      <c r="K2107" s="9">
        <f t="shared" si="2117"/>
        <v>83</v>
      </c>
      <c r="L2107" s="12">
        <v>576</v>
      </c>
      <c r="M2107" s="11">
        <f t="shared" si="2121"/>
        <v>28800</v>
      </c>
      <c r="N2107" s="12">
        <v>504</v>
      </c>
      <c r="O2107" s="11">
        <f t="shared" si="2122"/>
        <v>25200</v>
      </c>
      <c r="Q2107" s="11">
        <f t="shared" si="2123"/>
        <v>0</v>
      </c>
      <c r="Y2107" s="11">
        <f t="shared" si="2124"/>
        <v>0</v>
      </c>
      <c r="AG2107" s="11">
        <f t="shared" si="2125"/>
        <v>0</v>
      </c>
      <c r="AI2107" s="11">
        <f t="shared" si="2126"/>
        <v>0</v>
      </c>
      <c r="AK2107" s="13">
        <f t="shared" si="2127"/>
        <v>0</v>
      </c>
      <c r="AM2107" s="13">
        <f t="shared" si="2128"/>
        <v>0</v>
      </c>
      <c r="AN2107" s="12">
        <v>18</v>
      </c>
      <c r="AO2107" s="11">
        <f t="shared" si="2129"/>
        <v>1440</v>
      </c>
      <c r="AP2107" s="12">
        <v>32</v>
      </c>
      <c r="AQ2107" s="11">
        <f t="shared" si="2130"/>
        <v>2560</v>
      </c>
      <c r="AS2107" s="11">
        <f t="shared" si="2131"/>
        <v>0</v>
      </c>
      <c r="AU2107" s="11">
        <f t="shared" si="2132"/>
        <v>0</v>
      </c>
      <c r="AW2107" s="11">
        <f t="shared" si="2133"/>
        <v>0</v>
      </c>
      <c r="AY2107" s="11">
        <f t="shared" si="2134"/>
        <v>0</v>
      </c>
      <c r="BA2107" s="11">
        <f t="shared" si="2135"/>
        <v>0</v>
      </c>
      <c r="BC2107" s="11">
        <f t="shared" si="2136"/>
        <v>0</v>
      </c>
      <c r="BE2107" s="11">
        <f t="shared" si="2137"/>
        <v>0</v>
      </c>
      <c r="BG2107" s="11">
        <f t="shared" si="2138"/>
        <v>0</v>
      </c>
      <c r="BN2107" s="8">
        <f t="shared" si="2115"/>
        <v>594</v>
      </c>
      <c r="BO2107" s="8">
        <f t="shared" si="2116"/>
        <v>30240</v>
      </c>
      <c r="BP2107" s="8">
        <f t="shared" si="2139"/>
        <v>536</v>
      </c>
      <c r="BQ2107" s="12">
        <f t="shared" si="2140"/>
        <v>27760</v>
      </c>
    </row>
    <row r="2108" spans="1:69">
      <c r="A2108" s="28">
        <v>1973</v>
      </c>
      <c r="B2108" s="27" t="s">
        <v>91</v>
      </c>
      <c r="C2108" s="24">
        <f t="shared" si="2119"/>
        <v>2090</v>
      </c>
      <c r="D2108" s="7" t="e">
        <f t="shared" ca="1" si="2096"/>
        <v>#N/A</v>
      </c>
      <c r="E2108" s="26">
        <f t="array" aca="1" ref="E2108" ca="1">AVERAGE(IF(INDIRECT(DatCol&amp;"$"&amp;TEXT(C2108,"###")):INDIRECT(DatCol&amp;"$"&amp;TEXT(C2108+57,"###"))&gt;0,INDIRECT(DatCol&amp;"$"&amp;TEXT(C2108,"###")):INDIRECT(DatCol&amp;"$"&amp;TEXT(C2108+57,"###"))))</f>
        <v>447.96153846153845</v>
      </c>
      <c r="F2108" s="26" t="str">
        <f t="shared" si="2120"/>
        <v>N</v>
      </c>
      <c r="G2108" s="8"/>
      <c r="H2108" s="8">
        <v>61</v>
      </c>
      <c r="I2108" s="8">
        <v>11</v>
      </c>
      <c r="J2108" s="8">
        <v>78</v>
      </c>
      <c r="K2108" s="9">
        <f t="shared" si="2117"/>
        <v>139</v>
      </c>
      <c r="L2108" s="12">
        <v>280</v>
      </c>
      <c r="M2108" s="11">
        <f t="shared" si="2121"/>
        <v>14000</v>
      </c>
      <c r="N2108" s="12">
        <v>594</v>
      </c>
      <c r="O2108" s="11">
        <f t="shared" si="2122"/>
        <v>29700</v>
      </c>
      <c r="Q2108" s="11">
        <f t="shared" si="2123"/>
        <v>0</v>
      </c>
      <c r="Y2108" s="11">
        <f t="shared" si="2124"/>
        <v>0</v>
      </c>
      <c r="AG2108" s="11">
        <f t="shared" si="2125"/>
        <v>0</v>
      </c>
      <c r="AI2108" s="11">
        <f t="shared" si="2126"/>
        <v>0</v>
      </c>
      <c r="AK2108" s="13">
        <f t="shared" si="2127"/>
        <v>0</v>
      </c>
      <c r="AM2108" s="13">
        <f t="shared" si="2128"/>
        <v>0</v>
      </c>
      <c r="AO2108" s="11">
        <f t="shared" si="2129"/>
        <v>0</v>
      </c>
      <c r="AQ2108" s="11">
        <f t="shared" si="2130"/>
        <v>0</v>
      </c>
      <c r="AS2108" s="11">
        <f t="shared" si="2131"/>
        <v>0</v>
      </c>
      <c r="AU2108" s="11">
        <f t="shared" si="2132"/>
        <v>0</v>
      </c>
      <c r="AW2108" s="11">
        <f t="shared" si="2133"/>
        <v>0</v>
      </c>
      <c r="AY2108" s="11">
        <f t="shared" si="2134"/>
        <v>0</v>
      </c>
      <c r="BA2108" s="11">
        <f t="shared" si="2135"/>
        <v>0</v>
      </c>
      <c r="BC2108" s="11">
        <f t="shared" si="2136"/>
        <v>0</v>
      </c>
      <c r="BE2108" s="11">
        <f t="shared" si="2137"/>
        <v>0</v>
      </c>
      <c r="BG2108" s="11">
        <f t="shared" si="2138"/>
        <v>0</v>
      </c>
      <c r="BN2108" s="8">
        <f t="shared" si="2115"/>
        <v>280</v>
      </c>
      <c r="BO2108" s="8">
        <f t="shared" si="2116"/>
        <v>14000</v>
      </c>
      <c r="BP2108" s="8">
        <f t="shared" si="2139"/>
        <v>594</v>
      </c>
      <c r="BQ2108" s="12">
        <f t="shared" si="2140"/>
        <v>29700</v>
      </c>
    </row>
    <row r="2109" spans="1:69">
      <c r="A2109" s="28">
        <v>1974</v>
      </c>
      <c r="B2109" s="27" t="s">
        <v>91</v>
      </c>
      <c r="C2109" s="24">
        <f t="shared" si="2119"/>
        <v>2090</v>
      </c>
      <c r="D2109" s="7" t="e">
        <f t="shared" ca="1" si="2096"/>
        <v>#N/A</v>
      </c>
      <c r="E2109" s="26">
        <f t="array" aca="1" ref="E2109" ca="1">AVERAGE(IF(INDIRECT(DatCol&amp;"$"&amp;TEXT(C2109,"###")):INDIRECT(DatCol&amp;"$"&amp;TEXT(C2109+57,"###"))&gt;0,INDIRECT(DatCol&amp;"$"&amp;TEXT(C2109,"###")):INDIRECT(DatCol&amp;"$"&amp;TEXT(C2109+57,"###"))))</f>
        <v>447.96153846153845</v>
      </c>
      <c r="F2109" s="26" t="str">
        <f t="shared" si="2120"/>
        <v>N</v>
      </c>
      <c r="G2109" s="8"/>
      <c r="H2109" s="8">
        <v>67</v>
      </c>
      <c r="I2109" s="8">
        <v>8</v>
      </c>
      <c r="J2109" s="8">
        <v>73</v>
      </c>
      <c r="K2109" s="9">
        <f t="shared" si="2117"/>
        <v>140</v>
      </c>
      <c r="L2109" s="12">
        <v>2882</v>
      </c>
      <c r="M2109" s="11">
        <f t="shared" si="2121"/>
        <v>144100</v>
      </c>
      <c r="N2109" s="12">
        <v>2244</v>
      </c>
      <c r="O2109" s="11">
        <f t="shared" si="2122"/>
        <v>112200</v>
      </c>
      <c r="Q2109" s="11">
        <f t="shared" si="2123"/>
        <v>0</v>
      </c>
      <c r="Y2109" s="11">
        <f t="shared" si="2124"/>
        <v>0</v>
      </c>
      <c r="AG2109" s="11">
        <f t="shared" si="2125"/>
        <v>0</v>
      </c>
      <c r="AI2109" s="11">
        <f t="shared" si="2126"/>
        <v>0</v>
      </c>
      <c r="AK2109" s="13">
        <f t="shared" si="2127"/>
        <v>0</v>
      </c>
      <c r="AM2109" s="13">
        <f t="shared" si="2128"/>
        <v>0</v>
      </c>
      <c r="AO2109" s="11">
        <f t="shared" si="2129"/>
        <v>0</v>
      </c>
      <c r="AQ2109" s="11">
        <f t="shared" si="2130"/>
        <v>0</v>
      </c>
      <c r="AS2109" s="11">
        <f t="shared" si="2131"/>
        <v>0</v>
      </c>
      <c r="AU2109" s="11">
        <f t="shared" si="2132"/>
        <v>0</v>
      </c>
      <c r="AW2109" s="11">
        <f t="shared" si="2133"/>
        <v>0</v>
      </c>
      <c r="AY2109" s="11">
        <f t="shared" si="2134"/>
        <v>0</v>
      </c>
      <c r="BA2109" s="11">
        <f t="shared" si="2135"/>
        <v>0</v>
      </c>
      <c r="BC2109" s="11">
        <f t="shared" si="2136"/>
        <v>0</v>
      </c>
      <c r="BE2109" s="11">
        <f t="shared" si="2137"/>
        <v>0</v>
      </c>
      <c r="BG2109" s="11">
        <f t="shared" si="2138"/>
        <v>0</v>
      </c>
      <c r="BN2109" s="8">
        <f t="shared" si="2115"/>
        <v>2882</v>
      </c>
      <c r="BO2109" s="8">
        <f t="shared" si="2116"/>
        <v>144100</v>
      </c>
      <c r="BP2109" s="8">
        <f t="shared" si="2139"/>
        <v>2244</v>
      </c>
      <c r="BQ2109" s="12">
        <f t="shared" si="2140"/>
        <v>112200</v>
      </c>
    </row>
    <row r="2110" spans="1:69">
      <c r="A2110" s="28">
        <v>1975</v>
      </c>
      <c r="B2110" s="27" t="s">
        <v>91</v>
      </c>
      <c r="C2110" s="24">
        <f t="shared" si="2119"/>
        <v>2090</v>
      </c>
      <c r="D2110" s="7" t="e">
        <f t="shared" ca="1" si="2096"/>
        <v>#N/A</v>
      </c>
      <c r="E2110" s="26">
        <f t="array" aca="1" ref="E2110" ca="1">AVERAGE(IF(INDIRECT(DatCol&amp;"$"&amp;TEXT(C2110,"###")):INDIRECT(DatCol&amp;"$"&amp;TEXT(C2110+57,"###"))&gt;0,INDIRECT(DatCol&amp;"$"&amp;TEXT(C2110,"###")):INDIRECT(DatCol&amp;"$"&amp;TEXT(C2110+57,"###"))))</f>
        <v>447.96153846153845</v>
      </c>
      <c r="F2110" s="26" t="str">
        <f t="shared" si="2120"/>
        <v>N</v>
      </c>
      <c r="G2110" s="8"/>
      <c r="H2110" s="8">
        <v>82</v>
      </c>
      <c r="I2110" s="8">
        <v>18</v>
      </c>
      <c r="J2110" s="8">
        <v>93</v>
      </c>
      <c r="K2110" s="9">
        <f t="shared" si="2117"/>
        <v>175</v>
      </c>
      <c r="L2110" s="12">
        <v>1820</v>
      </c>
      <c r="M2110" s="11">
        <f t="shared" si="2121"/>
        <v>91000</v>
      </c>
      <c r="N2110" s="12">
        <v>1200</v>
      </c>
      <c r="O2110" s="11">
        <f t="shared" si="2122"/>
        <v>60000</v>
      </c>
      <c r="Q2110" s="11">
        <f t="shared" si="2123"/>
        <v>0</v>
      </c>
      <c r="Y2110" s="11">
        <f t="shared" si="2124"/>
        <v>0</v>
      </c>
      <c r="AG2110" s="11">
        <f t="shared" si="2125"/>
        <v>0</v>
      </c>
      <c r="AI2110" s="11">
        <f t="shared" si="2126"/>
        <v>0</v>
      </c>
      <c r="AK2110" s="13">
        <f t="shared" si="2127"/>
        <v>0</v>
      </c>
      <c r="AM2110" s="13">
        <f t="shared" si="2128"/>
        <v>0</v>
      </c>
      <c r="AO2110" s="11">
        <f t="shared" si="2129"/>
        <v>0</v>
      </c>
      <c r="AQ2110" s="11">
        <f t="shared" si="2130"/>
        <v>0</v>
      </c>
      <c r="AS2110" s="11">
        <f t="shared" si="2131"/>
        <v>0</v>
      </c>
      <c r="AU2110" s="11">
        <f t="shared" si="2132"/>
        <v>0</v>
      </c>
      <c r="AW2110" s="11">
        <f t="shared" si="2133"/>
        <v>0</v>
      </c>
      <c r="AY2110" s="11">
        <f t="shared" si="2134"/>
        <v>0</v>
      </c>
      <c r="BA2110" s="11">
        <f t="shared" si="2135"/>
        <v>0</v>
      </c>
      <c r="BC2110" s="11">
        <f t="shared" si="2136"/>
        <v>0</v>
      </c>
      <c r="BE2110" s="11">
        <f t="shared" si="2137"/>
        <v>0</v>
      </c>
      <c r="BG2110" s="11">
        <f t="shared" si="2138"/>
        <v>0</v>
      </c>
      <c r="BN2110" s="8">
        <f t="shared" si="2115"/>
        <v>1820</v>
      </c>
      <c r="BO2110" s="8">
        <f t="shared" si="2116"/>
        <v>91000</v>
      </c>
      <c r="BP2110" s="8">
        <f t="shared" si="2139"/>
        <v>1200</v>
      </c>
      <c r="BQ2110" s="12">
        <f t="shared" si="2140"/>
        <v>60000</v>
      </c>
    </row>
    <row r="2111" spans="1:69">
      <c r="A2111" s="28">
        <v>1976</v>
      </c>
      <c r="B2111" s="27" t="s">
        <v>91</v>
      </c>
      <c r="C2111" s="24">
        <f t="shared" si="2119"/>
        <v>2090</v>
      </c>
      <c r="D2111" s="7" t="e">
        <f t="shared" ca="1" si="2096"/>
        <v>#N/A</v>
      </c>
      <c r="E2111" s="26">
        <f t="array" aca="1" ref="E2111" ca="1">AVERAGE(IF(INDIRECT(DatCol&amp;"$"&amp;TEXT(C2111,"###")):INDIRECT(DatCol&amp;"$"&amp;TEXT(C2111+57,"###"))&gt;0,INDIRECT(DatCol&amp;"$"&amp;TEXT(C2111,"###")):INDIRECT(DatCol&amp;"$"&amp;TEXT(C2111+57,"###"))))</f>
        <v>447.96153846153845</v>
      </c>
      <c r="F2111" s="26" t="str">
        <f t="shared" si="2120"/>
        <v>N</v>
      </c>
      <c r="G2111" s="8"/>
      <c r="H2111" s="8">
        <v>69</v>
      </c>
      <c r="I2111" s="8">
        <v>16</v>
      </c>
      <c r="J2111" s="8">
        <v>60</v>
      </c>
      <c r="K2111" s="9">
        <f t="shared" si="2117"/>
        <v>129</v>
      </c>
      <c r="L2111" s="12">
        <v>4725</v>
      </c>
      <c r="M2111" s="11">
        <f t="shared" ref="M2111:M2126" si="2141">(L2111*50)</f>
        <v>236250</v>
      </c>
      <c r="N2111" s="12">
        <v>1080</v>
      </c>
      <c r="O2111" s="11">
        <f t="shared" ref="O2111:O2126" si="2142">(N2111*50)</f>
        <v>54000</v>
      </c>
      <c r="Q2111" s="11">
        <f t="shared" ref="Q2111:Q2126" si="2143">((P2111*330)/5.5)</f>
        <v>0</v>
      </c>
      <c r="Y2111" s="11">
        <f t="shared" ref="Y2111:Y2126" si="2144">((X2111*330)/5.5)</f>
        <v>0</v>
      </c>
      <c r="AG2111" s="11">
        <f t="shared" ref="AG2111:AG2126" si="2145">(AF2111*65)</f>
        <v>0</v>
      </c>
      <c r="AI2111" s="11">
        <f t="shared" ref="AI2111:AI2126" si="2146">(AH2111*65)</f>
        <v>0</v>
      </c>
      <c r="AK2111" s="13">
        <f t="shared" ref="AK2111:AK2126" si="2147">(AJ2111*9)</f>
        <v>0</v>
      </c>
      <c r="AM2111" s="13">
        <f t="shared" ref="AM2111:AM2126" si="2148">(AL2111*9)</f>
        <v>0</v>
      </c>
      <c r="AO2111" s="11">
        <f t="shared" ref="AO2111:AO2126" si="2149">(AN2111*80)</f>
        <v>0</v>
      </c>
      <c r="AQ2111" s="11">
        <f t="shared" ref="AQ2111:AQ2126" si="2150">(AP2111*80)</f>
        <v>0</v>
      </c>
      <c r="AS2111" s="11">
        <f t="shared" ref="AS2111:AS2126" si="2151">(AR2111*50)</f>
        <v>0</v>
      </c>
      <c r="AU2111" s="11">
        <f t="shared" ref="AU2111:AU2126" si="2152">(AT2111*50)</f>
        <v>0</v>
      </c>
      <c r="AW2111" s="11">
        <f t="shared" ref="AW2111:AW2126" si="2153">(AV2111*60)</f>
        <v>0</v>
      </c>
      <c r="AY2111" s="11">
        <f t="shared" ref="AY2111:AY2126" si="2154">(AX2111*60)</f>
        <v>0</v>
      </c>
      <c r="BA2111" s="11">
        <f t="shared" ref="BA2111:BA2126" si="2155">(AZ2111*40)</f>
        <v>0</v>
      </c>
      <c r="BC2111" s="11">
        <f t="shared" ref="BC2111:BC2126" si="2156">(BB2111*40)</f>
        <v>0</v>
      </c>
      <c r="BE2111" s="11">
        <f t="shared" ref="BE2111:BE2126" si="2157">(BD2111*95)</f>
        <v>0</v>
      </c>
      <c r="BG2111" s="11">
        <f t="shared" ref="BG2111:BG2126" si="2158">(BF2111*95)</f>
        <v>0</v>
      </c>
      <c r="BN2111" s="8">
        <f t="shared" si="2115"/>
        <v>4725</v>
      </c>
      <c r="BO2111" s="8">
        <f t="shared" si="2116"/>
        <v>236250</v>
      </c>
      <c r="BP2111" s="8">
        <f t="shared" si="2139"/>
        <v>1080</v>
      </c>
      <c r="BQ2111" s="12">
        <f t="shared" si="2140"/>
        <v>54000</v>
      </c>
    </row>
    <row r="2112" spans="1:69">
      <c r="A2112" s="28">
        <v>1977</v>
      </c>
      <c r="B2112" s="27" t="s">
        <v>91</v>
      </c>
      <c r="C2112" s="24">
        <f t="shared" si="2119"/>
        <v>2090</v>
      </c>
      <c r="D2112" s="7" t="e">
        <f t="shared" ca="1" si="2096"/>
        <v>#N/A</v>
      </c>
      <c r="E2112" s="26">
        <f t="array" aca="1" ref="E2112" ca="1">AVERAGE(IF(INDIRECT(DatCol&amp;"$"&amp;TEXT(C2112,"###")):INDIRECT(DatCol&amp;"$"&amp;TEXT(C2112+57,"###"))&gt;0,INDIRECT(DatCol&amp;"$"&amp;TEXT(C2112,"###")):INDIRECT(DatCol&amp;"$"&amp;TEXT(C2112+57,"###"))))</f>
        <v>447.96153846153845</v>
      </c>
      <c r="F2112" s="26" t="str">
        <f t="shared" si="2120"/>
        <v>N</v>
      </c>
      <c r="G2112" s="8"/>
      <c r="H2112" s="8">
        <v>67</v>
      </c>
      <c r="I2112" s="8">
        <v>19</v>
      </c>
      <c r="J2112" s="8">
        <v>121</v>
      </c>
      <c r="K2112" s="9">
        <f t="shared" si="2117"/>
        <v>188</v>
      </c>
      <c r="L2112" s="12">
        <v>11844</v>
      </c>
      <c r="M2112" s="11">
        <f t="shared" si="2141"/>
        <v>592200</v>
      </c>
      <c r="N2112" s="12">
        <v>1672</v>
      </c>
      <c r="O2112" s="11">
        <f t="shared" si="2142"/>
        <v>83600</v>
      </c>
      <c r="Q2112" s="11">
        <f t="shared" si="2143"/>
        <v>0</v>
      </c>
      <c r="Y2112" s="11">
        <f t="shared" si="2144"/>
        <v>0</v>
      </c>
      <c r="AG2112" s="11">
        <f t="shared" si="2145"/>
        <v>0</v>
      </c>
      <c r="AI2112" s="11">
        <f t="shared" si="2146"/>
        <v>0</v>
      </c>
      <c r="AK2112" s="13">
        <f t="shared" si="2147"/>
        <v>0</v>
      </c>
      <c r="AM2112" s="13">
        <f t="shared" si="2148"/>
        <v>0</v>
      </c>
      <c r="AO2112" s="11">
        <f t="shared" si="2149"/>
        <v>0</v>
      </c>
      <c r="AQ2112" s="11">
        <f t="shared" si="2150"/>
        <v>0</v>
      </c>
      <c r="AS2112" s="11">
        <f t="shared" si="2151"/>
        <v>0</v>
      </c>
      <c r="AU2112" s="11">
        <f t="shared" si="2152"/>
        <v>0</v>
      </c>
      <c r="AW2112" s="11">
        <f t="shared" si="2153"/>
        <v>0</v>
      </c>
      <c r="AY2112" s="11">
        <f t="shared" si="2154"/>
        <v>0</v>
      </c>
      <c r="BA2112" s="11">
        <f t="shared" si="2155"/>
        <v>0</v>
      </c>
      <c r="BC2112" s="11">
        <f t="shared" si="2156"/>
        <v>0</v>
      </c>
      <c r="BE2112" s="11">
        <f t="shared" si="2157"/>
        <v>0</v>
      </c>
      <c r="BG2112" s="11">
        <f t="shared" si="2158"/>
        <v>0</v>
      </c>
      <c r="BN2112" s="8">
        <f t="shared" si="2115"/>
        <v>11844</v>
      </c>
      <c r="BO2112" s="8">
        <f t="shared" si="2116"/>
        <v>592200</v>
      </c>
      <c r="BP2112" s="8">
        <f t="shared" si="2139"/>
        <v>1672</v>
      </c>
      <c r="BQ2112" s="12">
        <f t="shared" si="2140"/>
        <v>83600</v>
      </c>
    </row>
    <row r="2113" spans="1:69">
      <c r="A2113" s="28">
        <v>1978</v>
      </c>
      <c r="B2113" s="27" t="s">
        <v>91</v>
      </c>
      <c r="C2113" s="24">
        <f t="shared" si="2119"/>
        <v>2090</v>
      </c>
      <c r="D2113" s="7" t="e">
        <f t="shared" ca="1" si="2096"/>
        <v>#N/A</v>
      </c>
      <c r="E2113" s="26">
        <f t="array" aca="1" ref="E2113" ca="1">AVERAGE(IF(INDIRECT(DatCol&amp;"$"&amp;TEXT(C2113,"###")):INDIRECT(DatCol&amp;"$"&amp;TEXT(C2113+57,"###"))&gt;0,INDIRECT(DatCol&amp;"$"&amp;TEXT(C2113,"###")):INDIRECT(DatCol&amp;"$"&amp;TEXT(C2113+57,"###"))))</f>
        <v>447.96153846153845</v>
      </c>
      <c r="F2113" s="26" t="str">
        <f t="shared" si="2120"/>
        <v>N</v>
      </c>
      <c r="G2113" s="8"/>
      <c r="H2113" s="8">
        <v>22</v>
      </c>
      <c r="I2113" s="8">
        <v>22</v>
      </c>
      <c r="J2113" s="8">
        <v>67</v>
      </c>
      <c r="K2113" s="9">
        <f t="shared" si="2117"/>
        <v>89</v>
      </c>
      <c r="L2113" s="12">
        <v>2270</v>
      </c>
      <c r="M2113" s="11">
        <f t="shared" si="2141"/>
        <v>113500</v>
      </c>
      <c r="N2113" s="12">
        <v>700</v>
      </c>
      <c r="O2113" s="11">
        <f t="shared" si="2142"/>
        <v>35000</v>
      </c>
      <c r="Q2113" s="11">
        <f t="shared" si="2143"/>
        <v>0</v>
      </c>
      <c r="Y2113" s="11">
        <f t="shared" si="2144"/>
        <v>0</v>
      </c>
      <c r="AG2113" s="11">
        <f t="shared" si="2145"/>
        <v>0</v>
      </c>
      <c r="AI2113" s="11">
        <f t="shared" si="2146"/>
        <v>0</v>
      </c>
      <c r="AK2113" s="13">
        <f t="shared" si="2147"/>
        <v>0</v>
      </c>
      <c r="AM2113" s="13">
        <f t="shared" si="2148"/>
        <v>0</v>
      </c>
      <c r="AO2113" s="11">
        <f t="shared" si="2149"/>
        <v>0</v>
      </c>
      <c r="AQ2113" s="11">
        <f t="shared" si="2150"/>
        <v>0</v>
      </c>
      <c r="AS2113" s="11">
        <f t="shared" si="2151"/>
        <v>0</v>
      </c>
      <c r="AU2113" s="11">
        <f t="shared" si="2152"/>
        <v>0</v>
      </c>
      <c r="AW2113" s="11">
        <f t="shared" si="2153"/>
        <v>0</v>
      </c>
      <c r="AY2113" s="11">
        <f t="shared" si="2154"/>
        <v>0</v>
      </c>
      <c r="AZ2113" s="12">
        <v>50</v>
      </c>
      <c r="BA2113" s="11">
        <f t="shared" si="2155"/>
        <v>2000</v>
      </c>
      <c r="BB2113" s="12">
        <v>30</v>
      </c>
      <c r="BC2113" s="11">
        <f t="shared" si="2156"/>
        <v>1200</v>
      </c>
      <c r="BE2113" s="11">
        <f t="shared" si="2157"/>
        <v>0</v>
      </c>
      <c r="BG2113" s="11">
        <f t="shared" si="2158"/>
        <v>0</v>
      </c>
      <c r="BN2113" s="8">
        <f t="shared" si="2115"/>
        <v>2320</v>
      </c>
      <c r="BO2113" s="8">
        <f t="shared" si="2116"/>
        <v>115500</v>
      </c>
      <c r="BP2113" s="8">
        <f t="shared" si="2139"/>
        <v>730</v>
      </c>
      <c r="BQ2113" s="12">
        <f t="shared" si="2140"/>
        <v>36200</v>
      </c>
    </row>
    <row r="2114" spans="1:69">
      <c r="A2114" s="28">
        <v>1979</v>
      </c>
      <c r="B2114" s="27" t="s">
        <v>91</v>
      </c>
      <c r="C2114" s="24">
        <f t="shared" si="2119"/>
        <v>2090</v>
      </c>
      <c r="D2114" s="7" t="e">
        <f t="shared" ref="D2114:D2177" ca="1" si="2159">IF(AND((INDIRECT(DatCol&amp;TEXT(ROW(),"###"))&gt;0),((F2114=RegionSelect)+(RegionSelect="A"))),INDIRECT(DatCol&amp;TEXT(ROW(),"###"))/E2114,NA())</f>
        <v>#N/A</v>
      </c>
      <c r="E2114" s="26">
        <f t="array" aca="1" ref="E2114" ca="1">AVERAGE(IF(INDIRECT(DatCol&amp;"$"&amp;TEXT(C2114,"###")):INDIRECT(DatCol&amp;"$"&amp;TEXT(C2114+57,"###"))&gt;0,INDIRECT(DatCol&amp;"$"&amp;TEXT(C2114,"###")):INDIRECT(DatCol&amp;"$"&amp;TEXT(C2114+57,"###"))))</f>
        <v>447.96153846153845</v>
      </c>
      <c r="F2114" s="26" t="str">
        <f t="shared" si="2120"/>
        <v>N</v>
      </c>
      <c r="G2114" s="8"/>
      <c r="K2114" s="9">
        <f t="shared" si="2117"/>
        <v>0</v>
      </c>
      <c r="M2114" s="11">
        <f t="shared" si="2141"/>
        <v>0</v>
      </c>
      <c r="O2114" s="11">
        <f t="shared" si="2142"/>
        <v>0</v>
      </c>
      <c r="Q2114" s="11">
        <f t="shared" si="2143"/>
        <v>0</v>
      </c>
      <c r="Y2114" s="11">
        <f t="shared" si="2144"/>
        <v>0</v>
      </c>
      <c r="AG2114" s="11">
        <f t="shared" si="2145"/>
        <v>0</v>
      </c>
      <c r="AI2114" s="11">
        <f t="shared" si="2146"/>
        <v>0</v>
      </c>
      <c r="AK2114" s="13">
        <f t="shared" si="2147"/>
        <v>0</v>
      </c>
      <c r="AM2114" s="13">
        <f t="shared" si="2148"/>
        <v>0</v>
      </c>
      <c r="AO2114" s="11">
        <f t="shared" si="2149"/>
        <v>0</v>
      </c>
      <c r="AQ2114" s="11">
        <f t="shared" si="2150"/>
        <v>0</v>
      </c>
      <c r="AS2114" s="11">
        <f t="shared" si="2151"/>
        <v>0</v>
      </c>
      <c r="AU2114" s="11">
        <f t="shared" si="2152"/>
        <v>0</v>
      </c>
      <c r="AW2114" s="11">
        <f t="shared" si="2153"/>
        <v>0</v>
      </c>
      <c r="AY2114" s="11">
        <f t="shared" si="2154"/>
        <v>0</v>
      </c>
      <c r="BA2114" s="11">
        <f t="shared" si="2155"/>
        <v>0</v>
      </c>
      <c r="BC2114" s="11">
        <f t="shared" si="2156"/>
        <v>0</v>
      </c>
      <c r="BE2114" s="11">
        <f t="shared" si="2157"/>
        <v>0</v>
      </c>
      <c r="BG2114" s="11">
        <f t="shared" si="2158"/>
        <v>0</v>
      </c>
      <c r="BN2114" s="8">
        <f t="shared" si="2115"/>
        <v>0</v>
      </c>
      <c r="BO2114" s="8">
        <f t="shared" si="2116"/>
        <v>0</v>
      </c>
      <c r="BP2114" s="8">
        <f t="shared" si="2139"/>
        <v>0</v>
      </c>
      <c r="BQ2114" s="12">
        <f t="shared" si="2140"/>
        <v>0</v>
      </c>
    </row>
    <row r="2115" spans="1:69">
      <c r="A2115" s="28">
        <v>1980</v>
      </c>
      <c r="B2115" s="27" t="s">
        <v>91</v>
      </c>
      <c r="C2115" s="24">
        <f t="shared" si="2119"/>
        <v>2090</v>
      </c>
      <c r="D2115" s="7" t="e">
        <f t="shared" ca="1" si="2159"/>
        <v>#N/A</v>
      </c>
      <c r="E2115" s="26">
        <f t="array" aca="1" ref="E2115" ca="1">AVERAGE(IF(INDIRECT(DatCol&amp;"$"&amp;TEXT(C2115,"###")):INDIRECT(DatCol&amp;"$"&amp;TEXT(C2115+57,"###"))&gt;0,INDIRECT(DatCol&amp;"$"&amp;TEXT(C2115,"###")):INDIRECT(DatCol&amp;"$"&amp;TEXT(C2115+57,"###"))))</f>
        <v>447.96153846153845</v>
      </c>
      <c r="F2115" s="26" t="str">
        <f t="shared" si="2120"/>
        <v>N</v>
      </c>
      <c r="G2115" s="8"/>
      <c r="H2115" s="8">
        <v>5</v>
      </c>
      <c r="I2115" s="8">
        <v>15</v>
      </c>
      <c r="J2115" s="8">
        <v>150</v>
      </c>
      <c r="K2115" s="9">
        <f t="shared" si="2117"/>
        <v>155</v>
      </c>
      <c r="M2115" s="11">
        <f t="shared" si="2141"/>
        <v>0</v>
      </c>
      <c r="O2115" s="11">
        <f t="shared" si="2142"/>
        <v>0</v>
      </c>
      <c r="Q2115" s="11">
        <f t="shared" si="2143"/>
        <v>0</v>
      </c>
      <c r="Y2115" s="11">
        <f t="shared" si="2144"/>
        <v>0</v>
      </c>
      <c r="AG2115" s="11">
        <f t="shared" si="2145"/>
        <v>0</v>
      </c>
      <c r="AI2115" s="11">
        <f t="shared" si="2146"/>
        <v>0</v>
      </c>
      <c r="AK2115" s="13">
        <f t="shared" si="2147"/>
        <v>0</v>
      </c>
      <c r="AM2115" s="13">
        <f t="shared" si="2148"/>
        <v>0</v>
      </c>
      <c r="AO2115" s="11">
        <f t="shared" si="2149"/>
        <v>0</v>
      </c>
      <c r="AQ2115" s="11">
        <f t="shared" si="2150"/>
        <v>0</v>
      </c>
      <c r="AS2115" s="11">
        <f t="shared" si="2151"/>
        <v>0</v>
      </c>
      <c r="AU2115" s="11">
        <f t="shared" si="2152"/>
        <v>0</v>
      </c>
      <c r="AW2115" s="11">
        <f t="shared" si="2153"/>
        <v>0</v>
      </c>
      <c r="AY2115" s="11">
        <f t="shared" si="2154"/>
        <v>0</v>
      </c>
      <c r="BA2115" s="11">
        <f t="shared" si="2155"/>
        <v>0</v>
      </c>
      <c r="BC2115" s="11">
        <f t="shared" si="2156"/>
        <v>0</v>
      </c>
      <c r="BE2115" s="11">
        <f t="shared" si="2157"/>
        <v>0</v>
      </c>
      <c r="BG2115" s="11">
        <f t="shared" si="2158"/>
        <v>0</v>
      </c>
      <c r="BN2115" s="8">
        <f t="shared" si="2115"/>
        <v>0</v>
      </c>
      <c r="BO2115" s="8">
        <f t="shared" si="2116"/>
        <v>0</v>
      </c>
      <c r="BP2115" s="8">
        <f t="shared" si="2139"/>
        <v>0</v>
      </c>
      <c r="BQ2115" s="12">
        <f t="shared" si="2140"/>
        <v>0</v>
      </c>
    </row>
    <row r="2116" spans="1:69">
      <c r="A2116" s="28">
        <v>1981</v>
      </c>
      <c r="B2116" s="27" t="s">
        <v>91</v>
      </c>
      <c r="C2116" s="24">
        <f t="shared" si="2119"/>
        <v>2090</v>
      </c>
      <c r="D2116" s="7" t="e">
        <f t="shared" ca="1" si="2159"/>
        <v>#N/A</v>
      </c>
      <c r="E2116" s="26">
        <f t="array" aca="1" ref="E2116" ca="1">AVERAGE(IF(INDIRECT(DatCol&amp;"$"&amp;TEXT(C2116,"###")):INDIRECT(DatCol&amp;"$"&amp;TEXT(C2116+57,"###"))&gt;0,INDIRECT(DatCol&amp;"$"&amp;TEXT(C2116,"###")):INDIRECT(DatCol&amp;"$"&amp;TEXT(C2116+57,"###"))))</f>
        <v>447.96153846153845</v>
      </c>
      <c r="F2116" s="26" t="str">
        <f t="shared" si="2120"/>
        <v>N</v>
      </c>
      <c r="G2116" s="8"/>
      <c r="H2116" s="8">
        <v>36</v>
      </c>
      <c r="I2116" s="8">
        <v>10</v>
      </c>
      <c r="J2116" s="8">
        <v>112</v>
      </c>
      <c r="K2116" s="9">
        <f t="shared" si="2117"/>
        <v>148</v>
      </c>
      <c r="L2116" s="12">
        <v>400</v>
      </c>
      <c r="M2116" s="11">
        <f t="shared" si="2141"/>
        <v>20000</v>
      </c>
      <c r="N2116" s="12">
        <v>350</v>
      </c>
      <c r="O2116" s="11">
        <f t="shared" si="2142"/>
        <v>17500</v>
      </c>
      <c r="Q2116" s="11">
        <f t="shared" si="2143"/>
        <v>0</v>
      </c>
      <c r="Y2116" s="11">
        <f t="shared" si="2144"/>
        <v>0</v>
      </c>
      <c r="AG2116" s="11">
        <f t="shared" si="2145"/>
        <v>0</v>
      </c>
      <c r="AI2116" s="11">
        <f t="shared" si="2146"/>
        <v>0</v>
      </c>
      <c r="AK2116" s="13">
        <f t="shared" si="2147"/>
        <v>0</v>
      </c>
      <c r="AM2116" s="13">
        <f t="shared" si="2148"/>
        <v>0</v>
      </c>
      <c r="AN2116" s="12">
        <v>30</v>
      </c>
      <c r="AO2116" s="11">
        <f t="shared" si="2149"/>
        <v>2400</v>
      </c>
      <c r="AP2116" s="12">
        <v>20</v>
      </c>
      <c r="AQ2116" s="11">
        <f t="shared" si="2150"/>
        <v>1600</v>
      </c>
      <c r="AS2116" s="11">
        <f t="shared" si="2151"/>
        <v>0</v>
      </c>
      <c r="AT2116" s="12">
        <v>6</v>
      </c>
      <c r="AU2116" s="11">
        <f t="shared" si="2152"/>
        <v>300</v>
      </c>
      <c r="AW2116" s="11">
        <f t="shared" si="2153"/>
        <v>0</v>
      </c>
      <c r="AY2116" s="11">
        <f t="shared" si="2154"/>
        <v>0</v>
      </c>
      <c r="AZ2116" s="12">
        <v>230</v>
      </c>
      <c r="BA2116" s="11">
        <f t="shared" si="2155"/>
        <v>9200</v>
      </c>
      <c r="BC2116" s="11">
        <f t="shared" si="2156"/>
        <v>0</v>
      </c>
      <c r="BE2116" s="11">
        <f t="shared" si="2157"/>
        <v>0</v>
      </c>
      <c r="BG2116" s="11">
        <f t="shared" si="2158"/>
        <v>0</v>
      </c>
      <c r="BN2116" s="8">
        <f t="shared" si="2115"/>
        <v>660</v>
      </c>
      <c r="BO2116" s="8">
        <f t="shared" si="2116"/>
        <v>31600</v>
      </c>
      <c r="BP2116" s="8">
        <f t="shared" si="2139"/>
        <v>376</v>
      </c>
      <c r="BQ2116" s="12">
        <f t="shared" si="2140"/>
        <v>19400</v>
      </c>
    </row>
    <row r="2117" spans="1:69">
      <c r="A2117" s="28">
        <v>1982</v>
      </c>
      <c r="B2117" s="27" t="s">
        <v>91</v>
      </c>
      <c r="C2117" s="24">
        <f t="shared" si="2119"/>
        <v>2090</v>
      </c>
      <c r="D2117" s="7" t="e">
        <f t="shared" ca="1" si="2159"/>
        <v>#N/A</v>
      </c>
      <c r="E2117" s="26">
        <f t="array" aca="1" ref="E2117" ca="1">AVERAGE(IF(INDIRECT(DatCol&amp;"$"&amp;TEXT(C2117,"###")):INDIRECT(DatCol&amp;"$"&amp;TEXT(C2117+57,"###"))&gt;0,INDIRECT(DatCol&amp;"$"&amp;TEXT(C2117,"###")):INDIRECT(DatCol&amp;"$"&amp;TEXT(C2117+57,"###"))))</f>
        <v>447.96153846153845</v>
      </c>
      <c r="F2117" s="26" t="str">
        <f t="shared" si="2120"/>
        <v>N</v>
      </c>
      <c r="G2117" s="8"/>
      <c r="H2117" s="8">
        <v>23</v>
      </c>
      <c r="I2117" s="8">
        <v>9</v>
      </c>
      <c r="J2117" s="8">
        <v>74</v>
      </c>
      <c r="K2117" s="9">
        <f t="shared" si="2117"/>
        <v>97</v>
      </c>
      <c r="L2117" s="12">
        <v>2500</v>
      </c>
      <c r="M2117" s="11">
        <f t="shared" si="2141"/>
        <v>125000</v>
      </c>
      <c r="N2117" s="12">
        <v>300</v>
      </c>
      <c r="O2117" s="11">
        <f t="shared" si="2142"/>
        <v>15000</v>
      </c>
      <c r="Q2117" s="11">
        <f t="shared" si="2143"/>
        <v>0</v>
      </c>
      <c r="Y2117" s="11">
        <f t="shared" si="2144"/>
        <v>0</v>
      </c>
      <c r="AG2117" s="11">
        <f t="shared" si="2145"/>
        <v>0</v>
      </c>
      <c r="AI2117" s="11">
        <f t="shared" si="2146"/>
        <v>0</v>
      </c>
      <c r="AK2117" s="13">
        <f t="shared" si="2147"/>
        <v>0</v>
      </c>
      <c r="AM2117" s="13">
        <f t="shared" si="2148"/>
        <v>0</v>
      </c>
      <c r="AO2117" s="11">
        <f t="shared" si="2149"/>
        <v>0</v>
      </c>
      <c r="AQ2117" s="11">
        <f t="shared" si="2150"/>
        <v>0</v>
      </c>
      <c r="AS2117" s="11">
        <f t="shared" si="2151"/>
        <v>0</v>
      </c>
      <c r="AU2117" s="11">
        <f t="shared" si="2152"/>
        <v>0</v>
      </c>
      <c r="AW2117" s="11">
        <f t="shared" si="2153"/>
        <v>0</v>
      </c>
      <c r="AY2117" s="11">
        <f t="shared" si="2154"/>
        <v>0</v>
      </c>
      <c r="AZ2117" s="12">
        <v>90</v>
      </c>
      <c r="BA2117" s="11">
        <f t="shared" si="2155"/>
        <v>3600</v>
      </c>
      <c r="BB2117" s="12">
        <v>36</v>
      </c>
      <c r="BC2117" s="11">
        <f t="shared" si="2156"/>
        <v>1440</v>
      </c>
      <c r="BE2117" s="11">
        <f t="shared" si="2157"/>
        <v>0</v>
      </c>
      <c r="BG2117" s="11">
        <f t="shared" si="2158"/>
        <v>0</v>
      </c>
      <c r="BN2117" s="8">
        <f t="shared" si="2115"/>
        <v>2590</v>
      </c>
      <c r="BO2117" s="8">
        <f t="shared" si="2116"/>
        <v>128600</v>
      </c>
      <c r="BP2117" s="8">
        <f t="shared" si="2139"/>
        <v>336</v>
      </c>
      <c r="BQ2117" s="12">
        <f t="shared" si="2140"/>
        <v>16440</v>
      </c>
    </row>
    <row r="2118" spans="1:69">
      <c r="A2118" s="28">
        <v>1983</v>
      </c>
      <c r="B2118" s="27" t="s">
        <v>91</v>
      </c>
      <c r="C2118" s="24">
        <f t="shared" si="2119"/>
        <v>2090</v>
      </c>
      <c r="D2118" s="7" t="e">
        <f t="shared" ca="1" si="2159"/>
        <v>#N/A</v>
      </c>
      <c r="E2118" s="26">
        <f t="array" aca="1" ref="E2118" ca="1">AVERAGE(IF(INDIRECT(DatCol&amp;"$"&amp;TEXT(C2118,"###")):INDIRECT(DatCol&amp;"$"&amp;TEXT(C2118+57,"###"))&gt;0,INDIRECT(DatCol&amp;"$"&amp;TEXT(C2118,"###")):INDIRECT(DatCol&amp;"$"&amp;TEXT(C2118+57,"###"))))</f>
        <v>447.96153846153845</v>
      </c>
      <c r="F2118" s="26" t="str">
        <f t="shared" si="2120"/>
        <v>N</v>
      </c>
      <c r="G2118" s="8"/>
      <c r="H2118" s="8">
        <v>16</v>
      </c>
      <c r="I2118" s="8">
        <v>33</v>
      </c>
      <c r="J2118" s="8">
        <v>86</v>
      </c>
      <c r="K2118" s="9">
        <f t="shared" si="2117"/>
        <v>102</v>
      </c>
      <c r="L2118" s="12">
        <v>5400</v>
      </c>
      <c r="M2118" s="11">
        <f t="shared" si="2141"/>
        <v>270000</v>
      </c>
      <c r="N2118" s="12">
        <v>200</v>
      </c>
      <c r="O2118" s="11">
        <f t="shared" si="2142"/>
        <v>10000</v>
      </c>
      <c r="Q2118" s="11">
        <f t="shared" si="2143"/>
        <v>0</v>
      </c>
      <c r="Y2118" s="11">
        <f t="shared" si="2144"/>
        <v>0</v>
      </c>
      <c r="AG2118" s="11">
        <f t="shared" si="2145"/>
        <v>0</v>
      </c>
      <c r="AI2118" s="11">
        <f t="shared" si="2146"/>
        <v>0</v>
      </c>
      <c r="AK2118" s="13">
        <f t="shared" si="2147"/>
        <v>0</v>
      </c>
      <c r="AM2118" s="13">
        <f t="shared" si="2148"/>
        <v>0</v>
      </c>
      <c r="AO2118" s="11">
        <f t="shared" si="2149"/>
        <v>0</v>
      </c>
      <c r="AQ2118" s="11">
        <f t="shared" si="2150"/>
        <v>0</v>
      </c>
      <c r="AS2118" s="11">
        <f t="shared" si="2151"/>
        <v>0</v>
      </c>
      <c r="AU2118" s="11">
        <f t="shared" si="2152"/>
        <v>0</v>
      </c>
      <c r="AW2118" s="11">
        <f t="shared" si="2153"/>
        <v>0</v>
      </c>
      <c r="AY2118" s="11">
        <f t="shared" si="2154"/>
        <v>0</v>
      </c>
      <c r="AZ2118" s="12">
        <v>200</v>
      </c>
      <c r="BA2118" s="11">
        <f t="shared" si="2155"/>
        <v>8000</v>
      </c>
      <c r="BB2118" s="12">
        <v>60</v>
      </c>
      <c r="BC2118" s="11">
        <f t="shared" si="2156"/>
        <v>2400</v>
      </c>
      <c r="BE2118" s="11">
        <f t="shared" si="2157"/>
        <v>0</v>
      </c>
      <c r="BG2118" s="11">
        <f t="shared" si="2158"/>
        <v>0</v>
      </c>
      <c r="BN2118" s="8">
        <f t="shared" si="2115"/>
        <v>5600</v>
      </c>
      <c r="BO2118" s="8">
        <f t="shared" si="2116"/>
        <v>278000</v>
      </c>
      <c r="BP2118" s="8">
        <f t="shared" si="2139"/>
        <v>260</v>
      </c>
      <c r="BQ2118" s="12">
        <f t="shared" si="2140"/>
        <v>12400</v>
      </c>
    </row>
    <row r="2119" spans="1:69">
      <c r="A2119" s="28">
        <v>1984</v>
      </c>
      <c r="B2119" s="27" t="s">
        <v>91</v>
      </c>
      <c r="C2119" s="24">
        <f t="shared" si="2119"/>
        <v>2090</v>
      </c>
      <c r="D2119" s="7" t="e">
        <f t="shared" ca="1" si="2159"/>
        <v>#N/A</v>
      </c>
      <c r="E2119" s="26">
        <f t="array" aca="1" ref="E2119" ca="1">AVERAGE(IF(INDIRECT(DatCol&amp;"$"&amp;TEXT(C2119,"###")):INDIRECT(DatCol&amp;"$"&amp;TEXT(C2119+57,"###"))&gt;0,INDIRECT(DatCol&amp;"$"&amp;TEXT(C2119,"###")):INDIRECT(DatCol&amp;"$"&amp;TEXT(C2119+57,"###"))))</f>
        <v>447.96153846153845</v>
      </c>
      <c r="F2119" s="26" t="str">
        <f t="shared" si="2120"/>
        <v>N</v>
      </c>
      <c r="G2119" s="8"/>
      <c r="H2119" s="8">
        <v>13</v>
      </c>
      <c r="I2119" s="8">
        <v>13</v>
      </c>
      <c r="J2119" s="8">
        <v>39</v>
      </c>
      <c r="K2119" s="9">
        <f t="shared" si="2117"/>
        <v>52</v>
      </c>
      <c r="L2119" s="12">
        <v>780</v>
      </c>
      <c r="M2119" s="11">
        <f t="shared" si="2141"/>
        <v>39000</v>
      </c>
      <c r="N2119" s="12">
        <v>40</v>
      </c>
      <c r="O2119" s="11">
        <f t="shared" si="2142"/>
        <v>2000</v>
      </c>
      <c r="Q2119" s="11">
        <f t="shared" si="2143"/>
        <v>0</v>
      </c>
      <c r="Y2119" s="11">
        <f t="shared" si="2144"/>
        <v>0</v>
      </c>
      <c r="AG2119" s="11">
        <f t="shared" si="2145"/>
        <v>0</v>
      </c>
      <c r="AI2119" s="11">
        <f t="shared" si="2146"/>
        <v>0</v>
      </c>
      <c r="AK2119" s="13">
        <f t="shared" si="2147"/>
        <v>0</v>
      </c>
      <c r="AM2119" s="13">
        <f t="shared" si="2148"/>
        <v>0</v>
      </c>
      <c r="AO2119" s="11">
        <f t="shared" si="2149"/>
        <v>0</v>
      </c>
      <c r="AQ2119" s="11">
        <f t="shared" si="2150"/>
        <v>0</v>
      </c>
      <c r="AS2119" s="11">
        <f t="shared" si="2151"/>
        <v>0</v>
      </c>
      <c r="AU2119" s="11">
        <f t="shared" si="2152"/>
        <v>0</v>
      </c>
      <c r="AW2119" s="11">
        <f t="shared" si="2153"/>
        <v>0</v>
      </c>
      <c r="AY2119" s="11">
        <f t="shared" si="2154"/>
        <v>0</v>
      </c>
      <c r="BA2119" s="11">
        <f t="shared" si="2155"/>
        <v>0</v>
      </c>
      <c r="BC2119" s="11">
        <f t="shared" si="2156"/>
        <v>0</v>
      </c>
      <c r="BE2119" s="11">
        <f t="shared" si="2157"/>
        <v>0</v>
      </c>
      <c r="BG2119" s="11">
        <f t="shared" si="2158"/>
        <v>0</v>
      </c>
      <c r="BN2119" s="8">
        <f t="shared" si="2115"/>
        <v>780</v>
      </c>
      <c r="BO2119" s="8">
        <f t="shared" si="2116"/>
        <v>39000</v>
      </c>
      <c r="BP2119" s="8">
        <f t="shared" si="2139"/>
        <v>40</v>
      </c>
      <c r="BQ2119" s="12">
        <f t="shared" si="2140"/>
        <v>2000</v>
      </c>
    </row>
    <row r="2120" spans="1:69">
      <c r="A2120" s="28">
        <v>1985</v>
      </c>
      <c r="B2120" s="27" t="s">
        <v>91</v>
      </c>
      <c r="C2120" s="24">
        <f t="shared" si="2119"/>
        <v>2090</v>
      </c>
      <c r="D2120" s="7" t="e">
        <f t="shared" ca="1" si="2159"/>
        <v>#N/A</v>
      </c>
      <c r="E2120" s="26">
        <f t="array" aca="1" ref="E2120" ca="1">AVERAGE(IF(INDIRECT(DatCol&amp;"$"&amp;TEXT(C2120,"###")):INDIRECT(DatCol&amp;"$"&amp;TEXT(C2120+57,"###"))&gt;0,INDIRECT(DatCol&amp;"$"&amp;TEXT(C2120,"###")):INDIRECT(DatCol&amp;"$"&amp;TEXT(C2120+57,"###"))))</f>
        <v>447.96153846153845</v>
      </c>
      <c r="F2120" s="26" t="str">
        <f t="shared" si="2120"/>
        <v>N</v>
      </c>
      <c r="G2120" s="8">
        <v>12</v>
      </c>
      <c r="H2120" s="8">
        <v>6</v>
      </c>
      <c r="I2120" s="8">
        <v>6</v>
      </c>
      <c r="J2120" s="8">
        <v>30</v>
      </c>
      <c r="K2120" s="9">
        <f t="shared" si="2117"/>
        <v>48</v>
      </c>
      <c r="L2120" s="12">
        <v>240</v>
      </c>
      <c r="M2120" s="11">
        <f t="shared" si="2141"/>
        <v>12000</v>
      </c>
      <c r="N2120" s="12">
        <v>18</v>
      </c>
      <c r="O2120" s="11">
        <f t="shared" si="2142"/>
        <v>900</v>
      </c>
      <c r="Q2120" s="11">
        <f t="shared" si="2143"/>
        <v>0</v>
      </c>
      <c r="Y2120" s="11">
        <f t="shared" si="2144"/>
        <v>0</v>
      </c>
      <c r="AG2120" s="11">
        <f t="shared" si="2145"/>
        <v>0</v>
      </c>
      <c r="AI2120" s="11">
        <f t="shared" si="2146"/>
        <v>0</v>
      </c>
      <c r="AK2120" s="13">
        <f t="shared" si="2147"/>
        <v>0</v>
      </c>
      <c r="AM2120" s="13">
        <f t="shared" si="2148"/>
        <v>0</v>
      </c>
      <c r="AO2120" s="11">
        <f t="shared" si="2149"/>
        <v>0</v>
      </c>
      <c r="AQ2120" s="11">
        <f t="shared" si="2150"/>
        <v>0</v>
      </c>
      <c r="AS2120" s="11">
        <f t="shared" si="2151"/>
        <v>0</v>
      </c>
      <c r="AU2120" s="11">
        <f t="shared" si="2152"/>
        <v>0</v>
      </c>
      <c r="AW2120" s="11">
        <f t="shared" si="2153"/>
        <v>0</v>
      </c>
      <c r="AY2120" s="11">
        <f t="shared" si="2154"/>
        <v>0</v>
      </c>
      <c r="BA2120" s="11">
        <f t="shared" si="2155"/>
        <v>0</v>
      </c>
      <c r="BC2120" s="11">
        <f t="shared" si="2156"/>
        <v>0</v>
      </c>
      <c r="BE2120" s="11">
        <f t="shared" si="2157"/>
        <v>0</v>
      </c>
      <c r="BG2120" s="11">
        <f t="shared" si="2158"/>
        <v>0</v>
      </c>
      <c r="BN2120" s="8">
        <f t="shared" si="2115"/>
        <v>240</v>
      </c>
      <c r="BO2120" s="8">
        <f t="shared" si="2116"/>
        <v>12000</v>
      </c>
      <c r="BP2120" s="8">
        <f t="shared" si="2139"/>
        <v>18</v>
      </c>
      <c r="BQ2120" s="12">
        <f t="shared" si="2140"/>
        <v>900</v>
      </c>
    </row>
    <row r="2121" spans="1:69">
      <c r="A2121" s="28">
        <v>1986</v>
      </c>
      <c r="B2121" s="27" t="s">
        <v>91</v>
      </c>
      <c r="C2121" s="24">
        <f t="shared" si="2119"/>
        <v>2090</v>
      </c>
      <c r="D2121" s="7" t="e">
        <f t="shared" ca="1" si="2159"/>
        <v>#N/A</v>
      </c>
      <c r="E2121" s="26">
        <f t="array" aca="1" ref="E2121" ca="1">AVERAGE(IF(INDIRECT(DatCol&amp;"$"&amp;TEXT(C2121,"###")):INDIRECT(DatCol&amp;"$"&amp;TEXT(C2121+57,"###"))&gt;0,INDIRECT(DatCol&amp;"$"&amp;TEXT(C2121,"###")):INDIRECT(DatCol&amp;"$"&amp;TEXT(C2121+57,"###"))))</f>
        <v>447.96153846153845</v>
      </c>
      <c r="F2121" s="26" t="str">
        <f t="shared" si="2120"/>
        <v>N</v>
      </c>
      <c r="G2121" s="8">
        <v>14</v>
      </c>
      <c r="H2121" s="8">
        <v>4</v>
      </c>
      <c r="I2121" s="8">
        <v>12</v>
      </c>
      <c r="J2121" s="8">
        <v>34</v>
      </c>
      <c r="K2121" s="9">
        <f t="shared" si="2117"/>
        <v>52</v>
      </c>
      <c r="L2121" s="12">
        <v>720</v>
      </c>
      <c r="M2121" s="11">
        <f t="shared" si="2141"/>
        <v>36000</v>
      </c>
      <c r="N2121" s="12">
        <v>70</v>
      </c>
      <c r="O2121" s="11">
        <f t="shared" si="2142"/>
        <v>3500</v>
      </c>
      <c r="Q2121" s="11">
        <f t="shared" si="2143"/>
        <v>0</v>
      </c>
      <c r="X2121" s="12">
        <v>5</v>
      </c>
      <c r="Y2121" s="11">
        <f t="shared" si="2144"/>
        <v>300</v>
      </c>
      <c r="AG2121" s="11">
        <f t="shared" si="2145"/>
        <v>0</v>
      </c>
      <c r="AI2121" s="11">
        <f t="shared" si="2146"/>
        <v>0</v>
      </c>
      <c r="AK2121" s="13">
        <f t="shared" si="2147"/>
        <v>0</v>
      </c>
      <c r="AM2121" s="13">
        <f t="shared" si="2148"/>
        <v>0</v>
      </c>
      <c r="AO2121" s="11">
        <f t="shared" si="2149"/>
        <v>0</v>
      </c>
      <c r="AQ2121" s="11">
        <f t="shared" si="2150"/>
        <v>0</v>
      </c>
      <c r="AS2121" s="11">
        <f t="shared" si="2151"/>
        <v>0</v>
      </c>
      <c r="AU2121" s="11">
        <f t="shared" si="2152"/>
        <v>0</v>
      </c>
      <c r="AW2121" s="11">
        <f t="shared" si="2153"/>
        <v>0</v>
      </c>
      <c r="AY2121" s="11">
        <f t="shared" si="2154"/>
        <v>0</v>
      </c>
      <c r="BA2121" s="11">
        <f t="shared" si="2155"/>
        <v>0</v>
      </c>
      <c r="BB2121" s="12">
        <v>2.2000000000000002</v>
      </c>
      <c r="BC2121" s="11">
        <f t="shared" si="2156"/>
        <v>88</v>
      </c>
      <c r="BE2121" s="11">
        <f t="shared" si="2157"/>
        <v>0</v>
      </c>
      <c r="BG2121" s="11">
        <f t="shared" si="2158"/>
        <v>0</v>
      </c>
      <c r="BN2121" s="8">
        <f t="shared" si="2115"/>
        <v>725</v>
      </c>
      <c r="BO2121" s="8">
        <f t="shared" si="2116"/>
        <v>36300</v>
      </c>
      <c r="BP2121" s="8">
        <f t="shared" si="2139"/>
        <v>77.2</v>
      </c>
      <c r="BQ2121" s="12">
        <f t="shared" si="2140"/>
        <v>3888</v>
      </c>
    </row>
    <row r="2122" spans="1:69">
      <c r="A2122" s="28">
        <v>1987</v>
      </c>
      <c r="B2122" s="27" t="s">
        <v>91</v>
      </c>
      <c r="C2122" s="24">
        <f t="shared" si="2119"/>
        <v>2090</v>
      </c>
      <c r="D2122" s="7" t="e">
        <f t="shared" ca="1" si="2159"/>
        <v>#N/A</v>
      </c>
      <c r="E2122" s="26">
        <f t="array" aca="1" ref="E2122" ca="1">AVERAGE(IF(INDIRECT(DatCol&amp;"$"&amp;TEXT(C2122,"###")):INDIRECT(DatCol&amp;"$"&amp;TEXT(C2122+57,"###"))&gt;0,INDIRECT(DatCol&amp;"$"&amp;TEXT(C2122,"###")):INDIRECT(DatCol&amp;"$"&amp;TEXT(C2122+57,"###"))))</f>
        <v>447.96153846153845</v>
      </c>
      <c r="F2122" s="26" t="str">
        <f t="shared" si="2120"/>
        <v>N</v>
      </c>
      <c r="G2122" s="8">
        <v>11</v>
      </c>
      <c r="H2122" s="8">
        <v>2</v>
      </c>
      <c r="I2122" s="8">
        <v>1</v>
      </c>
      <c r="J2122" s="8">
        <v>22</v>
      </c>
      <c r="K2122" s="9">
        <f t="shared" si="2117"/>
        <v>35</v>
      </c>
      <c r="L2122" s="12">
        <v>60</v>
      </c>
      <c r="M2122" s="11">
        <f t="shared" si="2141"/>
        <v>3000</v>
      </c>
      <c r="N2122" s="12">
        <v>50</v>
      </c>
      <c r="O2122" s="11">
        <f t="shared" si="2142"/>
        <v>2500</v>
      </c>
      <c r="Q2122" s="11">
        <f t="shared" si="2143"/>
        <v>0</v>
      </c>
      <c r="X2122" s="12">
        <v>4</v>
      </c>
      <c r="Y2122" s="11">
        <f t="shared" si="2144"/>
        <v>240</v>
      </c>
      <c r="AG2122" s="11">
        <f t="shared" si="2145"/>
        <v>0</v>
      </c>
      <c r="AI2122" s="11">
        <f t="shared" si="2146"/>
        <v>0</v>
      </c>
      <c r="AK2122" s="13">
        <f t="shared" si="2147"/>
        <v>0</v>
      </c>
      <c r="AM2122" s="13">
        <f t="shared" si="2148"/>
        <v>0</v>
      </c>
      <c r="AO2122" s="11">
        <f t="shared" si="2149"/>
        <v>0</v>
      </c>
      <c r="AQ2122" s="11">
        <f t="shared" si="2150"/>
        <v>0</v>
      </c>
      <c r="AS2122" s="11">
        <f t="shared" si="2151"/>
        <v>0</v>
      </c>
      <c r="AU2122" s="11">
        <f t="shared" si="2152"/>
        <v>0</v>
      </c>
      <c r="AW2122" s="11">
        <f t="shared" si="2153"/>
        <v>0</v>
      </c>
      <c r="AY2122" s="11">
        <f t="shared" si="2154"/>
        <v>0</v>
      </c>
      <c r="BA2122" s="11">
        <f t="shared" si="2155"/>
        <v>0</v>
      </c>
      <c r="BB2122" s="12">
        <v>100</v>
      </c>
      <c r="BC2122" s="11">
        <f t="shared" si="2156"/>
        <v>4000</v>
      </c>
      <c r="BE2122" s="11">
        <f t="shared" si="2157"/>
        <v>0</v>
      </c>
      <c r="BG2122" s="11">
        <f t="shared" si="2158"/>
        <v>0</v>
      </c>
      <c r="BN2122" s="8">
        <f t="shared" si="2115"/>
        <v>64</v>
      </c>
      <c r="BO2122" s="8">
        <f t="shared" si="2116"/>
        <v>3240</v>
      </c>
      <c r="BP2122" s="8">
        <f t="shared" si="2139"/>
        <v>154</v>
      </c>
      <c r="BQ2122" s="12">
        <f t="shared" si="2140"/>
        <v>6740</v>
      </c>
    </row>
    <row r="2123" spans="1:69">
      <c r="A2123" s="28">
        <v>1988</v>
      </c>
      <c r="B2123" s="27" t="s">
        <v>91</v>
      </c>
      <c r="C2123" s="24">
        <f t="shared" si="2119"/>
        <v>2090</v>
      </c>
      <c r="D2123" s="7" t="e">
        <f t="shared" ca="1" si="2159"/>
        <v>#N/A</v>
      </c>
      <c r="E2123" s="26">
        <f t="array" aca="1" ref="E2123" ca="1">AVERAGE(IF(INDIRECT(DatCol&amp;"$"&amp;TEXT(C2123,"###")):INDIRECT(DatCol&amp;"$"&amp;TEXT(C2123+57,"###"))&gt;0,INDIRECT(DatCol&amp;"$"&amp;TEXT(C2123,"###")):INDIRECT(DatCol&amp;"$"&amp;TEXT(C2123+57,"###"))))</f>
        <v>447.96153846153845</v>
      </c>
      <c r="F2123" s="26" t="str">
        <f t="shared" si="2120"/>
        <v>N</v>
      </c>
      <c r="G2123" s="8">
        <v>13</v>
      </c>
      <c r="H2123" s="8">
        <v>4</v>
      </c>
      <c r="I2123" s="8">
        <v>10</v>
      </c>
      <c r="J2123" s="8">
        <v>32</v>
      </c>
      <c r="K2123" s="9">
        <f t="shared" si="2117"/>
        <v>49</v>
      </c>
      <c r="L2123" s="12">
        <v>200</v>
      </c>
      <c r="M2123" s="11">
        <f t="shared" si="2141"/>
        <v>10000</v>
      </c>
      <c r="N2123" s="12">
        <v>60</v>
      </c>
      <c r="O2123" s="11">
        <f t="shared" si="2142"/>
        <v>3000</v>
      </c>
      <c r="Q2123" s="11">
        <f t="shared" si="2143"/>
        <v>0</v>
      </c>
      <c r="X2123" s="12">
        <v>4</v>
      </c>
      <c r="Y2123" s="11">
        <f t="shared" si="2144"/>
        <v>240</v>
      </c>
      <c r="AG2123" s="11">
        <f t="shared" si="2145"/>
        <v>0</v>
      </c>
      <c r="AI2123" s="11">
        <f t="shared" si="2146"/>
        <v>0</v>
      </c>
      <c r="AK2123" s="13">
        <f t="shared" si="2147"/>
        <v>0</v>
      </c>
      <c r="AM2123" s="13">
        <f t="shared" si="2148"/>
        <v>0</v>
      </c>
      <c r="AO2123" s="11">
        <f t="shared" si="2149"/>
        <v>0</v>
      </c>
      <c r="AQ2123" s="11">
        <f t="shared" si="2150"/>
        <v>0</v>
      </c>
      <c r="AS2123" s="11">
        <f t="shared" si="2151"/>
        <v>0</v>
      </c>
      <c r="AU2123" s="11">
        <f t="shared" si="2152"/>
        <v>0</v>
      </c>
      <c r="AW2123" s="11">
        <f t="shared" si="2153"/>
        <v>0</v>
      </c>
      <c r="AY2123" s="11">
        <f t="shared" si="2154"/>
        <v>0</v>
      </c>
      <c r="BA2123" s="11">
        <f t="shared" si="2155"/>
        <v>0</v>
      </c>
      <c r="BB2123" s="12">
        <v>2.1</v>
      </c>
      <c r="BC2123" s="11">
        <f t="shared" si="2156"/>
        <v>84</v>
      </c>
      <c r="BE2123" s="11">
        <f t="shared" si="2157"/>
        <v>0</v>
      </c>
      <c r="BG2123" s="11">
        <f t="shared" si="2158"/>
        <v>0</v>
      </c>
      <c r="BN2123" s="8">
        <f t="shared" si="2115"/>
        <v>204</v>
      </c>
      <c r="BO2123" s="8">
        <f t="shared" si="2116"/>
        <v>10240</v>
      </c>
      <c r="BP2123" s="8">
        <f t="shared" si="2139"/>
        <v>66.099999999999994</v>
      </c>
      <c r="BQ2123" s="12">
        <f t="shared" si="2140"/>
        <v>3324</v>
      </c>
    </row>
    <row r="2124" spans="1:69">
      <c r="A2124" s="28">
        <v>1989</v>
      </c>
      <c r="B2124" s="27" t="s">
        <v>91</v>
      </c>
      <c r="C2124" s="24">
        <f t="shared" si="2119"/>
        <v>2090</v>
      </c>
      <c r="D2124" s="7" t="e">
        <f t="shared" ca="1" si="2159"/>
        <v>#N/A</v>
      </c>
      <c r="E2124" s="26">
        <f t="array" aca="1" ref="E2124" ca="1">AVERAGE(IF(INDIRECT(DatCol&amp;"$"&amp;TEXT(C2124,"###")):INDIRECT(DatCol&amp;"$"&amp;TEXT(C2124+57,"###"))&gt;0,INDIRECT(DatCol&amp;"$"&amp;TEXT(C2124,"###")):INDIRECT(DatCol&amp;"$"&amp;TEXT(C2124+57,"###"))))</f>
        <v>447.96153846153845</v>
      </c>
      <c r="F2124" s="26" t="str">
        <f t="shared" si="2120"/>
        <v>N</v>
      </c>
      <c r="G2124" s="8">
        <v>30</v>
      </c>
      <c r="H2124" s="8">
        <v>22</v>
      </c>
      <c r="I2124" s="8">
        <v>3</v>
      </c>
      <c r="J2124" s="8">
        <v>46</v>
      </c>
      <c r="K2124" s="9">
        <f t="shared" si="2117"/>
        <v>98</v>
      </c>
      <c r="L2124" s="12">
        <v>0</v>
      </c>
      <c r="M2124" s="11">
        <f t="shared" si="2141"/>
        <v>0</v>
      </c>
      <c r="N2124" s="12">
        <v>0</v>
      </c>
      <c r="O2124" s="11">
        <f t="shared" si="2142"/>
        <v>0</v>
      </c>
      <c r="Q2124" s="11">
        <f t="shared" si="2143"/>
        <v>0</v>
      </c>
      <c r="Y2124" s="11">
        <f t="shared" si="2144"/>
        <v>0</v>
      </c>
      <c r="AG2124" s="11">
        <f t="shared" si="2145"/>
        <v>0</v>
      </c>
      <c r="AI2124" s="11">
        <f t="shared" si="2146"/>
        <v>0</v>
      </c>
      <c r="AK2124" s="13">
        <f t="shared" si="2147"/>
        <v>0</v>
      </c>
      <c r="AM2124" s="13">
        <f t="shared" si="2148"/>
        <v>0</v>
      </c>
      <c r="AO2124" s="11">
        <f t="shared" si="2149"/>
        <v>0</v>
      </c>
      <c r="AQ2124" s="11">
        <f t="shared" si="2150"/>
        <v>0</v>
      </c>
      <c r="AS2124" s="11">
        <f t="shared" si="2151"/>
        <v>0</v>
      </c>
      <c r="AU2124" s="11">
        <f t="shared" si="2152"/>
        <v>0</v>
      </c>
      <c r="AW2124" s="11">
        <f t="shared" si="2153"/>
        <v>0</v>
      </c>
      <c r="AY2124" s="11">
        <f t="shared" si="2154"/>
        <v>0</v>
      </c>
      <c r="BA2124" s="11">
        <f t="shared" si="2155"/>
        <v>0</v>
      </c>
      <c r="BC2124" s="11">
        <f t="shared" si="2156"/>
        <v>0</v>
      </c>
      <c r="BE2124" s="11">
        <f t="shared" si="2157"/>
        <v>0</v>
      </c>
      <c r="BG2124" s="11">
        <f t="shared" si="2158"/>
        <v>0</v>
      </c>
      <c r="BN2124" s="8">
        <f t="shared" si="2115"/>
        <v>0</v>
      </c>
      <c r="BO2124" s="8">
        <f t="shared" si="2116"/>
        <v>0</v>
      </c>
      <c r="BP2124" s="8">
        <f t="shared" si="2139"/>
        <v>0</v>
      </c>
      <c r="BQ2124" s="12">
        <f t="shared" si="2140"/>
        <v>0</v>
      </c>
    </row>
    <row r="2125" spans="1:69">
      <c r="A2125" s="28">
        <v>1990</v>
      </c>
      <c r="B2125" s="27" t="s">
        <v>91</v>
      </c>
      <c r="C2125" s="24">
        <f t="shared" si="2119"/>
        <v>2090</v>
      </c>
      <c r="D2125" s="7" t="e">
        <f t="shared" ca="1" si="2159"/>
        <v>#N/A</v>
      </c>
      <c r="E2125" s="26">
        <f t="array" aca="1" ref="E2125" ca="1">AVERAGE(IF(INDIRECT(DatCol&amp;"$"&amp;TEXT(C2125,"###")):INDIRECT(DatCol&amp;"$"&amp;TEXT(C2125+57,"###"))&gt;0,INDIRECT(DatCol&amp;"$"&amp;TEXT(C2125,"###")):INDIRECT(DatCol&amp;"$"&amp;TEXT(C2125+57,"###"))))</f>
        <v>447.96153846153845</v>
      </c>
      <c r="F2125" s="26" t="str">
        <f t="shared" si="2120"/>
        <v>N</v>
      </c>
      <c r="G2125" s="8">
        <v>21</v>
      </c>
      <c r="H2125" s="8">
        <v>4</v>
      </c>
      <c r="I2125" s="8">
        <v>38</v>
      </c>
      <c r="J2125" s="8">
        <v>51</v>
      </c>
      <c r="K2125" s="9">
        <f t="shared" si="2117"/>
        <v>76</v>
      </c>
      <c r="L2125" s="12">
        <v>3800</v>
      </c>
      <c r="M2125" s="11">
        <f t="shared" si="2141"/>
        <v>190000</v>
      </c>
      <c r="N2125" s="12">
        <v>275</v>
      </c>
      <c r="O2125" s="11">
        <f t="shared" si="2142"/>
        <v>13750</v>
      </c>
      <c r="Q2125" s="11">
        <f t="shared" si="2143"/>
        <v>0</v>
      </c>
      <c r="Y2125" s="11">
        <f t="shared" si="2144"/>
        <v>0</v>
      </c>
      <c r="AG2125" s="11">
        <f t="shared" si="2145"/>
        <v>0</v>
      </c>
      <c r="AI2125" s="11">
        <f t="shared" si="2146"/>
        <v>0</v>
      </c>
      <c r="AK2125" s="13">
        <f t="shared" si="2147"/>
        <v>0</v>
      </c>
      <c r="AM2125" s="13">
        <f t="shared" si="2148"/>
        <v>0</v>
      </c>
      <c r="AO2125" s="11">
        <f t="shared" si="2149"/>
        <v>0</v>
      </c>
      <c r="AQ2125" s="11">
        <f t="shared" si="2150"/>
        <v>0</v>
      </c>
      <c r="AS2125" s="11">
        <f t="shared" si="2151"/>
        <v>0</v>
      </c>
      <c r="AU2125" s="11">
        <f t="shared" si="2152"/>
        <v>0</v>
      </c>
      <c r="AW2125" s="11">
        <f t="shared" si="2153"/>
        <v>0</v>
      </c>
      <c r="AY2125" s="11">
        <f t="shared" si="2154"/>
        <v>0</v>
      </c>
      <c r="BA2125" s="11">
        <f t="shared" si="2155"/>
        <v>0</v>
      </c>
      <c r="BC2125" s="11">
        <f t="shared" si="2156"/>
        <v>0</v>
      </c>
      <c r="BE2125" s="11">
        <f t="shared" si="2157"/>
        <v>0</v>
      </c>
      <c r="BG2125" s="11">
        <f t="shared" si="2158"/>
        <v>0</v>
      </c>
      <c r="BN2125" s="8">
        <f t="shared" si="2115"/>
        <v>3800</v>
      </c>
      <c r="BO2125" s="8">
        <f t="shared" si="2116"/>
        <v>190000</v>
      </c>
      <c r="BP2125" s="8">
        <f t="shared" si="2139"/>
        <v>275</v>
      </c>
      <c r="BQ2125" s="12">
        <f t="shared" si="2140"/>
        <v>13750</v>
      </c>
    </row>
    <row r="2126" spans="1:69">
      <c r="A2126" s="28">
        <v>1991</v>
      </c>
      <c r="B2126" s="27" t="s">
        <v>91</v>
      </c>
      <c r="C2126" s="24">
        <f t="shared" si="2119"/>
        <v>2090</v>
      </c>
      <c r="D2126" s="7" t="e">
        <f t="shared" ca="1" si="2159"/>
        <v>#N/A</v>
      </c>
      <c r="E2126" s="26">
        <f t="array" aca="1" ref="E2126" ca="1">AVERAGE(IF(INDIRECT(DatCol&amp;"$"&amp;TEXT(C2126,"###")):INDIRECT(DatCol&amp;"$"&amp;TEXT(C2126+57,"###"))&gt;0,INDIRECT(DatCol&amp;"$"&amp;TEXT(C2126,"###")):INDIRECT(DatCol&amp;"$"&amp;TEXT(C2126+57,"###"))))</f>
        <v>447.96153846153845</v>
      </c>
      <c r="F2126" s="26" t="str">
        <f t="shared" si="2120"/>
        <v>N</v>
      </c>
      <c r="G2126" s="8"/>
      <c r="K2126" s="9">
        <f t="shared" si="2117"/>
        <v>0</v>
      </c>
      <c r="M2126" s="11">
        <f t="shared" si="2141"/>
        <v>0</v>
      </c>
      <c r="O2126" s="11">
        <f t="shared" si="2142"/>
        <v>0</v>
      </c>
      <c r="Q2126" s="11">
        <f t="shared" si="2143"/>
        <v>0</v>
      </c>
      <c r="Y2126" s="11">
        <f t="shared" si="2144"/>
        <v>0</v>
      </c>
      <c r="AG2126" s="11">
        <f t="shared" si="2145"/>
        <v>0</v>
      </c>
      <c r="AI2126" s="11">
        <f t="shared" si="2146"/>
        <v>0</v>
      </c>
      <c r="AK2126" s="13">
        <f t="shared" si="2147"/>
        <v>0</v>
      </c>
      <c r="AM2126" s="13">
        <f t="shared" si="2148"/>
        <v>0</v>
      </c>
      <c r="AO2126" s="11">
        <f t="shared" si="2149"/>
        <v>0</v>
      </c>
      <c r="AQ2126" s="11">
        <f t="shared" si="2150"/>
        <v>0</v>
      </c>
      <c r="AS2126" s="11">
        <f t="shared" si="2151"/>
        <v>0</v>
      </c>
      <c r="AU2126" s="11">
        <f t="shared" si="2152"/>
        <v>0</v>
      </c>
      <c r="AW2126" s="11">
        <f t="shared" si="2153"/>
        <v>0</v>
      </c>
      <c r="AY2126" s="11">
        <f t="shared" si="2154"/>
        <v>0</v>
      </c>
      <c r="BA2126" s="11">
        <f t="shared" si="2155"/>
        <v>0</v>
      </c>
      <c r="BC2126" s="11">
        <f t="shared" si="2156"/>
        <v>0</v>
      </c>
      <c r="BE2126" s="11">
        <f t="shared" si="2157"/>
        <v>0</v>
      </c>
      <c r="BG2126" s="11">
        <f t="shared" si="2158"/>
        <v>0</v>
      </c>
      <c r="BN2126" s="8">
        <f t="shared" si="2115"/>
        <v>0</v>
      </c>
      <c r="BO2126" s="8">
        <f t="shared" si="2116"/>
        <v>0</v>
      </c>
      <c r="BP2126" s="8">
        <f t="shared" si="2139"/>
        <v>0</v>
      </c>
      <c r="BQ2126" s="12">
        <f t="shared" si="2140"/>
        <v>0</v>
      </c>
    </row>
    <row r="2127" spans="1:69">
      <c r="A2127" s="28">
        <v>1992</v>
      </c>
      <c r="B2127" s="27" t="s">
        <v>91</v>
      </c>
      <c r="C2127" s="24">
        <f t="shared" si="2119"/>
        <v>2090</v>
      </c>
      <c r="D2127" s="7" t="e">
        <f t="shared" ca="1" si="2159"/>
        <v>#N/A</v>
      </c>
      <c r="E2127" s="26">
        <f t="array" aca="1" ref="E2127" ca="1">AVERAGE(IF(INDIRECT(DatCol&amp;"$"&amp;TEXT(C2127,"###")):INDIRECT(DatCol&amp;"$"&amp;TEXT(C2127+57,"###"))&gt;0,INDIRECT(DatCol&amp;"$"&amp;TEXT(C2127,"###")):INDIRECT(DatCol&amp;"$"&amp;TEXT(C2127+57,"###"))))</f>
        <v>447.96153846153845</v>
      </c>
      <c r="F2127" s="26" t="str">
        <f t="shared" si="2120"/>
        <v>N</v>
      </c>
      <c r="G2127" s="8"/>
      <c r="K2127" s="9">
        <f t="shared" si="2117"/>
        <v>0</v>
      </c>
      <c r="M2127" s="11">
        <f>(L2127*50)</f>
        <v>0</v>
      </c>
      <c r="O2127" s="11">
        <f>(N2127*50)</f>
        <v>0</v>
      </c>
      <c r="Q2127" s="11">
        <f>((P2127*330)/5.5)</f>
        <v>0</v>
      </c>
      <c r="Y2127" s="11">
        <f>((X2127*330)/5.5)</f>
        <v>0</v>
      </c>
      <c r="AG2127" s="11">
        <f>(AF2127*65)</f>
        <v>0</v>
      </c>
      <c r="AI2127" s="11">
        <f>(AH2127*65)</f>
        <v>0</v>
      </c>
      <c r="AK2127" s="13">
        <f>(AJ2127*9)</f>
        <v>0</v>
      </c>
      <c r="AM2127" s="13">
        <f>(AL2127*9)</f>
        <v>0</v>
      </c>
      <c r="AO2127" s="11">
        <f>(AN2127*80)</f>
        <v>0</v>
      </c>
      <c r="AQ2127" s="11">
        <f>(AP2127*80)</f>
        <v>0</v>
      </c>
      <c r="AS2127" s="11">
        <f>(AR2127*50)</f>
        <v>0</v>
      </c>
      <c r="AU2127" s="11">
        <f>(AT2127*50)</f>
        <v>0</v>
      </c>
      <c r="AW2127" s="11">
        <f>(AV2127*60)</f>
        <v>0</v>
      </c>
      <c r="AY2127" s="11">
        <f>(AX2127*60)</f>
        <v>0</v>
      </c>
      <c r="BA2127" s="11">
        <f>(AZ2127*40)</f>
        <v>0</v>
      </c>
      <c r="BC2127" s="11">
        <f>(BB2127*40)</f>
        <v>0</v>
      </c>
      <c r="BE2127" s="11">
        <f>(BD2127*95)</f>
        <v>0</v>
      </c>
      <c r="BG2127" s="11">
        <f>(BF2127*95)</f>
        <v>0</v>
      </c>
      <c r="BN2127" s="8">
        <f t="shared" si="2115"/>
        <v>0</v>
      </c>
      <c r="BO2127" s="8">
        <f t="shared" si="2116"/>
        <v>0</v>
      </c>
      <c r="BP2127" s="8">
        <f t="shared" si="2139"/>
        <v>0</v>
      </c>
      <c r="BQ2127" s="12">
        <f t="shared" si="2140"/>
        <v>0</v>
      </c>
    </row>
    <row r="2128" spans="1:69">
      <c r="A2128" s="28">
        <v>1993</v>
      </c>
      <c r="B2128" s="27" t="s">
        <v>91</v>
      </c>
      <c r="C2128" s="24">
        <f t="shared" si="2119"/>
        <v>2090</v>
      </c>
      <c r="D2128" s="7" t="e">
        <f t="shared" ca="1" si="2159"/>
        <v>#N/A</v>
      </c>
      <c r="E2128" s="26">
        <f t="array" aca="1" ref="E2128" ca="1">AVERAGE(IF(INDIRECT(DatCol&amp;"$"&amp;TEXT(C2128,"###")):INDIRECT(DatCol&amp;"$"&amp;TEXT(C2128+57,"###"))&gt;0,INDIRECT(DatCol&amp;"$"&amp;TEXT(C2128,"###")):INDIRECT(DatCol&amp;"$"&amp;TEXT(C2128+57,"###"))))</f>
        <v>447.96153846153845</v>
      </c>
      <c r="F2128" s="26" t="str">
        <f t="shared" si="2120"/>
        <v>N</v>
      </c>
      <c r="G2128" s="8">
        <v>14</v>
      </c>
      <c r="H2128" s="8">
        <v>10</v>
      </c>
      <c r="I2128" s="8">
        <v>17</v>
      </c>
      <c r="J2128" s="8">
        <v>29</v>
      </c>
      <c r="K2128" s="9">
        <f t="shared" si="2117"/>
        <v>53</v>
      </c>
      <c r="L2128" s="12">
        <v>1400</v>
      </c>
      <c r="M2128" s="11">
        <f>(L2128*50)</f>
        <v>70000</v>
      </c>
      <c r="N2128" s="12">
        <v>120</v>
      </c>
      <c r="O2128" s="11">
        <f>(N2128*50)</f>
        <v>6000</v>
      </c>
      <c r="Q2128" s="11">
        <f>((P2128*330)/5.5)</f>
        <v>0</v>
      </c>
      <c r="Y2128" s="11">
        <f>((X2128*330)/5.5)</f>
        <v>0</v>
      </c>
      <c r="AG2128" s="11">
        <f>(AF2128*65)</f>
        <v>0</v>
      </c>
      <c r="AI2128" s="11">
        <f>(AH2128*65)</f>
        <v>0</v>
      </c>
      <c r="AK2128" s="13">
        <f>(AJ2128*9)</f>
        <v>0</v>
      </c>
      <c r="AM2128" s="13">
        <f>(AL2128*9)</f>
        <v>0</v>
      </c>
      <c r="AO2128" s="11">
        <f>(AN2128*80)</f>
        <v>0</v>
      </c>
      <c r="AQ2128" s="11">
        <f>(AP2128*80)</f>
        <v>0</v>
      </c>
      <c r="AS2128" s="11">
        <f>(AR2128*50)</f>
        <v>0</v>
      </c>
      <c r="AU2128" s="11">
        <f>(AT2128*50)</f>
        <v>0</v>
      </c>
      <c r="AW2128" s="11">
        <f>(AV2128*60)</f>
        <v>0</v>
      </c>
      <c r="AY2128" s="11">
        <f>(AX2128*60)</f>
        <v>0</v>
      </c>
      <c r="BA2128" s="11">
        <f>(AZ2128*40)</f>
        <v>0</v>
      </c>
      <c r="BC2128" s="11">
        <f>(BB2128*40)</f>
        <v>0</v>
      </c>
      <c r="BE2128" s="11">
        <f>(BD2128*95)</f>
        <v>0</v>
      </c>
      <c r="BG2128" s="11">
        <f>(BF2128*95)</f>
        <v>0</v>
      </c>
      <c r="BN2128" s="8">
        <f t="shared" si="2115"/>
        <v>1400</v>
      </c>
      <c r="BO2128" s="8">
        <f t="shared" si="2116"/>
        <v>70000</v>
      </c>
      <c r="BP2128" s="8">
        <f t="shared" si="2139"/>
        <v>120</v>
      </c>
      <c r="BQ2128" s="12">
        <f t="shared" si="2140"/>
        <v>6000</v>
      </c>
    </row>
    <row r="2129" spans="1:69">
      <c r="A2129" s="28">
        <v>1994</v>
      </c>
      <c r="B2129" s="27" t="s">
        <v>91</v>
      </c>
      <c r="C2129" s="24">
        <f t="shared" si="2119"/>
        <v>2090</v>
      </c>
      <c r="D2129" s="7" t="e">
        <f t="shared" ca="1" si="2159"/>
        <v>#N/A</v>
      </c>
      <c r="E2129" s="26">
        <f t="array" aca="1" ref="E2129" ca="1">AVERAGE(IF(INDIRECT(DatCol&amp;"$"&amp;TEXT(C2129,"###")):INDIRECT(DatCol&amp;"$"&amp;TEXT(C2129+57,"###"))&gt;0,INDIRECT(DatCol&amp;"$"&amp;TEXT(C2129,"###")):INDIRECT(DatCol&amp;"$"&amp;TEXT(C2129+57,"###"))))</f>
        <v>447.96153846153845</v>
      </c>
      <c r="F2129" s="26" t="str">
        <f t="shared" si="2120"/>
        <v>N</v>
      </c>
      <c r="G2129" s="8">
        <v>18</v>
      </c>
      <c r="H2129" s="8">
        <v>5</v>
      </c>
      <c r="I2129" s="8">
        <v>16</v>
      </c>
      <c r="J2129" s="8">
        <v>57</v>
      </c>
      <c r="K2129" s="9">
        <f t="shared" si="2117"/>
        <v>80</v>
      </c>
      <c r="L2129" s="12">
        <v>640</v>
      </c>
      <c r="M2129" s="11">
        <f>(L2129*50)</f>
        <v>32000</v>
      </c>
      <c r="N2129" s="12">
        <v>70</v>
      </c>
      <c r="O2129" s="11">
        <f>(N2129*50)</f>
        <v>3500</v>
      </c>
      <c r="P2129" s="12">
        <v>0</v>
      </c>
      <c r="Q2129" s="11">
        <f>((P2129*330)/5.5)</f>
        <v>0</v>
      </c>
      <c r="X2129" s="12">
        <v>0</v>
      </c>
      <c r="Y2129" s="11">
        <f>((X2129*330)/5.5)</f>
        <v>0</v>
      </c>
      <c r="AF2129" s="12">
        <v>0</v>
      </c>
      <c r="AG2129" s="11">
        <f>(AF2129*65)</f>
        <v>0</v>
      </c>
      <c r="AI2129" s="11">
        <f>(AH2129*65)</f>
        <v>0</v>
      </c>
      <c r="AK2129" s="13">
        <f>(AJ2129*9)</f>
        <v>0</v>
      </c>
      <c r="AM2129" s="13">
        <f>(AL2129*9)</f>
        <v>0</v>
      </c>
      <c r="AO2129" s="11">
        <f>(AN2129*80)</f>
        <v>0</v>
      </c>
      <c r="AQ2129" s="11">
        <f>(AP2129*80)</f>
        <v>0</v>
      </c>
      <c r="AS2129" s="11">
        <f>(AR2129*50)</f>
        <v>0</v>
      </c>
      <c r="AU2129" s="11">
        <f>(AT2129*50)</f>
        <v>0</v>
      </c>
      <c r="AW2129" s="11">
        <f>(AV2129*60)</f>
        <v>0</v>
      </c>
      <c r="AY2129" s="11">
        <f>(AX2129*60)</f>
        <v>0</v>
      </c>
      <c r="AZ2129" s="12">
        <v>35</v>
      </c>
      <c r="BA2129" s="11">
        <f>(AZ2129*40)</f>
        <v>1400</v>
      </c>
      <c r="BB2129" s="12">
        <v>3</v>
      </c>
      <c r="BC2129" s="11">
        <f>(BB2129*40)</f>
        <v>120</v>
      </c>
      <c r="BE2129" s="11">
        <f>(BD2129*95)</f>
        <v>0</v>
      </c>
      <c r="BG2129" s="11">
        <f>(BF2129*95)</f>
        <v>0</v>
      </c>
      <c r="BN2129" s="8">
        <f t="shared" si="2115"/>
        <v>675</v>
      </c>
      <c r="BO2129" s="8">
        <f t="shared" si="2116"/>
        <v>33400</v>
      </c>
      <c r="BP2129" s="8">
        <f t="shared" si="2139"/>
        <v>73</v>
      </c>
      <c r="BQ2129" s="12">
        <f t="shared" si="2140"/>
        <v>3620</v>
      </c>
    </row>
    <row r="2130" spans="1:69">
      <c r="A2130" s="28">
        <v>1995</v>
      </c>
      <c r="B2130" s="27" t="s">
        <v>91</v>
      </c>
      <c r="C2130" s="24">
        <f t="shared" si="2119"/>
        <v>2090</v>
      </c>
      <c r="D2130" s="7" t="e">
        <f t="shared" ca="1" si="2159"/>
        <v>#N/A</v>
      </c>
      <c r="E2130" s="26">
        <f t="array" aca="1" ref="E2130" ca="1">AVERAGE(IF(INDIRECT(DatCol&amp;"$"&amp;TEXT(C2130,"###")):INDIRECT(DatCol&amp;"$"&amp;TEXT(C2130+57,"###"))&gt;0,INDIRECT(DatCol&amp;"$"&amp;TEXT(C2130,"###")):INDIRECT(DatCol&amp;"$"&amp;TEXT(C2130+57,"###"))))</f>
        <v>447.96153846153845</v>
      </c>
      <c r="F2130" s="26" t="str">
        <f t="shared" si="2120"/>
        <v>N</v>
      </c>
      <c r="G2130" s="9">
        <v>40</v>
      </c>
      <c r="I2130" s="9">
        <v>45</v>
      </c>
      <c r="J2130" s="9">
        <v>45</v>
      </c>
      <c r="K2130" s="9">
        <f t="shared" si="2117"/>
        <v>85</v>
      </c>
      <c r="L2130" s="10">
        <v>6000</v>
      </c>
      <c r="M2130" s="11">
        <f>L2130*50</f>
        <v>300000</v>
      </c>
      <c r="N2130" s="19"/>
      <c r="O2130" s="20"/>
      <c r="P2130" s="19"/>
      <c r="Q2130" s="11">
        <f>((P2130*330)/5.5)</f>
        <v>0</v>
      </c>
      <c r="Y2130" s="11">
        <f>((X2130*330)/5.5)</f>
        <v>0</v>
      </c>
      <c r="AG2130" s="11">
        <f>(AF2130*65)</f>
        <v>0</v>
      </c>
      <c r="AI2130" s="11">
        <f>(AH2130*65)</f>
        <v>0</v>
      </c>
      <c r="AK2130" s="13">
        <f>(AJ2130*9)</f>
        <v>0</v>
      </c>
      <c r="AM2130" s="13">
        <f>(AL2130*9)</f>
        <v>0</v>
      </c>
      <c r="AO2130" s="11">
        <f>(AN2130*80)</f>
        <v>0</v>
      </c>
      <c r="AQ2130" s="11">
        <f>(AP2130*80)</f>
        <v>0</v>
      </c>
      <c r="AS2130" s="11">
        <f>(AR2130*50)</f>
        <v>0</v>
      </c>
      <c r="AU2130" s="11">
        <f>(AT2130*50)</f>
        <v>0</v>
      </c>
      <c r="AW2130" s="11">
        <f>(AV2130*60)</f>
        <v>0</v>
      </c>
      <c r="AY2130" s="11">
        <f>(AX2130*60)</f>
        <v>0</v>
      </c>
      <c r="BA2130" s="11">
        <f>(AZ2130*40)</f>
        <v>0</v>
      </c>
      <c r="BC2130" s="11">
        <f>(BB2130*40)</f>
        <v>0</v>
      </c>
      <c r="BE2130" s="11">
        <f>(BD2130*95)</f>
        <v>0</v>
      </c>
      <c r="BG2130" s="11">
        <f>(BF2130*95)</f>
        <v>0</v>
      </c>
      <c r="BN2130" s="8">
        <f t="shared" si="2115"/>
        <v>6000</v>
      </c>
      <c r="BO2130" s="8">
        <f t="shared" si="2116"/>
        <v>300000</v>
      </c>
      <c r="BP2130" s="8">
        <f t="shared" si="2139"/>
        <v>0</v>
      </c>
      <c r="BQ2130" s="12">
        <f t="shared" si="2140"/>
        <v>0</v>
      </c>
    </row>
    <row r="2131" spans="1:69">
      <c r="A2131" s="28">
        <v>1996</v>
      </c>
      <c r="B2131" s="27" t="s">
        <v>91</v>
      </c>
      <c r="C2131" s="24">
        <f t="shared" si="2119"/>
        <v>2090</v>
      </c>
      <c r="D2131" s="7" t="e">
        <f t="shared" ca="1" si="2159"/>
        <v>#N/A</v>
      </c>
      <c r="E2131" s="26">
        <f t="array" aca="1" ref="E2131" ca="1">AVERAGE(IF(INDIRECT(DatCol&amp;"$"&amp;TEXT(C2131,"###")):INDIRECT(DatCol&amp;"$"&amp;TEXT(C2131+57,"###"))&gt;0,INDIRECT(DatCol&amp;"$"&amp;TEXT(C2131,"###")):INDIRECT(DatCol&amp;"$"&amp;TEXT(C2131+57,"###"))))</f>
        <v>447.96153846153845</v>
      </c>
      <c r="F2131" s="26" t="str">
        <f t="shared" si="2120"/>
        <v>N</v>
      </c>
      <c r="G2131" s="9">
        <v>35</v>
      </c>
      <c r="I2131" s="9">
        <v>40</v>
      </c>
      <c r="J2131" s="9">
        <v>40</v>
      </c>
      <c r="K2131" s="9">
        <f t="shared" si="2117"/>
        <v>75</v>
      </c>
      <c r="L2131" s="10">
        <v>5000</v>
      </c>
      <c r="M2131" s="11">
        <f t="shared" ref="M2131:M2137" si="2160">L2131*50</f>
        <v>250000</v>
      </c>
      <c r="N2131" s="19"/>
      <c r="O2131" s="20"/>
      <c r="AK2131" s="13"/>
      <c r="AM2131" s="13"/>
      <c r="BN2131" s="8">
        <f t="shared" si="2115"/>
        <v>5000</v>
      </c>
      <c r="BO2131" s="8">
        <f t="shared" si="2116"/>
        <v>250000</v>
      </c>
      <c r="BP2131" s="8">
        <f t="shared" si="2139"/>
        <v>0</v>
      </c>
      <c r="BQ2131" s="12">
        <f t="shared" si="2140"/>
        <v>0</v>
      </c>
    </row>
    <row r="2132" spans="1:69">
      <c r="A2132" s="28">
        <v>1997</v>
      </c>
      <c r="B2132" s="27" t="s">
        <v>91</v>
      </c>
      <c r="C2132" s="24">
        <f t="shared" si="2119"/>
        <v>2090</v>
      </c>
      <c r="D2132" s="7" t="e">
        <f t="shared" ca="1" si="2159"/>
        <v>#N/A</v>
      </c>
      <c r="E2132" s="26">
        <f t="array" aca="1" ref="E2132" ca="1">AVERAGE(IF(INDIRECT(DatCol&amp;"$"&amp;TEXT(C2132,"###")):INDIRECT(DatCol&amp;"$"&amp;TEXT(C2132+57,"###"))&gt;0,INDIRECT(DatCol&amp;"$"&amp;TEXT(C2132,"###")):INDIRECT(DatCol&amp;"$"&amp;TEXT(C2132+57,"###"))))</f>
        <v>447.96153846153845</v>
      </c>
      <c r="F2132" s="26" t="str">
        <f t="shared" si="2120"/>
        <v>N</v>
      </c>
      <c r="G2132" s="9">
        <v>30</v>
      </c>
      <c r="I2132" s="9">
        <v>35</v>
      </c>
      <c r="J2132" s="9">
        <v>35</v>
      </c>
      <c r="K2132" s="9">
        <f t="shared" si="2117"/>
        <v>65</v>
      </c>
      <c r="L2132" s="10">
        <v>4000</v>
      </c>
      <c r="M2132" s="11">
        <f t="shared" si="2160"/>
        <v>200000</v>
      </c>
      <c r="N2132" s="19"/>
      <c r="O2132" s="20"/>
      <c r="AK2132" s="13"/>
      <c r="AM2132" s="13"/>
      <c r="BN2132" s="8">
        <f t="shared" si="2115"/>
        <v>4000</v>
      </c>
      <c r="BO2132" s="8">
        <f t="shared" si="2116"/>
        <v>200000</v>
      </c>
      <c r="BP2132" s="8">
        <f t="shared" si="2139"/>
        <v>0</v>
      </c>
      <c r="BQ2132" s="12">
        <f t="shared" si="2140"/>
        <v>0</v>
      </c>
    </row>
    <row r="2133" spans="1:69">
      <c r="A2133" s="28">
        <v>1998</v>
      </c>
      <c r="B2133" s="27" t="s">
        <v>91</v>
      </c>
      <c r="C2133" s="24">
        <f t="shared" si="2119"/>
        <v>2090</v>
      </c>
      <c r="D2133" s="7" t="e">
        <f t="shared" ca="1" si="2159"/>
        <v>#N/A</v>
      </c>
      <c r="E2133" s="26">
        <f t="array" aca="1" ref="E2133" ca="1">AVERAGE(IF(INDIRECT(DatCol&amp;"$"&amp;TEXT(C2133,"###")):INDIRECT(DatCol&amp;"$"&amp;TEXT(C2133+57,"###"))&gt;0,INDIRECT(DatCol&amp;"$"&amp;TEXT(C2133,"###")):INDIRECT(DatCol&amp;"$"&amp;TEXT(C2133+57,"###"))))</f>
        <v>447.96153846153845</v>
      </c>
      <c r="F2133" s="26" t="str">
        <f t="shared" si="2120"/>
        <v>N</v>
      </c>
      <c r="G2133" s="9">
        <v>25</v>
      </c>
      <c r="I2133" s="9">
        <v>30</v>
      </c>
      <c r="J2133" s="9">
        <v>30</v>
      </c>
      <c r="K2133" s="9">
        <f t="shared" si="2117"/>
        <v>55</v>
      </c>
      <c r="L2133" s="10">
        <v>3000</v>
      </c>
      <c r="M2133" s="11">
        <f t="shared" si="2160"/>
        <v>150000</v>
      </c>
      <c r="N2133" s="19"/>
      <c r="O2133" s="20"/>
      <c r="AK2133" s="13"/>
      <c r="AM2133" s="13"/>
      <c r="BN2133" s="8">
        <f t="shared" si="2115"/>
        <v>3000</v>
      </c>
      <c r="BO2133" s="8">
        <f t="shared" si="2116"/>
        <v>150000</v>
      </c>
      <c r="BP2133" s="8">
        <f t="shared" si="2139"/>
        <v>0</v>
      </c>
      <c r="BQ2133" s="12">
        <f t="shared" si="2140"/>
        <v>0</v>
      </c>
    </row>
    <row r="2134" spans="1:69">
      <c r="A2134" s="28">
        <v>1999</v>
      </c>
      <c r="B2134" s="27" t="s">
        <v>91</v>
      </c>
      <c r="C2134" s="24">
        <f t="shared" si="2119"/>
        <v>2090</v>
      </c>
      <c r="D2134" s="7" t="e">
        <f t="shared" ca="1" si="2159"/>
        <v>#N/A</v>
      </c>
      <c r="E2134" s="26">
        <f t="array" aca="1" ref="E2134" ca="1">AVERAGE(IF(INDIRECT(DatCol&amp;"$"&amp;TEXT(C2134,"###")):INDIRECT(DatCol&amp;"$"&amp;TEXT(C2134+57,"###"))&gt;0,INDIRECT(DatCol&amp;"$"&amp;TEXT(C2134,"###")):INDIRECT(DatCol&amp;"$"&amp;TEXT(C2134+57,"###"))))</f>
        <v>447.96153846153845</v>
      </c>
      <c r="F2134" s="26" t="str">
        <f t="shared" si="2120"/>
        <v>N</v>
      </c>
      <c r="G2134" s="9">
        <v>20</v>
      </c>
      <c r="I2134" s="9">
        <v>30</v>
      </c>
      <c r="J2134" s="9">
        <v>30</v>
      </c>
      <c r="K2134" s="9">
        <f t="shared" si="2117"/>
        <v>50</v>
      </c>
      <c r="L2134" s="10">
        <v>2000</v>
      </c>
      <c r="M2134" s="11">
        <f t="shared" si="2160"/>
        <v>100000</v>
      </c>
      <c r="N2134" s="19"/>
      <c r="O2134" s="20"/>
      <c r="AK2134" s="13"/>
      <c r="AM2134" s="13"/>
      <c r="BN2134" s="8">
        <f t="shared" si="2115"/>
        <v>2000</v>
      </c>
      <c r="BO2134" s="8">
        <f t="shared" si="2116"/>
        <v>100000</v>
      </c>
      <c r="BP2134" s="8">
        <f t="shared" si="2139"/>
        <v>0</v>
      </c>
      <c r="BQ2134" s="12">
        <f t="shared" si="2140"/>
        <v>0</v>
      </c>
    </row>
    <row r="2135" spans="1:69">
      <c r="A2135" s="28">
        <v>2000</v>
      </c>
      <c r="B2135" s="27" t="s">
        <v>91</v>
      </c>
      <c r="C2135" s="24">
        <f t="shared" si="2119"/>
        <v>2090</v>
      </c>
      <c r="D2135" s="7" t="e">
        <f t="shared" ca="1" si="2159"/>
        <v>#N/A</v>
      </c>
      <c r="E2135" s="26">
        <f t="array" aca="1" ref="E2135" ca="1">AVERAGE(IF(INDIRECT(DatCol&amp;"$"&amp;TEXT(C2135,"###")):INDIRECT(DatCol&amp;"$"&amp;TEXT(C2135+57,"###"))&gt;0,INDIRECT(DatCol&amp;"$"&amp;TEXT(C2135,"###")):INDIRECT(DatCol&amp;"$"&amp;TEXT(C2135+57,"###"))))</f>
        <v>447.96153846153845</v>
      </c>
      <c r="F2135" s="26" t="str">
        <f t="shared" si="2120"/>
        <v>N</v>
      </c>
      <c r="G2135" s="9">
        <v>20</v>
      </c>
      <c r="I2135" s="9">
        <v>25</v>
      </c>
      <c r="J2135" s="9">
        <v>25</v>
      </c>
      <c r="K2135" s="9">
        <f t="shared" si="2117"/>
        <v>45</v>
      </c>
      <c r="L2135" s="10">
        <v>2000</v>
      </c>
      <c r="M2135" s="11">
        <f t="shared" si="2160"/>
        <v>100000</v>
      </c>
      <c r="N2135" s="19"/>
      <c r="O2135" s="20"/>
      <c r="AK2135" s="13"/>
      <c r="AM2135" s="13"/>
      <c r="BN2135" s="8">
        <f t="shared" si="2115"/>
        <v>2000</v>
      </c>
      <c r="BO2135" s="8">
        <f t="shared" si="2116"/>
        <v>100000</v>
      </c>
      <c r="BP2135" s="8">
        <f t="shared" si="2139"/>
        <v>0</v>
      </c>
      <c r="BQ2135" s="12">
        <f t="shared" si="2140"/>
        <v>0</v>
      </c>
    </row>
    <row r="2136" spans="1:69">
      <c r="A2136" s="28">
        <v>2001</v>
      </c>
      <c r="B2136" s="27" t="s">
        <v>91</v>
      </c>
      <c r="C2136" s="24">
        <f t="shared" si="2119"/>
        <v>2090</v>
      </c>
      <c r="D2136" s="7" t="e">
        <f t="shared" ca="1" si="2159"/>
        <v>#N/A</v>
      </c>
      <c r="E2136" s="26">
        <f t="array" aca="1" ref="E2136" ca="1">AVERAGE(IF(INDIRECT(DatCol&amp;"$"&amp;TEXT(C2136,"###")):INDIRECT(DatCol&amp;"$"&amp;TEXT(C2136+57,"###"))&gt;0,INDIRECT(DatCol&amp;"$"&amp;TEXT(C2136,"###")):INDIRECT(DatCol&amp;"$"&amp;TEXT(C2136+57,"###"))))</f>
        <v>447.96153846153845</v>
      </c>
      <c r="F2136" s="26" t="str">
        <f t="shared" si="2120"/>
        <v>N</v>
      </c>
      <c r="G2136" s="9">
        <v>20</v>
      </c>
      <c r="I2136" s="9">
        <v>10</v>
      </c>
      <c r="J2136" s="9">
        <v>20</v>
      </c>
      <c r="K2136" s="9">
        <f t="shared" si="2117"/>
        <v>40</v>
      </c>
      <c r="L2136" s="10">
        <v>2000</v>
      </c>
      <c r="M2136" s="11">
        <f t="shared" si="2160"/>
        <v>100000</v>
      </c>
      <c r="N2136" s="19"/>
      <c r="O2136" s="20"/>
      <c r="AK2136" s="13"/>
      <c r="AM2136" s="13"/>
      <c r="BN2136" s="8">
        <f t="shared" si="2115"/>
        <v>2000</v>
      </c>
      <c r="BO2136" s="8">
        <f t="shared" si="2116"/>
        <v>100000</v>
      </c>
      <c r="BP2136" s="8">
        <f t="shared" si="2139"/>
        <v>0</v>
      </c>
      <c r="BQ2136" s="12">
        <f t="shared" si="2140"/>
        <v>0</v>
      </c>
    </row>
    <row r="2137" spans="1:69">
      <c r="A2137" s="28">
        <v>2002</v>
      </c>
      <c r="B2137" s="27" t="s">
        <v>91</v>
      </c>
      <c r="C2137" s="24">
        <f t="shared" si="2119"/>
        <v>2090</v>
      </c>
      <c r="D2137" s="7" t="e">
        <f t="shared" ca="1" si="2159"/>
        <v>#N/A</v>
      </c>
      <c r="E2137" s="26">
        <f t="array" aca="1" ref="E2137" ca="1">AVERAGE(IF(INDIRECT(DatCol&amp;"$"&amp;TEXT(C2137,"###")):INDIRECT(DatCol&amp;"$"&amp;TEXT(C2137+57,"###"))&gt;0,INDIRECT(DatCol&amp;"$"&amp;TEXT(C2137,"###")):INDIRECT(DatCol&amp;"$"&amp;TEXT(C2137+57,"###"))))</f>
        <v>447.96153846153845</v>
      </c>
      <c r="F2137" s="26" t="str">
        <f t="shared" si="2120"/>
        <v>N</v>
      </c>
      <c r="G2137" s="9">
        <v>20</v>
      </c>
      <c r="I2137" s="9">
        <v>10</v>
      </c>
      <c r="J2137" s="9">
        <v>20</v>
      </c>
      <c r="K2137" s="9">
        <f t="shared" si="2117"/>
        <v>40</v>
      </c>
      <c r="L2137" s="10">
        <v>2000</v>
      </c>
      <c r="M2137" s="11">
        <f t="shared" si="2160"/>
        <v>100000</v>
      </c>
      <c r="N2137" s="19"/>
      <c r="O2137" s="20"/>
      <c r="AK2137" s="13"/>
      <c r="AM2137" s="13"/>
      <c r="BN2137" s="8">
        <f t="shared" si="2115"/>
        <v>2000</v>
      </c>
      <c r="BO2137" s="8">
        <f t="shared" si="2116"/>
        <v>100000</v>
      </c>
      <c r="BP2137" s="8">
        <f t="shared" si="2139"/>
        <v>0</v>
      </c>
      <c r="BQ2137" s="12">
        <f t="shared" si="2140"/>
        <v>0</v>
      </c>
    </row>
    <row r="2138" spans="1:69">
      <c r="A2138" s="28">
        <v>2003</v>
      </c>
      <c r="B2138" s="27" t="s">
        <v>91</v>
      </c>
      <c r="C2138" s="24">
        <f t="shared" si="2119"/>
        <v>2090</v>
      </c>
      <c r="D2138" s="7" t="e">
        <f t="shared" ca="1" si="2159"/>
        <v>#N/A</v>
      </c>
      <c r="E2138" s="26">
        <f t="array" aca="1" ref="E2138" ca="1">AVERAGE(IF(INDIRECT(DatCol&amp;"$"&amp;TEXT(C2138,"###")):INDIRECT(DatCol&amp;"$"&amp;TEXT(C2138+57,"###"))&gt;0,INDIRECT(DatCol&amp;"$"&amp;TEXT(C2138,"###")):INDIRECT(DatCol&amp;"$"&amp;TEXT(C2138+57,"###"))))</f>
        <v>447.96153846153845</v>
      </c>
      <c r="F2138" s="26" t="str">
        <f t="shared" si="2120"/>
        <v>N</v>
      </c>
      <c r="G2138" s="9">
        <v>20</v>
      </c>
      <c r="I2138" s="9">
        <v>10</v>
      </c>
      <c r="J2138" s="9">
        <v>20</v>
      </c>
      <c r="K2138" s="9">
        <f t="shared" si="2117"/>
        <v>40</v>
      </c>
      <c r="L2138" s="10">
        <f>M2138/50</f>
        <v>20</v>
      </c>
      <c r="M2138" s="11">
        <v>1000</v>
      </c>
      <c r="N2138" s="19"/>
      <c r="O2138" s="20"/>
      <c r="AK2138" s="13"/>
      <c r="AM2138" s="13"/>
      <c r="BN2138" s="8">
        <f t="shared" si="2115"/>
        <v>20</v>
      </c>
      <c r="BO2138" s="8">
        <f t="shared" si="2116"/>
        <v>1000</v>
      </c>
      <c r="BP2138" s="8">
        <f t="shared" si="2139"/>
        <v>0</v>
      </c>
      <c r="BQ2138" s="12">
        <f t="shared" si="2140"/>
        <v>0</v>
      </c>
    </row>
    <row r="2139" spans="1:69">
      <c r="A2139" s="28">
        <v>2004</v>
      </c>
      <c r="B2139" s="27" t="s">
        <v>91</v>
      </c>
      <c r="C2139" s="24">
        <f t="shared" si="2119"/>
        <v>2090</v>
      </c>
      <c r="D2139" s="7" t="e">
        <f t="shared" ca="1" si="2159"/>
        <v>#N/A</v>
      </c>
      <c r="E2139" s="26">
        <f t="array" aca="1" ref="E2139" ca="1">AVERAGE(IF(INDIRECT(DatCol&amp;"$"&amp;TEXT(C2139,"###")):INDIRECT(DatCol&amp;"$"&amp;TEXT(C2139+57,"###"))&gt;0,INDIRECT(DatCol&amp;"$"&amp;TEXT(C2139,"###")):INDIRECT(DatCol&amp;"$"&amp;TEXT(C2139+57,"###"))))</f>
        <v>447.96153846153845</v>
      </c>
      <c r="F2139" s="26" t="str">
        <f t="shared" si="2120"/>
        <v>N</v>
      </c>
      <c r="I2139" s="9">
        <v>2</v>
      </c>
      <c r="J2139" s="9">
        <v>20</v>
      </c>
      <c r="K2139" s="9">
        <f t="shared" si="2117"/>
        <v>20</v>
      </c>
      <c r="L2139" s="10">
        <f>M2139/50</f>
        <v>40</v>
      </c>
      <c r="M2139" s="11">
        <v>2000</v>
      </c>
      <c r="N2139" s="10">
        <v>10</v>
      </c>
      <c r="O2139" s="11">
        <v>500</v>
      </c>
      <c r="AK2139" s="13"/>
      <c r="AM2139" s="13"/>
      <c r="BA2139" s="11">
        <v>5000</v>
      </c>
      <c r="BB2139" s="10">
        <f>BC2139/40</f>
        <v>2.5</v>
      </c>
      <c r="BC2139" s="11">
        <v>100</v>
      </c>
      <c r="BN2139" s="8">
        <f t="shared" si="2115"/>
        <v>40</v>
      </c>
      <c r="BO2139" s="8">
        <f t="shared" si="2116"/>
        <v>7000</v>
      </c>
      <c r="BP2139" s="8">
        <f t="shared" si="2139"/>
        <v>12.5</v>
      </c>
      <c r="BQ2139" s="12">
        <f t="shared" si="2140"/>
        <v>600</v>
      </c>
    </row>
    <row r="2140" spans="1:69">
      <c r="A2140" s="28">
        <v>2005</v>
      </c>
      <c r="B2140" s="27" t="s">
        <v>91</v>
      </c>
      <c r="C2140" s="24">
        <f t="shared" si="2119"/>
        <v>2090</v>
      </c>
      <c r="D2140" s="7" t="e">
        <f t="shared" ca="1" si="2159"/>
        <v>#N/A</v>
      </c>
      <c r="E2140" s="26">
        <f t="array" aca="1" ref="E2140" ca="1">AVERAGE(IF(INDIRECT(DatCol&amp;"$"&amp;TEXT(C2140,"###")):INDIRECT(DatCol&amp;"$"&amp;TEXT(C2140+57,"###"))&gt;0,INDIRECT(DatCol&amp;"$"&amp;TEXT(C2140,"###")):INDIRECT(DatCol&amp;"$"&amp;TEXT(C2140+57,"###"))))</f>
        <v>447.96153846153845</v>
      </c>
      <c r="F2140" s="26" t="str">
        <f t="shared" si="2120"/>
        <v>N</v>
      </c>
      <c r="H2140" s="9">
        <v>2</v>
      </c>
      <c r="I2140" s="9">
        <v>16</v>
      </c>
      <c r="J2140" s="9">
        <v>48</v>
      </c>
      <c r="K2140" s="9">
        <f t="shared" si="2117"/>
        <v>50</v>
      </c>
      <c r="L2140" s="10">
        <f>M2140/50</f>
        <v>520</v>
      </c>
      <c r="M2140" s="11">
        <v>26000</v>
      </c>
      <c r="N2140" s="10">
        <f>O2140/50</f>
        <v>10</v>
      </c>
      <c r="O2140" s="11">
        <v>500</v>
      </c>
      <c r="P2140" s="10">
        <v>0</v>
      </c>
      <c r="Q2140" s="11">
        <v>0</v>
      </c>
      <c r="R2140" s="10">
        <v>0</v>
      </c>
      <c r="S2140" s="11">
        <v>0</v>
      </c>
      <c r="T2140" s="10">
        <v>0</v>
      </c>
      <c r="U2140" s="11">
        <v>0</v>
      </c>
      <c r="V2140" s="10">
        <v>0</v>
      </c>
      <c r="W2140" s="11">
        <v>0</v>
      </c>
      <c r="X2140" s="10">
        <v>0</v>
      </c>
      <c r="Y2140" s="11">
        <v>0</v>
      </c>
      <c r="Z2140" s="10">
        <v>0</v>
      </c>
      <c r="AA2140" s="11">
        <v>0</v>
      </c>
      <c r="AB2140" s="10">
        <v>0</v>
      </c>
      <c r="AC2140" s="11">
        <v>0</v>
      </c>
      <c r="AD2140" s="10">
        <v>0</v>
      </c>
      <c r="AE2140" s="11">
        <v>0</v>
      </c>
      <c r="AF2140" s="10">
        <v>0</v>
      </c>
      <c r="AG2140" s="11">
        <v>0</v>
      </c>
      <c r="AH2140" s="10">
        <v>0</v>
      </c>
      <c r="AI2140" s="11">
        <v>0</v>
      </c>
      <c r="AJ2140" s="10">
        <v>0</v>
      </c>
      <c r="AK2140" s="13">
        <v>0</v>
      </c>
      <c r="AL2140" s="10">
        <v>0</v>
      </c>
      <c r="AM2140" s="13">
        <v>0</v>
      </c>
      <c r="AN2140" s="10">
        <v>0</v>
      </c>
      <c r="AO2140" s="11">
        <v>0</v>
      </c>
      <c r="AP2140" s="10">
        <v>0</v>
      </c>
      <c r="AQ2140" s="11">
        <v>0</v>
      </c>
      <c r="AR2140" s="10">
        <v>0</v>
      </c>
      <c r="AS2140" s="11">
        <v>0</v>
      </c>
      <c r="AT2140" s="10">
        <v>0</v>
      </c>
      <c r="AU2140" s="11">
        <v>0</v>
      </c>
      <c r="AV2140" s="10">
        <v>0</v>
      </c>
      <c r="AW2140" s="11">
        <v>0</v>
      </c>
      <c r="AX2140" s="10">
        <v>0</v>
      </c>
      <c r="AY2140" s="11">
        <v>0</v>
      </c>
      <c r="AZ2140" s="10">
        <f>BA2140/40</f>
        <v>750</v>
      </c>
      <c r="BA2140" s="11">
        <v>30000</v>
      </c>
      <c r="BB2140" s="10">
        <f>BC2140/40</f>
        <v>2.5</v>
      </c>
      <c r="BC2140" s="11">
        <v>100</v>
      </c>
      <c r="BN2140" s="8">
        <f t="shared" si="2115"/>
        <v>1270</v>
      </c>
      <c r="BO2140" s="8">
        <f t="shared" si="2116"/>
        <v>56000</v>
      </c>
      <c r="BP2140" s="8">
        <f t="shared" si="2139"/>
        <v>12.5</v>
      </c>
      <c r="BQ2140" s="12">
        <f t="shared" si="2140"/>
        <v>600</v>
      </c>
    </row>
    <row r="2141" spans="1:69">
      <c r="A2141" s="28">
        <v>2006</v>
      </c>
      <c r="B2141" s="27" t="s">
        <v>91</v>
      </c>
      <c r="C2141" s="24">
        <f t="shared" si="2119"/>
        <v>2090</v>
      </c>
      <c r="D2141" s="7" t="e">
        <f t="shared" ca="1" si="2159"/>
        <v>#N/A</v>
      </c>
      <c r="E2141" s="26">
        <f t="array" aca="1" ref="E2141" ca="1">AVERAGE(IF(INDIRECT(DatCol&amp;"$"&amp;TEXT(C2141,"###")):INDIRECT(DatCol&amp;"$"&amp;TEXT(C2141+57,"###"))&gt;0,INDIRECT(DatCol&amp;"$"&amp;TEXT(C2141,"###")):INDIRECT(DatCol&amp;"$"&amp;TEXT(C2141+57,"###"))))</f>
        <v>447.96153846153845</v>
      </c>
      <c r="F2141" s="26" t="str">
        <f t="shared" si="2120"/>
        <v>N</v>
      </c>
      <c r="K2141" s="9">
        <f t="shared" si="2117"/>
        <v>0</v>
      </c>
      <c r="AK2141" s="13"/>
      <c r="AM2141" s="13"/>
      <c r="BN2141" s="8">
        <f t="shared" si="2115"/>
        <v>0</v>
      </c>
      <c r="BO2141" s="8">
        <f t="shared" si="2116"/>
        <v>0</v>
      </c>
      <c r="BP2141" s="8">
        <f t="shared" si="2139"/>
        <v>0</v>
      </c>
      <c r="BQ2141" s="12">
        <f t="shared" si="2140"/>
        <v>0</v>
      </c>
    </row>
    <row r="2142" spans="1:69">
      <c r="A2142" s="28">
        <v>2007</v>
      </c>
      <c r="B2142" s="27" t="s">
        <v>91</v>
      </c>
      <c r="C2142" s="24">
        <f t="shared" si="2119"/>
        <v>2090</v>
      </c>
      <c r="D2142" s="7" t="e">
        <f t="shared" ca="1" si="2159"/>
        <v>#N/A</v>
      </c>
      <c r="E2142" s="26">
        <f t="array" aca="1" ref="E2142" ca="1">AVERAGE(IF(INDIRECT(DatCol&amp;"$"&amp;TEXT(C2142,"###")):INDIRECT(DatCol&amp;"$"&amp;TEXT(C2142+57,"###"))&gt;0,INDIRECT(DatCol&amp;"$"&amp;TEXT(C2142,"###")):INDIRECT(DatCol&amp;"$"&amp;TEXT(C2142+57,"###"))))</f>
        <v>447.96153846153845</v>
      </c>
      <c r="F2142" s="26" t="str">
        <f t="shared" si="2120"/>
        <v>N</v>
      </c>
      <c r="I2142" s="9">
        <v>20</v>
      </c>
      <c r="J2142" s="9">
        <f>34+3</f>
        <v>37</v>
      </c>
      <c r="K2142" s="9">
        <f t="shared" si="2117"/>
        <v>37</v>
      </c>
      <c r="L2142" s="10">
        <f>M2142/50</f>
        <v>80</v>
      </c>
      <c r="M2142" s="11">
        <v>4000</v>
      </c>
      <c r="N2142" s="10">
        <f>O2142/50</f>
        <v>16</v>
      </c>
      <c r="O2142" s="11">
        <v>800</v>
      </c>
      <c r="P2142" s="10">
        <v>0</v>
      </c>
      <c r="Q2142" s="11">
        <v>0</v>
      </c>
      <c r="R2142" s="10">
        <v>0</v>
      </c>
      <c r="S2142" s="11">
        <v>0</v>
      </c>
      <c r="T2142" s="10">
        <v>0</v>
      </c>
      <c r="U2142" s="11">
        <v>0</v>
      </c>
      <c r="V2142" s="10">
        <v>0</v>
      </c>
      <c r="W2142" s="11">
        <v>0</v>
      </c>
      <c r="X2142" s="10">
        <v>0</v>
      </c>
      <c r="Y2142" s="11">
        <v>0</v>
      </c>
      <c r="Z2142" s="10">
        <v>0</v>
      </c>
      <c r="AA2142" s="11">
        <v>0</v>
      </c>
      <c r="AB2142" s="10">
        <v>0</v>
      </c>
      <c r="AC2142" s="11">
        <v>0</v>
      </c>
      <c r="AD2142" s="10">
        <v>0</v>
      </c>
      <c r="AE2142" s="11">
        <v>0</v>
      </c>
      <c r="AF2142" s="10">
        <v>0</v>
      </c>
      <c r="AG2142" s="11">
        <v>0</v>
      </c>
      <c r="AH2142" s="10">
        <v>0</v>
      </c>
      <c r="AI2142" s="11">
        <v>0</v>
      </c>
      <c r="AJ2142" s="10">
        <v>0</v>
      </c>
      <c r="AK2142" s="13">
        <v>0</v>
      </c>
      <c r="AL2142" s="10">
        <v>0</v>
      </c>
      <c r="AM2142" s="13">
        <v>0</v>
      </c>
      <c r="AN2142" s="10">
        <v>0</v>
      </c>
      <c r="AO2142" s="11">
        <v>0</v>
      </c>
      <c r="AP2142" s="10">
        <v>0</v>
      </c>
      <c r="AQ2142" s="11">
        <v>0</v>
      </c>
      <c r="AR2142" s="10">
        <v>0</v>
      </c>
      <c r="AS2142" s="11">
        <v>0</v>
      </c>
      <c r="AT2142" s="10">
        <v>0</v>
      </c>
      <c r="AU2142" s="11">
        <v>0</v>
      </c>
      <c r="AV2142" s="10">
        <v>0</v>
      </c>
      <c r="AW2142" s="11">
        <v>0</v>
      </c>
      <c r="AX2142" s="10">
        <v>0</v>
      </c>
      <c r="AY2142" s="11">
        <v>0</v>
      </c>
      <c r="AZ2142" s="10">
        <f>BA2142/40</f>
        <v>500</v>
      </c>
      <c r="BA2142" s="11">
        <v>20000</v>
      </c>
      <c r="BB2142" s="10">
        <f>BC2142/40</f>
        <v>7.5</v>
      </c>
      <c r="BC2142" s="11">
        <v>300</v>
      </c>
      <c r="BN2142" s="8">
        <f t="shared" si="2115"/>
        <v>580</v>
      </c>
      <c r="BO2142" s="8">
        <f t="shared" si="2116"/>
        <v>24000</v>
      </c>
      <c r="BP2142" s="8">
        <f t="shared" si="2139"/>
        <v>23.5</v>
      </c>
      <c r="BQ2142" s="12">
        <f t="shared" si="2140"/>
        <v>1100</v>
      </c>
    </row>
    <row r="2143" spans="1:69">
      <c r="A2143" s="28">
        <v>2008</v>
      </c>
      <c r="B2143" s="27" t="s">
        <v>91</v>
      </c>
      <c r="C2143" s="24">
        <f t="shared" si="2119"/>
        <v>2090</v>
      </c>
      <c r="D2143" s="7" t="e">
        <f t="shared" ca="1" si="2159"/>
        <v>#N/A</v>
      </c>
      <c r="E2143" s="26">
        <f t="array" aca="1" ref="E2143" ca="1">AVERAGE(IF(INDIRECT(DatCol&amp;"$"&amp;TEXT(C2143,"###")):INDIRECT(DatCol&amp;"$"&amp;TEXT(C2143+57,"###"))&gt;0,INDIRECT(DatCol&amp;"$"&amp;TEXT(C2143,"###")):INDIRECT(DatCol&amp;"$"&amp;TEXT(C2143+57,"###"))))</f>
        <v>447.96153846153845</v>
      </c>
      <c r="F2143" s="26" t="str">
        <f t="shared" si="2120"/>
        <v>N</v>
      </c>
      <c r="K2143" s="9">
        <f t="shared" si="2117"/>
        <v>0</v>
      </c>
      <c r="AK2143" s="13"/>
      <c r="AM2143" s="13"/>
      <c r="BN2143" s="8">
        <f t="shared" si="2115"/>
        <v>0</v>
      </c>
      <c r="BO2143" s="8">
        <f t="shared" si="2116"/>
        <v>0</v>
      </c>
      <c r="BP2143" s="8">
        <f t="shared" si="2139"/>
        <v>0</v>
      </c>
      <c r="BQ2143" s="12">
        <f t="shared" si="2140"/>
        <v>0</v>
      </c>
    </row>
    <row r="2144" spans="1:69">
      <c r="A2144" s="28">
        <v>2009</v>
      </c>
      <c r="B2144" s="27" t="s">
        <v>91</v>
      </c>
      <c r="C2144" s="24">
        <f t="shared" si="2119"/>
        <v>2090</v>
      </c>
      <c r="D2144" s="7" t="e">
        <f t="shared" ca="1" si="2159"/>
        <v>#N/A</v>
      </c>
      <c r="E2144" s="26">
        <f t="array" aca="1" ref="E2144" ca="1">AVERAGE(IF(INDIRECT(DatCol&amp;"$"&amp;TEXT(C2144,"###")):INDIRECT(DatCol&amp;"$"&amp;TEXT(C2144+57,"###"))&gt;0,INDIRECT(DatCol&amp;"$"&amp;TEXT(C2144,"###")):INDIRECT(DatCol&amp;"$"&amp;TEXT(C2144+57,"###"))))</f>
        <v>447.96153846153845</v>
      </c>
      <c r="F2144" s="26" t="str">
        <f t="shared" si="2120"/>
        <v>N</v>
      </c>
      <c r="G2144" s="21"/>
      <c r="H2144" s="21">
        <v>2</v>
      </c>
      <c r="I2144" s="21">
        <v>30</v>
      </c>
      <c r="J2144" s="9">
        <v>74</v>
      </c>
      <c r="K2144" s="9">
        <f t="shared" si="2117"/>
        <v>76</v>
      </c>
      <c r="L2144" s="19">
        <f>M2144/50</f>
        <v>800</v>
      </c>
      <c r="M2144" s="20">
        <v>40000</v>
      </c>
      <c r="N2144" s="19">
        <f>O2144/50</f>
        <v>80</v>
      </c>
      <c r="O2144" s="20">
        <v>4000</v>
      </c>
      <c r="P2144" s="10">
        <v>0</v>
      </c>
      <c r="Q2144" s="11">
        <v>0</v>
      </c>
      <c r="R2144" s="10">
        <v>0</v>
      </c>
      <c r="S2144" s="11">
        <v>0</v>
      </c>
      <c r="T2144" s="10">
        <v>0</v>
      </c>
      <c r="U2144" s="11">
        <v>0</v>
      </c>
      <c r="V2144" s="10">
        <v>0</v>
      </c>
      <c r="W2144" s="11">
        <v>0</v>
      </c>
      <c r="X2144" s="10">
        <v>0</v>
      </c>
      <c r="Y2144" s="11">
        <v>0</v>
      </c>
      <c r="Z2144" s="10">
        <v>0</v>
      </c>
      <c r="AA2144" s="11">
        <v>0</v>
      </c>
      <c r="AB2144" s="10">
        <v>0</v>
      </c>
      <c r="AC2144" s="11">
        <v>0</v>
      </c>
      <c r="AD2144" s="10">
        <v>0</v>
      </c>
      <c r="AE2144" s="11">
        <v>0</v>
      </c>
      <c r="AF2144" s="10">
        <v>0</v>
      </c>
      <c r="AG2144" s="11">
        <v>0</v>
      </c>
      <c r="AH2144" s="10">
        <f>AI2144/47.5</f>
        <v>4.2105263157894735</v>
      </c>
      <c r="AI2144" s="11">
        <v>200</v>
      </c>
      <c r="AJ2144" s="10">
        <v>0</v>
      </c>
      <c r="AK2144" s="13">
        <v>0</v>
      </c>
      <c r="AL2144" s="10">
        <v>0</v>
      </c>
      <c r="AM2144" s="13">
        <v>0</v>
      </c>
      <c r="AN2144" s="10">
        <v>0</v>
      </c>
      <c r="AO2144" s="11">
        <v>0</v>
      </c>
      <c r="AP2144" s="10">
        <v>0</v>
      </c>
      <c r="AQ2144" s="11">
        <v>0</v>
      </c>
      <c r="AR2144" s="10">
        <v>0</v>
      </c>
      <c r="AS2144" s="11">
        <v>0</v>
      </c>
      <c r="AT2144" s="10">
        <v>0</v>
      </c>
      <c r="AU2144" s="11">
        <v>0</v>
      </c>
      <c r="AV2144" s="10">
        <v>0</v>
      </c>
      <c r="AW2144" s="11">
        <v>0</v>
      </c>
      <c r="AX2144" s="10">
        <v>0</v>
      </c>
      <c r="AY2144" s="11">
        <v>0</v>
      </c>
      <c r="AZ2144" s="10">
        <f>BA2144/40</f>
        <v>500</v>
      </c>
      <c r="BA2144" s="11">
        <v>20000</v>
      </c>
      <c r="BB2144" s="10">
        <f>BC2144/40</f>
        <v>100</v>
      </c>
      <c r="BC2144" s="11">
        <v>4000</v>
      </c>
      <c r="BD2144" s="10">
        <v>0</v>
      </c>
      <c r="BE2144" s="11">
        <v>0</v>
      </c>
      <c r="BF2144" s="10">
        <v>0</v>
      </c>
      <c r="BG2144" s="11">
        <v>0</v>
      </c>
      <c r="BN2144" s="8">
        <f t="shared" si="2115"/>
        <v>1300</v>
      </c>
      <c r="BO2144" s="8">
        <f t="shared" si="2116"/>
        <v>60000</v>
      </c>
      <c r="BP2144" s="8">
        <f t="shared" si="2139"/>
        <v>184.21052631578948</v>
      </c>
      <c r="BQ2144" s="12">
        <f t="shared" si="2140"/>
        <v>8200</v>
      </c>
    </row>
    <row r="2145" spans="1:69">
      <c r="A2145" s="28">
        <v>2010</v>
      </c>
      <c r="B2145" s="27" t="s">
        <v>91</v>
      </c>
      <c r="C2145" s="24">
        <f t="shared" si="2119"/>
        <v>2090</v>
      </c>
      <c r="D2145" s="7" t="e">
        <f t="shared" ca="1" si="2159"/>
        <v>#N/A</v>
      </c>
      <c r="E2145" s="26">
        <f t="array" aca="1" ref="E2145" ca="1">AVERAGE(IF(INDIRECT(DatCol&amp;"$"&amp;TEXT(C2145,"###")):INDIRECT(DatCol&amp;"$"&amp;TEXT(C2145+57,"###"))&gt;0,INDIRECT(DatCol&amp;"$"&amp;TEXT(C2145,"###")):INDIRECT(DatCol&amp;"$"&amp;TEXT(C2145+57,"###"))))</f>
        <v>447.96153846153845</v>
      </c>
      <c r="F2145" s="26" t="str">
        <f t="shared" ref="F2145:F2147" si="2161">VLOOKUP(B2145,town_region,2,FALSE)</f>
        <v>N</v>
      </c>
      <c r="G2145" s="21"/>
      <c r="H2145" s="21"/>
      <c r="I2145" s="21"/>
      <c r="L2145" s="19"/>
      <c r="M2145" s="20"/>
      <c r="N2145" s="19"/>
      <c r="O2145" s="20"/>
      <c r="AK2145" s="13"/>
      <c r="AM2145" s="13"/>
      <c r="BN2145" s="8"/>
      <c r="BO2145" s="8"/>
      <c r="BP2145" s="8"/>
      <c r="BQ2145" s="12"/>
    </row>
    <row r="2146" spans="1:69">
      <c r="A2146" s="28">
        <v>2011</v>
      </c>
      <c r="B2146" s="27" t="s">
        <v>91</v>
      </c>
      <c r="C2146" s="24">
        <f t="shared" si="2119"/>
        <v>2090</v>
      </c>
      <c r="D2146" s="7" t="e">
        <f t="shared" ca="1" si="2159"/>
        <v>#N/A</v>
      </c>
      <c r="E2146" s="26">
        <f t="array" aca="1" ref="E2146" ca="1">AVERAGE(IF(INDIRECT(DatCol&amp;"$"&amp;TEXT(C2146,"###")):INDIRECT(DatCol&amp;"$"&amp;TEXT(C2146+57,"###"))&gt;0,INDIRECT(DatCol&amp;"$"&amp;TEXT(C2146,"###")):INDIRECT(DatCol&amp;"$"&amp;TEXT(C2146+57,"###"))))</f>
        <v>447.96153846153845</v>
      </c>
      <c r="F2146" s="26" t="str">
        <f t="shared" si="2161"/>
        <v>N</v>
      </c>
      <c r="G2146" s="21"/>
      <c r="H2146" s="21"/>
      <c r="I2146" s="21"/>
      <c r="L2146" s="19"/>
      <c r="M2146" s="20"/>
      <c r="N2146" s="19"/>
      <c r="O2146" s="20"/>
      <c r="AK2146" s="13"/>
      <c r="AM2146" s="13"/>
      <c r="BN2146" s="8"/>
      <c r="BO2146" s="8"/>
      <c r="BP2146" s="8"/>
      <c r="BQ2146" s="12"/>
    </row>
    <row r="2147" spans="1:69">
      <c r="A2147" s="28">
        <v>2012</v>
      </c>
      <c r="B2147" s="27" t="s">
        <v>91</v>
      </c>
      <c r="C2147" s="24">
        <f t="shared" si="2119"/>
        <v>2090</v>
      </c>
      <c r="D2147" s="7" t="e">
        <f t="shared" ca="1" si="2159"/>
        <v>#N/A</v>
      </c>
      <c r="E2147" s="26">
        <f t="array" aca="1" ref="E2147" ca="1">AVERAGE(IF(INDIRECT(DatCol&amp;"$"&amp;TEXT(C2147,"###")):INDIRECT(DatCol&amp;"$"&amp;TEXT(C2147+57,"###"))&gt;0,INDIRECT(DatCol&amp;"$"&amp;TEXT(C2147,"###")):INDIRECT(DatCol&amp;"$"&amp;TEXT(C2147+57,"###"))))</f>
        <v>447.96153846153845</v>
      </c>
      <c r="F2147" s="26" t="str">
        <f t="shared" si="2161"/>
        <v>N</v>
      </c>
      <c r="G2147" s="21"/>
      <c r="H2147" s="21"/>
      <c r="I2147" s="21"/>
      <c r="L2147" s="19"/>
      <c r="M2147" s="20"/>
      <c r="N2147" s="19"/>
      <c r="O2147" s="20"/>
      <c r="AK2147" s="13"/>
      <c r="AM2147" s="13"/>
      <c r="BN2147" s="8"/>
      <c r="BO2147" s="8"/>
      <c r="BP2147" s="8"/>
      <c r="BQ2147" s="12"/>
    </row>
    <row r="2148" spans="1:69">
      <c r="A2148" s="28">
        <v>1955</v>
      </c>
      <c r="B2148" s="27" t="s">
        <v>92</v>
      </c>
      <c r="C2148" s="24">
        <f>ROW()</f>
        <v>2148</v>
      </c>
      <c r="D2148" s="7" t="e">
        <f t="shared" ca="1" si="2159"/>
        <v>#N/A</v>
      </c>
      <c r="E2148" s="26">
        <f t="array" aca="1" ref="E2148" ca="1">AVERAGE(IF(INDIRECT(DatCol&amp;"$"&amp;TEXT(C2148,"###")):INDIRECT(DatCol&amp;"$"&amp;TEXT(C2148+57,"###"))&gt;0,INDIRECT(DatCol&amp;"$"&amp;TEXT(C2148,"###")):INDIRECT(DatCol&amp;"$"&amp;TEXT(C2148+57,"###"))))</f>
        <v>63</v>
      </c>
      <c r="F2148" s="26" t="str">
        <f t="shared" si="2120"/>
        <v>C</v>
      </c>
      <c r="G2148" s="8"/>
      <c r="K2148" s="9">
        <f t="shared" si="2117"/>
        <v>0</v>
      </c>
      <c r="M2148" s="11">
        <f t="shared" ref="M2148:M2157" si="2162">(L2148*50)</f>
        <v>0</v>
      </c>
      <c r="O2148" s="11">
        <f t="shared" ref="O2148:O2157" si="2163">(N2148*50)</f>
        <v>0</v>
      </c>
      <c r="Q2148" s="11">
        <f t="shared" ref="Q2148:Q2157" si="2164">((P2148*330)/5.5)</f>
        <v>0</v>
      </c>
      <c r="Y2148" s="11">
        <f t="shared" ref="Y2148:Y2157" si="2165">((X2148*330)/5.5)</f>
        <v>0</v>
      </c>
      <c r="AG2148" s="11">
        <f t="shared" ref="AG2148:AG2157" si="2166">(AF2148*65)</f>
        <v>0</v>
      </c>
      <c r="AI2148" s="11">
        <f t="shared" ref="AI2148:AI2157" si="2167">(AH2148*65)</f>
        <v>0</v>
      </c>
      <c r="AK2148" s="13">
        <f t="shared" ref="AK2148:AK2157" si="2168">(AJ2148*9)</f>
        <v>0</v>
      </c>
      <c r="AM2148" s="13">
        <f t="shared" ref="AM2148:AM2157" si="2169">(AL2148*9)</f>
        <v>0</v>
      </c>
      <c r="AO2148" s="11">
        <f t="shared" ref="AO2148:AO2157" si="2170">(AN2148*80)</f>
        <v>0</v>
      </c>
      <c r="AQ2148" s="11">
        <f t="shared" ref="AQ2148:AQ2157" si="2171">(AP2148*80)</f>
        <v>0</v>
      </c>
      <c r="AS2148" s="11">
        <f t="shared" ref="AS2148:AS2157" si="2172">(AR2148*50)</f>
        <v>0</v>
      </c>
      <c r="AU2148" s="11">
        <f t="shared" ref="AU2148:AU2157" si="2173">(AT2148*50)</f>
        <v>0</v>
      </c>
      <c r="AW2148" s="11">
        <f t="shared" ref="AW2148:AW2157" si="2174">(AV2148*60)</f>
        <v>0</v>
      </c>
      <c r="AY2148" s="11">
        <f t="shared" ref="AY2148:AY2157" si="2175">(AX2148*60)</f>
        <v>0</v>
      </c>
      <c r="BA2148" s="11">
        <f t="shared" ref="BA2148:BA2157" si="2176">(AZ2148*40)</f>
        <v>0</v>
      </c>
      <c r="BC2148" s="11">
        <f t="shared" ref="BC2148:BC2157" si="2177">(BB2148*40)</f>
        <v>0</v>
      </c>
      <c r="BE2148" s="11">
        <f t="shared" ref="BE2148:BE2157" si="2178">(BD2148*95)</f>
        <v>0</v>
      </c>
      <c r="BG2148" s="11">
        <f t="shared" ref="BG2148:BG2157" si="2179">(BF2148*95)</f>
        <v>0</v>
      </c>
      <c r="BN2148" s="8">
        <f t="shared" si="2115"/>
        <v>0</v>
      </c>
      <c r="BO2148" s="8">
        <f t="shared" si="2116"/>
        <v>0</v>
      </c>
      <c r="BP2148" s="8">
        <f t="shared" si="2139"/>
        <v>0</v>
      </c>
      <c r="BQ2148" s="12">
        <f t="shared" si="2140"/>
        <v>0</v>
      </c>
    </row>
    <row r="2149" spans="1:69">
      <c r="A2149" s="28">
        <v>1956</v>
      </c>
      <c r="B2149" s="27" t="s">
        <v>92</v>
      </c>
      <c r="C2149" s="24">
        <f t="shared" ref="C2149:C2205" si="2180">C2148</f>
        <v>2148</v>
      </c>
      <c r="D2149" s="7" t="e">
        <f t="shared" ca="1" si="2159"/>
        <v>#N/A</v>
      </c>
      <c r="E2149" s="26">
        <f t="array" aca="1" ref="E2149" ca="1">AVERAGE(IF(INDIRECT(DatCol&amp;"$"&amp;TEXT(C2149,"###")):INDIRECT(DatCol&amp;"$"&amp;TEXT(C2149+57,"###"))&gt;0,INDIRECT(DatCol&amp;"$"&amp;TEXT(C2149,"###")):INDIRECT(DatCol&amp;"$"&amp;TEXT(C2149+57,"###"))))</f>
        <v>63</v>
      </c>
      <c r="F2149" s="26" t="str">
        <f t="shared" si="2120"/>
        <v>C</v>
      </c>
      <c r="G2149" s="8"/>
      <c r="K2149" s="9">
        <f t="shared" si="2117"/>
        <v>0</v>
      </c>
      <c r="M2149" s="11">
        <f t="shared" si="2162"/>
        <v>0</v>
      </c>
      <c r="O2149" s="11">
        <f t="shared" si="2163"/>
        <v>0</v>
      </c>
      <c r="Q2149" s="11">
        <f t="shared" si="2164"/>
        <v>0</v>
      </c>
      <c r="Y2149" s="11">
        <f t="shared" si="2165"/>
        <v>0</v>
      </c>
      <c r="AG2149" s="11">
        <f t="shared" si="2166"/>
        <v>0</v>
      </c>
      <c r="AI2149" s="11">
        <f t="shared" si="2167"/>
        <v>0</v>
      </c>
      <c r="AK2149" s="13">
        <f t="shared" si="2168"/>
        <v>0</v>
      </c>
      <c r="AM2149" s="13">
        <f t="shared" si="2169"/>
        <v>0</v>
      </c>
      <c r="AO2149" s="11">
        <f t="shared" si="2170"/>
        <v>0</v>
      </c>
      <c r="AQ2149" s="11">
        <f t="shared" si="2171"/>
        <v>0</v>
      </c>
      <c r="AS2149" s="11">
        <f t="shared" si="2172"/>
        <v>0</v>
      </c>
      <c r="AU2149" s="11">
        <f t="shared" si="2173"/>
        <v>0</v>
      </c>
      <c r="AW2149" s="11">
        <f t="shared" si="2174"/>
        <v>0</v>
      </c>
      <c r="AY2149" s="11">
        <f t="shared" si="2175"/>
        <v>0</v>
      </c>
      <c r="BA2149" s="11">
        <f t="shared" si="2176"/>
        <v>0</v>
      </c>
      <c r="BC2149" s="11">
        <f t="shared" si="2177"/>
        <v>0</v>
      </c>
      <c r="BE2149" s="11">
        <f t="shared" si="2178"/>
        <v>0</v>
      </c>
      <c r="BG2149" s="11">
        <f t="shared" si="2179"/>
        <v>0</v>
      </c>
      <c r="BN2149" s="8">
        <f t="shared" si="2115"/>
        <v>0</v>
      </c>
      <c r="BO2149" s="8">
        <f t="shared" si="2116"/>
        <v>0</v>
      </c>
      <c r="BP2149" s="8">
        <f t="shared" si="2139"/>
        <v>0</v>
      </c>
      <c r="BQ2149" s="12">
        <f t="shared" si="2140"/>
        <v>0</v>
      </c>
    </row>
    <row r="2150" spans="1:69">
      <c r="A2150" s="28">
        <v>1957</v>
      </c>
      <c r="B2150" s="27" t="s">
        <v>92</v>
      </c>
      <c r="C2150" s="24">
        <f t="shared" si="2180"/>
        <v>2148</v>
      </c>
      <c r="D2150" s="7" t="e">
        <f t="shared" ca="1" si="2159"/>
        <v>#N/A</v>
      </c>
      <c r="E2150" s="26">
        <f t="array" aca="1" ref="E2150" ca="1">AVERAGE(IF(INDIRECT(DatCol&amp;"$"&amp;TEXT(C2150,"###")):INDIRECT(DatCol&amp;"$"&amp;TEXT(C2150+57,"###"))&gt;0,INDIRECT(DatCol&amp;"$"&amp;TEXT(C2150,"###")):INDIRECT(DatCol&amp;"$"&amp;TEXT(C2150+57,"###"))))</f>
        <v>63</v>
      </c>
      <c r="F2150" s="26" t="str">
        <f t="shared" si="2120"/>
        <v>C</v>
      </c>
      <c r="G2150" s="8"/>
      <c r="K2150" s="9">
        <f t="shared" si="2117"/>
        <v>0</v>
      </c>
      <c r="M2150" s="11">
        <f t="shared" si="2162"/>
        <v>0</v>
      </c>
      <c r="O2150" s="11">
        <f t="shared" si="2163"/>
        <v>0</v>
      </c>
      <c r="Q2150" s="11">
        <f t="shared" si="2164"/>
        <v>0</v>
      </c>
      <c r="Y2150" s="11">
        <f t="shared" si="2165"/>
        <v>0</v>
      </c>
      <c r="AG2150" s="11">
        <f t="shared" si="2166"/>
        <v>0</v>
      </c>
      <c r="AI2150" s="11">
        <f t="shared" si="2167"/>
        <v>0</v>
      </c>
      <c r="AK2150" s="13">
        <f t="shared" si="2168"/>
        <v>0</v>
      </c>
      <c r="AM2150" s="13">
        <f t="shared" si="2169"/>
        <v>0</v>
      </c>
      <c r="AO2150" s="11">
        <f t="shared" si="2170"/>
        <v>0</v>
      </c>
      <c r="AQ2150" s="11">
        <f t="shared" si="2171"/>
        <v>0</v>
      </c>
      <c r="AS2150" s="11">
        <f t="shared" si="2172"/>
        <v>0</v>
      </c>
      <c r="AU2150" s="11">
        <f t="shared" si="2173"/>
        <v>0</v>
      </c>
      <c r="AW2150" s="11">
        <f t="shared" si="2174"/>
        <v>0</v>
      </c>
      <c r="AY2150" s="11">
        <f t="shared" si="2175"/>
        <v>0</v>
      </c>
      <c r="BA2150" s="11">
        <f t="shared" si="2176"/>
        <v>0</v>
      </c>
      <c r="BC2150" s="11">
        <f t="shared" si="2177"/>
        <v>0</v>
      </c>
      <c r="BE2150" s="11">
        <f t="shared" si="2178"/>
        <v>0</v>
      </c>
      <c r="BG2150" s="11">
        <f t="shared" si="2179"/>
        <v>0</v>
      </c>
      <c r="BN2150" s="8">
        <f t="shared" ref="BN2150:BN2214" si="2181">(L2150+P2150+R2150+T2150+V2150+X2150+Z2150+AB2150+AD2150+AF2150+AJ2150+AN2150+AR2150+AV2150+AZ2150+BD2150)</f>
        <v>0</v>
      </c>
      <c r="BO2150" s="8">
        <f t="shared" si="2116"/>
        <v>0</v>
      </c>
      <c r="BP2150" s="8">
        <f t="shared" si="2139"/>
        <v>0</v>
      </c>
      <c r="BQ2150" s="12">
        <f t="shared" si="2140"/>
        <v>0</v>
      </c>
    </row>
    <row r="2151" spans="1:69">
      <c r="A2151" s="28">
        <v>1958</v>
      </c>
      <c r="B2151" s="27" t="s">
        <v>92</v>
      </c>
      <c r="C2151" s="24">
        <f t="shared" si="2180"/>
        <v>2148</v>
      </c>
      <c r="D2151" s="7" t="e">
        <f t="shared" ca="1" si="2159"/>
        <v>#N/A</v>
      </c>
      <c r="E2151" s="26">
        <f t="array" aca="1" ref="E2151" ca="1">AVERAGE(IF(INDIRECT(DatCol&amp;"$"&amp;TEXT(C2151,"###")):INDIRECT(DatCol&amp;"$"&amp;TEXT(C2151+57,"###"))&gt;0,INDIRECT(DatCol&amp;"$"&amp;TEXT(C2151,"###")):INDIRECT(DatCol&amp;"$"&amp;TEXT(C2151+57,"###"))))</f>
        <v>63</v>
      </c>
      <c r="F2151" s="26" t="str">
        <f t="shared" si="2120"/>
        <v>C</v>
      </c>
      <c r="G2151" s="8"/>
      <c r="K2151" s="9">
        <f t="shared" si="2117"/>
        <v>0</v>
      </c>
      <c r="M2151" s="11">
        <f t="shared" si="2162"/>
        <v>0</v>
      </c>
      <c r="O2151" s="11">
        <f t="shared" si="2163"/>
        <v>0</v>
      </c>
      <c r="Q2151" s="11">
        <f t="shared" si="2164"/>
        <v>0</v>
      </c>
      <c r="Y2151" s="11">
        <f t="shared" si="2165"/>
        <v>0</v>
      </c>
      <c r="AG2151" s="11">
        <f t="shared" si="2166"/>
        <v>0</v>
      </c>
      <c r="AI2151" s="11">
        <f t="shared" si="2167"/>
        <v>0</v>
      </c>
      <c r="AK2151" s="13">
        <f t="shared" si="2168"/>
        <v>0</v>
      </c>
      <c r="AM2151" s="13">
        <f t="shared" si="2169"/>
        <v>0</v>
      </c>
      <c r="AO2151" s="11">
        <f t="shared" si="2170"/>
        <v>0</v>
      </c>
      <c r="AQ2151" s="11">
        <f t="shared" si="2171"/>
        <v>0</v>
      </c>
      <c r="AS2151" s="11">
        <f t="shared" si="2172"/>
        <v>0</v>
      </c>
      <c r="AU2151" s="11">
        <f t="shared" si="2173"/>
        <v>0</v>
      </c>
      <c r="AW2151" s="11">
        <f t="shared" si="2174"/>
        <v>0</v>
      </c>
      <c r="AY2151" s="11">
        <f t="shared" si="2175"/>
        <v>0</v>
      </c>
      <c r="BA2151" s="11">
        <f t="shared" si="2176"/>
        <v>0</v>
      </c>
      <c r="BC2151" s="11">
        <f t="shared" si="2177"/>
        <v>0</v>
      </c>
      <c r="BE2151" s="11">
        <f t="shared" si="2178"/>
        <v>0</v>
      </c>
      <c r="BG2151" s="11">
        <f t="shared" si="2179"/>
        <v>0</v>
      </c>
      <c r="BN2151" s="8">
        <f t="shared" si="2181"/>
        <v>0</v>
      </c>
      <c r="BO2151" s="8">
        <f t="shared" ref="BO2151:BO2215" si="2182">(M2151+Q2151+S2151+U2151+W2151+Y2151+AA2151+AC2151+AG2151+AK2151+AO2151+AS2151+AW2151+BA2151+BE2151)</f>
        <v>0</v>
      </c>
      <c r="BP2151" s="8">
        <f t="shared" si="2139"/>
        <v>0</v>
      </c>
      <c r="BQ2151" s="12">
        <f t="shared" si="2140"/>
        <v>0</v>
      </c>
    </row>
    <row r="2152" spans="1:69">
      <c r="A2152" s="28">
        <v>1959</v>
      </c>
      <c r="B2152" s="27" t="s">
        <v>92</v>
      </c>
      <c r="C2152" s="24">
        <f t="shared" si="2180"/>
        <v>2148</v>
      </c>
      <c r="D2152" s="7" t="e">
        <f t="shared" ca="1" si="2159"/>
        <v>#N/A</v>
      </c>
      <c r="E2152" s="26">
        <f t="array" aca="1" ref="E2152" ca="1">AVERAGE(IF(INDIRECT(DatCol&amp;"$"&amp;TEXT(C2152,"###")):INDIRECT(DatCol&amp;"$"&amp;TEXT(C2152+57,"###"))&gt;0,INDIRECT(DatCol&amp;"$"&amp;TEXT(C2152,"###")):INDIRECT(DatCol&amp;"$"&amp;TEXT(C2152+57,"###"))))</f>
        <v>63</v>
      </c>
      <c r="F2152" s="26" t="str">
        <f t="shared" si="2120"/>
        <v>C</v>
      </c>
      <c r="G2152" s="8"/>
      <c r="K2152" s="9">
        <f t="shared" ref="K2152:K2216" si="2183">G2152+H2152+J2152</f>
        <v>0</v>
      </c>
      <c r="M2152" s="11">
        <f t="shared" si="2162"/>
        <v>0</v>
      </c>
      <c r="O2152" s="11">
        <f t="shared" si="2163"/>
        <v>0</v>
      </c>
      <c r="Q2152" s="11">
        <f t="shared" si="2164"/>
        <v>0</v>
      </c>
      <c r="Y2152" s="11">
        <f t="shared" si="2165"/>
        <v>0</v>
      </c>
      <c r="AG2152" s="11">
        <f t="shared" si="2166"/>
        <v>0</v>
      </c>
      <c r="AI2152" s="11">
        <f t="shared" si="2167"/>
        <v>0</v>
      </c>
      <c r="AK2152" s="13">
        <f t="shared" si="2168"/>
        <v>0</v>
      </c>
      <c r="AM2152" s="13">
        <f t="shared" si="2169"/>
        <v>0</v>
      </c>
      <c r="AO2152" s="11">
        <f t="shared" si="2170"/>
        <v>0</v>
      </c>
      <c r="AQ2152" s="11">
        <f t="shared" si="2171"/>
        <v>0</v>
      </c>
      <c r="AS2152" s="11">
        <f t="shared" si="2172"/>
        <v>0</v>
      </c>
      <c r="AU2152" s="11">
        <f t="shared" si="2173"/>
        <v>0</v>
      </c>
      <c r="AW2152" s="11">
        <f t="shared" si="2174"/>
        <v>0</v>
      </c>
      <c r="AY2152" s="11">
        <f t="shared" si="2175"/>
        <v>0</v>
      </c>
      <c r="BA2152" s="11">
        <f t="shared" si="2176"/>
        <v>0</v>
      </c>
      <c r="BC2152" s="11">
        <f t="shared" si="2177"/>
        <v>0</v>
      </c>
      <c r="BE2152" s="11">
        <f t="shared" si="2178"/>
        <v>0</v>
      </c>
      <c r="BG2152" s="11">
        <f t="shared" si="2179"/>
        <v>0</v>
      </c>
      <c r="BN2152" s="8">
        <f t="shared" si="2181"/>
        <v>0</v>
      </c>
      <c r="BO2152" s="8">
        <f t="shared" si="2182"/>
        <v>0</v>
      </c>
      <c r="BP2152" s="8">
        <f t="shared" si="2139"/>
        <v>0</v>
      </c>
      <c r="BQ2152" s="12">
        <f t="shared" si="2140"/>
        <v>0</v>
      </c>
    </row>
    <row r="2153" spans="1:69">
      <c r="A2153" s="28">
        <v>1960</v>
      </c>
      <c r="B2153" s="27" t="s">
        <v>92</v>
      </c>
      <c r="C2153" s="24">
        <f t="shared" si="2180"/>
        <v>2148</v>
      </c>
      <c r="D2153" s="7" t="e">
        <f t="shared" ca="1" si="2159"/>
        <v>#N/A</v>
      </c>
      <c r="E2153" s="26">
        <f t="array" aca="1" ref="E2153" ca="1">AVERAGE(IF(INDIRECT(DatCol&amp;"$"&amp;TEXT(C2153,"###")):INDIRECT(DatCol&amp;"$"&amp;TEXT(C2153+57,"###"))&gt;0,INDIRECT(DatCol&amp;"$"&amp;TEXT(C2153,"###")):INDIRECT(DatCol&amp;"$"&amp;TEXT(C2153+57,"###"))))</f>
        <v>63</v>
      </c>
      <c r="F2153" s="26" t="str">
        <f t="shared" si="2120"/>
        <v>C</v>
      </c>
      <c r="G2153" s="8"/>
      <c r="K2153" s="9">
        <f t="shared" si="2183"/>
        <v>0</v>
      </c>
      <c r="M2153" s="11">
        <f t="shared" si="2162"/>
        <v>0</v>
      </c>
      <c r="O2153" s="11">
        <f t="shared" si="2163"/>
        <v>0</v>
      </c>
      <c r="Q2153" s="11">
        <f t="shared" si="2164"/>
        <v>0</v>
      </c>
      <c r="Y2153" s="11">
        <f t="shared" si="2165"/>
        <v>0</v>
      </c>
      <c r="AG2153" s="11">
        <f t="shared" si="2166"/>
        <v>0</v>
      </c>
      <c r="AI2153" s="11">
        <f t="shared" si="2167"/>
        <v>0</v>
      </c>
      <c r="AK2153" s="13">
        <f t="shared" si="2168"/>
        <v>0</v>
      </c>
      <c r="AM2153" s="13">
        <f t="shared" si="2169"/>
        <v>0</v>
      </c>
      <c r="AO2153" s="11">
        <f t="shared" si="2170"/>
        <v>0</v>
      </c>
      <c r="AQ2153" s="11">
        <f t="shared" si="2171"/>
        <v>0</v>
      </c>
      <c r="AS2153" s="11">
        <f t="shared" si="2172"/>
        <v>0</v>
      </c>
      <c r="AU2153" s="11">
        <f t="shared" si="2173"/>
        <v>0</v>
      </c>
      <c r="AW2153" s="11">
        <f t="shared" si="2174"/>
        <v>0</v>
      </c>
      <c r="AY2153" s="11">
        <f t="shared" si="2175"/>
        <v>0</v>
      </c>
      <c r="BA2153" s="11">
        <f t="shared" si="2176"/>
        <v>0</v>
      </c>
      <c r="BC2153" s="11">
        <f t="shared" si="2177"/>
        <v>0</v>
      </c>
      <c r="BE2153" s="11">
        <f t="shared" si="2178"/>
        <v>0</v>
      </c>
      <c r="BG2153" s="11">
        <f t="shared" si="2179"/>
        <v>0</v>
      </c>
      <c r="BN2153" s="8">
        <f t="shared" si="2181"/>
        <v>0</v>
      </c>
      <c r="BO2153" s="8">
        <f t="shared" si="2182"/>
        <v>0</v>
      </c>
      <c r="BP2153" s="8">
        <f t="shared" si="2139"/>
        <v>0</v>
      </c>
      <c r="BQ2153" s="12">
        <f t="shared" si="2140"/>
        <v>0</v>
      </c>
    </row>
    <row r="2154" spans="1:69">
      <c r="A2154" s="28">
        <v>1961</v>
      </c>
      <c r="B2154" s="27" t="s">
        <v>92</v>
      </c>
      <c r="C2154" s="24">
        <f t="shared" si="2180"/>
        <v>2148</v>
      </c>
      <c r="D2154" s="7" t="e">
        <f t="shared" ca="1" si="2159"/>
        <v>#N/A</v>
      </c>
      <c r="E2154" s="26">
        <f t="array" aca="1" ref="E2154" ca="1">AVERAGE(IF(INDIRECT(DatCol&amp;"$"&amp;TEXT(C2154,"###")):INDIRECT(DatCol&amp;"$"&amp;TEXT(C2154+57,"###"))&gt;0,INDIRECT(DatCol&amp;"$"&amp;TEXT(C2154,"###")):INDIRECT(DatCol&amp;"$"&amp;TEXT(C2154+57,"###"))))</f>
        <v>63</v>
      </c>
      <c r="F2154" s="26" t="str">
        <f t="shared" si="2120"/>
        <v>C</v>
      </c>
      <c r="G2154" s="8"/>
      <c r="K2154" s="9">
        <f t="shared" si="2183"/>
        <v>0</v>
      </c>
      <c r="M2154" s="11">
        <f t="shared" si="2162"/>
        <v>0</v>
      </c>
      <c r="O2154" s="11">
        <f t="shared" si="2163"/>
        <v>0</v>
      </c>
      <c r="Q2154" s="11">
        <f t="shared" si="2164"/>
        <v>0</v>
      </c>
      <c r="Y2154" s="11">
        <f t="shared" si="2165"/>
        <v>0</v>
      </c>
      <c r="AG2154" s="11">
        <f t="shared" si="2166"/>
        <v>0</v>
      </c>
      <c r="AI2154" s="11">
        <f t="shared" si="2167"/>
        <v>0</v>
      </c>
      <c r="AK2154" s="13">
        <f t="shared" si="2168"/>
        <v>0</v>
      </c>
      <c r="AM2154" s="13">
        <f t="shared" si="2169"/>
        <v>0</v>
      </c>
      <c r="AO2154" s="11">
        <f t="shared" si="2170"/>
        <v>0</v>
      </c>
      <c r="AQ2154" s="11">
        <f t="shared" si="2171"/>
        <v>0</v>
      </c>
      <c r="AS2154" s="11">
        <f t="shared" si="2172"/>
        <v>0</v>
      </c>
      <c r="AU2154" s="11">
        <f t="shared" si="2173"/>
        <v>0</v>
      </c>
      <c r="AW2154" s="11">
        <f t="shared" si="2174"/>
        <v>0</v>
      </c>
      <c r="AY2154" s="11">
        <f t="shared" si="2175"/>
        <v>0</v>
      </c>
      <c r="BA2154" s="11">
        <f t="shared" si="2176"/>
        <v>0</v>
      </c>
      <c r="BC2154" s="11">
        <f t="shared" si="2177"/>
        <v>0</v>
      </c>
      <c r="BE2154" s="11">
        <f t="shared" si="2178"/>
        <v>0</v>
      </c>
      <c r="BG2154" s="11">
        <f t="shared" si="2179"/>
        <v>0</v>
      </c>
      <c r="BN2154" s="8">
        <f t="shared" si="2181"/>
        <v>0</v>
      </c>
      <c r="BO2154" s="8">
        <f t="shared" si="2182"/>
        <v>0</v>
      </c>
      <c r="BP2154" s="8">
        <f t="shared" si="2139"/>
        <v>0</v>
      </c>
      <c r="BQ2154" s="12">
        <f t="shared" si="2140"/>
        <v>0</v>
      </c>
    </row>
    <row r="2155" spans="1:69">
      <c r="A2155" s="28">
        <v>1962</v>
      </c>
      <c r="B2155" s="27" t="s">
        <v>92</v>
      </c>
      <c r="C2155" s="24">
        <f t="shared" si="2180"/>
        <v>2148</v>
      </c>
      <c r="D2155" s="7" t="e">
        <f t="shared" ca="1" si="2159"/>
        <v>#N/A</v>
      </c>
      <c r="E2155" s="26">
        <f t="array" aca="1" ref="E2155" ca="1">AVERAGE(IF(INDIRECT(DatCol&amp;"$"&amp;TEXT(C2155,"###")):INDIRECT(DatCol&amp;"$"&amp;TEXT(C2155+57,"###"))&gt;0,INDIRECT(DatCol&amp;"$"&amp;TEXT(C2155,"###")):INDIRECT(DatCol&amp;"$"&amp;TEXT(C2155+57,"###"))))</f>
        <v>63</v>
      </c>
      <c r="F2155" s="26" t="str">
        <f t="shared" si="2120"/>
        <v>C</v>
      </c>
      <c r="G2155" s="8"/>
      <c r="K2155" s="9">
        <f t="shared" si="2183"/>
        <v>0</v>
      </c>
      <c r="M2155" s="11">
        <f t="shared" si="2162"/>
        <v>0</v>
      </c>
      <c r="O2155" s="11">
        <f t="shared" si="2163"/>
        <v>0</v>
      </c>
      <c r="Q2155" s="11">
        <f t="shared" si="2164"/>
        <v>0</v>
      </c>
      <c r="Y2155" s="11">
        <f t="shared" si="2165"/>
        <v>0</v>
      </c>
      <c r="AG2155" s="11">
        <f t="shared" si="2166"/>
        <v>0</v>
      </c>
      <c r="AI2155" s="11">
        <f t="shared" si="2167"/>
        <v>0</v>
      </c>
      <c r="AK2155" s="13">
        <f t="shared" si="2168"/>
        <v>0</v>
      </c>
      <c r="AM2155" s="13">
        <f t="shared" si="2169"/>
        <v>0</v>
      </c>
      <c r="AO2155" s="11">
        <f t="shared" si="2170"/>
        <v>0</v>
      </c>
      <c r="AQ2155" s="11">
        <f t="shared" si="2171"/>
        <v>0</v>
      </c>
      <c r="AS2155" s="11">
        <f t="shared" si="2172"/>
        <v>0</v>
      </c>
      <c r="AU2155" s="11">
        <f t="shared" si="2173"/>
        <v>0</v>
      </c>
      <c r="AW2155" s="11">
        <f t="shared" si="2174"/>
        <v>0</v>
      </c>
      <c r="AY2155" s="11">
        <f t="shared" si="2175"/>
        <v>0</v>
      </c>
      <c r="BA2155" s="11">
        <f t="shared" si="2176"/>
        <v>0</v>
      </c>
      <c r="BC2155" s="11">
        <f t="shared" si="2177"/>
        <v>0</v>
      </c>
      <c r="BE2155" s="11">
        <f t="shared" si="2178"/>
        <v>0</v>
      </c>
      <c r="BG2155" s="11">
        <f t="shared" si="2179"/>
        <v>0</v>
      </c>
      <c r="BN2155" s="8">
        <f t="shared" si="2181"/>
        <v>0</v>
      </c>
      <c r="BO2155" s="8">
        <f t="shared" si="2182"/>
        <v>0</v>
      </c>
      <c r="BP2155" s="8">
        <f t="shared" si="2139"/>
        <v>0</v>
      </c>
      <c r="BQ2155" s="12">
        <f t="shared" si="2140"/>
        <v>0</v>
      </c>
    </row>
    <row r="2156" spans="1:69">
      <c r="A2156" s="28">
        <v>1963</v>
      </c>
      <c r="B2156" s="27" t="s">
        <v>92</v>
      </c>
      <c r="C2156" s="24">
        <f t="shared" si="2180"/>
        <v>2148</v>
      </c>
      <c r="D2156" s="7" t="e">
        <f t="shared" ca="1" si="2159"/>
        <v>#N/A</v>
      </c>
      <c r="E2156" s="26">
        <f t="array" aca="1" ref="E2156" ca="1">AVERAGE(IF(INDIRECT(DatCol&amp;"$"&amp;TEXT(C2156,"###")):INDIRECT(DatCol&amp;"$"&amp;TEXT(C2156+57,"###"))&gt;0,INDIRECT(DatCol&amp;"$"&amp;TEXT(C2156,"###")):INDIRECT(DatCol&amp;"$"&amp;TEXT(C2156+57,"###"))))</f>
        <v>63</v>
      </c>
      <c r="F2156" s="26" t="str">
        <f t="shared" si="2120"/>
        <v>C</v>
      </c>
      <c r="G2156" s="8"/>
      <c r="K2156" s="9">
        <f t="shared" si="2183"/>
        <v>0</v>
      </c>
      <c r="M2156" s="11">
        <f t="shared" si="2162"/>
        <v>0</v>
      </c>
      <c r="O2156" s="11">
        <f t="shared" si="2163"/>
        <v>0</v>
      </c>
      <c r="Q2156" s="11">
        <f t="shared" si="2164"/>
        <v>0</v>
      </c>
      <c r="Y2156" s="11">
        <f t="shared" si="2165"/>
        <v>0</v>
      </c>
      <c r="AG2156" s="11">
        <f t="shared" si="2166"/>
        <v>0</v>
      </c>
      <c r="AI2156" s="11">
        <f t="shared" si="2167"/>
        <v>0</v>
      </c>
      <c r="AK2156" s="13">
        <f t="shared" si="2168"/>
        <v>0</v>
      </c>
      <c r="AM2156" s="13">
        <f t="shared" si="2169"/>
        <v>0</v>
      </c>
      <c r="AO2156" s="11">
        <f t="shared" si="2170"/>
        <v>0</v>
      </c>
      <c r="AQ2156" s="11">
        <f t="shared" si="2171"/>
        <v>0</v>
      </c>
      <c r="AS2156" s="11">
        <f t="shared" si="2172"/>
        <v>0</v>
      </c>
      <c r="AU2156" s="11">
        <f t="shared" si="2173"/>
        <v>0</v>
      </c>
      <c r="AW2156" s="11">
        <f t="shared" si="2174"/>
        <v>0</v>
      </c>
      <c r="AY2156" s="11">
        <f t="shared" si="2175"/>
        <v>0</v>
      </c>
      <c r="BA2156" s="11">
        <f t="shared" si="2176"/>
        <v>0</v>
      </c>
      <c r="BC2156" s="11">
        <f t="shared" si="2177"/>
        <v>0</v>
      </c>
      <c r="BE2156" s="11">
        <f t="shared" si="2178"/>
        <v>0</v>
      </c>
      <c r="BG2156" s="11">
        <f t="shared" si="2179"/>
        <v>0</v>
      </c>
      <c r="BN2156" s="8">
        <f t="shared" si="2181"/>
        <v>0</v>
      </c>
      <c r="BO2156" s="8">
        <f t="shared" si="2182"/>
        <v>0</v>
      </c>
      <c r="BP2156" s="8">
        <f t="shared" si="2139"/>
        <v>0</v>
      </c>
      <c r="BQ2156" s="12">
        <f t="shared" si="2140"/>
        <v>0</v>
      </c>
    </row>
    <row r="2157" spans="1:69">
      <c r="A2157" s="28">
        <v>1964</v>
      </c>
      <c r="B2157" s="27" t="s">
        <v>92</v>
      </c>
      <c r="C2157" s="24">
        <f t="shared" si="2180"/>
        <v>2148</v>
      </c>
      <c r="D2157" s="7" t="e">
        <f t="shared" ca="1" si="2159"/>
        <v>#N/A</v>
      </c>
      <c r="E2157" s="26">
        <f t="array" aca="1" ref="E2157" ca="1">AVERAGE(IF(INDIRECT(DatCol&amp;"$"&amp;TEXT(C2157,"###")):INDIRECT(DatCol&amp;"$"&amp;TEXT(C2157+57,"###"))&gt;0,INDIRECT(DatCol&amp;"$"&amp;TEXT(C2157,"###")):INDIRECT(DatCol&amp;"$"&amp;TEXT(C2157+57,"###"))))</f>
        <v>63</v>
      </c>
      <c r="F2157" s="26" t="str">
        <f t="shared" si="2120"/>
        <v>C</v>
      </c>
      <c r="G2157" s="8"/>
      <c r="K2157" s="9">
        <f t="shared" si="2183"/>
        <v>0</v>
      </c>
      <c r="M2157" s="11">
        <f t="shared" si="2162"/>
        <v>0</v>
      </c>
      <c r="O2157" s="11">
        <f t="shared" si="2163"/>
        <v>0</v>
      </c>
      <c r="Q2157" s="11">
        <f t="shared" si="2164"/>
        <v>0</v>
      </c>
      <c r="Y2157" s="11">
        <f t="shared" si="2165"/>
        <v>0</v>
      </c>
      <c r="AG2157" s="11">
        <f t="shared" si="2166"/>
        <v>0</v>
      </c>
      <c r="AI2157" s="11">
        <f t="shared" si="2167"/>
        <v>0</v>
      </c>
      <c r="AK2157" s="13">
        <f t="shared" si="2168"/>
        <v>0</v>
      </c>
      <c r="AM2157" s="13">
        <f t="shared" si="2169"/>
        <v>0</v>
      </c>
      <c r="AO2157" s="11">
        <f t="shared" si="2170"/>
        <v>0</v>
      </c>
      <c r="AQ2157" s="11">
        <f t="shared" si="2171"/>
        <v>0</v>
      </c>
      <c r="AS2157" s="11">
        <f t="shared" si="2172"/>
        <v>0</v>
      </c>
      <c r="AU2157" s="11">
        <f t="shared" si="2173"/>
        <v>0</v>
      </c>
      <c r="AW2157" s="11">
        <f t="shared" si="2174"/>
        <v>0</v>
      </c>
      <c r="AY2157" s="11">
        <f t="shared" si="2175"/>
        <v>0</v>
      </c>
      <c r="BA2157" s="11">
        <f t="shared" si="2176"/>
        <v>0</v>
      </c>
      <c r="BC2157" s="11">
        <f t="shared" si="2177"/>
        <v>0</v>
      </c>
      <c r="BE2157" s="11">
        <f t="shared" si="2178"/>
        <v>0</v>
      </c>
      <c r="BG2157" s="11">
        <f t="shared" si="2179"/>
        <v>0</v>
      </c>
      <c r="BN2157" s="8">
        <f t="shared" si="2181"/>
        <v>0</v>
      </c>
      <c r="BO2157" s="8">
        <f t="shared" si="2182"/>
        <v>0</v>
      </c>
      <c r="BP2157" s="8">
        <f t="shared" si="2139"/>
        <v>0</v>
      </c>
      <c r="BQ2157" s="12">
        <f t="shared" si="2140"/>
        <v>0</v>
      </c>
    </row>
    <row r="2158" spans="1:69">
      <c r="A2158" s="28">
        <v>1965</v>
      </c>
      <c r="B2158" s="27" t="s">
        <v>92</v>
      </c>
      <c r="C2158" s="24">
        <f t="shared" si="2180"/>
        <v>2148</v>
      </c>
      <c r="D2158" s="7" t="e">
        <f t="shared" ca="1" si="2159"/>
        <v>#N/A</v>
      </c>
      <c r="E2158" s="26">
        <f t="array" aca="1" ref="E2158" ca="1">AVERAGE(IF(INDIRECT(DatCol&amp;"$"&amp;TEXT(C2158,"###")):INDIRECT(DatCol&amp;"$"&amp;TEXT(C2158+57,"###"))&gt;0,INDIRECT(DatCol&amp;"$"&amp;TEXT(C2158,"###")):INDIRECT(DatCol&amp;"$"&amp;TEXT(C2158+57,"###"))))</f>
        <v>63</v>
      </c>
      <c r="F2158" s="26" t="str">
        <f t="shared" si="2120"/>
        <v>C</v>
      </c>
      <c r="G2158" s="8"/>
      <c r="K2158" s="9">
        <f t="shared" si="2183"/>
        <v>0</v>
      </c>
      <c r="M2158" s="11">
        <f t="shared" ref="M2158:M2173" si="2184">(L2158*50)</f>
        <v>0</v>
      </c>
      <c r="O2158" s="11">
        <f t="shared" ref="O2158:O2173" si="2185">(N2158*50)</f>
        <v>0</v>
      </c>
      <c r="Q2158" s="11">
        <f t="shared" ref="Q2158:Q2173" si="2186">((P2158*330)/5.5)</f>
        <v>0</v>
      </c>
      <c r="Y2158" s="11">
        <f t="shared" ref="Y2158:Y2173" si="2187">((X2158*330)/5.5)</f>
        <v>0</v>
      </c>
      <c r="AG2158" s="11">
        <f t="shared" ref="AG2158:AG2173" si="2188">(AF2158*65)</f>
        <v>0</v>
      </c>
      <c r="AI2158" s="11">
        <f t="shared" ref="AI2158:AI2173" si="2189">(AH2158*65)</f>
        <v>0</v>
      </c>
      <c r="AK2158" s="13">
        <f t="shared" ref="AK2158:AK2173" si="2190">(AJ2158*9)</f>
        <v>0</v>
      </c>
      <c r="AM2158" s="13">
        <f t="shared" ref="AM2158:AM2173" si="2191">(AL2158*9)</f>
        <v>0</v>
      </c>
      <c r="AO2158" s="11">
        <f t="shared" ref="AO2158:AO2173" si="2192">(AN2158*80)</f>
        <v>0</v>
      </c>
      <c r="AQ2158" s="11">
        <f t="shared" ref="AQ2158:AQ2173" si="2193">(AP2158*80)</f>
        <v>0</v>
      </c>
      <c r="AS2158" s="11">
        <f t="shared" ref="AS2158:AS2173" si="2194">(AR2158*50)</f>
        <v>0</v>
      </c>
      <c r="AU2158" s="11">
        <f t="shared" ref="AU2158:AU2173" si="2195">(AT2158*50)</f>
        <v>0</v>
      </c>
      <c r="AW2158" s="11">
        <f t="shared" ref="AW2158:AW2173" si="2196">(AV2158*60)</f>
        <v>0</v>
      </c>
      <c r="AY2158" s="11">
        <f t="shared" ref="AY2158:AY2173" si="2197">(AX2158*60)</f>
        <v>0</v>
      </c>
      <c r="BA2158" s="11">
        <f t="shared" ref="BA2158:BA2173" si="2198">(AZ2158*40)</f>
        <v>0</v>
      </c>
      <c r="BC2158" s="11">
        <f t="shared" ref="BC2158:BC2173" si="2199">(BB2158*40)</f>
        <v>0</v>
      </c>
      <c r="BE2158" s="11">
        <f t="shared" ref="BE2158:BE2173" si="2200">(BD2158*95)</f>
        <v>0</v>
      </c>
      <c r="BG2158" s="11">
        <f t="shared" ref="BG2158:BG2173" si="2201">(BF2158*95)</f>
        <v>0</v>
      </c>
      <c r="BN2158" s="8">
        <f t="shared" si="2181"/>
        <v>0</v>
      </c>
      <c r="BO2158" s="8">
        <f t="shared" si="2182"/>
        <v>0</v>
      </c>
      <c r="BP2158" s="8">
        <f t="shared" si="2139"/>
        <v>0</v>
      </c>
      <c r="BQ2158" s="12">
        <f t="shared" si="2140"/>
        <v>0</v>
      </c>
    </row>
    <row r="2159" spans="1:69">
      <c r="A2159" s="28">
        <v>1966</v>
      </c>
      <c r="B2159" s="27" t="s">
        <v>92</v>
      </c>
      <c r="C2159" s="24">
        <f t="shared" si="2180"/>
        <v>2148</v>
      </c>
      <c r="D2159" s="7" t="e">
        <f t="shared" ca="1" si="2159"/>
        <v>#N/A</v>
      </c>
      <c r="E2159" s="26">
        <f t="array" aca="1" ref="E2159" ca="1">AVERAGE(IF(INDIRECT(DatCol&amp;"$"&amp;TEXT(C2159,"###")):INDIRECT(DatCol&amp;"$"&amp;TEXT(C2159+57,"###"))&gt;0,INDIRECT(DatCol&amp;"$"&amp;TEXT(C2159,"###")):INDIRECT(DatCol&amp;"$"&amp;TEXT(C2159+57,"###"))))</f>
        <v>63</v>
      </c>
      <c r="F2159" s="26" t="str">
        <f t="shared" si="2120"/>
        <v>C</v>
      </c>
      <c r="G2159" s="8"/>
      <c r="K2159" s="9">
        <f t="shared" si="2183"/>
        <v>0</v>
      </c>
      <c r="M2159" s="11">
        <f t="shared" si="2184"/>
        <v>0</v>
      </c>
      <c r="O2159" s="11">
        <f t="shared" si="2185"/>
        <v>0</v>
      </c>
      <c r="Q2159" s="11">
        <f t="shared" si="2186"/>
        <v>0</v>
      </c>
      <c r="Y2159" s="11">
        <f t="shared" si="2187"/>
        <v>0</v>
      </c>
      <c r="AG2159" s="11">
        <f t="shared" si="2188"/>
        <v>0</v>
      </c>
      <c r="AI2159" s="11">
        <f t="shared" si="2189"/>
        <v>0</v>
      </c>
      <c r="AK2159" s="13">
        <f t="shared" si="2190"/>
        <v>0</v>
      </c>
      <c r="AM2159" s="13">
        <f t="shared" si="2191"/>
        <v>0</v>
      </c>
      <c r="AO2159" s="11">
        <f t="shared" si="2192"/>
        <v>0</v>
      </c>
      <c r="AQ2159" s="11">
        <f t="shared" si="2193"/>
        <v>0</v>
      </c>
      <c r="AS2159" s="11">
        <f t="shared" si="2194"/>
        <v>0</v>
      </c>
      <c r="AU2159" s="11">
        <f t="shared" si="2195"/>
        <v>0</v>
      </c>
      <c r="AW2159" s="11">
        <f t="shared" si="2196"/>
        <v>0</v>
      </c>
      <c r="AY2159" s="11">
        <f t="shared" si="2197"/>
        <v>0</v>
      </c>
      <c r="BA2159" s="11">
        <f t="shared" si="2198"/>
        <v>0</v>
      </c>
      <c r="BC2159" s="11">
        <f t="shared" si="2199"/>
        <v>0</v>
      </c>
      <c r="BE2159" s="11">
        <f t="shared" si="2200"/>
        <v>0</v>
      </c>
      <c r="BG2159" s="11">
        <f t="shared" si="2201"/>
        <v>0</v>
      </c>
      <c r="BN2159" s="8">
        <f t="shared" si="2181"/>
        <v>0</v>
      </c>
      <c r="BO2159" s="8">
        <f t="shared" si="2182"/>
        <v>0</v>
      </c>
      <c r="BP2159" s="8">
        <f t="shared" si="2139"/>
        <v>0</v>
      </c>
      <c r="BQ2159" s="12">
        <f t="shared" si="2140"/>
        <v>0</v>
      </c>
    </row>
    <row r="2160" spans="1:69">
      <c r="A2160" s="28">
        <v>1967</v>
      </c>
      <c r="B2160" s="27" t="s">
        <v>92</v>
      </c>
      <c r="C2160" s="24">
        <f t="shared" si="2180"/>
        <v>2148</v>
      </c>
      <c r="D2160" s="7" t="e">
        <f t="shared" ca="1" si="2159"/>
        <v>#N/A</v>
      </c>
      <c r="E2160" s="26">
        <f t="array" aca="1" ref="E2160" ca="1">AVERAGE(IF(INDIRECT(DatCol&amp;"$"&amp;TEXT(C2160,"###")):INDIRECT(DatCol&amp;"$"&amp;TEXT(C2160+57,"###"))&gt;0,INDIRECT(DatCol&amp;"$"&amp;TEXT(C2160,"###")):INDIRECT(DatCol&amp;"$"&amp;TEXT(C2160+57,"###"))))</f>
        <v>63</v>
      </c>
      <c r="F2160" s="26" t="str">
        <f t="shared" si="2120"/>
        <v>C</v>
      </c>
      <c r="G2160" s="8"/>
      <c r="K2160" s="9">
        <f t="shared" si="2183"/>
        <v>0</v>
      </c>
      <c r="M2160" s="11">
        <f t="shared" si="2184"/>
        <v>0</v>
      </c>
      <c r="O2160" s="11">
        <f t="shared" si="2185"/>
        <v>0</v>
      </c>
      <c r="Q2160" s="11">
        <f t="shared" si="2186"/>
        <v>0</v>
      </c>
      <c r="Y2160" s="11">
        <f t="shared" si="2187"/>
        <v>0</v>
      </c>
      <c r="AG2160" s="11">
        <f t="shared" si="2188"/>
        <v>0</v>
      </c>
      <c r="AI2160" s="11">
        <f t="shared" si="2189"/>
        <v>0</v>
      </c>
      <c r="AK2160" s="13">
        <f t="shared" si="2190"/>
        <v>0</v>
      </c>
      <c r="AM2160" s="13">
        <f t="shared" si="2191"/>
        <v>0</v>
      </c>
      <c r="AO2160" s="11">
        <f t="shared" si="2192"/>
        <v>0</v>
      </c>
      <c r="AQ2160" s="11">
        <f t="shared" si="2193"/>
        <v>0</v>
      </c>
      <c r="AS2160" s="11">
        <f t="shared" si="2194"/>
        <v>0</v>
      </c>
      <c r="AU2160" s="11">
        <f t="shared" si="2195"/>
        <v>0</v>
      </c>
      <c r="AW2160" s="11">
        <f t="shared" si="2196"/>
        <v>0</v>
      </c>
      <c r="AY2160" s="11">
        <f t="shared" si="2197"/>
        <v>0</v>
      </c>
      <c r="BA2160" s="11">
        <f t="shared" si="2198"/>
        <v>0</v>
      </c>
      <c r="BC2160" s="11">
        <f t="shared" si="2199"/>
        <v>0</v>
      </c>
      <c r="BE2160" s="11">
        <f t="shared" si="2200"/>
        <v>0</v>
      </c>
      <c r="BG2160" s="11">
        <f t="shared" si="2201"/>
        <v>0</v>
      </c>
      <c r="BN2160" s="8">
        <f t="shared" si="2181"/>
        <v>0</v>
      </c>
      <c r="BO2160" s="8">
        <f t="shared" si="2182"/>
        <v>0</v>
      </c>
      <c r="BP2160" s="8">
        <f t="shared" si="2139"/>
        <v>0</v>
      </c>
      <c r="BQ2160" s="12">
        <f t="shared" si="2140"/>
        <v>0</v>
      </c>
    </row>
    <row r="2161" spans="1:69">
      <c r="A2161" s="28">
        <v>1968</v>
      </c>
      <c r="B2161" s="27" t="s">
        <v>92</v>
      </c>
      <c r="C2161" s="24">
        <f t="shared" si="2180"/>
        <v>2148</v>
      </c>
      <c r="D2161" s="7" t="e">
        <f t="shared" ca="1" si="2159"/>
        <v>#N/A</v>
      </c>
      <c r="E2161" s="26">
        <f t="array" aca="1" ref="E2161" ca="1">AVERAGE(IF(INDIRECT(DatCol&amp;"$"&amp;TEXT(C2161,"###")):INDIRECT(DatCol&amp;"$"&amp;TEXT(C2161+57,"###"))&gt;0,INDIRECT(DatCol&amp;"$"&amp;TEXT(C2161,"###")):INDIRECT(DatCol&amp;"$"&amp;TEXT(C2161+57,"###"))))</f>
        <v>63</v>
      </c>
      <c r="F2161" s="26" t="str">
        <f t="shared" ref="F2161:F2227" si="2202">VLOOKUP(B2161,town_region,2,FALSE)</f>
        <v>C</v>
      </c>
      <c r="G2161" s="8"/>
      <c r="K2161" s="9">
        <f t="shared" si="2183"/>
        <v>0</v>
      </c>
      <c r="M2161" s="11">
        <f t="shared" si="2184"/>
        <v>0</v>
      </c>
      <c r="O2161" s="11">
        <f t="shared" si="2185"/>
        <v>0</v>
      </c>
      <c r="Q2161" s="11">
        <f t="shared" si="2186"/>
        <v>0</v>
      </c>
      <c r="Y2161" s="11">
        <f t="shared" si="2187"/>
        <v>0</v>
      </c>
      <c r="AG2161" s="11">
        <f t="shared" si="2188"/>
        <v>0</v>
      </c>
      <c r="AI2161" s="11">
        <f t="shared" si="2189"/>
        <v>0</v>
      </c>
      <c r="AK2161" s="13">
        <f t="shared" si="2190"/>
        <v>0</v>
      </c>
      <c r="AM2161" s="13">
        <f t="shared" si="2191"/>
        <v>0</v>
      </c>
      <c r="AO2161" s="11">
        <f t="shared" si="2192"/>
        <v>0</v>
      </c>
      <c r="AQ2161" s="11">
        <f t="shared" si="2193"/>
        <v>0</v>
      </c>
      <c r="AS2161" s="11">
        <f t="shared" si="2194"/>
        <v>0</v>
      </c>
      <c r="AU2161" s="11">
        <f t="shared" si="2195"/>
        <v>0</v>
      </c>
      <c r="AW2161" s="11">
        <f t="shared" si="2196"/>
        <v>0</v>
      </c>
      <c r="AY2161" s="11">
        <f t="shared" si="2197"/>
        <v>0</v>
      </c>
      <c r="BA2161" s="11">
        <f t="shared" si="2198"/>
        <v>0</v>
      </c>
      <c r="BC2161" s="11">
        <f t="shared" si="2199"/>
        <v>0</v>
      </c>
      <c r="BE2161" s="11">
        <f t="shared" si="2200"/>
        <v>0</v>
      </c>
      <c r="BG2161" s="11">
        <f t="shared" si="2201"/>
        <v>0</v>
      </c>
      <c r="BN2161" s="8">
        <f t="shared" si="2181"/>
        <v>0</v>
      </c>
      <c r="BO2161" s="8">
        <f t="shared" si="2182"/>
        <v>0</v>
      </c>
      <c r="BP2161" s="8">
        <f t="shared" ref="BP2161:BP2225" si="2203">(N2161+X2161+Z2161+AB2161+AD2161+AH2161+AL2161+AP2161+AT2161+AX2161+BB2161+BF2161)</f>
        <v>0</v>
      </c>
      <c r="BQ2161" s="12">
        <f t="shared" ref="BQ2161:BQ2225" si="2204">(O2161+Y2161+AA2161+AC2161+AE2161+AI2161+AM2161+AQ2161+AU2161+AY2161+BC2161+BG2161)</f>
        <v>0</v>
      </c>
    </row>
    <row r="2162" spans="1:69">
      <c r="A2162" s="28">
        <v>1969</v>
      </c>
      <c r="B2162" s="27" t="s">
        <v>92</v>
      </c>
      <c r="C2162" s="24">
        <f t="shared" si="2180"/>
        <v>2148</v>
      </c>
      <c r="D2162" s="7" t="e">
        <f t="shared" ca="1" si="2159"/>
        <v>#N/A</v>
      </c>
      <c r="E2162" s="26">
        <f t="array" aca="1" ref="E2162" ca="1">AVERAGE(IF(INDIRECT(DatCol&amp;"$"&amp;TEXT(C2162,"###")):INDIRECT(DatCol&amp;"$"&amp;TEXT(C2162+57,"###"))&gt;0,INDIRECT(DatCol&amp;"$"&amp;TEXT(C2162,"###")):INDIRECT(DatCol&amp;"$"&amp;TEXT(C2162+57,"###"))))</f>
        <v>63</v>
      </c>
      <c r="F2162" s="26" t="str">
        <f t="shared" si="2202"/>
        <v>C</v>
      </c>
      <c r="G2162" s="8"/>
      <c r="K2162" s="9">
        <f t="shared" si="2183"/>
        <v>0</v>
      </c>
      <c r="M2162" s="11">
        <f t="shared" si="2184"/>
        <v>0</v>
      </c>
      <c r="O2162" s="11">
        <f t="shared" si="2185"/>
        <v>0</v>
      </c>
      <c r="Q2162" s="11">
        <f t="shared" si="2186"/>
        <v>0</v>
      </c>
      <c r="Y2162" s="11">
        <f t="shared" si="2187"/>
        <v>0</v>
      </c>
      <c r="AG2162" s="11">
        <f t="shared" si="2188"/>
        <v>0</v>
      </c>
      <c r="AI2162" s="11">
        <f t="shared" si="2189"/>
        <v>0</v>
      </c>
      <c r="AK2162" s="13">
        <f t="shared" si="2190"/>
        <v>0</v>
      </c>
      <c r="AM2162" s="13">
        <f t="shared" si="2191"/>
        <v>0</v>
      </c>
      <c r="AO2162" s="11">
        <f t="shared" si="2192"/>
        <v>0</v>
      </c>
      <c r="AQ2162" s="11">
        <f t="shared" si="2193"/>
        <v>0</v>
      </c>
      <c r="AS2162" s="11">
        <f t="shared" si="2194"/>
        <v>0</v>
      </c>
      <c r="AU2162" s="11">
        <f t="shared" si="2195"/>
        <v>0</v>
      </c>
      <c r="AW2162" s="11">
        <f t="shared" si="2196"/>
        <v>0</v>
      </c>
      <c r="AY2162" s="11">
        <f t="shared" si="2197"/>
        <v>0</v>
      </c>
      <c r="BA2162" s="11">
        <f t="shared" si="2198"/>
        <v>0</v>
      </c>
      <c r="BC2162" s="11">
        <f t="shared" si="2199"/>
        <v>0</v>
      </c>
      <c r="BE2162" s="11">
        <f t="shared" si="2200"/>
        <v>0</v>
      </c>
      <c r="BG2162" s="11">
        <f t="shared" si="2201"/>
        <v>0</v>
      </c>
      <c r="BN2162" s="8">
        <f t="shared" si="2181"/>
        <v>0</v>
      </c>
      <c r="BO2162" s="8">
        <f t="shared" si="2182"/>
        <v>0</v>
      </c>
      <c r="BP2162" s="8">
        <f t="shared" si="2203"/>
        <v>0</v>
      </c>
      <c r="BQ2162" s="12">
        <f t="shared" si="2204"/>
        <v>0</v>
      </c>
    </row>
    <row r="2163" spans="1:69">
      <c r="A2163" s="28">
        <v>1970</v>
      </c>
      <c r="B2163" s="27" t="s">
        <v>92</v>
      </c>
      <c r="C2163" s="24">
        <f t="shared" si="2180"/>
        <v>2148</v>
      </c>
      <c r="D2163" s="7" t="e">
        <f t="shared" ca="1" si="2159"/>
        <v>#N/A</v>
      </c>
      <c r="E2163" s="26">
        <f t="array" aca="1" ref="E2163" ca="1">AVERAGE(IF(INDIRECT(DatCol&amp;"$"&amp;TEXT(C2163,"###")):INDIRECT(DatCol&amp;"$"&amp;TEXT(C2163+57,"###"))&gt;0,INDIRECT(DatCol&amp;"$"&amp;TEXT(C2163,"###")):INDIRECT(DatCol&amp;"$"&amp;TEXT(C2163+57,"###"))))</f>
        <v>63</v>
      </c>
      <c r="F2163" s="26" t="str">
        <f t="shared" si="2202"/>
        <v>C</v>
      </c>
      <c r="G2163" s="8"/>
      <c r="K2163" s="9">
        <f t="shared" si="2183"/>
        <v>0</v>
      </c>
      <c r="M2163" s="11">
        <f t="shared" si="2184"/>
        <v>0</v>
      </c>
      <c r="O2163" s="11">
        <f t="shared" si="2185"/>
        <v>0</v>
      </c>
      <c r="Q2163" s="11">
        <f t="shared" si="2186"/>
        <v>0</v>
      </c>
      <c r="Y2163" s="11">
        <f t="shared" si="2187"/>
        <v>0</v>
      </c>
      <c r="AG2163" s="11">
        <f t="shared" si="2188"/>
        <v>0</v>
      </c>
      <c r="AI2163" s="11">
        <f t="shared" si="2189"/>
        <v>0</v>
      </c>
      <c r="AK2163" s="13">
        <f t="shared" si="2190"/>
        <v>0</v>
      </c>
      <c r="AM2163" s="13">
        <f t="shared" si="2191"/>
        <v>0</v>
      </c>
      <c r="AO2163" s="11">
        <f t="shared" si="2192"/>
        <v>0</v>
      </c>
      <c r="AQ2163" s="11">
        <f t="shared" si="2193"/>
        <v>0</v>
      </c>
      <c r="AS2163" s="11">
        <f t="shared" si="2194"/>
        <v>0</v>
      </c>
      <c r="AU2163" s="11">
        <f t="shared" si="2195"/>
        <v>0</v>
      </c>
      <c r="AW2163" s="11">
        <f t="shared" si="2196"/>
        <v>0</v>
      </c>
      <c r="AY2163" s="11">
        <f t="shared" si="2197"/>
        <v>0</v>
      </c>
      <c r="BA2163" s="11">
        <f t="shared" si="2198"/>
        <v>0</v>
      </c>
      <c r="BC2163" s="11">
        <f t="shared" si="2199"/>
        <v>0</v>
      </c>
      <c r="BE2163" s="11">
        <f t="shared" si="2200"/>
        <v>0</v>
      </c>
      <c r="BG2163" s="11">
        <f t="shared" si="2201"/>
        <v>0</v>
      </c>
      <c r="BN2163" s="8">
        <f t="shared" si="2181"/>
        <v>0</v>
      </c>
      <c r="BO2163" s="8">
        <f t="shared" si="2182"/>
        <v>0</v>
      </c>
      <c r="BP2163" s="8">
        <f t="shared" si="2203"/>
        <v>0</v>
      </c>
      <c r="BQ2163" s="12">
        <f t="shared" si="2204"/>
        <v>0</v>
      </c>
    </row>
    <row r="2164" spans="1:69">
      <c r="A2164" s="28">
        <v>1971</v>
      </c>
      <c r="B2164" s="27" t="s">
        <v>92</v>
      </c>
      <c r="C2164" s="24">
        <f t="shared" si="2180"/>
        <v>2148</v>
      </c>
      <c r="D2164" s="7" t="e">
        <f t="shared" ca="1" si="2159"/>
        <v>#N/A</v>
      </c>
      <c r="E2164" s="26">
        <f t="array" aca="1" ref="E2164" ca="1">AVERAGE(IF(INDIRECT(DatCol&amp;"$"&amp;TEXT(C2164,"###")):INDIRECT(DatCol&amp;"$"&amp;TEXT(C2164+57,"###"))&gt;0,INDIRECT(DatCol&amp;"$"&amp;TEXT(C2164,"###")):INDIRECT(DatCol&amp;"$"&amp;TEXT(C2164+57,"###"))))</f>
        <v>63</v>
      </c>
      <c r="F2164" s="26" t="str">
        <f t="shared" si="2202"/>
        <v>C</v>
      </c>
      <c r="G2164" s="8"/>
      <c r="K2164" s="9">
        <f t="shared" si="2183"/>
        <v>0</v>
      </c>
      <c r="M2164" s="11">
        <f t="shared" si="2184"/>
        <v>0</v>
      </c>
      <c r="O2164" s="11">
        <f t="shared" si="2185"/>
        <v>0</v>
      </c>
      <c r="Q2164" s="11">
        <f t="shared" si="2186"/>
        <v>0</v>
      </c>
      <c r="Y2164" s="11">
        <f t="shared" si="2187"/>
        <v>0</v>
      </c>
      <c r="AG2164" s="11">
        <f t="shared" si="2188"/>
        <v>0</v>
      </c>
      <c r="AI2164" s="11">
        <f t="shared" si="2189"/>
        <v>0</v>
      </c>
      <c r="AK2164" s="13">
        <f t="shared" si="2190"/>
        <v>0</v>
      </c>
      <c r="AM2164" s="13">
        <f t="shared" si="2191"/>
        <v>0</v>
      </c>
      <c r="AO2164" s="11">
        <f t="shared" si="2192"/>
        <v>0</v>
      </c>
      <c r="AQ2164" s="11">
        <f t="shared" si="2193"/>
        <v>0</v>
      </c>
      <c r="AS2164" s="11">
        <f t="shared" si="2194"/>
        <v>0</v>
      </c>
      <c r="AU2164" s="11">
        <f t="shared" si="2195"/>
        <v>0</v>
      </c>
      <c r="AW2164" s="11">
        <f t="shared" si="2196"/>
        <v>0</v>
      </c>
      <c r="AY2164" s="11">
        <f t="shared" si="2197"/>
        <v>0</v>
      </c>
      <c r="BA2164" s="11">
        <f t="shared" si="2198"/>
        <v>0</v>
      </c>
      <c r="BC2164" s="11">
        <f t="shared" si="2199"/>
        <v>0</v>
      </c>
      <c r="BE2164" s="11">
        <f t="shared" si="2200"/>
        <v>0</v>
      </c>
      <c r="BG2164" s="11">
        <f t="shared" si="2201"/>
        <v>0</v>
      </c>
      <c r="BN2164" s="8">
        <f t="shared" si="2181"/>
        <v>0</v>
      </c>
      <c r="BO2164" s="8">
        <f t="shared" si="2182"/>
        <v>0</v>
      </c>
      <c r="BP2164" s="8">
        <f t="shared" si="2203"/>
        <v>0</v>
      </c>
      <c r="BQ2164" s="12">
        <f t="shared" si="2204"/>
        <v>0</v>
      </c>
    </row>
    <row r="2165" spans="1:69">
      <c r="A2165" s="28">
        <v>1972</v>
      </c>
      <c r="B2165" s="27" t="s">
        <v>92</v>
      </c>
      <c r="C2165" s="24">
        <f t="shared" si="2180"/>
        <v>2148</v>
      </c>
      <c r="D2165" s="7" t="e">
        <f t="shared" ca="1" si="2159"/>
        <v>#N/A</v>
      </c>
      <c r="E2165" s="26">
        <f t="array" aca="1" ref="E2165" ca="1">AVERAGE(IF(INDIRECT(DatCol&amp;"$"&amp;TEXT(C2165,"###")):INDIRECT(DatCol&amp;"$"&amp;TEXT(C2165+57,"###"))&gt;0,INDIRECT(DatCol&amp;"$"&amp;TEXT(C2165,"###")):INDIRECT(DatCol&amp;"$"&amp;TEXT(C2165+57,"###"))))</f>
        <v>63</v>
      </c>
      <c r="F2165" s="26" t="str">
        <f t="shared" si="2202"/>
        <v>C</v>
      </c>
      <c r="G2165" s="8"/>
      <c r="K2165" s="9">
        <f t="shared" si="2183"/>
        <v>0</v>
      </c>
      <c r="M2165" s="11">
        <f t="shared" si="2184"/>
        <v>0</v>
      </c>
      <c r="O2165" s="11">
        <f t="shared" si="2185"/>
        <v>0</v>
      </c>
      <c r="Q2165" s="11">
        <f t="shared" si="2186"/>
        <v>0</v>
      </c>
      <c r="Y2165" s="11">
        <f t="shared" si="2187"/>
        <v>0</v>
      </c>
      <c r="AG2165" s="11">
        <f t="shared" si="2188"/>
        <v>0</v>
      </c>
      <c r="AI2165" s="11">
        <f t="shared" si="2189"/>
        <v>0</v>
      </c>
      <c r="AK2165" s="13">
        <f t="shared" si="2190"/>
        <v>0</v>
      </c>
      <c r="AM2165" s="13">
        <f t="shared" si="2191"/>
        <v>0</v>
      </c>
      <c r="AO2165" s="11">
        <f t="shared" si="2192"/>
        <v>0</v>
      </c>
      <c r="AQ2165" s="11">
        <f t="shared" si="2193"/>
        <v>0</v>
      </c>
      <c r="AS2165" s="11">
        <f t="shared" si="2194"/>
        <v>0</v>
      </c>
      <c r="AU2165" s="11">
        <f t="shared" si="2195"/>
        <v>0</v>
      </c>
      <c r="AW2165" s="11">
        <f t="shared" si="2196"/>
        <v>0</v>
      </c>
      <c r="AY2165" s="11">
        <f t="shared" si="2197"/>
        <v>0</v>
      </c>
      <c r="BA2165" s="11">
        <f t="shared" si="2198"/>
        <v>0</v>
      </c>
      <c r="BC2165" s="11">
        <f t="shared" si="2199"/>
        <v>0</v>
      </c>
      <c r="BE2165" s="11">
        <f t="shared" si="2200"/>
        <v>0</v>
      </c>
      <c r="BG2165" s="11">
        <f t="shared" si="2201"/>
        <v>0</v>
      </c>
      <c r="BN2165" s="8">
        <f t="shared" si="2181"/>
        <v>0</v>
      </c>
      <c r="BO2165" s="8">
        <f t="shared" si="2182"/>
        <v>0</v>
      </c>
      <c r="BP2165" s="8">
        <f t="shared" si="2203"/>
        <v>0</v>
      </c>
      <c r="BQ2165" s="12">
        <f t="shared" si="2204"/>
        <v>0</v>
      </c>
    </row>
    <row r="2166" spans="1:69">
      <c r="A2166" s="28">
        <v>1973</v>
      </c>
      <c r="B2166" s="27" t="s">
        <v>92</v>
      </c>
      <c r="C2166" s="24">
        <f t="shared" si="2180"/>
        <v>2148</v>
      </c>
      <c r="D2166" s="7" t="e">
        <f t="shared" ca="1" si="2159"/>
        <v>#N/A</v>
      </c>
      <c r="E2166" s="26">
        <f t="array" aca="1" ref="E2166" ca="1">AVERAGE(IF(INDIRECT(DatCol&amp;"$"&amp;TEXT(C2166,"###")):INDIRECT(DatCol&amp;"$"&amp;TEXT(C2166+57,"###"))&gt;0,INDIRECT(DatCol&amp;"$"&amp;TEXT(C2166,"###")):INDIRECT(DatCol&amp;"$"&amp;TEXT(C2166+57,"###"))))</f>
        <v>63</v>
      </c>
      <c r="F2166" s="26" t="str">
        <f t="shared" si="2202"/>
        <v>C</v>
      </c>
      <c r="G2166" s="8"/>
      <c r="J2166" s="8">
        <v>78</v>
      </c>
      <c r="K2166" s="9">
        <f t="shared" si="2183"/>
        <v>78</v>
      </c>
      <c r="M2166" s="11">
        <f t="shared" si="2184"/>
        <v>0</v>
      </c>
      <c r="N2166" s="12">
        <v>63</v>
      </c>
      <c r="O2166" s="11">
        <f t="shared" si="2185"/>
        <v>3150</v>
      </c>
      <c r="Q2166" s="11">
        <f t="shared" si="2186"/>
        <v>0</v>
      </c>
      <c r="X2166" s="12">
        <v>40</v>
      </c>
      <c r="Y2166" s="11">
        <f t="shared" si="2187"/>
        <v>2400</v>
      </c>
      <c r="AG2166" s="11">
        <f t="shared" si="2188"/>
        <v>0</v>
      </c>
      <c r="AI2166" s="11">
        <f t="shared" si="2189"/>
        <v>0</v>
      </c>
      <c r="AK2166" s="13">
        <f t="shared" si="2190"/>
        <v>0</v>
      </c>
      <c r="AM2166" s="13">
        <f t="shared" si="2191"/>
        <v>0</v>
      </c>
      <c r="AO2166" s="11">
        <f t="shared" si="2192"/>
        <v>0</v>
      </c>
      <c r="AQ2166" s="11">
        <f t="shared" si="2193"/>
        <v>0</v>
      </c>
      <c r="AS2166" s="11">
        <f t="shared" si="2194"/>
        <v>0</v>
      </c>
      <c r="AU2166" s="11">
        <f t="shared" si="2195"/>
        <v>0</v>
      </c>
      <c r="AW2166" s="11">
        <f t="shared" si="2196"/>
        <v>0</v>
      </c>
      <c r="AY2166" s="11">
        <f t="shared" si="2197"/>
        <v>0</v>
      </c>
      <c r="BA2166" s="11">
        <f t="shared" si="2198"/>
        <v>0</v>
      </c>
      <c r="BC2166" s="11">
        <f t="shared" si="2199"/>
        <v>0</v>
      </c>
      <c r="BE2166" s="11">
        <f t="shared" si="2200"/>
        <v>0</v>
      </c>
      <c r="BG2166" s="11">
        <f t="shared" si="2201"/>
        <v>0</v>
      </c>
      <c r="BN2166" s="8">
        <f t="shared" si="2181"/>
        <v>40</v>
      </c>
      <c r="BO2166" s="8">
        <f t="shared" si="2182"/>
        <v>2400</v>
      </c>
      <c r="BP2166" s="8">
        <f t="shared" si="2203"/>
        <v>103</v>
      </c>
      <c r="BQ2166" s="12">
        <f t="shared" si="2204"/>
        <v>5550</v>
      </c>
    </row>
    <row r="2167" spans="1:69">
      <c r="A2167" s="28">
        <v>1974</v>
      </c>
      <c r="B2167" s="27" t="s">
        <v>92</v>
      </c>
      <c r="C2167" s="24">
        <f t="shared" si="2180"/>
        <v>2148</v>
      </c>
      <c r="D2167" s="7" t="e">
        <f t="shared" ca="1" si="2159"/>
        <v>#N/A</v>
      </c>
      <c r="E2167" s="26">
        <f t="array" aca="1" ref="E2167" ca="1">AVERAGE(IF(INDIRECT(DatCol&amp;"$"&amp;TEXT(C2167,"###")):INDIRECT(DatCol&amp;"$"&amp;TEXT(C2167+57,"###"))&gt;0,INDIRECT(DatCol&amp;"$"&amp;TEXT(C2167,"###")):INDIRECT(DatCol&amp;"$"&amp;TEXT(C2167+57,"###"))))</f>
        <v>63</v>
      </c>
      <c r="F2167" s="26" t="str">
        <f t="shared" si="2202"/>
        <v>C</v>
      </c>
      <c r="G2167" s="8"/>
      <c r="K2167" s="9">
        <f t="shared" si="2183"/>
        <v>0</v>
      </c>
      <c r="M2167" s="11">
        <f t="shared" si="2184"/>
        <v>0</v>
      </c>
      <c r="O2167" s="11">
        <f t="shared" si="2185"/>
        <v>0</v>
      </c>
      <c r="Q2167" s="11">
        <f t="shared" si="2186"/>
        <v>0</v>
      </c>
      <c r="Y2167" s="11">
        <f t="shared" si="2187"/>
        <v>0</v>
      </c>
      <c r="AG2167" s="11">
        <f t="shared" si="2188"/>
        <v>0</v>
      </c>
      <c r="AI2167" s="11">
        <f t="shared" si="2189"/>
        <v>0</v>
      </c>
      <c r="AK2167" s="13">
        <f t="shared" si="2190"/>
        <v>0</v>
      </c>
      <c r="AM2167" s="13">
        <f t="shared" si="2191"/>
        <v>0</v>
      </c>
      <c r="AO2167" s="11">
        <f t="shared" si="2192"/>
        <v>0</v>
      </c>
      <c r="AQ2167" s="11">
        <f t="shared" si="2193"/>
        <v>0</v>
      </c>
      <c r="AS2167" s="11">
        <f t="shared" si="2194"/>
        <v>0</v>
      </c>
      <c r="AU2167" s="11">
        <f t="shared" si="2195"/>
        <v>0</v>
      </c>
      <c r="AW2167" s="11">
        <f t="shared" si="2196"/>
        <v>0</v>
      </c>
      <c r="AY2167" s="11">
        <f t="shared" si="2197"/>
        <v>0</v>
      </c>
      <c r="BA2167" s="11">
        <f t="shared" si="2198"/>
        <v>0</v>
      </c>
      <c r="BC2167" s="11">
        <f t="shared" si="2199"/>
        <v>0</v>
      </c>
      <c r="BE2167" s="11">
        <f t="shared" si="2200"/>
        <v>0</v>
      </c>
      <c r="BG2167" s="11">
        <f t="shared" si="2201"/>
        <v>0</v>
      </c>
      <c r="BN2167" s="8">
        <f t="shared" si="2181"/>
        <v>0</v>
      </c>
      <c r="BO2167" s="8">
        <f t="shared" si="2182"/>
        <v>0</v>
      </c>
      <c r="BP2167" s="8">
        <f t="shared" si="2203"/>
        <v>0</v>
      </c>
      <c r="BQ2167" s="12">
        <f t="shared" si="2204"/>
        <v>0</v>
      </c>
    </row>
    <row r="2168" spans="1:69">
      <c r="A2168" s="28">
        <v>1975</v>
      </c>
      <c r="B2168" s="27" t="s">
        <v>92</v>
      </c>
      <c r="C2168" s="24">
        <f t="shared" si="2180"/>
        <v>2148</v>
      </c>
      <c r="D2168" s="7" t="e">
        <f t="shared" ca="1" si="2159"/>
        <v>#N/A</v>
      </c>
      <c r="E2168" s="26">
        <f t="array" aca="1" ref="E2168" ca="1">AVERAGE(IF(INDIRECT(DatCol&amp;"$"&amp;TEXT(C2168,"###")):INDIRECT(DatCol&amp;"$"&amp;TEXT(C2168+57,"###"))&gt;0,INDIRECT(DatCol&amp;"$"&amp;TEXT(C2168,"###")):INDIRECT(DatCol&amp;"$"&amp;TEXT(C2168+57,"###"))))</f>
        <v>63</v>
      </c>
      <c r="F2168" s="26" t="str">
        <f t="shared" si="2202"/>
        <v>C</v>
      </c>
      <c r="G2168" s="8"/>
      <c r="H2168" s="8" t="s">
        <v>93</v>
      </c>
      <c r="I2168" s="8" t="s">
        <v>94</v>
      </c>
      <c r="J2168" s="8" t="s">
        <v>95</v>
      </c>
      <c r="K2168" s="9">
        <f t="shared" si="2183"/>
        <v>0</v>
      </c>
      <c r="L2168" s="12" t="s">
        <v>96</v>
      </c>
      <c r="M2168" s="11">
        <f t="shared" si="2184"/>
        <v>0</v>
      </c>
      <c r="N2168" s="12" t="s">
        <v>97</v>
      </c>
      <c r="O2168" s="11">
        <f t="shared" si="2185"/>
        <v>0</v>
      </c>
      <c r="Q2168" s="11">
        <f t="shared" si="2186"/>
        <v>0</v>
      </c>
      <c r="Y2168" s="11">
        <f t="shared" si="2187"/>
        <v>0</v>
      </c>
      <c r="AG2168" s="11">
        <f t="shared" si="2188"/>
        <v>0</v>
      </c>
      <c r="AI2168" s="11">
        <f t="shared" si="2189"/>
        <v>0</v>
      </c>
      <c r="AK2168" s="13">
        <f t="shared" si="2190"/>
        <v>0</v>
      </c>
      <c r="AM2168" s="13">
        <f t="shared" si="2191"/>
        <v>0</v>
      </c>
      <c r="AO2168" s="11">
        <f t="shared" si="2192"/>
        <v>0</v>
      </c>
      <c r="AQ2168" s="11">
        <f t="shared" si="2193"/>
        <v>0</v>
      </c>
      <c r="AS2168" s="11">
        <f t="shared" si="2194"/>
        <v>0</v>
      </c>
      <c r="AU2168" s="11">
        <f t="shared" si="2195"/>
        <v>0</v>
      </c>
      <c r="AW2168" s="11">
        <f t="shared" si="2196"/>
        <v>0</v>
      </c>
      <c r="AY2168" s="11">
        <f t="shared" si="2197"/>
        <v>0</v>
      </c>
      <c r="BA2168" s="11">
        <f t="shared" si="2198"/>
        <v>0</v>
      </c>
      <c r="BC2168" s="11">
        <f t="shared" si="2199"/>
        <v>0</v>
      </c>
      <c r="BE2168" s="11">
        <f t="shared" si="2200"/>
        <v>0</v>
      </c>
      <c r="BG2168" s="11">
        <f t="shared" si="2201"/>
        <v>0</v>
      </c>
      <c r="BN2168" s="8">
        <f t="shared" si="2181"/>
        <v>0</v>
      </c>
      <c r="BO2168" s="8">
        <f t="shared" si="2182"/>
        <v>0</v>
      </c>
      <c r="BP2168" s="8">
        <f t="shared" si="2203"/>
        <v>0</v>
      </c>
      <c r="BQ2168" s="12">
        <f t="shared" si="2204"/>
        <v>0</v>
      </c>
    </row>
    <row r="2169" spans="1:69">
      <c r="A2169" s="28">
        <v>1976</v>
      </c>
      <c r="B2169" s="27" t="s">
        <v>92</v>
      </c>
      <c r="C2169" s="24">
        <f t="shared" si="2180"/>
        <v>2148</v>
      </c>
      <c r="D2169" s="7" t="e">
        <f t="shared" ca="1" si="2159"/>
        <v>#N/A</v>
      </c>
      <c r="E2169" s="26">
        <f t="array" aca="1" ref="E2169" ca="1">AVERAGE(IF(INDIRECT(DatCol&amp;"$"&amp;TEXT(C2169,"###")):INDIRECT(DatCol&amp;"$"&amp;TEXT(C2169+57,"###"))&gt;0,INDIRECT(DatCol&amp;"$"&amp;TEXT(C2169,"###")):INDIRECT(DatCol&amp;"$"&amp;TEXT(C2169+57,"###"))))</f>
        <v>63</v>
      </c>
      <c r="F2169" s="26" t="str">
        <f t="shared" si="2202"/>
        <v>C</v>
      </c>
      <c r="G2169" s="8"/>
      <c r="J2169" s="8">
        <v>206</v>
      </c>
      <c r="K2169" s="9">
        <f t="shared" si="2183"/>
        <v>206</v>
      </c>
      <c r="M2169" s="11">
        <f t="shared" si="2184"/>
        <v>0</v>
      </c>
      <c r="O2169" s="11">
        <f t="shared" si="2185"/>
        <v>0</v>
      </c>
      <c r="Q2169" s="11">
        <f t="shared" si="2186"/>
        <v>0</v>
      </c>
      <c r="X2169" s="12">
        <v>145</v>
      </c>
      <c r="Y2169" s="11">
        <f t="shared" si="2187"/>
        <v>8700</v>
      </c>
      <c r="AG2169" s="11">
        <f t="shared" si="2188"/>
        <v>0</v>
      </c>
      <c r="AH2169" s="12">
        <v>130</v>
      </c>
      <c r="AI2169" s="11">
        <f t="shared" si="2189"/>
        <v>8450</v>
      </c>
      <c r="AK2169" s="13">
        <f t="shared" si="2190"/>
        <v>0</v>
      </c>
      <c r="AM2169" s="13">
        <f t="shared" si="2191"/>
        <v>0</v>
      </c>
      <c r="AO2169" s="11">
        <f t="shared" si="2192"/>
        <v>0</v>
      </c>
      <c r="AQ2169" s="11">
        <f t="shared" si="2193"/>
        <v>0</v>
      </c>
      <c r="AS2169" s="11">
        <f t="shared" si="2194"/>
        <v>0</v>
      </c>
      <c r="AT2169" s="12">
        <v>35</v>
      </c>
      <c r="AU2169" s="11">
        <f t="shared" si="2195"/>
        <v>1750</v>
      </c>
      <c r="AW2169" s="11">
        <f t="shared" si="2196"/>
        <v>0</v>
      </c>
      <c r="AY2169" s="11">
        <f t="shared" si="2197"/>
        <v>0</v>
      </c>
      <c r="BA2169" s="11">
        <f t="shared" si="2198"/>
        <v>0</v>
      </c>
      <c r="BC2169" s="11">
        <f t="shared" si="2199"/>
        <v>0</v>
      </c>
      <c r="BE2169" s="11">
        <f t="shared" si="2200"/>
        <v>0</v>
      </c>
      <c r="BG2169" s="11">
        <f t="shared" si="2201"/>
        <v>0</v>
      </c>
      <c r="BN2169" s="8">
        <f t="shared" si="2181"/>
        <v>145</v>
      </c>
      <c r="BO2169" s="8">
        <f t="shared" si="2182"/>
        <v>8700</v>
      </c>
      <c r="BP2169" s="8">
        <f t="shared" si="2203"/>
        <v>310</v>
      </c>
      <c r="BQ2169" s="12">
        <f t="shared" si="2204"/>
        <v>18900</v>
      </c>
    </row>
    <row r="2170" spans="1:69">
      <c r="A2170" s="28">
        <v>1977</v>
      </c>
      <c r="B2170" s="27" t="s">
        <v>92</v>
      </c>
      <c r="C2170" s="24">
        <f t="shared" si="2180"/>
        <v>2148</v>
      </c>
      <c r="D2170" s="7" t="e">
        <f t="shared" ca="1" si="2159"/>
        <v>#N/A</v>
      </c>
      <c r="E2170" s="26">
        <f t="array" aca="1" ref="E2170" ca="1">AVERAGE(IF(INDIRECT(DatCol&amp;"$"&amp;TEXT(C2170,"###")):INDIRECT(DatCol&amp;"$"&amp;TEXT(C2170+57,"###"))&gt;0,INDIRECT(DatCol&amp;"$"&amp;TEXT(C2170,"###")):INDIRECT(DatCol&amp;"$"&amp;TEXT(C2170+57,"###"))))</f>
        <v>63</v>
      </c>
      <c r="F2170" s="26" t="str">
        <f t="shared" si="2202"/>
        <v>C</v>
      </c>
      <c r="G2170" s="8"/>
      <c r="H2170" s="8">
        <v>0</v>
      </c>
      <c r="I2170" s="8">
        <v>0</v>
      </c>
      <c r="J2170" s="8">
        <v>85</v>
      </c>
      <c r="K2170" s="9">
        <f t="shared" si="2183"/>
        <v>85</v>
      </c>
      <c r="M2170" s="11">
        <f t="shared" si="2184"/>
        <v>0</v>
      </c>
      <c r="O2170" s="11">
        <f t="shared" si="2185"/>
        <v>0</v>
      </c>
      <c r="Q2170" s="11">
        <f t="shared" si="2186"/>
        <v>0</v>
      </c>
      <c r="X2170" s="12">
        <v>68</v>
      </c>
      <c r="Y2170" s="11">
        <f t="shared" si="2187"/>
        <v>4080</v>
      </c>
      <c r="AG2170" s="11">
        <f t="shared" si="2188"/>
        <v>0</v>
      </c>
      <c r="AH2170" s="12">
        <v>100</v>
      </c>
      <c r="AI2170" s="11">
        <f t="shared" si="2189"/>
        <v>6500</v>
      </c>
      <c r="AK2170" s="13">
        <f t="shared" si="2190"/>
        <v>0</v>
      </c>
      <c r="AM2170" s="13">
        <f t="shared" si="2191"/>
        <v>0</v>
      </c>
      <c r="AO2170" s="11">
        <f t="shared" si="2192"/>
        <v>0</v>
      </c>
      <c r="AQ2170" s="11">
        <f t="shared" si="2193"/>
        <v>0</v>
      </c>
      <c r="AS2170" s="11">
        <f t="shared" si="2194"/>
        <v>0</v>
      </c>
      <c r="AT2170" s="12">
        <v>75</v>
      </c>
      <c r="AU2170" s="11">
        <f t="shared" si="2195"/>
        <v>3750</v>
      </c>
      <c r="AW2170" s="11">
        <f t="shared" si="2196"/>
        <v>0</v>
      </c>
      <c r="AY2170" s="11">
        <f t="shared" si="2197"/>
        <v>0</v>
      </c>
      <c r="BA2170" s="11">
        <f t="shared" si="2198"/>
        <v>0</v>
      </c>
      <c r="BC2170" s="11">
        <f t="shared" si="2199"/>
        <v>0</v>
      </c>
      <c r="BE2170" s="11">
        <f t="shared" si="2200"/>
        <v>0</v>
      </c>
      <c r="BG2170" s="11">
        <f t="shared" si="2201"/>
        <v>0</v>
      </c>
      <c r="BN2170" s="8">
        <f t="shared" si="2181"/>
        <v>68</v>
      </c>
      <c r="BO2170" s="8">
        <f t="shared" si="2182"/>
        <v>4080</v>
      </c>
      <c r="BP2170" s="8">
        <f t="shared" si="2203"/>
        <v>243</v>
      </c>
      <c r="BQ2170" s="12">
        <f t="shared" si="2204"/>
        <v>14330</v>
      </c>
    </row>
    <row r="2171" spans="1:69">
      <c r="A2171" s="28">
        <v>1978</v>
      </c>
      <c r="B2171" s="27" t="s">
        <v>92</v>
      </c>
      <c r="C2171" s="24">
        <f t="shared" si="2180"/>
        <v>2148</v>
      </c>
      <c r="D2171" s="7" t="e">
        <f t="shared" ca="1" si="2159"/>
        <v>#N/A</v>
      </c>
      <c r="E2171" s="26">
        <f t="array" aca="1" ref="E2171" ca="1">AVERAGE(IF(INDIRECT(DatCol&amp;"$"&amp;TEXT(C2171,"###")):INDIRECT(DatCol&amp;"$"&amp;TEXT(C2171+57,"###"))&gt;0,INDIRECT(DatCol&amp;"$"&amp;TEXT(C2171,"###")):INDIRECT(DatCol&amp;"$"&amp;TEXT(C2171+57,"###"))))</f>
        <v>63</v>
      </c>
      <c r="F2171" s="26" t="str">
        <f t="shared" si="2202"/>
        <v>C</v>
      </c>
      <c r="G2171" s="8"/>
      <c r="H2171" s="8">
        <v>0</v>
      </c>
      <c r="I2171" s="8">
        <v>0</v>
      </c>
      <c r="J2171" s="8">
        <v>292</v>
      </c>
      <c r="K2171" s="9">
        <f t="shared" si="2183"/>
        <v>292</v>
      </c>
      <c r="M2171" s="11">
        <f t="shared" si="2184"/>
        <v>0</v>
      </c>
      <c r="O2171" s="11">
        <f t="shared" si="2185"/>
        <v>0</v>
      </c>
      <c r="Q2171" s="11">
        <f t="shared" si="2186"/>
        <v>0</v>
      </c>
      <c r="X2171" s="12">
        <v>80</v>
      </c>
      <c r="Y2171" s="11">
        <f t="shared" si="2187"/>
        <v>4800</v>
      </c>
      <c r="AG2171" s="11">
        <f t="shared" si="2188"/>
        <v>0</v>
      </c>
      <c r="AH2171" s="12">
        <v>120</v>
      </c>
      <c r="AI2171" s="11">
        <f t="shared" si="2189"/>
        <v>7800</v>
      </c>
      <c r="AK2171" s="13">
        <f t="shared" si="2190"/>
        <v>0</v>
      </c>
      <c r="AM2171" s="13">
        <f t="shared" si="2191"/>
        <v>0</v>
      </c>
      <c r="AO2171" s="11">
        <f t="shared" si="2192"/>
        <v>0</v>
      </c>
      <c r="AQ2171" s="11">
        <f t="shared" si="2193"/>
        <v>0</v>
      </c>
      <c r="AS2171" s="11">
        <f t="shared" si="2194"/>
        <v>0</v>
      </c>
      <c r="AT2171" s="12">
        <v>50</v>
      </c>
      <c r="AU2171" s="11">
        <f t="shared" si="2195"/>
        <v>2500</v>
      </c>
      <c r="AW2171" s="11">
        <f t="shared" si="2196"/>
        <v>0</v>
      </c>
      <c r="AY2171" s="11">
        <f t="shared" si="2197"/>
        <v>0</v>
      </c>
      <c r="BA2171" s="11">
        <f t="shared" si="2198"/>
        <v>0</v>
      </c>
      <c r="BC2171" s="11">
        <f t="shared" si="2199"/>
        <v>0</v>
      </c>
      <c r="BE2171" s="11">
        <f t="shared" si="2200"/>
        <v>0</v>
      </c>
      <c r="BG2171" s="11">
        <f t="shared" si="2201"/>
        <v>0</v>
      </c>
      <c r="BN2171" s="8">
        <f t="shared" si="2181"/>
        <v>80</v>
      </c>
      <c r="BO2171" s="8">
        <f t="shared" si="2182"/>
        <v>4800</v>
      </c>
      <c r="BP2171" s="8">
        <f t="shared" si="2203"/>
        <v>250</v>
      </c>
      <c r="BQ2171" s="12">
        <f t="shared" si="2204"/>
        <v>15100</v>
      </c>
    </row>
    <row r="2172" spans="1:69">
      <c r="A2172" s="28">
        <v>1979</v>
      </c>
      <c r="B2172" s="27" t="s">
        <v>92</v>
      </c>
      <c r="C2172" s="24">
        <f t="shared" si="2180"/>
        <v>2148</v>
      </c>
      <c r="D2172" s="7" t="e">
        <f t="shared" ca="1" si="2159"/>
        <v>#N/A</v>
      </c>
      <c r="E2172" s="26">
        <f t="array" aca="1" ref="E2172" ca="1">AVERAGE(IF(INDIRECT(DatCol&amp;"$"&amp;TEXT(C2172,"###")):INDIRECT(DatCol&amp;"$"&amp;TEXT(C2172+57,"###"))&gt;0,INDIRECT(DatCol&amp;"$"&amp;TEXT(C2172,"###")):INDIRECT(DatCol&amp;"$"&amp;TEXT(C2172+57,"###"))))</f>
        <v>63</v>
      </c>
      <c r="F2172" s="26" t="str">
        <f t="shared" si="2202"/>
        <v>C</v>
      </c>
      <c r="G2172" s="8"/>
      <c r="K2172" s="9">
        <f t="shared" si="2183"/>
        <v>0</v>
      </c>
      <c r="M2172" s="11">
        <f t="shared" si="2184"/>
        <v>0</v>
      </c>
      <c r="O2172" s="11">
        <f t="shared" si="2185"/>
        <v>0</v>
      </c>
      <c r="Q2172" s="11">
        <f t="shared" si="2186"/>
        <v>0</v>
      </c>
      <c r="Y2172" s="11">
        <f t="shared" si="2187"/>
        <v>0</v>
      </c>
      <c r="AG2172" s="11">
        <f t="shared" si="2188"/>
        <v>0</v>
      </c>
      <c r="AI2172" s="11">
        <f t="shared" si="2189"/>
        <v>0</v>
      </c>
      <c r="AK2172" s="13">
        <f t="shared" si="2190"/>
        <v>0</v>
      </c>
      <c r="AM2172" s="13">
        <f t="shared" si="2191"/>
        <v>0</v>
      </c>
      <c r="AO2172" s="11">
        <f t="shared" si="2192"/>
        <v>0</v>
      </c>
      <c r="AQ2172" s="11">
        <f t="shared" si="2193"/>
        <v>0</v>
      </c>
      <c r="AS2172" s="11">
        <f t="shared" si="2194"/>
        <v>0</v>
      </c>
      <c r="AU2172" s="11">
        <f t="shared" si="2195"/>
        <v>0</v>
      </c>
      <c r="AW2172" s="11">
        <f t="shared" si="2196"/>
        <v>0</v>
      </c>
      <c r="AY2172" s="11">
        <f t="shared" si="2197"/>
        <v>0</v>
      </c>
      <c r="BA2172" s="11">
        <f t="shared" si="2198"/>
        <v>0</v>
      </c>
      <c r="BC2172" s="11">
        <f t="shared" si="2199"/>
        <v>0</v>
      </c>
      <c r="BE2172" s="11">
        <f t="shared" si="2200"/>
        <v>0</v>
      </c>
      <c r="BG2172" s="11">
        <f t="shared" si="2201"/>
        <v>0</v>
      </c>
      <c r="BN2172" s="8">
        <f t="shared" si="2181"/>
        <v>0</v>
      </c>
      <c r="BO2172" s="8">
        <f t="shared" si="2182"/>
        <v>0</v>
      </c>
      <c r="BP2172" s="8">
        <f t="shared" si="2203"/>
        <v>0</v>
      </c>
      <c r="BQ2172" s="12">
        <f t="shared" si="2204"/>
        <v>0</v>
      </c>
    </row>
    <row r="2173" spans="1:69">
      <c r="A2173" s="28">
        <v>1980</v>
      </c>
      <c r="B2173" s="27" t="s">
        <v>92</v>
      </c>
      <c r="C2173" s="24">
        <f t="shared" si="2180"/>
        <v>2148</v>
      </c>
      <c r="D2173" s="7" t="e">
        <f t="shared" ca="1" si="2159"/>
        <v>#N/A</v>
      </c>
      <c r="E2173" s="26">
        <f t="array" aca="1" ref="E2173" ca="1">AVERAGE(IF(INDIRECT(DatCol&amp;"$"&amp;TEXT(C2173,"###")):INDIRECT(DatCol&amp;"$"&amp;TEXT(C2173+57,"###"))&gt;0,INDIRECT(DatCol&amp;"$"&amp;TEXT(C2173,"###")):INDIRECT(DatCol&amp;"$"&amp;TEXT(C2173+57,"###"))))</f>
        <v>63</v>
      </c>
      <c r="F2173" s="26" t="str">
        <f t="shared" si="2202"/>
        <v>C</v>
      </c>
      <c r="G2173" s="8"/>
      <c r="H2173" s="8">
        <v>1</v>
      </c>
      <c r="I2173" s="8">
        <v>0</v>
      </c>
      <c r="J2173" s="8">
        <v>108</v>
      </c>
      <c r="K2173" s="9">
        <f t="shared" si="2183"/>
        <v>109</v>
      </c>
      <c r="M2173" s="11">
        <f t="shared" si="2184"/>
        <v>0</v>
      </c>
      <c r="O2173" s="11">
        <f t="shared" si="2185"/>
        <v>0</v>
      </c>
      <c r="Q2173" s="11">
        <f t="shared" si="2186"/>
        <v>0</v>
      </c>
      <c r="X2173" s="12">
        <v>75</v>
      </c>
      <c r="Y2173" s="11">
        <f t="shared" si="2187"/>
        <v>4500</v>
      </c>
      <c r="AG2173" s="11">
        <f t="shared" si="2188"/>
        <v>0</v>
      </c>
      <c r="AI2173" s="11">
        <f t="shared" si="2189"/>
        <v>0</v>
      </c>
      <c r="AK2173" s="13">
        <f t="shared" si="2190"/>
        <v>0</v>
      </c>
      <c r="AM2173" s="13">
        <f t="shared" si="2191"/>
        <v>0</v>
      </c>
      <c r="AO2173" s="11">
        <f t="shared" si="2192"/>
        <v>0</v>
      </c>
      <c r="AQ2173" s="11">
        <f t="shared" si="2193"/>
        <v>0</v>
      </c>
      <c r="AS2173" s="11">
        <f t="shared" si="2194"/>
        <v>0</v>
      </c>
      <c r="AT2173" s="12">
        <v>60</v>
      </c>
      <c r="AU2173" s="11">
        <f t="shared" si="2195"/>
        <v>3000</v>
      </c>
      <c r="AW2173" s="11">
        <f t="shared" si="2196"/>
        <v>0</v>
      </c>
      <c r="AY2173" s="11">
        <f t="shared" si="2197"/>
        <v>0</v>
      </c>
      <c r="BA2173" s="11">
        <f t="shared" si="2198"/>
        <v>0</v>
      </c>
      <c r="BC2173" s="11">
        <f t="shared" si="2199"/>
        <v>0</v>
      </c>
      <c r="BE2173" s="11">
        <f t="shared" si="2200"/>
        <v>0</v>
      </c>
      <c r="BG2173" s="11">
        <f t="shared" si="2201"/>
        <v>0</v>
      </c>
      <c r="BN2173" s="8">
        <f t="shared" si="2181"/>
        <v>75</v>
      </c>
      <c r="BO2173" s="8">
        <f t="shared" si="2182"/>
        <v>4500</v>
      </c>
      <c r="BP2173" s="8">
        <f t="shared" si="2203"/>
        <v>135</v>
      </c>
      <c r="BQ2173" s="12">
        <f t="shared" si="2204"/>
        <v>7500</v>
      </c>
    </row>
    <row r="2174" spans="1:69">
      <c r="A2174" s="28">
        <v>1981</v>
      </c>
      <c r="B2174" s="27" t="s">
        <v>92</v>
      </c>
      <c r="C2174" s="24">
        <f t="shared" si="2180"/>
        <v>2148</v>
      </c>
      <c r="D2174" s="7" t="e">
        <f t="shared" ca="1" si="2159"/>
        <v>#N/A</v>
      </c>
      <c r="E2174" s="26">
        <f t="array" aca="1" ref="E2174" ca="1">AVERAGE(IF(INDIRECT(DatCol&amp;"$"&amp;TEXT(C2174,"###")):INDIRECT(DatCol&amp;"$"&amp;TEXT(C2174+57,"###"))&gt;0,INDIRECT(DatCol&amp;"$"&amp;TEXT(C2174,"###")):INDIRECT(DatCol&amp;"$"&amp;TEXT(C2174+57,"###"))))</f>
        <v>63</v>
      </c>
      <c r="F2174" s="26" t="str">
        <f t="shared" si="2202"/>
        <v>C</v>
      </c>
      <c r="G2174" s="8"/>
      <c r="K2174" s="9">
        <f t="shared" si="2183"/>
        <v>0</v>
      </c>
      <c r="M2174" s="11">
        <f t="shared" ref="M2174:M2190" si="2205">(L2174*50)</f>
        <v>0</v>
      </c>
      <c r="O2174" s="11">
        <f t="shared" ref="O2174:O2190" si="2206">(N2174*50)</f>
        <v>0</v>
      </c>
      <c r="Q2174" s="11">
        <f t="shared" ref="Q2174:Q2190" si="2207">((P2174*330)/5.5)</f>
        <v>0</v>
      </c>
      <c r="Y2174" s="11">
        <f t="shared" ref="Y2174:Y2190" si="2208">((X2174*330)/5.5)</f>
        <v>0</v>
      </c>
      <c r="AG2174" s="11">
        <f t="shared" ref="AG2174:AG2190" si="2209">(AF2174*65)</f>
        <v>0</v>
      </c>
      <c r="AI2174" s="11">
        <f t="shared" ref="AI2174:AI2190" si="2210">(AH2174*65)</f>
        <v>0</v>
      </c>
      <c r="AK2174" s="13">
        <f t="shared" ref="AK2174:AK2189" si="2211">(AJ2174*9)</f>
        <v>0</v>
      </c>
      <c r="AM2174" s="13">
        <f t="shared" ref="AM2174:AM2190" si="2212">(AL2174*9)</f>
        <v>0</v>
      </c>
      <c r="AO2174" s="11">
        <f t="shared" ref="AO2174:AO2190" si="2213">(AN2174*80)</f>
        <v>0</v>
      </c>
      <c r="AQ2174" s="11">
        <f t="shared" ref="AQ2174:AQ2190" si="2214">(AP2174*80)</f>
        <v>0</v>
      </c>
      <c r="AS2174" s="11">
        <f t="shared" ref="AS2174:AS2190" si="2215">(AR2174*50)</f>
        <v>0</v>
      </c>
      <c r="AU2174" s="11">
        <f t="shared" ref="AU2174:AU2190" si="2216">(AT2174*50)</f>
        <v>0</v>
      </c>
      <c r="AW2174" s="11">
        <f t="shared" ref="AW2174:AW2190" si="2217">(AV2174*60)</f>
        <v>0</v>
      </c>
      <c r="AY2174" s="11">
        <f t="shared" ref="AY2174:AY2190" si="2218">(AX2174*60)</f>
        <v>0</v>
      </c>
      <c r="BA2174" s="11">
        <f t="shared" ref="BA2174:BA2190" si="2219">(AZ2174*40)</f>
        <v>0</v>
      </c>
      <c r="BC2174" s="11">
        <f t="shared" ref="BC2174:BC2190" si="2220">(BB2174*40)</f>
        <v>0</v>
      </c>
      <c r="BE2174" s="11">
        <f t="shared" ref="BE2174:BE2190" si="2221">(BD2174*95)</f>
        <v>0</v>
      </c>
      <c r="BG2174" s="11">
        <f t="shared" ref="BG2174:BG2190" si="2222">(BF2174*95)</f>
        <v>0</v>
      </c>
      <c r="BN2174" s="8">
        <f t="shared" si="2181"/>
        <v>0</v>
      </c>
      <c r="BO2174" s="8">
        <f t="shared" si="2182"/>
        <v>0</v>
      </c>
      <c r="BP2174" s="8">
        <f t="shared" si="2203"/>
        <v>0</v>
      </c>
      <c r="BQ2174" s="12">
        <f t="shared" si="2204"/>
        <v>0</v>
      </c>
    </row>
    <row r="2175" spans="1:69">
      <c r="A2175" s="28">
        <v>1982</v>
      </c>
      <c r="B2175" s="27" t="s">
        <v>92</v>
      </c>
      <c r="C2175" s="24">
        <f t="shared" si="2180"/>
        <v>2148</v>
      </c>
      <c r="D2175" s="7" t="e">
        <f t="shared" ca="1" si="2159"/>
        <v>#N/A</v>
      </c>
      <c r="E2175" s="26">
        <f t="array" aca="1" ref="E2175" ca="1">AVERAGE(IF(INDIRECT(DatCol&amp;"$"&amp;TEXT(C2175,"###")):INDIRECT(DatCol&amp;"$"&amp;TEXT(C2175+57,"###"))&gt;0,INDIRECT(DatCol&amp;"$"&amp;TEXT(C2175,"###")):INDIRECT(DatCol&amp;"$"&amp;TEXT(C2175+57,"###"))))</f>
        <v>63</v>
      </c>
      <c r="F2175" s="26" t="str">
        <f t="shared" si="2202"/>
        <v>C</v>
      </c>
      <c r="G2175" s="8"/>
      <c r="H2175" s="8">
        <v>0</v>
      </c>
      <c r="I2175" s="8">
        <v>0</v>
      </c>
      <c r="J2175" s="8">
        <v>68</v>
      </c>
      <c r="K2175" s="9">
        <f t="shared" si="2183"/>
        <v>68</v>
      </c>
      <c r="M2175" s="11">
        <f t="shared" si="2205"/>
        <v>0</v>
      </c>
      <c r="N2175" s="12">
        <v>0</v>
      </c>
      <c r="O2175" s="11">
        <f t="shared" si="2206"/>
        <v>0</v>
      </c>
      <c r="Q2175" s="11">
        <f t="shared" si="2207"/>
        <v>0</v>
      </c>
      <c r="X2175" s="12">
        <v>30</v>
      </c>
      <c r="Y2175" s="11">
        <f t="shared" si="2208"/>
        <v>1800</v>
      </c>
      <c r="AG2175" s="11">
        <f t="shared" si="2209"/>
        <v>0</v>
      </c>
      <c r="AH2175" s="12">
        <v>20</v>
      </c>
      <c r="AI2175" s="11">
        <f t="shared" si="2210"/>
        <v>1300</v>
      </c>
      <c r="AK2175" s="13">
        <f t="shared" si="2211"/>
        <v>0</v>
      </c>
      <c r="AM2175" s="13">
        <f t="shared" si="2212"/>
        <v>0</v>
      </c>
      <c r="AO2175" s="11">
        <f t="shared" si="2213"/>
        <v>0</v>
      </c>
      <c r="AQ2175" s="11">
        <f t="shared" si="2214"/>
        <v>0</v>
      </c>
      <c r="AS2175" s="11">
        <f t="shared" si="2215"/>
        <v>0</v>
      </c>
      <c r="AT2175" s="12">
        <v>10</v>
      </c>
      <c r="AU2175" s="11">
        <f t="shared" si="2216"/>
        <v>500</v>
      </c>
      <c r="AW2175" s="11">
        <f t="shared" si="2217"/>
        <v>0</v>
      </c>
      <c r="AY2175" s="11">
        <f t="shared" si="2218"/>
        <v>0</v>
      </c>
      <c r="BA2175" s="11">
        <f t="shared" si="2219"/>
        <v>0</v>
      </c>
      <c r="BC2175" s="11">
        <f t="shared" si="2220"/>
        <v>0</v>
      </c>
      <c r="BE2175" s="11">
        <f t="shared" si="2221"/>
        <v>0</v>
      </c>
      <c r="BG2175" s="11">
        <f t="shared" si="2222"/>
        <v>0</v>
      </c>
      <c r="BN2175" s="8">
        <f t="shared" si="2181"/>
        <v>30</v>
      </c>
      <c r="BO2175" s="8">
        <f t="shared" si="2182"/>
        <v>1800</v>
      </c>
      <c r="BP2175" s="8">
        <f t="shared" si="2203"/>
        <v>60</v>
      </c>
      <c r="BQ2175" s="12">
        <f t="shared" si="2204"/>
        <v>3600</v>
      </c>
    </row>
    <row r="2176" spans="1:69">
      <c r="A2176" s="28">
        <v>1983</v>
      </c>
      <c r="B2176" s="27" t="s">
        <v>92</v>
      </c>
      <c r="C2176" s="24">
        <f t="shared" si="2180"/>
        <v>2148</v>
      </c>
      <c r="D2176" s="7" t="e">
        <f t="shared" ca="1" si="2159"/>
        <v>#N/A</v>
      </c>
      <c r="E2176" s="26">
        <f t="array" aca="1" ref="E2176" ca="1">AVERAGE(IF(INDIRECT(DatCol&amp;"$"&amp;TEXT(C2176,"###")):INDIRECT(DatCol&amp;"$"&amp;TEXT(C2176+57,"###"))&gt;0,INDIRECT(DatCol&amp;"$"&amp;TEXT(C2176,"###")):INDIRECT(DatCol&amp;"$"&amp;TEXT(C2176+57,"###"))))</f>
        <v>63</v>
      </c>
      <c r="F2176" s="26" t="str">
        <f t="shared" si="2202"/>
        <v>C</v>
      </c>
      <c r="G2176" s="8"/>
      <c r="H2176" s="8">
        <v>0</v>
      </c>
      <c r="I2176" s="8">
        <v>0</v>
      </c>
      <c r="J2176" s="8">
        <v>26</v>
      </c>
      <c r="K2176" s="9">
        <f t="shared" si="2183"/>
        <v>26</v>
      </c>
      <c r="M2176" s="11">
        <f t="shared" si="2205"/>
        <v>0</v>
      </c>
      <c r="N2176" s="12">
        <v>0</v>
      </c>
      <c r="O2176" s="11">
        <f t="shared" si="2206"/>
        <v>0</v>
      </c>
      <c r="Q2176" s="11">
        <f t="shared" si="2207"/>
        <v>0</v>
      </c>
      <c r="X2176" s="12">
        <v>57</v>
      </c>
      <c r="Y2176" s="11">
        <f t="shared" si="2208"/>
        <v>3420</v>
      </c>
      <c r="AG2176" s="11">
        <f t="shared" si="2209"/>
        <v>0</v>
      </c>
      <c r="AH2176" s="12">
        <v>40</v>
      </c>
      <c r="AI2176" s="11">
        <f t="shared" si="2210"/>
        <v>2600</v>
      </c>
      <c r="AK2176" s="13">
        <f t="shared" si="2211"/>
        <v>0</v>
      </c>
      <c r="AM2176" s="13">
        <f t="shared" si="2212"/>
        <v>0</v>
      </c>
      <c r="AO2176" s="11">
        <f t="shared" si="2213"/>
        <v>0</v>
      </c>
      <c r="AQ2176" s="11">
        <f t="shared" si="2214"/>
        <v>0</v>
      </c>
      <c r="AS2176" s="11">
        <f t="shared" si="2215"/>
        <v>0</v>
      </c>
      <c r="AT2176" s="12">
        <v>30</v>
      </c>
      <c r="AU2176" s="11">
        <f t="shared" si="2216"/>
        <v>1500</v>
      </c>
      <c r="AW2176" s="11">
        <f t="shared" si="2217"/>
        <v>0</v>
      </c>
      <c r="AY2176" s="11">
        <f t="shared" si="2218"/>
        <v>0</v>
      </c>
      <c r="BA2176" s="11">
        <f t="shared" si="2219"/>
        <v>0</v>
      </c>
      <c r="BC2176" s="11">
        <f t="shared" si="2220"/>
        <v>0</v>
      </c>
      <c r="BE2176" s="11">
        <f t="shared" si="2221"/>
        <v>0</v>
      </c>
      <c r="BG2176" s="11">
        <f t="shared" si="2222"/>
        <v>0</v>
      </c>
      <c r="BN2176" s="8">
        <f t="shared" si="2181"/>
        <v>57</v>
      </c>
      <c r="BO2176" s="8">
        <f t="shared" si="2182"/>
        <v>3420</v>
      </c>
      <c r="BP2176" s="8">
        <f t="shared" si="2203"/>
        <v>127</v>
      </c>
      <c r="BQ2176" s="12">
        <f t="shared" si="2204"/>
        <v>7520</v>
      </c>
    </row>
    <row r="2177" spans="1:69">
      <c r="A2177" s="28">
        <v>1984</v>
      </c>
      <c r="B2177" s="27" t="s">
        <v>92</v>
      </c>
      <c r="C2177" s="24">
        <f t="shared" si="2180"/>
        <v>2148</v>
      </c>
      <c r="D2177" s="7" t="e">
        <f t="shared" ca="1" si="2159"/>
        <v>#N/A</v>
      </c>
      <c r="E2177" s="26">
        <f t="array" aca="1" ref="E2177" ca="1">AVERAGE(IF(INDIRECT(DatCol&amp;"$"&amp;TEXT(C2177,"###")):INDIRECT(DatCol&amp;"$"&amp;TEXT(C2177+57,"###"))&gt;0,INDIRECT(DatCol&amp;"$"&amp;TEXT(C2177,"###")):INDIRECT(DatCol&amp;"$"&amp;TEXT(C2177+57,"###"))))</f>
        <v>63</v>
      </c>
      <c r="F2177" s="26" t="str">
        <f t="shared" si="2202"/>
        <v>C</v>
      </c>
      <c r="G2177" s="8"/>
      <c r="H2177" s="8">
        <v>0</v>
      </c>
      <c r="I2177" s="8">
        <v>0</v>
      </c>
      <c r="J2177" s="8">
        <v>28</v>
      </c>
      <c r="K2177" s="9">
        <f t="shared" si="2183"/>
        <v>28</v>
      </c>
      <c r="M2177" s="11">
        <f t="shared" si="2205"/>
        <v>0</v>
      </c>
      <c r="O2177" s="11">
        <f t="shared" si="2206"/>
        <v>0</v>
      </c>
      <c r="Q2177" s="11">
        <f t="shared" si="2207"/>
        <v>0</v>
      </c>
      <c r="X2177" s="12">
        <v>34</v>
      </c>
      <c r="Y2177" s="11">
        <f t="shared" si="2208"/>
        <v>2040</v>
      </c>
      <c r="AG2177" s="11">
        <f t="shared" si="2209"/>
        <v>0</v>
      </c>
      <c r="AH2177" s="12">
        <v>40</v>
      </c>
      <c r="AI2177" s="11">
        <f t="shared" si="2210"/>
        <v>2600</v>
      </c>
      <c r="AK2177" s="13">
        <f t="shared" si="2211"/>
        <v>0</v>
      </c>
      <c r="AM2177" s="13">
        <f t="shared" si="2212"/>
        <v>0</v>
      </c>
      <c r="AO2177" s="11">
        <f t="shared" si="2213"/>
        <v>0</v>
      </c>
      <c r="AQ2177" s="11">
        <f t="shared" si="2214"/>
        <v>0</v>
      </c>
      <c r="AS2177" s="11">
        <f t="shared" si="2215"/>
        <v>0</v>
      </c>
      <c r="AT2177" s="12">
        <v>35</v>
      </c>
      <c r="AU2177" s="11">
        <f t="shared" si="2216"/>
        <v>1750</v>
      </c>
      <c r="AW2177" s="11">
        <f t="shared" si="2217"/>
        <v>0</v>
      </c>
      <c r="AY2177" s="11">
        <f t="shared" si="2218"/>
        <v>0</v>
      </c>
      <c r="BA2177" s="11">
        <f t="shared" si="2219"/>
        <v>0</v>
      </c>
      <c r="BC2177" s="11">
        <f t="shared" si="2220"/>
        <v>0</v>
      </c>
      <c r="BE2177" s="11">
        <f t="shared" si="2221"/>
        <v>0</v>
      </c>
      <c r="BG2177" s="11">
        <f t="shared" si="2222"/>
        <v>0</v>
      </c>
      <c r="BN2177" s="8">
        <f t="shared" si="2181"/>
        <v>34</v>
      </c>
      <c r="BO2177" s="8">
        <f t="shared" si="2182"/>
        <v>2040</v>
      </c>
      <c r="BP2177" s="8">
        <f t="shared" si="2203"/>
        <v>109</v>
      </c>
      <c r="BQ2177" s="12">
        <f t="shared" si="2204"/>
        <v>6390</v>
      </c>
    </row>
    <row r="2178" spans="1:69">
      <c r="A2178" s="28">
        <v>1985</v>
      </c>
      <c r="B2178" s="27" t="s">
        <v>92</v>
      </c>
      <c r="C2178" s="24">
        <f t="shared" si="2180"/>
        <v>2148</v>
      </c>
      <c r="D2178" s="7" t="e">
        <f t="shared" ref="D2178:D2241" ca="1" si="2223">IF(AND((INDIRECT(DatCol&amp;TEXT(ROW(),"###"))&gt;0),((F2178=RegionSelect)+(RegionSelect="A"))),INDIRECT(DatCol&amp;TEXT(ROW(),"###"))/E2178,NA())</f>
        <v>#N/A</v>
      </c>
      <c r="E2178" s="26">
        <f t="array" aca="1" ref="E2178" ca="1">AVERAGE(IF(INDIRECT(DatCol&amp;"$"&amp;TEXT(C2178,"###")):INDIRECT(DatCol&amp;"$"&amp;TEXT(C2178+57,"###"))&gt;0,INDIRECT(DatCol&amp;"$"&amp;TEXT(C2178,"###")):INDIRECT(DatCol&amp;"$"&amp;TEXT(C2178+57,"###"))))</f>
        <v>63</v>
      </c>
      <c r="F2178" s="26" t="str">
        <f t="shared" si="2202"/>
        <v>C</v>
      </c>
      <c r="G2178" s="8">
        <v>3</v>
      </c>
      <c r="H2178" s="8">
        <v>0</v>
      </c>
      <c r="I2178" s="8">
        <v>0</v>
      </c>
      <c r="J2178" s="8">
        <v>8</v>
      </c>
      <c r="K2178" s="9">
        <f t="shared" si="2183"/>
        <v>11</v>
      </c>
      <c r="M2178" s="11">
        <f t="shared" si="2205"/>
        <v>0</v>
      </c>
      <c r="O2178" s="11">
        <f t="shared" si="2206"/>
        <v>0</v>
      </c>
      <c r="Q2178" s="11">
        <f t="shared" si="2207"/>
        <v>0</v>
      </c>
      <c r="Y2178" s="11">
        <f t="shared" si="2208"/>
        <v>0</v>
      </c>
      <c r="AG2178" s="11">
        <f t="shared" si="2209"/>
        <v>0</v>
      </c>
      <c r="AI2178" s="11">
        <f t="shared" si="2210"/>
        <v>0</v>
      </c>
      <c r="AK2178" s="13">
        <f t="shared" si="2211"/>
        <v>0</v>
      </c>
      <c r="AM2178" s="13">
        <f t="shared" si="2212"/>
        <v>0</v>
      </c>
      <c r="AO2178" s="11">
        <f t="shared" si="2213"/>
        <v>0</v>
      </c>
      <c r="AQ2178" s="11">
        <f t="shared" si="2214"/>
        <v>0</v>
      </c>
      <c r="AS2178" s="11">
        <f t="shared" si="2215"/>
        <v>0</v>
      </c>
      <c r="AU2178" s="11">
        <f t="shared" si="2216"/>
        <v>0</v>
      </c>
      <c r="AW2178" s="11">
        <f t="shared" si="2217"/>
        <v>0</v>
      </c>
      <c r="AY2178" s="11">
        <f t="shared" si="2218"/>
        <v>0</v>
      </c>
      <c r="BA2178" s="11">
        <f t="shared" si="2219"/>
        <v>0</v>
      </c>
      <c r="BC2178" s="11">
        <f t="shared" si="2220"/>
        <v>0</v>
      </c>
      <c r="BE2178" s="11">
        <f t="shared" si="2221"/>
        <v>0</v>
      </c>
      <c r="BG2178" s="11">
        <f t="shared" si="2222"/>
        <v>0</v>
      </c>
      <c r="BN2178" s="8">
        <f t="shared" si="2181"/>
        <v>0</v>
      </c>
      <c r="BO2178" s="8">
        <f t="shared" si="2182"/>
        <v>0</v>
      </c>
      <c r="BP2178" s="8">
        <f t="shared" si="2203"/>
        <v>0</v>
      </c>
      <c r="BQ2178" s="12">
        <f t="shared" si="2204"/>
        <v>0</v>
      </c>
    </row>
    <row r="2179" spans="1:69">
      <c r="A2179" s="28">
        <v>1986</v>
      </c>
      <c r="B2179" s="27" t="s">
        <v>92</v>
      </c>
      <c r="C2179" s="24">
        <f t="shared" si="2180"/>
        <v>2148</v>
      </c>
      <c r="D2179" s="7" t="e">
        <f t="shared" ca="1" si="2223"/>
        <v>#N/A</v>
      </c>
      <c r="E2179" s="26">
        <f t="array" aca="1" ref="E2179" ca="1">AVERAGE(IF(INDIRECT(DatCol&amp;"$"&amp;TEXT(C2179,"###")):INDIRECT(DatCol&amp;"$"&amp;TEXT(C2179+57,"###"))&gt;0,INDIRECT(DatCol&amp;"$"&amp;TEXT(C2179,"###")):INDIRECT(DatCol&amp;"$"&amp;TEXT(C2179+57,"###"))))</f>
        <v>63</v>
      </c>
      <c r="F2179" s="26" t="str">
        <f t="shared" si="2202"/>
        <v>C</v>
      </c>
      <c r="G2179" s="8"/>
      <c r="H2179" s="8">
        <v>0</v>
      </c>
      <c r="I2179" s="8">
        <v>0</v>
      </c>
      <c r="J2179" s="8">
        <v>0</v>
      </c>
      <c r="K2179" s="9">
        <f t="shared" si="2183"/>
        <v>0</v>
      </c>
      <c r="L2179" s="12" t="s">
        <v>98</v>
      </c>
      <c r="M2179" s="11">
        <f t="shared" si="2205"/>
        <v>0</v>
      </c>
      <c r="O2179" s="11">
        <f t="shared" si="2206"/>
        <v>0</v>
      </c>
      <c r="Q2179" s="11">
        <f t="shared" si="2207"/>
        <v>0</v>
      </c>
      <c r="Y2179" s="11">
        <f t="shared" si="2208"/>
        <v>0</v>
      </c>
      <c r="AG2179" s="11">
        <f t="shared" si="2209"/>
        <v>0</v>
      </c>
      <c r="AI2179" s="11">
        <f t="shared" si="2210"/>
        <v>0</v>
      </c>
      <c r="AK2179" s="13">
        <f t="shared" si="2211"/>
        <v>0</v>
      </c>
      <c r="AM2179" s="13">
        <f t="shared" si="2212"/>
        <v>0</v>
      </c>
      <c r="AO2179" s="11">
        <f t="shared" si="2213"/>
        <v>0</v>
      </c>
      <c r="AQ2179" s="11">
        <f t="shared" si="2214"/>
        <v>0</v>
      </c>
      <c r="AS2179" s="11">
        <f t="shared" si="2215"/>
        <v>0</v>
      </c>
      <c r="AU2179" s="11">
        <f t="shared" si="2216"/>
        <v>0</v>
      </c>
      <c r="AW2179" s="11">
        <f t="shared" si="2217"/>
        <v>0</v>
      </c>
      <c r="AY2179" s="11">
        <f t="shared" si="2218"/>
        <v>0</v>
      </c>
      <c r="BA2179" s="11">
        <f t="shared" si="2219"/>
        <v>0</v>
      </c>
      <c r="BC2179" s="11">
        <f t="shared" si="2220"/>
        <v>0</v>
      </c>
      <c r="BE2179" s="11">
        <f t="shared" si="2221"/>
        <v>0</v>
      </c>
      <c r="BG2179" s="11">
        <f t="shared" si="2222"/>
        <v>0</v>
      </c>
      <c r="BN2179" s="8">
        <f t="shared" si="2181"/>
        <v>0</v>
      </c>
      <c r="BO2179" s="8">
        <f t="shared" si="2182"/>
        <v>0</v>
      </c>
      <c r="BP2179" s="8">
        <f t="shared" si="2203"/>
        <v>0</v>
      </c>
      <c r="BQ2179" s="12">
        <f t="shared" si="2204"/>
        <v>0</v>
      </c>
    </row>
    <row r="2180" spans="1:69">
      <c r="A2180" s="28">
        <v>1987</v>
      </c>
      <c r="B2180" s="27" t="s">
        <v>92</v>
      </c>
      <c r="C2180" s="24">
        <f t="shared" si="2180"/>
        <v>2148</v>
      </c>
      <c r="D2180" s="7" t="e">
        <f t="shared" ca="1" si="2223"/>
        <v>#N/A</v>
      </c>
      <c r="E2180" s="26">
        <f t="array" aca="1" ref="E2180" ca="1">AVERAGE(IF(INDIRECT(DatCol&amp;"$"&amp;TEXT(C2180,"###")):INDIRECT(DatCol&amp;"$"&amp;TEXT(C2180+57,"###"))&gt;0,INDIRECT(DatCol&amp;"$"&amp;TEXT(C2180,"###")):INDIRECT(DatCol&amp;"$"&amp;TEXT(C2180+57,"###"))))</f>
        <v>63</v>
      </c>
      <c r="F2180" s="26" t="str">
        <f t="shared" si="2202"/>
        <v>C</v>
      </c>
      <c r="G2180" s="8"/>
      <c r="H2180" s="8" t="s">
        <v>99</v>
      </c>
      <c r="I2180" s="8" t="s">
        <v>100</v>
      </c>
      <c r="J2180" s="8" t="s">
        <v>98</v>
      </c>
      <c r="K2180" s="9">
        <f t="shared" si="2183"/>
        <v>0</v>
      </c>
      <c r="M2180" s="11">
        <f t="shared" si="2205"/>
        <v>0</v>
      </c>
      <c r="O2180" s="11">
        <f t="shared" si="2206"/>
        <v>0</v>
      </c>
      <c r="Q2180" s="11">
        <f t="shared" si="2207"/>
        <v>0</v>
      </c>
      <c r="Y2180" s="11">
        <f t="shared" si="2208"/>
        <v>0</v>
      </c>
      <c r="AG2180" s="11">
        <f t="shared" si="2209"/>
        <v>0</v>
      </c>
      <c r="AI2180" s="11">
        <f t="shared" si="2210"/>
        <v>0</v>
      </c>
      <c r="AK2180" s="13">
        <f t="shared" si="2211"/>
        <v>0</v>
      </c>
      <c r="AM2180" s="13">
        <f t="shared" si="2212"/>
        <v>0</v>
      </c>
      <c r="AO2180" s="11">
        <f t="shared" si="2213"/>
        <v>0</v>
      </c>
      <c r="AQ2180" s="11">
        <f t="shared" si="2214"/>
        <v>0</v>
      </c>
      <c r="AS2180" s="11">
        <f t="shared" si="2215"/>
        <v>0</v>
      </c>
      <c r="AU2180" s="11">
        <f t="shared" si="2216"/>
        <v>0</v>
      </c>
      <c r="AW2180" s="11">
        <f t="shared" si="2217"/>
        <v>0</v>
      </c>
      <c r="AY2180" s="11">
        <f t="shared" si="2218"/>
        <v>0</v>
      </c>
      <c r="BA2180" s="11">
        <f t="shared" si="2219"/>
        <v>0</v>
      </c>
      <c r="BC2180" s="11">
        <f t="shared" si="2220"/>
        <v>0</v>
      </c>
      <c r="BE2180" s="11">
        <f t="shared" si="2221"/>
        <v>0</v>
      </c>
      <c r="BG2180" s="11">
        <f t="shared" si="2222"/>
        <v>0</v>
      </c>
      <c r="BN2180" s="8">
        <f t="shared" si="2181"/>
        <v>0</v>
      </c>
      <c r="BO2180" s="8">
        <f t="shared" si="2182"/>
        <v>0</v>
      </c>
      <c r="BP2180" s="8">
        <f t="shared" si="2203"/>
        <v>0</v>
      </c>
      <c r="BQ2180" s="12">
        <f t="shared" si="2204"/>
        <v>0</v>
      </c>
    </row>
    <row r="2181" spans="1:69">
      <c r="A2181" s="28">
        <v>1988</v>
      </c>
      <c r="B2181" s="27" t="s">
        <v>92</v>
      </c>
      <c r="C2181" s="24">
        <f t="shared" si="2180"/>
        <v>2148</v>
      </c>
      <c r="D2181" s="7" t="e">
        <f t="shared" ca="1" si="2223"/>
        <v>#N/A</v>
      </c>
      <c r="E2181" s="26">
        <f t="array" aca="1" ref="E2181" ca="1">AVERAGE(IF(INDIRECT(DatCol&amp;"$"&amp;TEXT(C2181,"###")):INDIRECT(DatCol&amp;"$"&amp;TEXT(C2181+57,"###"))&gt;0,INDIRECT(DatCol&amp;"$"&amp;TEXT(C2181,"###")):INDIRECT(DatCol&amp;"$"&amp;TEXT(C2181+57,"###"))))</f>
        <v>63</v>
      </c>
      <c r="F2181" s="26" t="str">
        <f t="shared" si="2202"/>
        <v>C</v>
      </c>
      <c r="G2181" s="8"/>
      <c r="H2181" s="8" t="s">
        <v>99</v>
      </c>
      <c r="I2181" s="8" t="s">
        <v>100</v>
      </c>
      <c r="J2181" s="8" t="s">
        <v>98</v>
      </c>
      <c r="K2181" s="9">
        <f t="shared" si="2183"/>
        <v>0</v>
      </c>
      <c r="M2181" s="11">
        <f t="shared" si="2205"/>
        <v>0</v>
      </c>
      <c r="O2181" s="11">
        <f t="shared" si="2206"/>
        <v>0</v>
      </c>
      <c r="Q2181" s="11">
        <f t="shared" si="2207"/>
        <v>0</v>
      </c>
      <c r="Y2181" s="11">
        <f t="shared" si="2208"/>
        <v>0</v>
      </c>
      <c r="AG2181" s="11">
        <f t="shared" si="2209"/>
        <v>0</v>
      </c>
      <c r="AI2181" s="11">
        <f t="shared" si="2210"/>
        <v>0</v>
      </c>
      <c r="AK2181" s="13">
        <f t="shared" si="2211"/>
        <v>0</v>
      </c>
      <c r="AM2181" s="13">
        <f t="shared" si="2212"/>
        <v>0</v>
      </c>
      <c r="AO2181" s="11">
        <f t="shared" si="2213"/>
        <v>0</v>
      </c>
      <c r="AQ2181" s="11">
        <f t="shared" si="2214"/>
        <v>0</v>
      </c>
      <c r="AS2181" s="11">
        <f t="shared" si="2215"/>
        <v>0</v>
      </c>
      <c r="AU2181" s="11">
        <f t="shared" si="2216"/>
        <v>0</v>
      </c>
      <c r="AW2181" s="11">
        <f t="shared" si="2217"/>
        <v>0</v>
      </c>
      <c r="AY2181" s="11">
        <f t="shared" si="2218"/>
        <v>0</v>
      </c>
      <c r="BA2181" s="11">
        <f t="shared" si="2219"/>
        <v>0</v>
      </c>
      <c r="BC2181" s="11">
        <f t="shared" si="2220"/>
        <v>0</v>
      </c>
      <c r="BE2181" s="11">
        <f t="shared" si="2221"/>
        <v>0</v>
      </c>
      <c r="BG2181" s="11">
        <f t="shared" si="2222"/>
        <v>0</v>
      </c>
      <c r="BN2181" s="8">
        <f t="shared" si="2181"/>
        <v>0</v>
      </c>
      <c r="BO2181" s="8">
        <f t="shared" si="2182"/>
        <v>0</v>
      </c>
      <c r="BP2181" s="8">
        <f t="shared" si="2203"/>
        <v>0</v>
      </c>
      <c r="BQ2181" s="12">
        <f t="shared" si="2204"/>
        <v>0</v>
      </c>
    </row>
    <row r="2182" spans="1:69">
      <c r="A2182" s="28">
        <v>1989</v>
      </c>
      <c r="B2182" s="27" t="s">
        <v>92</v>
      </c>
      <c r="C2182" s="24">
        <f t="shared" si="2180"/>
        <v>2148</v>
      </c>
      <c r="D2182" s="7" t="e">
        <f t="shared" ca="1" si="2223"/>
        <v>#N/A</v>
      </c>
      <c r="E2182" s="26">
        <f t="array" aca="1" ref="E2182" ca="1">AVERAGE(IF(INDIRECT(DatCol&amp;"$"&amp;TEXT(C2182,"###")):INDIRECT(DatCol&amp;"$"&amp;TEXT(C2182+57,"###"))&gt;0,INDIRECT(DatCol&amp;"$"&amp;TEXT(C2182,"###")):INDIRECT(DatCol&amp;"$"&amp;TEXT(C2182+57,"###"))))</f>
        <v>63</v>
      </c>
      <c r="F2182" s="26" t="str">
        <f t="shared" si="2202"/>
        <v>C</v>
      </c>
      <c r="G2182" s="8"/>
      <c r="H2182" s="8" t="s">
        <v>99</v>
      </c>
      <c r="I2182" s="8" t="s">
        <v>100</v>
      </c>
      <c r="J2182" s="8" t="s">
        <v>98</v>
      </c>
      <c r="K2182" s="9">
        <f t="shared" si="2183"/>
        <v>0</v>
      </c>
      <c r="M2182" s="11">
        <f t="shared" si="2205"/>
        <v>0</v>
      </c>
      <c r="O2182" s="11">
        <f t="shared" si="2206"/>
        <v>0</v>
      </c>
      <c r="Q2182" s="11">
        <f t="shared" si="2207"/>
        <v>0</v>
      </c>
      <c r="Y2182" s="11">
        <f t="shared" si="2208"/>
        <v>0</v>
      </c>
      <c r="AG2182" s="11">
        <f t="shared" si="2209"/>
        <v>0</v>
      </c>
      <c r="AI2182" s="11">
        <f t="shared" si="2210"/>
        <v>0</v>
      </c>
      <c r="AK2182" s="13">
        <f t="shared" si="2211"/>
        <v>0</v>
      </c>
      <c r="AM2182" s="13">
        <f t="shared" si="2212"/>
        <v>0</v>
      </c>
      <c r="AO2182" s="11">
        <f t="shared" si="2213"/>
        <v>0</v>
      </c>
      <c r="AQ2182" s="11">
        <f t="shared" si="2214"/>
        <v>0</v>
      </c>
      <c r="AS2182" s="11">
        <f t="shared" si="2215"/>
        <v>0</v>
      </c>
      <c r="AU2182" s="11">
        <f t="shared" si="2216"/>
        <v>0</v>
      </c>
      <c r="AW2182" s="11">
        <f t="shared" si="2217"/>
        <v>0</v>
      </c>
      <c r="AY2182" s="11">
        <f t="shared" si="2218"/>
        <v>0</v>
      </c>
      <c r="BA2182" s="11">
        <f t="shared" si="2219"/>
        <v>0</v>
      </c>
      <c r="BC2182" s="11">
        <f t="shared" si="2220"/>
        <v>0</v>
      </c>
      <c r="BE2182" s="11">
        <f t="shared" si="2221"/>
        <v>0</v>
      </c>
      <c r="BG2182" s="11">
        <f t="shared" si="2222"/>
        <v>0</v>
      </c>
      <c r="BN2182" s="8">
        <f t="shared" si="2181"/>
        <v>0</v>
      </c>
      <c r="BO2182" s="8">
        <f t="shared" si="2182"/>
        <v>0</v>
      </c>
      <c r="BP2182" s="8">
        <f t="shared" si="2203"/>
        <v>0</v>
      </c>
      <c r="BQ2182" s="12">
        <f t="shared" si="2204"/>
        <v>0</v>
      </c>
    </row>
    <row r="2183" spans="1:69">
      <c r="A2183" s="28">
        <v>1990</v>
      </c>
      <c r="B2183" s="27" t="s">
        <v>92</v>
      </c>
      <c r="C2183" s="24">
        <f t="shared" si="2180"/>
        <v>2148</v>
      </c>
      <c r="D2183" s="7" t="e">
        <f t="shared" ca="1" si="2223"/>
        <v>#N/A</v>
      </c>
      <c r="E2183" s="26">
        <f t="array" aca="1" ref="E2183" ca="1">AVERAGE(IF(INDIRECT(DatCol&amp;"$"&amp;TEXT(C2183,"###")):INDIRECT(DatCol&amp;"$"&amp;TEXT(C2183+57,"###"))&gt;0,INDIRECT(DatCol&amp;"$"&amp;TEXT(C2183,"###")):INDIRECT(DatCol&amp;"$"&amp;TEXT(C2183+57,"###"))))</f>
        <v>63</v>
      </c>
      <c r="F2183" s="26" t="str">
        <f t="shared" si="2202"/>
        <v>C</v>
      </c>
      <c r="G2183" s="8"/>
      <c r="H2183" s="8" t="s">
        <v>99</v>
      </c>
      <c r="I2183" s="8" t="s">
        <v>100</v>
      </c>
      <c r="J2183" s="8" t="s">
        <v>98</v>
      </c>
      <c r="K2183" s="9">
        <f t="shared" si="2183"/>
        <v>0</v>
      </c>
      <c r="M2183" s="11">
        <f t="shared" si="2205"/>
        <v>0</v>
      </c>
      <c r="O2183" s="11">
        <f t="shared" si="2206"/>
        <v>0</v>
      </c>
      <c r="Q2183" s="11">
        <f t="shared" si="2207"/>
        <v>0</v>
      </c>
      <c r="Y2183" s="11">
        <f t="shared" si="2208"/>
        <v>0</v>
      </c>
      <c r="AG2183" s="11">
        <f t="shared" si="2209"/>
        <v>0</v>
      </c>
      <c r="AI2183" s="11">
        <f t="shared" si="2210"/>
        <v>0</v>
      </c>
      <c r="AK2183" s="13">
        <f t="shared" si="2211"/>
        <v>0</v>
      </c>
      <c r="AM2183" s="13">
        <f t="shared" si="2212"/>
        <v>0</v>
      </c>
      <c r="AO2183" s="11">
        <f t="shared" si="2213"/>
        <v>0</v>
      </c>
      <c r="AQ2183" s="11">
        <f t="shared" si="2214"/>
        <v>0</v>
      </c>
      <c r="AS2183" s="11">
        <f t="shared" si="2215"/>
        <v>0</v>
      </c>
      <c r="AU2183" s="11">
        <f t="shared" si="2216"/>
        <v>0</v>
      </c>
      <c r="AW2183" s="11">
        <f t="shared" si="2217"/>
        <v>0</v>
      </c>
      <c r="AY2183" s="11">
        <f t="shared" si="2218"/>
        <v>0</v>
      </c>
      <c r="BA2183" s="11">
        <f t="shared" si="2219"/>
        <v>0</v>
      </c>
      <c r="BC2183" s="11">
        <f t="shared" si="2220"/>
        <v>0</v>
      </c>
      <c r="BE2183" s="11">
        <f t="shared" si="2221"/>
        <v>0</v>
      </c>
      <c r="BG2183" s="11">
        <f t="shared" si="2222"/>
        <v>0</v>
      </c>
      <c r="BN2183" s="8">
        <f t="shared" si="2181"/>
        <v>0</v>
      </c>
      <c r="BO2183" s="8">
        <f t="shared" si="2182"/>
        <v>0</v>
      </c>
      <c r="BP2183" s="8">
        <f t="shared" si="2203"/>
        <v>0</v>
      </c>
      <c r="BQ2183" s="12">
        <f t="shared" si="2204"/>
        <v>0</v>
      </c>
    </row>
    <row r="2184" spans="1:69">
      <c r="A2184" s="28">
        <v>1991</v>
      </c>
      <c r="B2184" s="27" t="s">
        <v>92</v>
      </c>
      <c r="C2184" s="24">
        <f t="shared" si="2180"/>
        <v>2148</v>
      </c>
      <c r="D2184" s="7" t="e">
        <f t="shared" ca="1" si="2223"/>
        <v>#N/A</v>
      </c>
      <c r="E2184" s="26">
        <f t="array" aca="1" ref="E2184" ca="1">AVERAGE(IF(INDIRECT(DatCol&amp;"$"&amp;TEXT(C2184,"###")):INDIRECT(DatCol&amp;"$"&amp;TEXT(C2184+57,"###"))&gt;0,INDIRECT(DatCol&amp;"$"&amp;TEXT(C2184,"###")):INDIRECT(DatCol&amp;"$"&amp;TEXT(C2184+57,"###"))))</f>
        <v>63</v>
      </c>
      <c r="F2184" s="26" t="str">
        <f t="shared" si="2202"/>
        <v>C</v>
      </c>
      <c r="G2184" s="8"/>
      <c r="H2184" s="8" t="s">
        <v>99</v>
      </c>
      <c r="I2184" s="8" t="s">
        <v>100</v>
      </c>
      <c r="J2184" s="8" t="s">
        <v>98</v>
      </c>
      <c r="K2184" s="9">
        <f t="shared" si="2183"/>
        <v>0</v>
      </c>
      <c r="M2184" s="11">
        <f t="shared" si="2205"/>
        <v>0</v>
      </c>
      <c r="O2184" s="11">
        <f t="shared" si="2206"/>
        <v>0</v>
      </c>
      <c r="Q2184" s="11">
        <f t="shared" si="2207"/>
        <v>0</v>
      </c>
      <c r="Y2184" s="11">
        <f t="shared" si="2208"/>
        <v>0</v>
      </c>
      <c r="AG2184" s="11">
        <f t="shared" si="2209"/>
        <v>0</v>
      </c>
      <c r="AI2184" s="11">
        <f t="shared" si="2210"/>
        <v>0</v>
      </c>
      <c r="AK2184" s="13">
        <f t="shared" si="2211"/>
        <v>0</v>
      </c>
      <c r="AM2184" s="13">
        <f t="shared" si="2212"/>
        <v>0</v>
      </c>
      <c r="AO2184" s="11">
        <f t="shared" si="2213"/>
        <v>0</v>
      </c>
      <c r="AQ2184" s="11">
        <f t="shared" si="2214"/>
        <v>0</v>
      </c>
      <c r="AS2184" s="11">
        <f t="shared" si="2215"/>
        <v>0</v>
      </c>
      <c r="AU2184" s="11">
        <f t="shared" si="2216"/>
        <v>0</v>
      </c>
      <c r="AW2184" s="11">
        <f t="shared" si="2217"/>
        <v>0</v>
      </c>
      <c r="AY2184" s="11">
        <f t="shared" si="2218"/>
        <v>0</v>
      </c>
      <c r="BA2184" s="11">
        <f t="shared" si="2219"/>
        <v>0</v>
      </c>
      <c r="BC2184" s="11">
        <f t="shared" si="2220"/>
        <v>0</v>
      </c>
      <c r="BE2184" s="11">
        <f t="shared" si="2221"/>
        <v>0</v>
      </c>
      <c r="BG2184" s="11">
        <f t="shared" si="2222"/>
        <v>0</v>
      </c>
      <c r="BN2184" s="8">
        <f t="shared" si="2181"/>
        <v>0</v>
      </c>
      <c r="BO2184" s="8">
        <f t="shared" si="2182"/>
        <v>0</v>
      </c>
      <c r="BP2184" s="8">
        <f t="shared" si="2203"/>
        <v>0</v>
      </c>
      <c r="BQ2184" s="12">
        <f t="shared" si="2204"/>
        <v>0</v>
      </c>
    </row>
    <row r="2185" spans="1:69">
      <c r="A2185" s="28">
        <v>1992</v>
      </c>
      <c r="B2185" s="27" t="s">
        <v>92</v>
      </c>
      <c r="C2185" s="24">
        <f t="shared" si="2180"/>
        <v>2148</v>
      </c>
      <c r="D2185" s="7" t="e">
        <f t="shared" ca="1" si="2223"/>
        <v>#N/A</v>
      </c>
      <c r="E2185" s="26">
        <f t="array" aca="1" ref="E2185" ca="1">AVERAGE(IF(INDIRECT(DatCol&amp;"$"&amp;TEXT(C2185,"###")):INDIRECT(DatCol&amp;"$"&amp;TEXT(C2185+57,"###"))&gt;0,INDIRECT(DatCol&amp;"$"&amp;TEXT(C2185,"###")):INDIRECT(DatCol&amp;"$"&amp;TEXT(C2185+57,"###"))))</f>
        <v>63</v>
      </c>
      <c r="F2185" s="26" t="str">
        <f t="shared" si="2202"/>
        <v>C</v>
      </c>
      <c r="G2185" s="8"/>
      <c r="K2185" s="9">
        <f t="shared" si="2183"/>
        <v>0</v>
      </c>
      <c r="M2185" s="11">
        <f t="shared" si="2205"/>
        <v>0</v>
      </c>
      <c r="O2185" s="11">
        <f t="shared" si="2206"/>
        <v>0</v>
      </c>
      <c r="Q2185" s="11">
        <f t="shared" si="2207"/>
        <v>0</v>
      </c>
      <c r="Y2185" s="11">
        <f t="shared" si="2208"/>
        <v>0</v>
      </c>
      <c r="AG2185" s="11">
        <f t="shared" si="2209"/>
        <v>0</v>
      </c>
      <c r="AI2185" s="11">
        <f t="shared" si="2210"/>
        <v>0</v>
      </c>
      <c r="AK2185" s="13">
        <f t="shared" si="2211"/>
        <v>0</v>
      </c>
      <c r="AM2185" s="13">
        <f t="shared" si="2212"/>
        <v>0</v>
      </c>
      <c r="AO2185" s="11">
        <f t="shared" si="2213"/>
        <v>0</v>
      </c>
      <c r="AQ2185" s="11">
        <f t="shared" si="2214"/>
        <v>0</v>
      </c>
      <c r="AS2185" s="11">
        <f t="shared" si="2215"/>
        <v>0</v>
      </c>
      <c r="AU2185" s="11">
        <f t="shared" si="2216"/>
        <v>0</v>
      </c>
      <c r="AW2185" s="11">
        <f t="shared" si="2217"/>
        <v>0</v>
      </c>
      <c r="AY2185" s="11">
        <f t="shared" si="2218"/>
        <v>0</v>
      </c>
      <c r="BA2185" s="11">
        <f t="shared" si="2219"/>
        <v>0</v>
      </c>
      <c r="BC2185" s="11">
        <f t="shared" si="2220"/>
        <v>0</v>
      </c>
      <c r="BE2185" s="11">
        <f t="shared" si="2221"/>
        <v>0</v>
      </c>
      <c r="BG2185" s="11">
        <f t="shared" si="2222"/>
        <v>0</v>
      </c>
      <c r="BN2185" s="8">
        <f t="shared" si="2181"/>
        <v>0</v>
      </c>
      <c r="BO2185" s="8">
        <f t="shared" si="2182"/>
        <v>0</v>
      </c>
      <c r="BP2185" s="8">
        <f t="shared" si="2203"/>
        <v>0</v>
      </c>
      <c r="BQ2185" s="12">
        <f t="shared" si="2204"/>
        <v>0</v>
      </c>
    </row>
    <row r="2186" spans="1:69">
      <c r="A2186" s="28">
        <v>1993</v>
      </c>
      <c r="B2186" s="27" t="s">
        <v>92</v>
      </c>
      <c r="C2186" s="24">
        <f t="shared" si="2180"/>
        <v>2148</v>
      </c>
      <c r="D2186" s="7" t="e">
        <f t="shared" ca="1" si="2223"/>
        <v>#N/A</v>
      </c>
      <c r="E2186" s="26">
        <f t="array" aca="1" ref="E2186" ca="1">AVERAGE(IF(INDIRECT(DatCol&amp;"$"&amp;TEXT(C2186,"###")):INDIRECT(DatCol&amp;"$"&amp;TEXT(C2186+57,"###"))&gt;0,INDIRECT(DatCol&amp;"$"&amp;TEXT(C2186,"###")):INDIRECT(DatCol&amp;"$"&amp;TEXT(C2186+57,"###"))))</f>
        <v>63</v>
      </c>
      <c r="F2186" s="26" t="str">
        <f t="shared" si="2202"/>
        <v>C</v>
      </c>
      <c r="G2186" s="8"/>
      <c r="H2186" s="8">
        <v>0</v>
      </c>
      <c r="I2186" s="8">
        <v>0</v>
      </c>
      <c r="J2186" s="8">
        <v>0</v>
      </c>
      <c r="K2186" s="9">
        <f t="shared" si="2183"/>
        <v>0</v>
      </c>
      <c r="L2186" s="12">
        <v>0</v>
      </c>
      <c r="M2186" s="11">
        <f t="shared" si="2205"/>
        <v>0</v>
      </c>
      <c r="N2186" s="12">
        <v>0</v>
      </c>
      <c r="O2186" s="11">
        <f t="shared" si="2206"/>
        <v>0</v>
      </c>
      <c r="P2186" s="12">
        <v>0</v>
      </c>
      <c r="Q2186" s="11">
        <f t="shared" si="2207"/>
        <v>0</v>
      </c>
      <c r="X2186" s="12">
        <v>0</v>
      </c>
      <c r="Y2186" s="11">
        <f t="shared" si="2208"/>
        <v>0</v>
      </c>
      <c r="AF2186" s="12">
        <v>0</v>
      </c>
      <c r="AG2186" s="11">
        <f t="shared" si="2209"/>
        <v>0</v>
      </c>
      <c r="AH2186" s="12">
        <v>0</v>
      </c>
      <c r="AI2186" s="11">
        <f t="shared" si="2210"/>
        <v>0</v>
      </c>
      <c r="AJ2186" s="12">
        <v>0</v>
      </c>
      <c r="AK2186" s="13">
        <f t="shared" si="2211"/>
        <v>0</v>
      </c>
      <c r="AL2186" s="12">
        <v>0</v>
      </c>
      <c r="AM2186" s="13">
        <f t="shared" si="2212"/>
        <v>0</v>
      </c>
      <c r="AN2186" s="12">
        <v>0</v>
      </c>
      <c r="AO2186" s="11">
        <f t="shared" si="2213"/>
        <v>0</v>
      </c>
      <c r="AP2186" s="12">
        <v>10</v>
      </c>
      <c r="AQ2186" s="11">
        <f t="shared" si="2214"/>
        <v>800</v>
      </c>
      <c r="AR2186" s="12">
        <v>0</v>
      </c>
      <c r="AS2186" s="11">
        <f t="shared" si="2215"/>
        <v>0</v>
      </c>
      <c r="AT2186" s="12">
        <v>30</v>
      </c>
      <c r="AU2186" s="11">
        <f t="shared" si="2216"/>
        <v>1500</v>
      </c>
      <c r="AW2186" s="11">
        <f t="shared" si="2217"/>
        <v>0</v>
      </c>
      <c r="AY2186" s="11">
        <f t="shared" si="2218"/>
        <v>0</v>
      </c>
      <c r="BA2186" s="11">
        <f t="shared" si="2219"/>
        <v>0</v>
      </c>
      <c r="BC2186" s="11">
        <f t="shared" si="2220"/>
        <v>0</v>
      </c>
      <c r="BE2186" s="11">
        <f t="shared" si="2221"/>
        <v>0</v>
      </c>
      <c r="BG2186" s="11">
        <f t="shared" si="2222"/>
        <v>0</v>
      </c>
      <c r="BN2186" s="8">
        <f t="shared" si="2181"/>
        <v>0</v>
      </c>
      <c r="BO2186" s="8">
        <f t="shared" si="2182"/>
        <v>0</v>
      </c>
      <c r="BP2186" s="8">
        <f t="shared" si="2203"/>
        <v>40</v>
      </c>
      <c r="BQ2186" s="12">
        <f t="shared" si="2204"/>
        <v>2300</v>
      </c>
    </row>
    <row r="2187" spans="1:69">
      <c r="A2187" s="28">
        <v>1994</v>
      </c>
      <c r="B2187" s="27" t="s">
        <v>92</v>
      </c>
      <c r="C2187" s="24">
        <f t="shared" si="2180"/>
        <v>2148</v>
      </c>
      <c r="D2187" s="7" t="e">
        <f t="shared" ca="1" si="2223"/>
        <v>#N/A</v>
      </c>
      <c r="E2187" s="26">
        <f t="array" aca="1" ref="E2187" ca="1">AVERAGE(IF(INDIRECT(DatCol&amp;"$"&amp;TEXT(C2187,"###")):INDIRECT(DatCol&amp;"$"&amp;TEXT(C2187+57,"###"))&gt;0,INDIRECT(DatCol&amp;"$"&amp;TEXT(C2187,"###")):INDIRECT(DatCol&amp;"$"&amp;TEXT(C2187+57,"###"))))</f>
        <v>63</v>
      </c>
      <c r="F2187" s="26" t="str">
        <f t="shared" si="2202"/>
        <v>C</v>
      </c>
      <c r="G2187" s="8"/>
      <c r="H2187" s="8">
        <v>0</v>
      </c>
      <c r="I2187" s="8">
        <v>0</v>
      </c>
      <c r="J2187" s="8">
        <v>0</v>
      </c>
      <c r="K2187" s="9">
        <f t="shared" si="2183"/>
        <v>0</v>
      </c>
      <c r="L2187" s="12">
        <v>0</v>
      </c>
      <c r="M2187" s="11">
        <f t="shared" si="2205"/>
        <v>0</v>
      </c>
      <c r="N2187" s="12">
        <v>0</v>
      </c>
      <c r="O2187" s="11">
        <f t="shared" si="2206"/>
        <v>0</v>
      </c>
      <c r="P2187" s="12">
        <v>0</v>
      </c>
      <c r="Q2187" s="11">
        <f t="shared" si="2207"/>
        <v>0</v>
      </c>
      <c r="X2187" s="12">
        <v>0</v>
      </c>
      <c r="Y2187" s="11">
        <f t="shared" si="2208"/>
        <v>0</v>
      </c>
      <c r="AF2187" s="12">
        <v>0</v>
      </c>
      <c r="AG2187" s="11">
        <f t="shared" si="2209"/>
        <v>0</v>
      </c>
      <c r="AH2187" s="12">
        <v>0</v>
      </c>
      <c r="AI2187" s="11">
        <f t="shared" si="2210"/>
        <v>0</v>
      </c>
      <c r="AJ2187" s="12">
        <v>0</v>
      </c>
      <c r="AK2187" s="13">
        <f t="shared" si="2211"/>
        <v>0</v>
      </c>
      <c r="AL2187" s="12">
        <v>0</v>
      </c>
      <c r="AM2187" s="13">
        <f t="shared" si="2212"/>
        <v>0</v>
      </c>
      <c r="AN2187" s="12">
        <v>0</v>
      </c>
      <c r="AO2187" s="11">
        <f t="shared" si="2213"/>
        <v>0</v>
      </c>
      <c r="AP2187" s="12">
        <v>10</v>
      </c>
      <c r="AQ2187" s="11">
        <f t="shared" si="2214"/>
        <v>800</v>
      </c>
      <c r="AR2187" s="12">
        <v>0</v>
      </c>
      <c r="AS2187" s="11">
        <f t="shared" si="2215"/>
        <v>0</v>
      </c>
      <c r="AT2187" s="12">
        <v>30</v>
      </c>
      <c r="AU2187" s="11">
        <f t="shared" si="2216"/>
        <v>1500</v>
      </c>
      <c r="AW2187" s="11">
        <f t="shared" si="2217"/>
        <v>0</v>
      </c>
      <c r="AY2187" s="11">
        <f t="shared" si="2218"/>
        <v>0</v>
      </c>
      <c r="BA2187" s="11">
        <f t="shared" si="2219"/>
        <v>0</v>
      </c>
      <c r="BC2187" s="11">
        <f t="shared" si="2220"/>
        <v>0</v>
      </c>
      <c r="BE2187" s="11">
        <f t="shared" si="2221"/>
        <v>0</v>
      </c>
      <c r="BG2187" s="11">
        <f t="shared" si="2222"/>
        <v>0</v>
      </c>
      <c r="BN2187" s="8">
        <f t="shared" si="2181"/>
        <v>0</v>
      </c>
      <c r="BO2187" s="8">
        <f t="shared" si="2182"/>
        <v>0</v>
      </c>
      <c r="BP2187" s="8">
        <f t="shared" si="2203"/>
        <v>40</v>
      </c>
      <c r="BQ2187" s="12">
        <f t="shared" si="2204"/>
        <v>2300</v>
      </c>
    </row>
    <row r="2188" spans="1:69">
      <c r="A2188" s="28">
        <v>1995</v>
      </c>
      <c r="B2188" s="27" t="s">
        <v>92</v>
      </c>
      <c r="C2188" s="24">
        <f t="shared" si="2180"/>
        <v>2148</v>
      </c>
      <c r="D2188" s="7" t="e">
        <f t="shared" ca="1" si="2223"/>
        <v>#N/A</v>
      </c>
      <c r="E2188" s="26">
        <f t="array" aca="1" ref="E2188" ca="1">AVERAGE(IF(INDIRECT(DatCol&amp;"$"&amp;TEXT(C2188,"###")):INDIRECT(DatCol&amp;"$"&amp;TEXT(C2188+57,"###"))&gt;0,INDIRECT(DatCol&amp;"$"&amp;TEXT(C2188,"###")):INDIRECT(DatCol&amp;"$"&amp;TEXT(C2188+57,"###"))))</f>
        <v>63</v>
      </c>
      <c r="F2188" s="26" t="str">
        <f t="shared" si="2202"/>
        <v>C</v>
      </c>
      <c r="H2188" s="9">
        <v>0</v>
      </c>
      <c r="I2188" s="9">
        <v>0</v>
      </c>
      <c r="J2188" s="9">
        <v>0</v>
      </c>
      <c r="K2188" s="9">
        <f t="shared" si="2183"/>
        <v>0</v>
      </c>
      <c r="L2188" s="10">
        <v>0</v>
      </c>
      <c r="M2188" s="11">
        <f t="shared" si="2205"/>
        <v>0</v>
      </c>
      <c r="O2188" s="11">
        <f t="shared" si="2206"/>
        <v>0</v>
      </c>
      <c r="Q2188" s="11">
        <f t="shared" si="2207"/>
        <v>0</v>
      </c>
      <c r="Y2188" s="11">
        <f t="shared" si="2208"/>
        <v>0</v>
      </c>
      <c r="AG2188" s="11">
        <f t="shared" si="2209"/>
        <v>0</v>
      </c>
      <c r="AI2188" s="11">
        <f t="shared" si="2210"/>
        <v>0</v>
      </c>
      <c r="AK2188" s="13">
        <f t="shared" si="2211"/>
        <v>0</v>
      </c>
      <c r="AM2188" s="13">
        <f t="shared" si="2212"/>
        <v>0</v>
      </c>
      <c r="AO2188" s="11">
        <f t="shared" si="2213"/>
        <v>0</v>
      </c>
      <c r="AP2188" s="10">
        <v>10</v>
      </c>
      <c r="AQ2188" s="11">
        <f t="shared" si="2214"/>
        <v>800</v>
      </c>
      <c r="AS2188" s="11">
        <f t="shared" si="2215"/>
        <v>0</v>
      </c>
      <c r="AT2188" s="10">
        <v>10</v>
      </c>
      <c r="AU2188" s="11">
        <f t="shared" si="2216"/>
        <v>500</v>
      </c>
      <c r="AW2188" s="11">
        <f t="shared" si="2217"/>
        <v>0</v>
      </c>
      <c r="AY2188" s="11">
        <f t="shared" si="2218"/>
        <v>0</v>
      </c>
      <c r="BA2188" s="11">
        <f t="shared" si="2219"/>
        <v>0</v>
      </c>
      <c r="BC2188" s="11">
        <f t="shared" si="2220"/>
        <v>0</v>
      </c>
      <c r="BE2188" s="11">
        <f t="shared" si="2221"/>
        <v>0</v>
      </c>
      <c r="BG2188" s="11">
        <f t="shared" si="2222"/>
        <v>0</v>
      </c>
      <c r="BN2188" s="8">
        <f t="shared" si="2181"/>
        <v>0</v>
      </c>
      <c r="BO2188" s="8">
        <f t="shared" si="2182"/>
        <v>0</v>
      </c>
      <c r="BP2188" s="8">
        <f t="shared" si="2203"/>
        <v>20</v>
      </c>
      <c r="BQ2188" s="12">
        <f t="shared" si="2204"/>
        <v>1300</v>
      </c>
    </row>
    <row r="2189" spans="1:69">
      <c r="A2189" s="28">
        <v>1996</v>
      </c>
      <c r="B2189" s="27" t="s">
        <v>92</v>
      </c>
      <c r="C2189" s="24">
        <f t="shared" si="2180"/>
        <v>2148</v>
      </c>
      <c r="D2189" s="7" t="e">
        <f t="shared" ca="1" si="2223"/>
        <v>#N/A</v>
      </c>
      <c r="E2189" s="26">
        <f t="array" aca="1" ref="E2189" ca="1">AVERAGE(IF(INDIRECT(DatCol&amp;"$"&amp;TEXT(C2189,"###")):INDIRECT(DatCol&amp;"$"&amp;TEXT(C2189+57,"###"))&gt;0,INDIRECT(DatCol&amp;"$"&amp;TEXT(C2189,"###")):INDIRECT(DatCol&amp;"$"&amp;TEXT(C2189+57,"###"))))</f>
        <v>63</v>
      </c>
      <c r="F2189" s="26" t="str">
        <f t="shared" si="2202"/>
        <v>C</v>
      </c>
      <c r="H2189" s="9">
        <v>0</v>
      </c>
      <c r="I2189" s="9">
        <v>0</v>
      </c>
      <c r="J2189" s="9">
        <v>0</v>
      </c>
      <c r="K2189" s="9">
        <f t="shared" si="2183"/>
        <v>0</v>
      </c>
      <c r="L2189" s="10">
        <v>0</v>
      </c>
      <c r="M2189" s="11">
        <f t="shared" si="2205"/>
        <v>0</v>
      </c>
      <c r="O2189" s="11">
        <f t="shared" si="2206"/>
        <v>0</v>
      </c>
      <c r="Q2189" s="11">
        <f t="shared" si="2207"/>
        <v>0</v>
      </c>
      <c r="Y2189" s="11">
        <f t="shared" si="2208"/>
        <v>0</v>
      </c>
      <c r="AG2189" s="11">
        <f t="shared" si="2209"/>
        <v>0</v>
      </c>
      <c r="AI2189" s="11">
        <f t="shared" si="2210"/>
        <v>0</v>
      </c>
      <c r="AK2189" s="13">
        <f t="shared" si="2211"/>
        <v>0</v>
      </c>
      <c r="AM2189" s="13">
        <f t="shared" si="2212"/>
        <v>0</v>
      </c>
      <c r="AO2189" s="11">
        <f t="shared" si="2213"/>
        <v>0</v>
      </c>
      <c r="AP2189" s="10">
        <v>10</v>
      </c>
      <c r="AQ2189" s="11">
        <f t="shared" si="2214"/>
        <v>800</v>
      </c>
      <c r="AS2189" s="11">
        <f t="shared" si="2215"/>
        <v>0</v>
      </c>
      <c r="AT2189" s="10">
        <v>10</v>
      </c>
      <c r="AU2189" s="11">
        <f t="shared" si="2216"/>
        <v>500</v>
      </c>
      <c r="AW2189" s="11">
        <f t="shared" si="2217"/>
        <v>0</v>
      </c>
      <c r="AY2189" s="11">
        <f t="shared" si="2218"/>
        <v>0</v>
      </c>
      <c r="BA2189" s="11">
        <f t="shared" si="2219"/>
        <v>0</v>
      </c>
      <c r="BC2189" s="11">
        <f t="shared" si="2220"/>
        <v>0</v>
      </c>
      <c r="BE2189" s="11">
        <f t="shared" si="2221"/>
        <v>0</v>
      </c>
      <c r="BG2189" s="11">
        <f t="shared" si="2222"/>
        <v>0</v>
      </c>
      <c r="BN2189" s="8">
        <f t="shared" si="2181"/>
        <v>0</v>
      </c>
      <c r="BO2189" s="8">
        <f t="shared" si="2182"/>
        <v>0</v>
      </c>
      <c r="BP2189" s="8">
        <f t="shared" si="2203"/>
        <v>20</v>
      </c>
      <c r="BQ2189" s="12">
        <f t="shared" si="2204"/>
        <v>1300</v>
      </c>
    </row>
    <row r="2190" spans="1:69">
      <c r="A2190" s="28">
        <v>1997</v>
      </c>
      <c r="B2190" s="27" t="s">
        <v>92</v>
      </c>
      <c r="C2190" s="24">
        <f t="shared" si="2180"/>
        <v>2148</v>
      </c>
      <c r="D2190" s="7" t="e">
        <f t="shared" ca="1" si="2223"/>
        <v>#N/A</v>
      </c>
      <c r="E2190" s="26">
        <f t="array" aca="1" ref="E2190" ca="1">AVERAGE(IF(INDIRECT(DatCol&amp;"$"&amp;TEXT(C2190,"###")):INDIRECT(DatCol&amp;"$"&amp;TEXT(C2190+57,"###"))&gt;0,INDIRECT(DatCol&amp;"$"&amp;TEXT(C2190,"###")):INDIRECT(DatCol&amp;"$"&amp;TEXT(C2190+57,"###"))))</f>
        <v>63</v>
      </c>
      <c r="F2190" s="26" t="str">
        <f t="shared" si="2202"/>
        <v>C</v>
      </c>
      <c r="H2190" s="9">
        <v>0</v>
      </c>
      <c r="I2190" s="9">
        <v>0</v>
      </c>
      <c r="J2190" s="9">
        <v>0</v>
      </c>
      <c r="K2190" s="9">
        <f t="shared" si="2183"/>
        <v>0</v>
      </c>
      <c r="L2190" s="10">
        <v>0</v>
      </c>
      <c r="M2190" s="11">
        <f t="shared" si="2205"/>
        <v>0</v>
      </c>
      <c r="N2190" s="10">
        <v>0</v>
      </c>
      <c r="O2190" s="11">
        <f t="shared" si="2206"/>
        <v>0</v>
      </c>
      <c r="P2190" s="10">
        <v>0</v>
      </c>
      <c r="Q2190" s="11">
        <f t="shared" si="2207"/>
        <v>0</v>
      </c>
      <c r="X2190" s="10">
        <v>0</v>
      </c>
      <c r="Y2190" s="11">
        <f t="shared" si="2208"/>
        <v>0</v>
      </c>
      <c r="AF2190" s="10">
        <v>0</v>
      </c>
      <c r="AG2190" s="11">
        <f t="shared" si="2209"/>
        <v>0</v>
      </c>
      <c r="AH2190" s="10">
        <v>0</v>
      </c>
      <c r="AI2190" s="11">
        <f t="shared" si="2210"/>
        <v>0</v>
      </c>
      <c r="AJ2190" s="10">
        <v>0</v>
      </c>
      <c r="AK2190" s="13">
        <v>0</v>
      </c>
      <c r="AL2190" s="10">
        <v>0</v>
      </c>
      <c r="AM2190" s="13">
        <f t="shared" si="2212"/>
        <v>0</v>
      </c>
      <c r="AN2190" s="10">
        <v>0</v>
      </c>
      <c r="AO2190" s="11">
        <f t="shared" si="2213"/>
        <v>0</v>
      </c>
      <c r="AP2190" s="10">
        <v>10</v>
      </c>
      <c r="AQ2190" s="11">
        <f t="shared" si="2214"/>
        <v>800</v>
      </c>
      <c r="AS2190" s="11">
        <f t="shared" si="2215"/>
        <v>0</v>
      </c>
      <c r="AT2190" s="10">
        <v>10</v>
      </c>
      <c r="AU2190" s="11">
        <f t="shared" si="2216"/>
        <v>500</v>
      </c>
      <c r="AW2190" s="11">
        <f t="shared" si="2217"/>
        <v>0</v>
      </c>
      <c r="AY2190" s="11">
        <f t="shared" si="2218"/>
        <v>0</v>
      </c>
      <c r="BA2190" s="11">
        <f t="shared" si="2219"/>
        <v>0</v>
      </c>
      <c r="BC2190" s="11">
        <f t="shared" si="2220"/>
        <v>0</v>
      </c>
      <c r="BE2190" s="11">
        <f t="shared" si="2221"/>
        <v>0</v>
      </c>
      <c r="BG2190" s="11">
        <f t="shared" si="2222"/>
        <v>0</v>
      </c>
      <c r="BN2190" s="8">
        <f t="shared" si="2181"/>
        <v>0</v>
      </c>
      <c r="BO2190" s="8">
        <f t="shared" si="2182"/>
        <v>0</v>
      </c>
      <c r="BP2190" s="8">
        <f t="shared" si="2203"/>
        <v>20</v>
      </c>
      <c r="BQ2190" s="12">
        <f t="shared" si="2204"/>
        <v>1300</v>
      </c>
    </row>
    <row r="2191" spans="1:69">
      <c r="A2191" s="28">
        <v>1998</v>
      </c>
      <c r="B2191" s="27" t="s">
        <v>92</v>
      </c>
      <c r="C2191" s="24">
        <f t="shared" si="2180"/>
        <v>2148</v>
      </c>
      <c r="D2191" s="7" t="e">
        <f t="shared" ca="1" si="2223"/>
        <v>#N/A</v>
      </c>
      <c r="E2191" s="26">
        <f t="array" aca="1" ref="E2191" ca="1">AVERAGE(IF(INDIRECT(DatCol&amp;"$"&amp;TEXT(C2191,"###")):INDIRECT(DatCol&amp;"$"&amp;TEXT(C2191+57,"###"))&gt;0,INDIRECT(DatCol&amp;"$"&amp;TEXT(C2191,"###")):INDIRECT(DatCol&amp;"$"&amp;TEXT(C2191+57,"###"))))</f>
        <v>63</v>
      </c>
      <c r="F2191" s="26" t="str">
        <f t="shared" si="2202"/>
        <v>C</v>
      </c>
      <c r="K2191" s="9">
        <f t="shared" si="2183"/>
        <v>0</v>
      </c>
      <c r="AK2191" s="13"/>
      <c r="AM2191" s="13"/>
      <c r="BN2191" s="8">
        <f t="shared" si="2181"/>
        <v>0</v>
      </c>
      <c r="BO2191" s="8">
        <f t="shared" si="2182"/>
        <v>0</v>
      </c>
      <c r="BP2191" s="8">
        <f t="shared" si="2203"/>
        <v>0</v>
      </c>
      <c r="BQ2191" s="12">
        <f t="shared" si="2204"/>
        <v>0</v>
      </c>
    </row>
    <row r="2192" spans="1:69">
      <c r="A2192" s="28">
        <v>1999</v>
      </c>
      <c r="B2192" s="27" t="s">
        <v>92</v>
      </c>
      <c r="C2192" s="24">
        <f t="shared" si="2180"/>
        <v>2148</v>
      </c>
      <c r="D2192" s="7" t="e">
        <f t="shared" ca="1" si="2223"/>
        <v>#N/A</v>
      </c>
      <c r="E2192" s="26">
        <f t="array" aca="1" ref="E2192" ca="1">AVERAGE(IF(INDIRECT(DatCol&amp;"$"&amp;TEXT(C2192,"###")):INDIRECT(DatCol&amp;"$"&amp;TEXT(C2192+57,"###"))&gt;0,INDIRECT(DatCol&amp;"$"&amp;TEXT(C2192,"###")):INDIRECT(DatCol&amp;"$"&amp;TEXT(C2192+57,"###"))))</f>
        <v>63</v>
      </c>
      <c r="F2192" s="26" t="str">
        <f t="shared" si="2202"/>
        <v>C</v>
      </c>
      <c r="K2192" s="9">
        <f t="shared" si="2183"/>
        <v>0</v>
      </c>
      <c r="AK2192" s="13"/>
      <c r="AM2192" s="13"/>
      <c r="BN2192" s="8">
        <f t="shared" si="2181"/>
        <v>0</v>
      </c>
      <c r="BO2192" s="8">
        <f t="shared" si="2182"/>
        <v>0</v>
      </c>
      <c r="BP2192" s="8">
        <f t="shared" si="2203"/>
        <v>0</v>
      </c>
      <c r="BQ2192" s="12">
        <f t="shared" si="2204"/>
        <v>0</v>
      </c>
    </row>
    <row r="2193" spans="1:69">
      <c r="A2193" s="28">
        <v>2000</v>
      </c>
      <c r="B2193" s="27" t="s">
        <v>92</v>
      </c>
      <c r="C2193" s="24">
        <f t="shared" si="2180"/>
        <v>2148</v>
      </c>
      <c r="D2193" s="7" t="e">
        <f t="shared" ca="1" si="2223"/>
        <v>#N/A</v>
      </c>
      <c r="E2193" s="26">
        <f t="array" aca="1" ref="E2193" ca="1">AVERAGE(IF(INDIRECT(DatCol&amp;"$"&amp;TEXT(C2193,"###")):INDIRECT(DatCol&amp;"$"&amp;TEXT(C2193+57,"###"))&gt;0,INDIRECT(DatCol&amp;"$"&amp;TEXT(C2193,"###")):INDIRECT(DatCol&amp;"$"&amp;TEXT(C2193+57,"###"))))</f>
        <v>63</v>
      </c>
      <c r="F2193" s="26" t="str">
        <f t="shared" si="2202"/>
        <v>C</v>
      </c>
      <c r="G2193" s="9">
        <v>0</v>
      </c>
      <c r="H2193" s="9">
        <v>0</v>
      </c>
      <c r="I2193" s="9">
        <v>0</v>
      </c>
      <c r="J2193" s="9">
        <v>0</v>
      </c>
      <c r="K2193" s="9">
        <f t="shared" si="2183"/>
        <v>0</v>
      </c>
      <c r="L2193" s="10">
        <v>0</v>
      </c>
      <c r="M2193" s="11">
        <v>0</v>
      </c>
      <c r="N2193" s="10">
        <v>0</v>
      </c>
      <c r="O2193" s="11">
        <v>0</v>
      </c>
      <c r="P2193" s="10">
        <v>0</v>
      </c>
      <c r="Q2193" s="11">
        <v>0</v>
      </c>
      <c r="R2193" s="10">
        <v>0</v>
      </c>
      <c r="S2193" s="11">
        <v>0</v>
      </c>
      <c r="T2193" s="10">
        <v>0</v>
      </c>
      <c r="U2193" s="11">
        <v>0</v>
      </c>
      <c r="V2193" s="10">
        <v>0</v>
      </c>
      <c r="W2193" s="11">
        <v>0</v>
      </c>
      <c r="X2193" s="10">
        <v>0</v>
      </c>
      <c r="Y2193" s="11">
        <v>0</v>
      </c>
      <c r="Z2193" s="10">
        <v>0</v>
      </c>
      <c r="AA2193" s="11">
        <v>0</v>
      </c>
      <c r="AB2193" s="10">
        <v>0</v>
      </c>
      <c r="AC2193" s="11">
        <v>0</v>
      </c>
      <c r="AD2193" s="10">
        <v>0</v>
      </c>
      <c r="AE2193" s="11">
        <v>0</v>
      </c>
      <c r="AF2193" s="10">
        <v>0</v>
      </c>
      <c r="AG2193" s="11">
        <v>0</v>
      </c>
      <c r="AH2193" s="10">
        <v>0</v>
      </c>
      <c r="AI2193" s="11">
        <v>0</v>
      </c>
      <c r="AJ2193" s="10">
        <v>0</v>
      </c>
      <c r="AK2193" s="13">
        <v>0</v>
      </c>
      <c r="AL2193" s="10">
        <v>0</v>
      </c>
      <c r="AM2193" s="13">
        <v>0</v>
      </c>
      <c r="AN2193" s="10">
        <v>0</v>
      </c>
      <c r="AO2193" s="11">
        <v>0</v>
      </c>
      <c r="AP2193" s="10">
        <v>10</v>
      </c>
      <c r="AQ2193" s="11">
        <v>800</v>
      </c>
      <c r="AR2193" s="10">
        <v>0</v>
      </c>
      <c r="AS2193" s="11">
        <v>0</v>
      </c>
      <c r="AT2193" s="10">
        <f>AU2193/55</f>
        <v>10</v>
      </c>
      <c r="AU2193" s="11">
        <v>550</v>
      </c>
      <c r="BN2193" s="8">
        <f t="shared" si="2181"/>
        <v>0</v>
      </c>
      <c r="BO2193" s="8">
        <f t="shared" si="2182"/>
        <v>0</v>
      </c>
      <c r="BP2193" s="8">
        <f t="shared" si="2203"/>
        <v>20</v>
      </c>
      <c r="BQ2193" s="12">
        <f t="shared" si="2204"/>
        <v>1350</v>
      </c>
    </row>
    <row r="2194" spans="1:69">
      <c r="A2194" s="28">
        <v>2001</v>
      </c>
      <c r="B2194" s="27" t="s">
        <v>92</v>
      </c>
      <c r="C2194" s="24">
        <f t="shared" si="2180"/>
        <v>2148</v>
      </c>
      <c r="D2194" s="7" t="e">
        <f t="shared" ca="1" si="2223"/>
        <v>#N/A</v>
      </c>
      <c r="E2194" s="26">
        <f t="array" aca="1" ref="E2194" ca="1">AVERAGE(IF(INDIRECT(DatCol&amp;"$"&amp;TEXT(C2194,"###")):INDIRECT(DatCol&amp;"$"&amp;TEXT(C2194+57,"###"))&gt;0,INDIRECT(DatCol&amp;"$"&amp;TEXT(C2194,"###")):INDIRECT(DatCol&amp;"$"&amp;TEXT(C2194+57,"###"))))</f>
        <v>63</v>
      </c>
      <c r="F2194" s="26" t="str">
        <f t="shared" si="2202"/>
        <v>C</v>
      </c>
      <c r="K2194" s="9">
        <f t="shared" si="2183"/>
        <v>0</v>
      </c>
      <c r="AK2194" s="13"/>
      <c r="AM2194" s="13"/>
      <c r="BN2194" s="8">
        <f t="shared" si="2181"/>
        <v>0</v>
      </c>
      <c r="BO2194" s="8">
        <f t="shared" si="2182"/>
        <v>0</v>
      </c>
      <c r="BP2194" s="8">
        <f t="shared" si="2203"/>
        <v>0</v>
      </c>
      <c r="BQ2194" s="12">
        <f t="shared" si="2204"/>
        <v>0</v>
      </c>
    </row>
    <row r="2195" spans="1:69">
      <c r="A2195" s="28">
        <v>2002</v>
      </c>
      <c r="B2195" s="27" t="s">
        <v>92</v>
      </c>
      <c r="C2195" s="24">
        <f t="shared" si="2180"/>
        <v>2148</v>
      </c>
      <c r="D2195" s="7" t="e">
        <f t="shared" ca="1" si="2223"/>
        <v>#N/A</v>
      </c>
      <c r="E2195" s="26">
        <f t="array" aca="1" ref="E2195" ca="1">AVERAGE(IF(INDIRECT(DatCol&amp;"$"&amp;TEXT(C2195,"###")):INDIRECT(DatCol&amp;"$"&amp;TEXT(C2195+57,"###"))&gt;0,INDIRECT(DatCol&amp;"$"&amp;TEXT(C2195,"###")):INDIRECT(DatCol&amp;"$"&amp;TEXT(C2195+57,"###"))))</f>
        <v>63</v>
      </c>
      <c r="F2195" s="26" t="str">
        <f t="shared" si="2202"/>
        <v>C</v>
      </c>
      <c r="K2195" s="9">
        <f t="shared" si="2183"/>
        <v>0</v>
      </c>
      <c r="AK2195" s="13"/>
      <c r="AM2195" s="13"/>
      <c r="BN2195" s="8">
        <f t="shared" si="2181"/>
        <v>0</v>
      </c>
      <c r="BO2195" s="8">
        <f t="shared" si="2182"/>
        <v>0</v>
      </c>
      <c r="BP2195" s="8">
        <f t="shared" si="2203"/>
        <v>0</v>
      </c>
      <c r="BQ2195" s="12">
        <f t="shared" si="2204"/>
        <v>0</v>
      </c>
    </row>
    <row r="2196" spans="1:69">
      <c r="A2196" s="28">
        <v>2003</v>
      </c>
      <c r="B2196" s="27" t="s">
        <v>92</v>
      </c>
      <c r="C2196" s="24">
        <f t="shared" si="2180"/>
        <v>2148</v>
      </c>
      <c r="D2196" s="7" t="e">
        <f t="shared" ca="1" si="2223"/>
        <v>#N/A</v>
      </c>
      <c r="E2196" s="26">
        <f t="array" aca="1" ref="E2196" ca="1">AVERAGE(IF(INDIRECT(DatCol&amp;"$"&amp;TEXT(C2196,"###")):INDIRECT(DatCol&amp;"$"&amp;TEXT(C2196+57,"###"))&gt;0,INDIRECT(DatCol&amp;"$"&amp;TEXT(C2196,"###")):INDIRECT(DatCol&amp;"$"&amp;TEXT(C2196+57,"###"))))</f>
        <v>63</v>
      </c>
      <c r="F2196" s="26" t="str">
        <f t="shared" si="2202"/>
        <v>C</v>
      </c>
      <c r="K2196" s="9">
        <f t="shared" si="2183"/>
        <v>0</v>
      </c>
      <c r="AK2196" s="13"/>
      <c r="AM2196" s="13"/>
      <c r="BN2196" s="8">
        <f t="shared" si="2181"/>
        <v>0</v>
      </c>
      <c r="BO2196" s="8">
        <f t="shared" si="2182"/>
        <v>0</v>
      </c>
      <c r="BP2196" s="8">
        <f t="shared" si="2203"/>
        <v>0</v>
      </c>
      <c r="BQ2196" s="12">
        <f t="shared" si="2204"/>
        <v>0</v>
      </c>
    </row>
    <row r="2197" spans="1:69">
      <c r="A2197" s="28">
        <v>2004</v>
      </c>
      <c r="B2197" s="27" t="s">
        <v>92</v>
      </c>
      <c r="C2197" s="24">
        <f t="shared" si="2180"/>
        <v>2148</v>
      </c>
      <c r="D2197" s="7" t="e">
        <f t="shared" ca="1" si="2223"/>
        <v>#N/A</v>
      </c>
      <c r="E2197" s="26">
        <f t="array" aca="1" ref="E2197" ca="1">AVERAGE(IF(INDIRECT(DatCol&amp;"$"&amp;TEXT(C2197,"###")):INDIRECT(DatCol&amp;"$"&amp;TEXT(C2197+57,"###"))&gt;0,INDIRECT(DatCol&amp;"$"&amp;TEXT(C2197,"###")):INDIRECT(DatCol&amp;"$"&amp;TEXT(C2197+57,"###"))))</f>
        <v>63</v>
      </c>
      <c r="F2197" s="26" t="str">
        <f t="shared" si="2202"/>
        <v>C</v>
      </c>
      <c r="K2197" s="9">
        <f t="shared" si="2183"/>
        <v>0</v>
      </c>
      <c r="AK2197" s="13"/>
      <c r="AM2197" s="13"/>
      <c r="BN2197" s="8">
        <f t="shared" si="2181"/>
        <v>0</v>
      </c>
      <c r="BO2197" s="8">
        <f t="shared" si="2182"/>
        <v>0</v>
      </c>
      <c r="BP2197" s="8">
        <f t="shared" si="2203"/>
        <v>0</v>
      </c>
      <c r="BQ2197" s="12">
        <f t="shared" si="2204"/>
        <v>0</v>
      </c>
    </row>
    <row r="2198" spans="1:69">
      <c r="A2198" s="28">
        <v>2005</v>
      </c>
      <c r="B2198" s="27" t="s">
        <v>92</v>
      </c>
      <c r="C2198" s="24">
        <f t="shared" si="2180"/>
        <v>2148</v>
      </c>
      <c r="D2198" s="7" t="e">
        <f t="shared" ca="1" si="2223"/>
        <v>#N/A</v>
      </c>
      <c r="E2198" s="26">
        <f t="array" aca="1" ref="E2198" ca="1">AVERAGE(IF(INDIRECT(DatCol&amp;"$"&amp;TEXT(C2198,"###")):INDIRECT(DatCol&amp;"$"&amp;TEXT(C2198+57,"###"))&gt;0,INDIRECT(DatCol&amp;"$"&amp;TEXT(C2198,"###")):INDIRECT(DatCol&amp;"$"&amp;TEXT(C2198+57,"###"))))</f>
        <v>63</v>
      </c>
      <c r="F2198" s="26" t="str">
        <f t="shared" si="2202"/>
        <v>C</v>
      </c>
      <c r="K2198" s="9">
        <f t="shared" si="2183"/>
        <v>0</v>
      </c>
      <c r="AK2198" s="13"/>
      <c r="AM2198" s="13"/>
      <c r="BN2198" s="8">
        <f t="shared" si="2181"/>
        <v>0</v>
      </c>
      <c r="BO2198" s="8">
        <f t="shared" si="2182"/>
        <v>0</v>
      </c>
      <c r="BP2198" s="8">
        <f t="shared" si="2203"/>
        <v>0</v>
      </c>
      <c r="BQ2198" s="12">
        <f t="shared" si="2204"/>
        <v>0</v>
      </c>
    </row>
    <row r="2199" spans="1:69">
      <c r="A2199" s="28">
        <v>2006</v>
      </c>
      <c r="B2199" s="27" t="s">
        <v>92</v>
      </c>
      <c r="C2199" s="24">
        <f t="shared" si="2180"/>
        <v>2148</v>
      </c>
      <c r="D2199" s="7" t="e">
        <f t="shared" ca="1" si="2223"/>
        <v>#N/A</v>
      </c>
      <c r="E2199" s="26">
        <f t="array" aca="1" ref="E2199" ca="1">AVERAGE(IF(INDIRECT(DatCol&amp;"$"&amp;TEXT(C2199,"###")):INDIRECT(DatCol&amp;"$"&amp;TEXT(C2199+57,"###"))&gt;0,INDIRECT(DatCol&amp;"$"&amp;TEXT(C2199,"###")):INDIRECT(DatCol&amp;"$"&amp;TEXT(C2199+57,"###"))))</f>
        <v>63</v>
      </c>
      <c r="F2199" s="26" t="str">
        <f t="shared" si="2202"/>
        <v>C</v>
      </c>
      <c r="K2199" s="9">
        <f t="shared" si="2183"/>
        <v>0</v>
      </c>
      <c r="AK2199" s="13"/>
      <c r="AM2199" s="13"/>
      <c r="BN2199" s="8">
        <f t="shared" si="2181"/>
        <v>0</v>
      </c>
      <c r="BO2199" s="8">
        <f t="shared" si="2182"/>
        <v>0</v>
      </c>
      <c r="BP2199" s="8">
        <f t="shared" si="2203"/>
        <v>0</v>
      </c>
      <c r="BQ2199" s="12">
        <f t="shared" si="2204"/>
        <v>0</v>
      </c>
    </row>
    <row r="2200" spans="1:69">
      <c r="A2200" s="28">
        <v>2007</v>
      </c>
      <c r="B2200" s="27" t="s">
        <v>92</v>
      </c>
      <c r="C2200" s="24">
        <f t="shared" si="2180"/>
        <v>2148</v>
      </c>
      <c r="D2200" s="7" t="e">
        <f t="shared" ca="1" si="2223"/>
        <v>#N/A</v>
      </c>
      <c r="E2200" s="26">
        <f t="array" aca="1" ref="E2200" ca="1">AVERAGE(IF(INDIRECT(DatCol&amp;"$"&amp;TEXT(C2200,"###")):INDIRECT(DatCol&amp;"$"&amp;TEXT(C2200+57,"###"))&gt;0,INDIRECT(DatCol&amp;"$"&amp;TEXT(C2200,"###")):INDIRECT(DatCol&amp;"$"&amp;TEXT(C2200+57,"###"))))</f>
        <v>63</v>
      </c>
      <c r="F2200" s="26" t="str">
        <f t="shared" si="2202"/>
        <v>C</v>
      </c>
      <c r="K2200" s="9">
        <f t="shared" si="2183"/>
        <v>0</v>
      </c>
      <c r="AK2200" s="13"/>
      <c r="AM2200" s="13"/>
      <c r="BN2200" s="8">
        <f t="shared" si="2181"/>
        <v>0</v>
      </c>
      <c r="BO2200" s="8">
        <f t="shared" si="2182"/>
        <v>0</v>
      </c>
      <c r="BP2200" s="8">
        <f t="shared" si="2203"/>
        <v>0</v>
      </c>
      <c r="BQ2200" s="12">
        <f t="shared" si="2204"/>
        <v>0</v>
      </c>
    </row>
    <row r="2201" spans="1:69">
      <c r="A2201" s="28">
        <v>2008</v>
      </c>
      <c r="B2201" s="27" t="s">
        <v>92</v>
      </c>
      <c r="C2201" s="24">
        <f t="shared" si="2180"/>
        <v>2148</v>
      </c>
      <c r="D2201" s="7" t="e">
        <f t="shared" ca="1" si="2223"/>
        <v>#N/A</v>
      </c>
      <c r="E2201" s="26">
        <f t="array" aca="1" ref="E2201" ca="1">AVERAGE(IF(INDIRECT(DatCol&amp;"$"&amp;TEXT(C2201,"###")):INDIRECT(DatCol&amp;"$"&amp;TEXT(C2201+57,"###"))&gt;0,INDIRECT(DatCol&amp;"$"&amp;TEXT(C2201,"###")):INDIRECT(DatCol&amp;"$"&amp;TEXT(C2201+57,"###"))))</f>
        <v>63</v>
      </c>
      <c r="F2201" s="26" t="str">
        <f t="shared" si="2202"/>
        <v>C</v>
      </c>
      <c r="K2201" s="9">
        <f t="shared" si="2183"/>
        <v>0</v>
      </c>
      <c r="AK2201" s="13"/>
      <c r="AM2201" s="13"/>
      <c r="BN2201" s="8">
        <f t="shared" si="2181"/>
        <v>0</v>
      </c>
      <c r="BO2201" s="8">
        <f t="shared" si="2182"/>
        <v>0</v>
      </c>
      <c r="BP2201" s="8">
        <f t="shared" si="2203"/>
        <v>0</v>
      </c>
      <c r="BQ2201" s="12">
        <f t="shared" si="2204"/>
        <v>0</v>
      </c>
    </row>
    <row r="2202" spans="1:69">
      <c r="A2202" s="28">
        <v>2009</v>
      </c>
      <c r="B2202" s="27" t="s">
        <v>92</v>
      </c>
      <c r="C2202" s="24">
        <f t="shared" si="2180"/>
        <v>2148</v>
      </c>
      <c r="D2202" s="7" t="e">
        <f t="shared" ca="1" si="2223"/>
        <v>#N/A</v>
      </c>
      <c r="E2202" s="26">
        <f t="array" aca="1" ref="E2202" ca="1">AVERAGE(IF(INDIRECT(DatCol&amp;"$"&amp;TEXT(C2202,"###")):INDIRECT(DatCol&amp;"$"&amp;TEXT(C2202+57,"###"))&gt;0,INDIRECT(DatCol&amp;"$"&amp;TEXT(C2202,"###")):INDIRECT(DatCol&amp;"$"&amp;TEXT(C2202+57,"###"))))</f>
        <v>63</v>
      </c>
      <c r="F2202" s="26" t="str">
        <f t="shared" si="2202"/>
        <v>C</v>
      </c>
      <c r="K2202" s="9">
        <f t="shared" si="2183"/>
        <v>0</v>
      </c>
      <c r="AK2202" s="13"/>
      <c r="AM2202" s="13"/>
      <c r="BN2202" s="8">
        <f t="shared" si="2181"/>
        <v>0</v>
      </c>
      <c r="BO2202" s="8">
        <f t="shared" si="2182"/>
        <v>0</v>
      </c>
      <c r="BP2202" s="8">
        <f t="shared" si="2203"/>
        <v>0</v>
      </c>
      <c r="BQ2202" s="12">
        <f t="shared" si="2204"/>
        <v>0</v>
      </c>
    </row>
    <row r="2203" spans="1:69">
      <c r="A2203" s="28">
        <v>2010</v>
      </c>
      <c r="B2203" s="27" t="s">
        <v>92</v>
      </c>
      <c r="C2203" s="24">
        <f t="shared" si="2180"/>
        <v>2148</v>
      </c>
      <c r="D2203" s="7" t="e">
        <f t="shared" ca="1" si="2223"/>
        <v>#N/A</v>
      </c>
      <c r="E2203" s="26">
        <f t="array" aca="1" ref="E2203" ca="1">AVERAGE(IF(INDIRECT(DatCol&amp;"$"&amp;TEXT(C2203,"###")):INDIRECT(DatCol&amp;"$"&amp;TEXT(C2203+57,"###"))&gt;0,INDIRECT(DatCol&amp;"$"&amp;TEXT(C2203,"###")):INDIRECT(DatCol&amp;"$"&amp;TEXT(C2203+57,"###"))))</f>
        <v>63</v>
      </c>
      <c r="F2203" s="26" t="str">
        <f t="shared" ref="F2203:F2205" si="2224">VLOOKUP(B2203,town_region,2,FALSE)</f>
        <v>C</v>
      </c>
      <c r="AK2203" s="13"/>
      <c r="AM2203" s="13"/>
      <c r="BN2203" s="8"/>
      <c r="BO2203" s="8"/>
      <c r="BP2203" s="8"/>
      <c r="BQ2203" s="12"/>
    </row>
    <row r="2204" spans="1:69">
      <c r="A2204" s="28">
        <v>2011</v>
      </c>
      <c r="B2204" s="27" t="s">
        <v>92</v>
      </c>
      <c r="C2204" s="24">
        <f t="shared" si="2180"/>
        <v>2148</v>
      </c>
      <c r="D2204" s="7" t="e">
        <f t="shared" ca="1" si="2223"/>
        <v>#N/A</v>
      </c>
      <c r="E2204" s="26">
        <f t="array" aca="1" ref="E2204" ca="1">AVERAGE(IF(INDIRECT(DatCol&amp;"$"&amp;TEXT(C2204,"###")):INDIRECT(DatCol&amp;"$"&amp;TEXT(C2204+57,"###"))&gt;0,INDIRECT(DatCol&amp;"$"&amp;TEXT(C2204,"###")):INDIRECT(DatCol&amp;"$"&amp;TEXT(C2204+57,"###"))))</f>
        <v>63</v>
      </c>
      <c r="F2204" s="26" t="str">
        <f t="shared" si="2224"/>
        <v>C</v>
      </c>
      <c r="AK2204" s="13"/>
      <c r="AM2204" s="13"/>
      <c r="BN2204" s="8"/>
      <c r="BO2204" s="8"/>
      <c r="BP2204" s="8"/>
      <c r="BQ2204" s="12"/>
    </row>
    <row r="2205" spans="1:69">
      <c r="A2205" s="28">
        <v>2012</v>
      </c>
      <c r="B2205" s="27" t="s">
        <v>92</v>
      </c>
      <c r="C2205" s="24">
        <f t="shared" si="2180"/>
        <v>2148</v>
      </c>
      <c r="D2205" s="7" t="e">
        <f t="shared" ca="1" si="2223"/>
        <v>#N/A</v>
      </c>
      <c r="E2205" s="26">
        <f t="array" aca="1" ref="E2205" ca="1">AVERAGE(IF(INDIRECT(DatCol&amp;"$"&amp;TEXT(C2205,"###")):INDIRECT(DatCol&amp;"$"&amp;TEXT(C2205+57,"###"))&gt;0,INDIRECT(DatCol&amp;"$"&amp;TEXT(C2205,"###")):INDIRECT(DatCol&amp;"$"&amp;TEXT(C2205+57,"###"))))</f>
        <v>63</v>
      </c>
      <c r="F2205" s="26" t="str">
        <f t="shared" si="2224"/>
        <v>C</v>
      </c>
      <c r="AK2205" s="13"/>
      <c r="AM2205" s="13"/>
      <c r="BN2205" s="8"/>
      <c r="BO2205" s="8"/>
      <c r="BP2205" s="8"/>
      <c r="BQ2205" s="12"/>
    </row>
    <row r="2206" spans="1:69">
      <c r="A2206" s="28">
        <v>1955</v>
      </c>
      <c r="B2206" s="27" t="s">
        <v>101</v>
      </c>
      <c r="C2206" s="24">
        <f>ROW()</f>
        <v>2206</v>
      </c>
      <c r="D2206" s="7" t="e">
        <f t="shared" ca="1" si="2223"/>
        <v>#N/A</v>
      </c>
      <c r="E2206" s="26" t="e">
        <f t="array" aca="1" ref="E2206" ca="1">AVERAGE(IF(INDIRECT(DatCol&amp;"$"&amp;TEXT(C2206,"###")):INDIRECT(DatCol&amp;"$"&amp;TEXT(C2206+57,"###"))&gt;0,INDIRECT(DatCol&amp;"$"&amp;TEXT(C2206,"###")):INDIRECT(DatCol&amp;"$"&amp;TEXT(C2206+57,"###"))))</f>
        <v>#DIV/0!</v>
      </c>
      <c r="F2206" s="26" t="str">
        <f t="shared" si="2202"/>
        <v>N</v>
      </c>
      <c r="G2206" s="8"/>
      <c r="K2206" s="9">
        <f t="shared" si="2183"/>
        <v>0</v>
      </c>
      <c r="M2206" s="11">
        <f t="shared" ref="M2206:M2220" si="2225">(L2206*50)</f>
        <v>0</v>
      </c>
      <c r="O2206" s="11">
        <f t="shared" ref="O2206:O2220" si="2226">(N2206*50)</f>
        <v>0</v>
      </c>
      <c r="Q2206" s="11">
        <f t="shared" ref="Q2206:Q2220" si="2227">((P2206*330)/5.5)</f>
        <v>0</v>
      </c>
      <c r="Y2206" s="11">
        <f t="shared" ref="Y2206:Y2220" si="2228">((X2206*330)/5.5)</f>
        <v>0</v>
      </c>
      <c r="AG2206" s="11">
        <f t="shared" ref="AG2206:AG2220" si="2229">(AF2206*65)</f>
        <v>0</v>
      </c>
      <c r="AI2206" s="11">
        <f t="shared" ref="AI2206:AI2220" si="2230">(AH2206*65)</f>
        <v>0</v>
      </c>
      <c r="AK2206" s="13">
        <f t="shared" ref="AK2206:AK2220" si="2231">(AJ2206*9)</f>
        <v>0</v>
      </c>
      <c r="AM2206" s="13">
        <f t="shared" ref="AM2206:AM2220" si="2232">(AL2206*9)</f>
        <v>0</v>
      </c>
      <c r="AO2206" s="11">
        <f t="shared" ref="AO2206:AO2220" si="2233">(AN2206*80)</f>
        <v>0</v>
      </c>
      <c r="AQ2206" s="11">
        <f t="shared" ref="AQ2206:AQ2220" si="2234">(AP2206*80)</f>
        <v>0</v>
      </c>
      <c r="AS2206" s="11">
        <f t="shared" ref="AS2206:AS2220" si="2235">(AR2206*50)</f>
        <v>0</v>
      </c>
      <c r="AU2206" s="11">
        <f t="shared" ref="AU2206:AU2220" si="2236">(AT2206*50)</f>
        <v>0</v>
      </c>
      <c r="AW2206" s="11">
        <f t="shared" ref="AW2206:AW2220" si="2237">(AV2206*60)</f>
        <v>0</v>
      </c>
      <c r="AY2206" s="11">
        <f t="shared" ref="AY2206:AY2220" si="2238">(AX2206*60)</f>
        <v>0</v>
      </c>
      <c r="BA2206" s="11">
        <f t="shared" ref="BA2206:BA2220" si="2239">(AZ2206*40)</f>
        <v>0</v>
      </c>
      <c r="BC2206" s="11">
        <f t="shared" ref="BC2206:BC2220" si="2240">(BB2206*40)</f>
        <v>0</v>
      </c>
      <c r="BE2206" s="11">
        <f t="shared" ref="BE2206:BE2220" si="2241">(BD2206*95)</f>
        <v>0</v>
      </c>
      <c r="BG2206" s="11">
        <f t="shared" ref="BG2206:BG2220" si="2242">(BF2206*95)</f>
        <v>0</v>
      </c>
      <c r="BN2206" s="8">
        <f t="shared" si="2181"/>
        <v>0</v>
      </c>
      <c r="BO2206" s="8">
        <f t="shared" si="2182"/>
        <v>0</v>
      </c>
      <c r="BP2206" s="8">
        <f t="shared" si="2203"/>
        <v>0</v>
      </c>
      <c r="BQ2206" s="12">
        <f t="shared" si="2204"/>
        <v>0</v>
      </c>
    </row>
    <row r="2207" spans="1:69">
      <c r="A2207" s="28">
        <v>1956</v>
      </c>
      <c r="B2207" s="27" t="s">
        <v>101</v>
      </c>
      <c r="C2207" s="24">
        <f t="shared" ref="C2207:C2263" si="2243">C2206</f>
        <v>2206</v>
      </c>
      <c r="D2207" s="7" t="e">
        <f t="shared" ca="1" si="2223"/>
        <v>#N/A</v>
      </c>
      <c r="E2207" s="26" t="e">
        <f t="array" aca="1" ref="E2207" ca="1">AVERAGE(IF(INDIRECT(DatCol&amp;"$"&amp;TEXT(C2207,"###")):INDIRECT(DatCol&amp;"$"&amp;TEXT(C2207+57,"###"))&gt;0,INDIRECT(DatCol&amp;"$"&amp;TEXT(C2207,"###")):INDIRECT(DatCol&amp;"$"&amp;TEXT(C2207+57,"###"))))</f>
        <v>#DIV/0!</v>
      </c>
      <c r="F2207" s="26" t="str">
        <f t="shared" si="2202"/>
        <v>N</v>
      </c>
      <c r="G2207" s="8"/>
      <c r="K2207" s="9">
        <f t="shared" si="2183"/>
        <v>0</v>
      </c>
      <c r="M2207" s="11">
        <f t="shared" si="2225"/>
        <v>0</v>
      </c>
      <c r="O2207" s="11">
        <f t="shared" si="2226"/>
        <v>0</v>
      </c>
      <c r="Q2207" s="11">
        <f t="shared" si="2227"/>
        <v>0</v>
      </c>
      <c r="Y2207" s="11">
        <f t="shared" si="2228"/>
        <v>0</v>
      </c>
      <c r="AG2207" s="11">
        <f t="shared" si="2229"/>
        <v>0</v>
      </c>
      <c r="AI2207" s="11">
        <f t="shared" si="2230"/>
        <v>0</v>
      </c>
      <c r="AK2207" s="13">
        <f t="shared" si="2231"/>
        <v>0</v>
      </c>
      <c r="AM2207" s="13">
        <f t="shared" si="2232"/>
        <v>0</v>
      </c>
      <c r="AO2207" s="11">
        <f t="shared" si="2233"/>
        <v>0</v>
      </c>
      <c r="AQ2207" s="11">
        <f t="shared" si="2234"/>
        <v>0</v>
      </c>
      <c r="AS2207" s="11">
        <f t="shared" si="2235"/>
        <v>0</v>
      </c>
      <c r="AU2207" s="11">
        <f t="shared" si="2236"/>
        <v>0</v>
      </c>
      <c r="AW2207" s="11">
        <f t="shared" si="2237"/>
        <v>0</v>
      </c>
      <c r="AY2207" s="11">
        <f t="shared" si="2238"/>
        <v>0</v>
      </c>
      <c r="BA2207" s="11">
        <f t="shared" si="2239"/>
        <v>0</v>
      </c>
      <c r="BC2207" s="11">
        <f t="shared" si="2240"/>
        <v>0</v>
      </c>
      <c r="BE2207" s="11">
        <f t="shared" si="2241"/>
        <v>0</v>
      </c>
      <c r="BG2207" s="11">
        <f t="shared" si="2242"/>
        <v>0</v>
      </c>
      <c r="BN2207" s="8">
        <f t="shared" si="2181"/>
        <v>0</v>
      </c>
      <c r="BO2207" s="8">
        <f t="shared" si="2182"/>
        <v>0</v>
      </c>
      <c r="BP2207" s="8">
        <f t="shared" si="2203"/>
        <v>0</v>
      </c>
      <c r="BQ2207" s="12">
        <f t="shared" si="2204"/>
        <v>0</v>
      </c>
    </row>
    <row r="2208" spans="1:69">
      <c r="A2208" s="28">
        <v>1957</v>
      </c>
      <c r="B2208" s="27" t="s">
        <v>101</v>
      </c>
      <c r="C2208" s="24">
        <f t="shared" si="2243"/>
        <v>2206</v>
      </c>
      <c r="D2208" s="7" t="e">
        <f t="shared" ca="1" si="2223"/>
        <v>#N/A</v>
      </c>
      <c r="E2208" s="26" t="e">
        <f t="array" aca="1" ref="E2208" ca="1">AVERAGE(IF(INDIRECT(DatCol&amp;"$"&amp;TEXT(C2208,"###")):INDIRECT(DatCol&amp;"$"&amp;TEXT(C2208+57,"###"))&gt;0,INDIRECT(DatCol&amp;"$"&amp;TEXT(C2208,"###")):INDIRECT(DatCol&amp;"$"&amp;TEXT(C2208+57,"###"))))</f>
        <v>#DIV/0!</v>
      </c>
      <c r="F2208" s="26" t="str">
        <f t="shared" si="2202"/>
        <v>N</v>
      </c>
      <c r="G2208" s="8"/>
      <c r="K2208" s="9">
        <f t="shared" si="2183"/>
        <v>0</v>
      </c>
      <c r="M2208" s="11">
        <f t="shared" si="2225"/>
        <v>0</v>
      </c>
      <c r="O2208" s="11">
        <f t="shared" si="2226"/>
        <v>0</v>
      </c>
      <c r="Q2208" s="11">
        <f t="shared" si="2227"/>
        <v>0</v>
      </c>
      <c r="Y2208" s="11">
        <f t="shared" si="2228"/>
        <v>0</v>
      </c>
      <c r="AG2208" s="11">
        <f t="shared" si="2229"/>
        <v>0</v>
      </c>
      <c r="AI2208" s="11">
        <f t="shared" si="2230"/>
        <v>0</v>
      </c>
      <c r="AK2208" s="13">
        <f t="shared" si="2231"/>
        <v>0</v>
      </c>
      <c r="AM2208" s="13">
        <f t="shared" si="2232"/>
        <v>0</v>
      </c>
      <c r="AO2208" s="11">
        <f t="shared" si="2233"/>
        <v>0</v>
      </c>
      <c r="AQ2208" s="11">
        <f t="shared" si="2234"/>
        <v>0</v>
      </c>
      <c r="AS2208" s="11">
        <f t="shared" si="2235"/>
        <v>0</v>
      </c>
      <c r="AU2208" s="11">
        <f t="shared" si="2236"/>
        <v>0</v>
      </c>
      <c r="AW2208" s="11">
        <f t="shared" si="2237"/>
        <v>0</v>
      </c>
      <c r="AY2208" s="11">
        <f t="shared" si="2238"/>
        <v>0</v>
      </c>
      <c r="BA2208" s="11">
        <f t="shared" si="2239"/>
        <v>0</v>
      </c>
      <c r="BC2208" s="11">
        <f t="shared" si="2240"/>
        <v>0</v>
      </c>
      <c r="BE2208" s="11">
        <f t="shared" si="2241"/>
        <v>0</v>
      </c>
      <c r="BG2208" s="11">
        <f t="shared" si="2242"/>
        <v>0</v>
      </c>
      <c r="BN2208" s="8">
        <f t="shared" si="2181"/>
        <v>0</v>
      </c>
      <c r="BO2208" s="8">
        <f t="shared" si="2182"/>
        <v>0</v>
      </c>
      <c r="BP2208" s="8">
        <f t="shared" si="2203"/>
        <v>0</v>
      </c>
      <c r="BQ2208" s="12">
        <f t="shared" si="2204"/>
        <v>0</v>
      </c>
    </row>
    <row r="2209" spans="1:69">
      <c r="A2209" s="28">
        <v>1958</v>
      </c>
      <c r="B2209" s="27" t="s">
        <v>101</v>
      </c>
      <c r="C2209" s="24">
        <f t="shared" si="2243"/>
        <v>2206</v>
      </c>
      <c r="D2209" s="7" t="e">
        <f t="shared" ca="1" si="2223"/>
        <v>#N/A</v>
      </c>
      <c r="E2209" s="26" t="e">
        <f t="array" aca="1" ref="E2209" ca="1">AVERAGE(IF(INDIRECT(DatCol&amp;"$"&amp;TEXT(C2209,"###")):INDIRECT(DatCol&amp;"$"&amp;TEXT(C2209+57,"###"))&gt;0,INDIRECT(DatCol&amp;"$"&amp;TEXT(C2209,"###")):INDIRECT(DatCol&amp;"$"&amp;TEXT(C2209+57,"###"))))</f>
        <v>#DIV/0!</v>
      </c>
      <c r="F2209" s="26" t="str">
        <f t="shared" si="2202"/>
        <v>N</v>
      </c>
      <c r="G2209" s="8"/>
      <c r="K2209" s="9">
        <f t="shared" si="2183"/>
        <v>0</v>
      </c>
      <c r="M2209" s="11">
        <f t="shared" si="2225"/>
        <v>0</v>
      </c>
      <c r="O2209" s="11">
        <f t="shared" si="2226"/>
        <v>0</v>
      </c>
      <c r="Q2209" s="11">
        <f t="shared" si="2227"/>
        <v>0</v>
      </c>
      <c r="Y2209" s="11">
        <f t="shared" si="2228"/>
        <v>0</v>
      </c>
      <c r="AG2209" s="11">
        <f t="shared" si="2229"/>
        <v>0</v>
      </c>
      <c r="AI2209" s="11">
        <f t="shared" si="2230"/>
        <v>0</v>
      </c>
      <c r="AK2209" s="13">
        <f t="shared" si="2231"/>
        <v>0</v>
      </c>
      <c r="AM2209" s="13">
        <f t="shared" si="2232"/>
        <v>0</v>
      </c>
      <c r="AO2209" s="11">
        <f t="shared" si="2233"/>
        <v>0</v>
      </c>
      <c r="AQ2209" s="11">
        <f t="shared" si="2234"/>
        <v>0</v>
      </c>
      <c r="AS2209" s="11">
        <f t="shared" si="2235"/>
        <v>0</v>
      </c>
      <c r="AU2209" s="11">
        <f t="shared" si="2236"/>
        <v>0</v>
      </c>
      <c r="AW2209" s="11">
        <f t="shared" si="2237"/>
        <v>0</v>
      </c>
      <c r="AY2209" s="11">
        <f t="shared" si="2238"/>
        <v>0</v>
      </c>
      <c r="BA2209" s="11">
        <f t="shared" si="2239"/>
        <v>0</v>
      </c>
      <c r="BC2209" s="11">
        <f t="shared" si="2240"/>
        <v>0</v>
      </c>
      <c r="BE2209" s="11">
        <f t="shared" si="2241"/>
        <v>0</v>
      </c>
      <c r="BG2209" s="11">
        <f t="shared" si="2242"/>
        <v>0</v>
      </c>
      <c r="BN2209" s="8">
        <f t="shared" si="2181"/>
        <v>0</v>
      </c>
      <c r="BO2209" s="8">
        <f t="shared" si="2182"/>
        <v>0</v>
      </c>
      <c r="BP2209" s="8">
        <f t="shared" si="2203"/>
        <v>0</v>
      </c>
      <c r="BQ2209" s="12">
        <f t="shared" si="2204"/>
        <v>0</v>
      </c>
    </row>
    <row r="2210" spans="1:69">
      <c r="A2210" s="28">
        <v>1959</v>
      </c>
      <c r="B2210" s="27" t="s">
        <v>101</v>
      </c>
      <c r="C2210" s="24">
        <f t="shared" si="2243"/>
        <v>2206</v>
      </c>
      <c r="D2210" s="7" t="e">
        <f t="shared" ca="1" si="2223"/>
        <v>#N/A</v>
      </c>
      <c r="E2210" s="26" t="e">
        <f t="array" aca="1" ref="E2210" ca="1">AVERAGE(IF(INDIRECT(DatCol&amp;"$"&amp;TEXT(C2210,"###")):INDIRECT(DatCol&amp;"$"&amp;TEXT(C2210+57,"###"))&gt;0,INDIRECT(DatCol&amp;"$"&amp;TEXT(C2210,"###")):INDIRECT(DatCol&amp;"$"&amp;TEXT(C2210+57,"###"))))</f>
        <v>#DIV/0!</v>
      </c>
      <c r="F2210" s="26" t="str">
        <f t="shared" si="2202"/>
        <v>N</v>
      </c>
      <c r="G2210" s="8"/>
      <c r="K2210" s="9">
        <f t="shared" si="2183"/>
        <v>0</v>
      </c>
      <c r="M2210" s="11">
        <f t="shared" si="2225"/>
        <v>0</v>
      </c>
      <c r="O2210" s="11">
        <f t="shared" si="2226"/>
        <v>0</v>
      </c>
      <c r="Q2210" s="11">
        <f t="shared" si="2227"/>
        <v>0</v>
      </c>
      <c r="Y2210" s="11">
        <f t="shared" si="2228"/>
        <v>0</v>
      </c>
      <c r="AG2210" s="11">
        <f t="shared" si="2229"/>
        <v>0</v>
      </c>
      <c r="AI2210" s="11">
        <f t="shared" si="2230"/>
        <v>0</v>
      </c>
      <c r="AK2210" s="13">
        <f t="shared" si="2231"/>
        <v>0</v>
      </c>
      <c r="AM2210" s="13">
        <f t="shared" si="2232"/>
        <v>0</v>
      </c>
      <c r="AO2210" s="11">
        <f t="shared" si="2233"/>
        <v>0</v>
      </c>
      <c r="AQ2210" s="11">
        <f t="shared" si="2234"/>
        <v>0</v>
      </c>
      <c r="AS2210" s="11">
        <f t="shared" si="2235"/>
        <v>0</v>
      </c>
      <c r="AU2210" s="11">
        <f t="shared" si="2236"/>
        <v>0</v>
      </c>
      <c r="AW2210" s="11">
        <f t="shared" si="2237"/>
        <v>0</v>
      </c>
      <c r="AY2210" s="11">
        <f t="shared" si="2238"/>
        <v>0</v>
      </c>
      <c r="BA2210" s="11">
        <f t="shared" si="2239"/>
        <v>0</v>
      </c>
      <c r="BC2210" s="11">
        <f t="shared" si="2240"/>
        <v>0</v>
      </c>
      <c r="BE2210" s="11">
        <f t="shared" si="2241"/>
        <v>0</v>
      </c>
      <c r="BG2210" s="11">
        <f t="shared" si="2242"/>
        <v>0</v>
      </c>
      <c r="BN2210" s="8">
        <f t="shared" si="2181"/>
        <v>0</v>
      </c>
      <c r="BO2210" s="8">
        <f t="shared" si="2182"/>
        <v>0</v>
      </c>
      <c r="BP2210" s="8">
        <f t="shared" si="2203"/>
        <v>0</v>
      </c>
      <c r="BQ2210" s="12">
        <f t="shared" si="2204"/>
        <v>0</v>
      </c>
    </row>
    <row r="2211" spans="1:69">
      <c r="A2211" s="28">
        <v>1960</v>
      </c>
      <c r="B2211" s="27" t="s">
        <v>101</v>
      </c>
      <c r="C2211" s="24">
        <f t="shared" si="2243"/>
        <v>2206</v>
      </c>
      <c r="D2211" s="7" t="e">
        <f t="shared" ca="1" si="2223"/>
        <v>#N/A</v>
      </c>
      <c r="E2211" s="26" t="e">
        <f t="array" aca="1" ref="E2211" ca="1">AVERAGE(IF(INDIRECT(DatCol&amp;"$"&amp;TEXT(C2211,"###")):INDIRECT(DatCol&amp;"$"&amp;TEXT(C2211+57,"###"))&gt;0,INDIRECT(DatCol&amp;"$"&amp;TEXT(C2211,"###")):INDIRECT(DatCol&amp;"$"&amp;TEXT(C2211+57,"###"))))</f>
        <v>#DIV/0!</v>
      </c>
      <c r="F2211" s="26" t="str">
        <f t="shared" si="2202"/>
        <v>N</v>
      </c>
      <c r="G2211" s="8"/>
      <c r="K2211" s="9">
        <f t="shared" si="2183"/>
        <v>0</v>
      </c>
      <c r="M2211" s="11">
        <f t="shared" si="2225"/>
        <v>0</v>
      </c>
      <c r="O2211" s="11">
        <f t="shared" si="2226"/>
        <v>0</v>
      </c>
      <c r="Q2211" s="11">
        <f t="shared" si="2227"/>
        <v>0</v>
      </c>
      <c r="Y2211" s="11">
        <f t="shared" si="2228"/>
        <v>0</v>
      </c>
      <c r="AG2211" s="11">
        <f t="shared" si="2229"/>
        <v>0</v>
      </c>
      <c r="AI2211" s="11">
        <f t="shared" si="2230"/>
        <v>0</v>
      </c>
      <c r="AK2211" s="13">
        <f t="shared" si="2231"/>
        <v>0</v>
      </c>
      <c r="AM2211" s="13">
        <f t="shared" si="2232"/>
        <v>0</v>
      </c>
      <c r="AO2211" s="11">
        <f t="shared" si="2233"/>
        <v>0</v>
      </c>
      <c r="AQ2211" s="11">
        <f t="shared" si="2234"/>
        <v>0</v>
      </c>
      <c r="AS2211" s="11">
        <f t="shared" si="2235"/>
        <v>0</v>
      </c>
      <c r="AU2211" s="11">
        <f t="shared" si="2236"/>
        <v>0</v>
      </c>
      <c r="AW2211" s="11">
        <f t="shared" si="2237"/>
        <v>0</v>
      </c>
      <c r="AY2211" s="11">
        <f t="shared" si="2238"/>
        <v>0</v>
      </c>
      <c r="BA2211" s="11">
        <f t="shared" si="2239"/>
        <v>0</v>
      </c>
      <c r="BC2211" s="11">
        <f t="shared" si="2240"/>
        <v>0</v>
      </c>
      <c r="BE2211" s="11">
        <f t="shared" si="2241"/>
        <v>0</v>
      </c>
      <c r="BG2211" s="11">
        <f t="shared" si="2242"/>
        <v>0</v>
      </c>
      <c r="BN2211" s="8">
        <f t="shared" si="2181"/>
        <v>0</v>
      </c>
      <c r="BO2211" s="8">
        <f t="shared" si="2182"/>
        <v>0</v>
      </c>
      <c r="BP2211" s="8">
        <f t="shared" si="2203"/>
        <v>0</v>
      </c>
      <c r="BQ2211" s="12">
        <f t="shared" si="2204"/>
        <v>0</v>
      </c>
    </row>
    <row r="2212" spans="1:69">
      <c r="A2212" s="28">
        <v>1961</v>
      </c>
      <c r="B2212" s="27" t="s">
        <v>101</v>
      </c>
      <c r="C2212" s="24">
        <f t="shared" si="2243"/>
        <v>2206</v>
      </c>
      <c r="D2212" s="7" t="e">
        <f t="shared" ca="1" si="2223"/>
        <v>#N/A</v>
      </c>
      <c r="E2212" s="26" t="e">
        <f t="array" aca="1" ref="E2212" ca="1">AVERAGE(IF(INDIRECT(DatCol&amp;"$"&amp;TEXT(C2212,"###")):INDIRECT(DatCol&amp;"$"&amp;TEXT(C2212+57,"###"))&gt;0,INDIRECT(DatCol&amp;"$"&amp;TEXT(C2212,"###")):INDIRECT(DatCol&amp;"$"&amp;TEXT(C2212+57,"###"))))</f>
        <v>#DIV/0!</v>
      </c>
      <c r="F2212" s="26" t="str">
        <f t="shared" si="2202"/>
        <v>N</v>
      </c>
      <c r="G2212" s="8"/>
      <c r="K2212" s="9">
        <f t="shared" si="2183"/>
        <v>0</v>
      </c>
      <c r="M2212" s="11">
        <f t="shared" si="2225"/>
        <v>0</v>
      </c>
      <c r="O2212" s="11">
        <f t="shared" si="2226"/>
        <v>0</v>
      </c>
      <c r="Q2212" s="11">
        <f t="shared" si="2227"/>
        <v>0</v>
      </c>
      <c r="Y2212" s="11">
        <f t="shared" si="2228"/>
        <v>0</v>
      </c>
      <c r="AG2212" s="11">
        <f t="shared" si="2229"/>
        <v>0</v>
      </c>
      <c r="AI2212" s="11">
        <f t="shared" si="2230"/>
        <v>0</v>
      </c>
      <c r="AK2212" s="13">
        <f t="shared" si="2231"/>
        <v>0</v>
      </c>
      <c r="AM2212" s="13">
        <f t="shared" si="2232"/>
        <v>0</v>
      </c>
      <c r="AO2212" s="11">
        <f t="shared" si="2233"/>
        <v>0</v>
      </c>
      <c r="AQ2212" s="11">
        <f t="shared" si="2234"/>
        <v>0</v>
      </c>
      <c r="AS2212" s="11">
        <f t="shared" si="2235"/>
        <v>0</v>
      </c>
      <c r="AU2212" s="11">
        <f t="shared" si="2236"/>
        <v>0</v>
      </c>
      <c r="AW2212" s="11">
        <f t="shared" si="2237"/>
        <v>0</v>
      </c>
      <c r="AY2212" s="11">
        <f t="shared" si="2238"/>
        <v>0</v>
      </c>
      <c r="BA2212" s="11">
        <f t="shared" si="2239"/>
        <v>0</v>
      </c>
      <c r="BC2212" s="11">
        <f t="shared" si="2240"/>
        <v>0</v>
      </c>
      <c r="BE2212" s="11">
        <f t="shared" si="2241"/>
        <v>0</v>
      </c>
      <c r="BG2212" s="11">
        <f t="shared" si="2242"/>
        <v>0</v>
      </c>
      <c r="BN2212" s="8">
        <f t="shared" si="2181"/>
        <v>0</v>
      </c>
      <c r="BO2212" s="8">
        <f t="shared" si="2182"/>
        <v>0</v>
      </c>
      <c r="BP2212" s="8">
        <f t="shared" si="2203"/>
        <v>0</v>
      </c>
      <c r="BQ2212" s="12">
        <f t="shared" si="2204"/>
        <v>0</v>
      </c>
    </row>
    <row r="2213" spans="1:69">
      <c r="A2213" s="28">
        <v>1962</v>
      </c>
      <c r="B2213" s="27" t="s">
        <v>101</v>
      </c>
      <c r="C2213" s="24">
        <f t="shared" si="2243"/>
        <v>2206</v>
      </c>
      <c r="D2213" s="7" t="e">
        <f t="shared" ca="1" si="2223"/>
        <v>#N/A</v>
      </c>
      <c r="E2213" s="26" t="e">
        <f t="array" aca="1" ref="E2213" ca="1">AVERAGE(IF(INDIRECT(DatCol&amp;"$"&amp;TEXT(C2213,"###")):INDIRECT(DatCol&amp;"$"&amp;TEXT(C2213+57,"###"))&gt;0,INDIRECT(DatCol&amp;"$"&amp;TEXT(C2213,"###")):INDIRECT(DatCol&amp;"$"&amp;TEXT(C2213+57,"###"))))</f>
        <v>#DIV/0!</v>
      </c>
      <c r="F2213" s="26" t="str">
        <f t="shared" si="2202"/>
        <v>N</v>
      </c>
      <c r="G2213" s="8"/>
      <c r="K2213" s="9">
        <f t="shared" si="2183"/>
        <v>0</v>
      </c>
      <c r="M2213" s="11">
        <f t="shared" si="2225"/>
        <v>0</v>
      </c>
      <c r="O2213" s="11">
        <f t="shared" si="2226"/>
        <v>0</v>
      </c>
      <c r="Q2213" s="11">
        <f t="shared" si="2227"/>
        <v>0</v>
      </c>
      <c r="Y2213" s="11">
        <f t="shared" si="2228"/>
        <v>0</v>
      </c>
      <c r="AG2213" s="11">
        <f t="shared" si="2229"/>
        <v>0</v>
      </c>
      <c r="AI2213" s="11">
        <f t="shared" si="2230"/>
        <v>0</v>
      </c>
      <c r="AK2213" s="13">
        <f t="shared" si="2231"/>
        <v>0</v>
      </c>
      <c r="AM2213" s="13">
        <f t="shared" si="2232"/>
        <v>0</v>
      </c>
      <c r="AO2213" s="11">
        <f t="shared" si="2233"/>
        <v>0</v>
      </c>
      <c r="AQ2213" s="11">
        <f t="shared" si="2234"/>
        <v>0</v>
      </c>
      <c r="AS2213" s="11">
        <f t="shared" si="2235"/>
        <v>0</v>
      </c>
      <c r="AU2213" s="11">
        <f t="shared" si="2236"/>
        <v>0</v>
      </c>
      <c r="AW2213" s="11">
        <f t="shared" si="2237"/>
        <v>0</v>
      </c>
      <c r="AY2213" s="11">
        <f t="shared" si="2238"/>
        <v>0</v>
      </c>
      <c r="BA2213" s="11">
        <f t="shared" si="2239"/>
        <v>0</v>
      </c>
      <c r="BC2213" s="11">
        <f t="shared" si="2240"/>
        <v>0</v>
      </c>
      <c r="BE2213" s="11">
        <f t="shared" si="2241"/>
        <v>0</v>
      </c>
      <c r="BG2213" s="11">
        <f t="shared" si="2242"/>
        <v>0</v>
      </c>
      <c r="BN2213" s="8">
        <f t="shared" si="2181"/>
        <v>0</v>
      </c>
      <c r="BO2213" s="8">
        <f t="shared" si="2182"/>
        <v>0</v>
      </c>
      <c r="BP2213" s="8">
        <f t="shared" si="2203"/>
        <v>0</v>
      </c>
      <c r="BQ2213" s="12">
        <f t="shared" si="2204"/>
        <v>0</v>
      </c>
    </row>
    <row r="2214" spans="1:69">
      <c r="A2214" s="28">
        <v>1963</v>
      </c>
      <c r="B2214" s="27" t="s">
        <v>101</v>
      </c>
      <c r="C2214" s="24">
        <f t="shared" si="2243"/>
        <v>2206</v>
      </c>
      <c r="D2214" s="7" t="e">
        <f t="shared" ca="1" si="2223"/>
        <v>#N/A</v>
      </c>
      <c r="E2214" s="26" t="e">
        <f t="array" aca="1" ref="E2214" ca="1">AVERAGE(IF(INDIRECT(DatCol&amp;"$"&amp;TEXT(C2214,"###")):INDIRECT(DatCol&amp;"$"&amp;TEXT(C2214+57,"###"))&gt;0,INDIRECT(DatCol&amp;"$"&amp;TEXT(C2214,"###")):INDIRECT(DatCol&amp;"$"&amp;TEXT(C2214+57,"###"))))</f>
        <v>#DIV/0!</v>
      </c>
      <c r="F2214" s="26" t="str">
        <f t="shared" si="2202"/>
        <v>N</v>
      </c>
      <c r="G2214" s="8"/>
      <c r="K2214" s="9">
        <f t="shared" si="2183"/>
        <v>0</v>
      </c>
      <c r="M2214" s="11">
        <f t="shared" si="2225"/>
        <v>0</v>
      </c>
      <c r="O2214" s="11">
        <f t="shared" si="2226"/>
        <v>0</v>
      </c>
      <c r="Q2214" s="11">
        <f t="shared" si="2227"/>
        <v>0</v>
      </c>
      <c r="Y2214" s="11">
        <f t="shared" si="2228"/>
        <v>0</v>
      </c>
      <c r="AG2214" s="11">
        <f t="shared" si="2229"/>
        <v>0</v>
      </c>
      <c r="AI2214" s="11">
        <f t="shared" si="2230"/>
        <v>0</v>
      </c>
      <c r="AK2214" s="13">
        <f t="shared" si="2231"/>
        <v>0</v>
      </c>
      <c r="AM2214" s="13">
        <f t="shared" si="2232"/>
        <v>0</v>
      </c>
      <c r="AO2214" s="11">
        <f t="shared" si="2233"/>
        <v>0</v>
      </c>
      <c r="AQ2214" s="11">
        <f t="shared" si="2234"/>
        <v>0</v>
      </c>
      <c r="AS2214" s="11">
        <f t="shared" si="2235"/>
        <v>0</v>
      </c>
      <c r="AU2214" s="11">
        <f t="shared" si="2236"/>
        <v>0</v>
      </c>
      <c r="AW2214" s="11">
        <f t="shared" si="2237"/>
        <v>0</v>
      </c>
      <c r="AY2214" s="11">
        <f t="shared" si="2238"/>
        <v>0</v>
      </c>
      <c r="BA2214" s="11">
        <f t="shared" si="2239"/>
        <v>0</v>
      </c>
      <c r="BC2214" s="11">
        <f t="shared" si="2240"/>
        <v>0</v>
      </c>
      <c r="BE2214" s="11">
        <f t="shared" si="2241"/>
        <v>0</v>
      </c>
      <c r="BG2214" s="11">
        <f t="shared" si="2242"/>
        <v>0</v>
      </c>
      <c r="BN2214" s="8">
        <f t="shared" si="2181"/>
        <v>0</v>
      </c>
      <c r="BO2214" s="8">
        <f t="shared" si="2182"/>
        <v>0</v>
      </c>
      <c r="BP2214" s="8">
        <f t="shared" si="2203"/>
        <v>0</v>
      </c>
      <c r="BQ2214" s="12">
        <f t="shared" si="2204"/>
        <v>0</v>
      </c>
    </row>
    <row r="2215" spans="1:69">
      <c r="A2215" s="28">
        <v>1964</v>
      </c>
      <c r="B2215" s="27" t="s">
        <v>101</v>
      </c>
      <c r="C2215" s="24">
        <f t="shared" si="2243"/>
        <v>2206</v>
      </c>
      <c r="D2215" s="7" t="e">
        <f t="shared" ca="1" si="2223"/>
        <v>#N/A</v>
      </c>
      <c r="E2215" s="26" t="e">
        <f t="array" aca="1" ref="E2215" ca="1">AVERAGE(IF(INDIRECT(DatCol&amp;"$"&amp;TEXT(C2215,"###")):INDIRECT(DatCol&amp;"$"&amp;TEXT(C2215+57,"###"))&gt;0,INDIRECT(DatCol&amp;"$"&amp;TEXT(C2215,"###")):INDIRECT(DatCol&amp;"$"&amp;TEXT(C2215+57,"###"))))</f>
        <v>#DIV/0!</v>
      </c>
      <c r="F2215" s="26" t="str">
        <f t="shared" si="2202"/>
        <v>N</v>
      </c>
      <c r="G2215" s="8"/>
      <c r="K2215" s="9">
        <f t="shared" si="2183"/>
        <v>0</v>
      </c>
      <c r="M2215" s="11">
        <f t="shared" si="2225"/>
        <v>0</v>
      </c>
      <c r="O2215" s="11">
        <f t="shared" si="2226"/>
        <v>0</v>
      </c>
      <c r="Q2215" s="11">
        <f t="shared" si="2227"/>
        <v>0</v>
      </c>
      <c r="Y2215" s="11">
        <f t="shared" si="2228"/>
        <v>0</v>
      </c>
      <c r="AG2215" s="11">
        <f t="shared" si="2229"/>
        <v>0</v>
      </c>
      <c r="AI2215" s="11">
        <f t="shared" si="2230"/>
        <v>0</v>
      </c>
      <c r="AK2215" s="13">
        <f t="shared" si="2231"/>
        <v>0</v>
      </c>
      <c r="AM2215" s="13">
        <f t="shared" si="2232"/>
        <v>0</v>
      </c>
      <c r="AO2215" s="11">
        <f t="shared" si="2233"/>
        <v>0</v>
      </c>
      <c r="AQ2215" s="11">
        <f t="shared" si="2234"/>
        <v>0</v>
      </c>
      <c r="AS2215" s="11">
        <f t="shared" si="2235"/>
        <v>0</v>
      </c>
      <c r="AU2215" s="11">
        <f t="shared" si="2236"/>
        <v>0</v>
      </c>
      <c r="AW2215" s="11">
        <f t="shared" si="2237"/>
        <v>0</v>
      </c>
      <c r="AY2215" s="11">
        <f t="shared" si="2238"/>
        <v>0</v>
      </c>
      <c r="BA2215" s="11">
        <f t="shared" si="2239"/>
        <v>0</v>
      </c>
      <c r="BC2215" s="11">
        <f t="shared" si="2240"/>
        <v>0</v>
      </c>
      <c r="BE2215" s="11">
        <f t="shared" si="2241"/>
        <v>0</v>
      </c>
      <c r="BG2215" s="11">
        <f t="shared" si="2242"/>
        <v>0</v>
      </c>
      <c r="BN2215" s="8">
        <f t="shared" ref="BN2215:BN2279" si="2244">(L2215+P2215+R2215+T2215+V2215+X2215+Z2215+AB2215+AD2215+AF2215+AJ2215+AN2215+AR2215+AV2215+AZ2215+BD2215)</f>
        <v>0</v>
      </c>
      <c r="BO2215" s="8">
        <f t="shared" si="2182"/>
        <v>0</v>
      </c>
      <c r="BP2215" s="8">
        <f t="shared" si="2203"/>
        <v>0</v>
      </c>
      <c r="BQ2215" s="12">
        <f t="shared" si="2204"/>
        <v>0</v>
      </c>
    </row>
    <row r="2216" spans="1:69">
      <c r="A2216" s="28">
        <v>1965</v>
      </c>
      <c r="B2216" s="27" t="s">
        <v>101</v>
      </c>
      <c r="C2216" s="24">
        <f t="shared" si="2243"/>
        <v>2206</v>
      </c>
      <c r="D2216" s="7" t="e">
        <f t="shared" ca="1" si="2223"/>
        <v>#N/A</v>
      </c>
      <c r="E2216" s="26" t="e">
        <f t="array" aca="1" ref="E2216" ca="1">AVERAGE(IF(INDIRECT(DatCol&amp;"$"&amp;TEXT(C2216,"###")):INDIRECT(DatCol&amp;"$"&amp;TEXT(C2216+57,"###"))&gt;0,INDIRECT(DatCol&amp;"$"&amp;TEXT(C2216,"###")):INDIRECT(DatCol&amp;"$"&amp;TEXT(C2216+57,"###"))))</f>
        <v>#DIV/0!</v>
      </c>
      <c r="F2216" s="26" t="str">
        <f t="shared" si="2202"/>
        <v>N</v>
      </c>
      <c r="G2216" s="8"/>
      <c r="K2216" s="9">
        <f t="shared" si="2183"/>
        <v>0</v>
      </c>
      <c r="M2216" s="11">
        <f t="shared" si="2225"/>
        <v>0</v>
      </c>
      <c r="O2216" s="11">
        <f t="shared" si="2226"/>
        <v>0</v>
      </c>
      <c r="Q2216" s="11">
        <f t="shared" si="2227"/>
        <v>0</v>
      </c>
      <c r="Y2216" s="11">
        <f t="shared" si="2228"/>
        <v>0</v>
      </c>
      <c r="AG2216" s="11">
        <f t="shared" si="2229"/>
        <v>0</v>
      </c>
      <c r="AI2216" s="11">
        <f t="shared" si="2230"/>
        <v>0</v>
      </c>
      <c r="AK2216" s="13">
        <f t="shared" si="2231"/>
        <v>0</v>
      </c>
      <c r="AM2216" s="13">
        <f t="shared" si="2232"/>
        <v>0</v>
      </c>
      <c r="AO2216" s="11">
        <f t="shared" si="2233"/>
        <v>0</v>
      </c>
      <c r="AQ2216" s="11">
        <f t="shared" si="2234"/>
        <v>0</v>
      </c>
      <c r="AS2216" s="11">
        <f t="shared" si="2235"/>
        <v>0</v>
      </c>
      <c r="AU2216" s="11">
        <f t="shared" si="2236"/>
        <v>0</v>
      </c>
      <c r="AW2216" s="11">
        <f t="shared" si="2237"/>
        <v>0</v>
      </c>
      <c r="AY2216" s="11">
        <f t="shared" si="2238"/>
        <v>0</v>
      </c>
      <c r="BA2216" s="11">
        <f t="shared" si="2239"/>
        <v>0</v>
      </c>
      <c r="BC2216" s="11">
        <f t="shared" si="2240"/>
        <v>0</v>
      </c>
      <c r="BE2216" s="11">
        <f t="shared" si="2241"/>
        <v>0</v>
      </c>
      <c r="BG2216" s="11">
        <f t="shared" si="2242"/>
        <v>0</v>
      </c>
      <c r="BN2216" s="8">
        <f t="shared" si="2244"/>
        <v>0</v>
      </c>
      <c r="BO2216" s="8">
        <f t="shared" ref="BO2216:BO2280" si="2245">(M2216+Q2216+S2216+U2216+W2216+Y2216+AA2216+AC2216+AG2216+AK2216+AO2216+AS2216+AW2216+BA2216+BE2216)</f>
        <v>0</v>
      </c>
      <c r="BP2216" s="8">
        <f t="shared" si="2203"/>
        <v>0</v>
      </c>
      <c r="BQ2216" s="12">
        <f t="shared" si="2204"/>
        <v>0</v>
      </c>
    </row>
    <row r="2217" spans="1:69">
      <c r="A2217" s="28">
        <v>1966</v>
      </c>
      <c r="B2217" s="27" t="s">
        <v>101</v>
      </c>
      <c r="C2217" s="24">
        <f t="shared" si="2243"/>
        <v>2206</v>
      </c>
      <c r="D2217" s="7" t="e">
        <f t="shared" ca="1" si="2223"/>
        <v>#N/A</v>
      </c>
      <c r="E2217" s="26" t="e">
        <f t="array" aca="1" ref="E2217" ca="1">AVERAGE(IF(INDIRECT(DatCol&amp;"$"&amp;TEXT(C2217,"###")):INDIRECT(DatCol&amp;"$"&amp;TEXT(C2217+57,"###"))&gt;0,INDIRECT(DatCol&amp;"$"&amp;TEXT(C2217,"###")):INDIRECT(DatCol&amp;"$"&amp;TEXT(C2217+57,"###"))))</f>
        <v>#DIV/0!</v>
      </c>
      <c r="F2217" s="26" t="str">
        <f t="shared" si="2202"/>
        <v>N</v>
      </c>
      <c r="G2217" s="8"/>
      <c r="K2217" s="9">
        <f t="shared" ref="K2217:K2281" si="2246">G2217+H2217+J2217</f>
        <v>0</v>
      </c>
      <c r="M2217" s="11">
        <f t="shared" si="2225"/>
        <v>0</v>
      </c>
      <c r="O2217" s="11">
        <f t="shared" si="2226"/>
        <v>0</v>
      </c>
      <c r="Q2217" s="11">
        <f t="shared" si="2227"/>
        <v>0</v>
      </c>
      <c r="Y2217" s="11">
        <f t="shared" si="2228"/>
        <v>0</v>
      </c>
      <c r="AG2217" s="11">
        <f t="shared" si="2229"/>
        <v>0</v>
      </c>
      <c r="AI2217" s="11">
        <f t="shared" si="2230"/>
        <v>0</v>
      </c>
      <c r="AK2217" s="13">
        <f t="shared" si="2231"/>
        <v>0</v>
      </c>
      <c r="AM2217" s="13">
        <f t="shared" si="2232"/>
        <v>0</v>
      </c>
      <c r="AO2217" s="11">
        <f t="shared" si="2233"/>
        <v>0</v>
      </c>
      <c r="AQ2217" s="11">
        <f t="shared" si="2234"/>
        <v>0</v>
      </c>
      <c r="AS2217" s="11">
        <f t="shared" si="2235"/>
        <v>0</v>
      </c>
      <c r="AU2217" s="11">
        <f t="shared" si="2236"/>
        <v>0</v>
      </c>
      <c r="AW2217" s="11">
        <f t="shared" si="2237"/>
        <v>0</v>
      </c>
      <c r="AY2217" s="11">
        <f t="shared" si="2238"/>
        <v>0</v>
      </c>
      <c r="BA2217" s="11">
        <f t="shared" si="2239"/>
        <v>0</v>
      </c>
      <c r="BC2217" s="11">
        <f t="shared" si="2240"/>
        <v>0</v>
      </c>
      <c r="BE2217" s="11">
        <f t="shared" si="2241"/>
        <v>0</v>
      </c>
      <c r="BG2217" s="11">
        <f t="shared" si="2242"/>
        <v>0</v>
      </c>
      <c r="BN2217" s="8">
        <f t="shared" si="2244"/>
        <v>0</v>
      </c>
      <c r="BO2217" s="8">
        <f t="shared" si="2245"/>
        <v>0</v>
      </c>
      <c r="BP2217" s="8">
        <f t="shared" si="2203"/>
        <v>0</v>
      </c>
      <c r="BQ2217" s="12">
        <f t="shared" si="2204"/>
        <v>0</v>
      </c>
    </row>
    <row r="2218" spans="1:69">
      <c r="A2218" s="28">
        <v>1967</v>
      </c>
      <c r="B2218" s="27" t="s">
        <v>101</v>
      </c>
      <c r="C2218" s="24">
        <f t="shared" si="2243"/>
        <v>2206</v>
      </c>
      <c r="D2218" s="7" t="e">
        <f t="shared" ca="1" si="2223"/>
        <v>#N/A</v>
      </c>
      <c r="E2218" s="26" t="e">
        <f t="array" aca="1" ref="E2218" ca="1">AVERAGE(IF(INDIRECT(DatCol&amp;"$"&amp;TEXT(C2218,"###")):INDIRECT(DatCol&amp;"$"&amp;TEXT(C2218+57,"###"))&gt;0,INDIRECT(DatCol&amp;"$"&amp;TEXT(C2218,"###")):INDIRECT(DatCol&amp;"$"&amp;TEXT(C2218+57,"###"))))</f>
        <v>#DIV/0!</v>
      </c>
      <c r="F2218" s="26" t="str">
        <f t="shared" si="2202"/>
        <v>N</v>
      </c>
      <c r="G2218" s="8"/>
      <c r="K2218" s="9">
        <f t="shared" si="2246"/>
        <v>0</v>
      </c>
      <c r="M2218" s="11">
        <f t="shared" si="2225"/>
        <v>0</v>
      </c>
      <c r="O2218" s="11">
        <f t="shared" si="2226"/>
        <v>0</v>
      </c>
      <c r="Q2218" s="11">
        <f t="shared" si="2227"/>
        <v>0</v>
      </c>
      <c r="Y2218" s="11">
        <f t="shared" si="2228"/>
        <v>0</v>
      </c>
      <c r="AG2218" s="11">
        <f t="shared" si="2229"/>
        <v>0</v>
      </c>
      <c r="AI2218" s="11">
        <f t="shared" si="2230"/>
        <v>0</v>
      </c>
      <c r="AK2218" s="13">
        <f t="shared" si="2231"/>
        <v>0</v>
      </c>
      <c r="AM2218" s="13">
        <f t="shared" si="2232"/>
        <v>0</v>
      </c>
      <c r="AO2218" s="11">
        <f t="shared" si="2233"/>
        <v>0</v>
      </c>
      <c r="AQ2218" s="11">
        <f t="shared" si="2234"/>
        <v>0</v>
      </c>
      <c r="AS2218" s="11">
        <f t="shared" si="2235"/>
        <v>0</v>
      </c>
      <c r="AU2218" s="11">
        <f t="shared" si="2236"/>
        <v>0</v>
      </c>
      <c r="AW2218" s="11">
        <f t="shared" si="2237"/>
        <v>0</v>
      </c>
      <c r="AY2218" s="11">
        <f t="shared" si="2238"/>
        <v>0</v>
      </c>
      <c r="BA2218" s="11">
        <f t="shared" si="2239"/>
        <v>0</v>
      </c>
      <c r="BC2218" s="11">
        <f t="shared" si="2240"/>
        <v>0</v>
      </c>
      <c r="BE2218" s="11">
        <f t="shared" si="2241"/>
        <v>0</v>
      </c>
      <c r="BG2218" s="11">
        <f t="shared" si="2242"/>
        <v>0</v>
      </c>
      <c r="BN2218" s="8">
        <f t="shared" si="2244"/>
        <v>0</v>
      </c>
      <c r="BO2218" s="8">
        <f t="shared" si="2245"/>
        <v>0</v>
      </c>
      <c r="BP2218" s="8">
        <f t="shared" si="2203"/>
        <v>0</v>
      </c>
      <c r="BQ2218" s="12">
        <f t="shared" si="2204"/>
        <v>0</v>
      </c>
    </row>
    <row r="2219" spans="1:69">
      <c r="A2219" s="28">
        <v>1968</v>
      </c>
      <c r="B2219" s="27" t="s">
        <v>101</v>
      </c>
      <c r="C2219" s="24">
        <f t="shared" si="2243"/>
        <v>2206</v>
      </c>
      <c r="D2219" s="7" t="e">
        <f t="shared" ca="1" si="2223"/>
        <v>#N/A</v>
      </c>
      <c r="E2219" s="26" t="e">
        <f t="array" aca="1" ref="E2219" ca="1">AVERAGE(IF(INDIRECT(DatCol&amp;"$"&amp;TEXT(C2219,"###")):INDIRECT(DatCol&amp;"$"&amp;TEXT(C2219+57,"###"))&gt;0,INDIRECT(DatCol&amp;"$"&amp;TEXT(C2219,"###")):INDIRECT(DatCol&amp;"$"&amp;TEXT(C2219+57,"###"))))</f>
        <v>#DIV/0!</v>
      </c>
      <c r="F2219" s="26" t="str">
        <f t="shared" si="2202"/>
        <v>N</v>
      </c>
      <c r="G2219" s="8"/>
      <c r="K2219" s="9">
        <f t="shared" si="2246"/>
        <v>0</v>
      </c>
      <c r="M2219" s="11">
        <f t="shared" si="2225"/>
        <v>0</v>
      </c>
      <c r="O2219" s="11">
        <f t="shared" si="2226"/>
        <v>0</v>
      </c>
      <c r="Q2219" s="11">
        <f t="shared" si="2227"/>
        <v>0</v>
      </c>
      <c r="Y2219" s="11">
        <f t="shared" si="2228"/>
        <v>0</v>
      </c>
      <c r="AG2219" s="11">
        <f t="shared" si="2229"/>
        <v>0</v>
      </c>
      <c r="AI2219" s="11">
        <f t="shared" si="2230"/>
        <v>0</v>
      </c>
      <c r="AK2219" s="13">
        <f t="shared" si="2231"/>
        <v>0</v>
      </c>
      <c r="AM2219" s="13">
        <f t="shared" si="2232"/>
        <v>0</v>
      </c>
      <c r="AO2219" s="11">
        <f t="shared" si="2233"/>
        <v>0</v>
      </c>
      <c r="AQ2219" s="11">
        <f t="shared" si="2234"/>
        <v>0</v>
      </c>
      <c r="AS2219" s="11">
        <f t="shared" si="2235"/>
        <v>0</v>
      </c>
      <c r="AU2219" s="11">
        <f t="shared" si="2236"/>
        <v>0</v>
      </c>
      <c r="AW2219" s="11">
        <f t="shared" si="2237"/>
        <v>0</v>
      </c>
      <c r="AY2219" s="11">
        <f t="shared" si="2238"/>
        <v>0</v>
      </c>
      <c r="BA2219" s="11">
        <f t="shared" si="2239"/>
        <v>0</v>
      </c>
      <c r="BC2219" s="11">
        <f t="shared" si="2240"/>
        <v>0</v>
      </c>
      <c r="BE2219" s="11">
        <f t="shared" si="2241"/>
        <v>0</v>
      </c>
      <c r="BG2219" s="11">
        <f t="shared" si="2242"/>
        <v>0</v>
      </c>
      <c r="BN2219" s="8">
        <f t="shared" si="2244"/>
        <v>0</v>
      </c>
      <c r="BO2219" s="8">
        <f t="shared" si="2245"/>
        <v>0</v>
      </c>
      <c r="BP2219" s="8">
        <f t="shared" si="2203"/>
        <v>0</v>
      </c>
      <c r="BQ2219" s="12">
        <f t="shared" si="2204"/>
        <v>0</v>
      </c>
    </row>
    <row r="2220" spans="1:69">
      <c r="A2220" s="28">
        <v>1969</v>
      </c>
      <c r="B2220" s="27" t="s">
        <v>101</v>
      </c>
      <c r="C2220" s="24">
        <f t="shared" si="2243"/>
        <v>2206</v>
      </c>
      <c r="D2220" s="7" t="e">
        <f t="shared" ca="1" si="2223"/>
        <v>#N/A</v>
      </c>
      <c r="E2220" s="26" t="e">
        <f t="array" aca="1" ref="E2220" ca="1">AVERAGE(IF(INDIRECT(DatCol&amp;"$"&amp;TEXT(C2220,"###")):INDIRECT(DatCol&amp;"$"&amp;TEXT(C2220+57,"###"))&gt;0,INDIRECT(DatCol&amp;"$"&amp;TEXT(C2220,"###")):INDIRECT(DatCol&amp;"$"&amp;TEXT(C2220+57,"###"))))</f>
        <v>#DIV/0!</v>
      </c>
      <c r="F2220" s="26" t="str">
        <f t="shared" si="2202"/>
        <v>N</v>
      </c>
      <c r="G2220" s="8"/>
      <c r="K2220" s="9">
        <f t="shared" si="2246"/>
        <v>0</v>
      </c>
      <c r="M2220" s="11">
        <f t="shared" si="2225"/>
        <v>0</v>
      </c>
      <c r="O2220" s="11">
        <f t="shared" si="2226"/>
        <v>0</v>
      </c>
      <c r="Q2220" s="11">
        <f t="shared" si="2227"/>
        <v>0</v>
      </c>
      <c r="Y2220" s="11">
        <f t="shared" si="2228"/>
        <v>0</v>
      </c>
      <c r="AG2220" s="11">
        <f t="shared" si="2229"/>
        <v>0</v>
      </c>
      <c r="AI2220" s="11">
        <f t="shared" si="2230"/>
        <v>0</v>
      </c>
      <c r="AK2220" s="13">
        <f t="shared" si="2231"/>
        <v>0</v>
      </c>
      <c r="AM2220" s="13">
        <f t="shared" si="2232"/>
        <v>0</v>
      </c>
      <c r="AO2220" s="11">
        <f t="shared" si="2233"/>
        <v>0</v>
      </c>
      <c r="AQ2220" s="11">
        <f t="shared" si="2234"/>
        <v>0</v>
      </c>
      <c r="AS2220" s="11">
        <f t="shared" si="2235"/>
        <v>0</v>
      </c>
      <c r="AU2220" s="11">
        <f t="shared" si="2236"/>
        <v>0</v>
      </c>
      <c r="AW2220" s="11">
        <f t="shared" si="2237"/>
        <v>0</v>
      </c>
      <c r="AY2220" s="11">
        <f t="shared" si="2238"/>
        <v>0</v>
      </c>
      <c r="BA2220" s="11">
        <f t="shared" si="2239"/>
        <v>0</v>
      </c>
      <c r="BC2220" s="11">
        <f t="shared" si="2240"/>
        <v>0</v>
      </c>
      <c r="BE2220" s="11">
        <f t="shared" si="2241"/>
        <v>0</v>
      </c>
      <c r="BG2220" s="11">
        <f t="shared" si="2242"/>
        <v>0</v>
      </c>
      <c r="BN2220" s="8">
        <f t="shared" si="2244"/>
        <v>0</v>
      </c>
      <c r="BO2220" s="8">
        <f t="shared" si="2245"/>
        <v>0</v>
      </c>
      <c r="BP2220" s="8">
        <f t="shared" si="2203"/>
        <v>0</v>
      </c>
      <c r="BQ2220" s="12">
        <f t="shared" si="2204"/>
        <v>0</v>
      </c>
    </row>
    <row r="2221" spans="1:69">
      <c r="A2221" s="28">
        <v>1970</v>
      </c>
      <c r="B2221" s="27" t="s">
        <v>101</v>
      </c>
      <c r="C2221" s="24">
        <f t="shared" si="2243"/>
        <v>2206</v>
      </c>
      <c r="D2221" s="7" t="e">
        <f t="shared" ca="1" si="2223"/>
        <v>#N/A</v>
      </c>
      <c r="E2221" s="26" t="e">
        <f t="array" aca="1" ref="E2221" ca="1">AVERAGE(IF(INDIRECT(DatCol&amp;"$"&amp;TEXT(C2221,"###")):INDIRECT(DatCol&amp;"$"&amp;TEXT(C2221+57,"###"))&gt;0,INDIRECT(DatCol&amp;"$"&amp;TEXT(C2221,"###")):INDIRECT(DatCol&amp;"$"&amp;TEXT(C2221+57,"###"))))</f>
        <v>#DIV/0!</v>
      </c>
      <c r="F2221" s="26" t="str">
        <f t="shared" si="2202"/>
        <v>N</v>
      </c>
      <c r="G2221" s="8"/>
      <c r="K2221" s="9">
        <f t="shared" si="2246"/>
        <v>0</v>
      </c>
      <c r="M2221" s="11">
        <f t="shared" ref="M2221:M2236" si="2247">(L2221*50)</f>
        <v>0</v>
      </c>
      <c r="O2221" s="11">
        <f t="shared" ref="O2221:O2236" si="2248">(N2221*50)</f>
        <v>0</v>
      </c>
      <c r="Q2221" s="11">
        <f t="shared" ref="Q2221:Q2236" si="2249">((P2221*330)/5.5)</f>
        <v>0</v>
      </c>
      <c r="Y2221" s="11">
        <f t="shared" ref="Y2221:Y2236" si="2250">((X2221*330)/5.5)</f>
        <v>0</v>
      </c>
      <c r="AG2221" s="11">
        <f t="shared" ref="AG2221:AG2236" si="2251">(AF2221*65)</f>
        <v>0</v>
      </c>
      <c r="AI2221" s="11">
        <f t="shared" ref="AI2221:AI2236" si="2252">(AH2221*65)</f>
        <v>0</v>
      </c>
      <c r="AK2221" s="13">
        <f t="shared" ref="AK2221:AK2236" si="2253">(AJ2221*9)</f>
        <v>0</v>
      </c>
      <c r="AM2221" s="13">
        <f t="shared" ref="AM2221:AM2236" si="2254">(AL2221*9)</f>
        <v>0</v>
      </c>
      <c r="AO2221" s="11">
        <f t="shared" ref="AO2221:AO2236" si="2255">(AN2221*80)</f>
        <v>0</v>
      </c>
      <c r="AQ2221" s="11">
        <f t="shared" ref="AQ2221:AQ2236" si="2256">(AP2221*80)</f>
        <v>0</v>
      </c>
      <c r="AS2221" s="11">
        <f t="shared" ref="AS2221:AS2236" si="2257">(AR2221*50)</f>
        <v>0</v>
      </c>
      <c r="AU2221" s="11">
        <f t="shared" ref="AU2221:AU2236" si="2258">(AT2221*50)</f>
        <v>0</v>
      </c>
      <c r="AW2221" s="11">
        <f t="shared" ref="AW2221:AW2236" si="2259">(AV2221*60)</f>
        <v>0</v>
      </c>
      <c r="AY2221" s="11">
        <f t="shared" ref="AY2221:AY2236" si="2260">(AX2221*60)</f>
        <v>0</v>
      </c>
      <c r="BA2221" s="11">
        <f t="shared" ref="BA2221:BA2236" si="2261">(AZ2221*40)</f>
        <v>0</v>
      </c>
      <c r="BC2221" s="11">
        <f t="shared" ref="BC2221:BC2236" si="2262">(BB2221*40)</f>
        <v>0</v>
      </c>
      <c r="BE2221" s="11">
        <f t="shared" ref="BE2221:BE2236" si="2263">(BD2221*95)</f>
        <v>0</v>
      </c>
      <c r="BG2221" s="11">
        <f t="shared" ref="BG2221:BG2236" si="2264">(BF2221*95)</f>
        <v>0</v>
      </c>
      <c r="BN2221" s="8">
        <f t="shared" si="2244"/>
        <v>0</v>
      </c>
      <c r="BO2221" s="8">
        <f t="shared" si="2245"/>
        <v>0</v>
      </c>
      <c r="BP2221" s="8">
        <f t="shared" si="2203"/>
        <v>0</v>
      </c>
      <c r="BQ2221" s="12">
        <f t="shared" si="2204"/>
        <v>0</v>
      </c>
    </row>
    <row r="2222" spans="1:69">
      <c r="A2222" s="28">
        <v>1971</v>
      </c>
      <c r="B2222" s="27" t="s">
        <v>101</v>
      </c>
      <c r="C2222" s="24">
        <f t="shared" si="2243"/>
        <v>2206</v>
      </c>
      <c r="D2222" s="7" t="e">
        <f t="shared" ca="1" si="2223"/>
        <v>#N/A</v>
      </c>
      <c r="E2222" s="26" t="e">
        <f t="array" aca="1" ref="E2222" ca="1">AVERAGE(IF(INDIRECT(DatCol&amp;"$"&amp;TEXT(C2222,"###")):INDIRECT(DatCol&amp;"$"&amp;TEXT(C2222+57,"###"))&gt;0,INDIRECT(DatCol&amp;"$"&amp;TEXT(C2222,"###")):INDIRECT(DatCol&amp;"$"&amp;TEXT(C2222+57,"###"))))</f>
        <v>#DIV/0!</v>
      </c>
      <c r="F2222" s="26" t="str">
        <f t="shared" si="2202"/>
        <v>N</v>
      </c>
      <c r="G2222" s="8"/>
      <c r="K2222" s="9">
        <f t="shared" si="2246"/>
        <v>0</v>
      </c>
      <c r="M2222" s="11">
        <f t="shared" si="2247"/>
        <v>0</v>
      </c>
      <c r="O2222" s="11">
        <f t="shared" si="2248"/>
        <v>0</v>
      </c>
      <c r="Q2222" s="11">
        <f t="shared" si="2249"/>
        <v>0</v>
      </c>
      <c r="Y2222" s="11">
        <f t="shared" si="2250"/>
        <v>0</v>
      </c>
      <c r="AG2222" s="11">
        <f t="shared" si="2251"/>
        <v>0</v>
      </c>
      <c r="AI2222" s="11">
        <f t="shared" si="2252"/>
        <v>0</v>
      </c>
      <c r="AK2222" s="13">
        <f t="shared" si="2253"/>
        <v>0</v>
      </c>
      <c r="AM2222" s="13">
        <f t="shared" si="2254"/>
        <v>0</v>
      </c>
      <c r="AO2222" s="11">
        <f t="shared" si="2255"/>
        <v>0</v>
      </c>
      <c r="AQ2222" s="11">
        <f t="shared" si="2256"/>
        <v>0</v>
      </c>
      <c r="AS2222" s="11">
        <f t="shared" si="2257"/>
        <v>0</v>
      </c>
      <c r="AU2222" s="11">
        <f t="shared" si="2258"/>
        <v>0</v>
      </c>
      <c r="AW2222" s="11">
        <f t="shared" si="2259"/>
        <v>0</v>
      </c>
      <c r="AY2222" s="11">
        <f t="shared" si="2260"/>
        <v>0</v>
      </c>
      <c r="BA2222" s="11">
        <f t="shared" si="2261"/>
        <v>0</v>
      </c>
      <c r="BC2222" s="11">
        <f t="shared" si="2262"/>
        <v>0</v>
      </c>
      <c r="BE2222" s="11">
        <f t="shared" si="2263"/>
        <v>0</v>
      </c>
      <c r="BG2222" s="11">
        <f t="shared" si="2264"/>
        <v>0</v>
      </c>
      <c r="BN2222" s="8">
        <f t="shared" si="2244"/>
        <v>0</v>
      </c>
      <c r="BO2222" s="8">
        <f t="shared" si="2245"/>
        <v>0</v>
      </c>
      <c r="BP2222" s="8">
        <f t="shared" si="2203"/>
        <v>0</v>
      </c>
      <c r="BQ2222" s="12">
        <f t="shared" si="2204"/>
        <v>0</v>
      </c>
    </row>
    <row r="2223" spans="1:69">
      <c r="A2223" s="28">
        <v>1972</v>
      </c>
      <c r="B2223" s="27" t="s">
        <v>101</v>
      </c>
      <c r="C2223" s="24">
        <f t="shared" si="2243"/>
        <v>2206</v>
      </c>
      <c r="D2223" s="7" t="e">
        <f t="shared" ca="1" si="2223"/>
        <v>#N/A</v>
      </c>
      <c r="E2223" s="26" t="e">
        <f t="array" aca="1" ref="E2223" ca="1">AVERAGE(IF(INDIRECT(DatCol&amp;"$"&amp;TEXT(C2223,"###")):INDIRECT(DatCol&amp;"$"&amp;TEXT(C2223+57,"###"))&gt;0,INDIRECT(DatCol&amp;"$"&amp;TEXT(C2223,"###")):INDIRECT(DatCol&amp;"$"&amp;TEXT(C2223+57,"###"))))</f>
        <v>#DIV/0!</v>
      </c>
      <c r="F2223" s="26" t="str">
        <f t="shared" si="2202"/>
        <v>N</v>
      </c>
      <c r="G2223" s="8"/>
      <c r="K2223" s="9">
        <f t="shared" si="2246"/>
        <v>0</v>
      </c>
      <c r="M2223" s="11">
        <f t="shared" si="2247"/>
        <v>0</v>
      </c>
      <c r="O2223" s="11">
        <f t="shared" si="2248"/>
        <v>0</v>
      </c>
      <c r="Q2223" s="11">
        <f t="shared" si="2249"/>
        <v>0</v>
      </c>
      <c r="Y2223" s="11">
        <f t="shared" si="2250"/>
        <v>0</v>
      </c>
      <c r="AG2223" s="11">
        <f t="shared" si="2251"/>
        <v>0</v>
      </c>
      <c r="AI2223" s="11">
        <f t="shared" si="2252"/>
        <v>0</v>
      </c>
      <c r="AK2223" s="13">
        <f t="shared" si="2253"/>
        <v>0</v>
      </c>
      <c r="AM2223" s="13">
        <f t="shared" si="2254"/>
        <v>0</v>
      </c>
      <c r="AO2223" s="11">
        <f t="shared" si="2255"/>
        <v>0</v>
      </c>
      <c r="AQ2223" s="11">
        <f t="shared" si="2256"/>
        <v>0</v>
      </c>
      <c r="AS2223" s="11">
        <f t="shared" si="2257"/>
        <v>0</v>
      </c>
      <c r="AU2223" s="11">
        <f t="shared" si="2258"/>
        <v>0</v>
      </c>
      <c r="AW2223" s="11">
        <f t="shared" si="2259"/>
        <v>0</v>
      </c>
      <c r="AY2223" s="11">
        <f t="shared" si="2260"/>
        <v>0</v>
      </c>
      <c r="BA2223" s="11">
        <f t="shared" si="2261"/>
        <v>0</v>
      </c>
      <c r="BC2223" s="11">
        <f t="shared" si="2262"/>
        <v>0</v>
      </c>
      <c r="BE2223" s="11">
        <f t="shared" si="2263"/>
        <v>0</v>
      </c>
      <c r="BG2223" s="11">
        <f t="shared" si="2264"/>
        <v>0</v>
      </c>
      <c r="BN2223" s="8">
        <f t="shared" si="2244"/>
        <v>0</v>
      </c>
      <c r="BO2223" s="8">
        <f t="shared" si="2245"/>
        <v>0</v>
      </c>
      <c r="BP2223" s="8">
        <f t="shared" si="2203"/>
        <v>0</v>
      </c>
      <c r="BQ2223" s="12">
        <f t="shared" si="2204"/>
        <v>0</v>
      </c>
    </row>
    <row r="2224" spans="1:69">
      <c r="A2224" s="28">
        <v>1973</v>
      </c>
      <c r="B2224" s="27" t="s">
        <v>101</v>
      </c>
      <c r="C2224" s="24">
        <f t="shared" si="2243"/>
        <v>2206</v>
      </c>
      <c r="D2224" s="7" t="e">
        <f t="shared" ca="1" si="2223"/>
        <v>#N/A</v>
      </c>
      <c r="E2224" s="26" t="e">
        <f t="array" aca="1" ref="E2224" ca="1">AVERAGE(IF(INDIRECT(DatCol&amp;"$"&amp;TEXT(C2224,"###")):INDIRECT(DatCol&amp;"$"&amp;TEXT(C2224+57,"###"))&gt;0,INDIRECT(DatCol&amp;"$"&amp;TEXT(C2224,"###")):INDIRECT(DatCol&amp;"$"&amp;TEXT(C2224+57,"###"))))</f>
        <v>#DIV/0!</v>
      </c>
      <c r="F2224" s="26" t="str">
        <f t="shared" si="2202"/>
        <v>N</v>
      </c>
      <c r="G2224" s="8"/>
      <c r="K2224" s="9">
        <f t="shared" si="2246"/>
        <v>0</v>
      </c>
      <c r="M2224" s="11">
        <f t="shared" si="2247"/>
        <v>0</v>
      </c>
      <c r="O2224" s="11">
        <f t="shared" si="2248"/>
        <v>0</v>
      </c>
      <c r="Q2224" s="11">
        <f t="shared" si="2249"/>
        <v>0</v>
      </c>
      <c r="Y2224" s="11">
        <f t="shared" si="2250"/>
        <v>0</v>
      </c>
      <c r="AG2224" s="11">
        <f t="shared" si="2251"/>
        <v>0</v>
      </c>
      <c r="AI2224" s="11">
        <f t="shared" si="2252"/>
        <v>0</v>
      </c>
      <c r="AK2224" s="13">
        <f t="shared" si="2253"/>
        <v>0</v>
      </c>
      <c r="AM2224" s="13">
        <f t="shared" si="2254"/>
        <v>0</v>
      </c>
      <c r="AO2224" s="11">
        <f t="shared" si="2255"/>
        <v>0</v>
      </c>
      <c r="AQ2224" s="11">
        <f t="shared" si="2256"/>
        <v>0</v>
      </c>
      <c r="AS2224" s="11">
        <f t="shared" si="2257"/>
        <v>0</v>
      </c>
      <c r="AU2224" s="11">
        <f t="shared" si="2258"/>
        <v>0</v>
      </c>
      <c r="AW2224" s="11">
        <f t="shared" si="2259"/>
        <v>0</v>
      </c>
      <c r="AY2224" s="11">
        <f t="shared" si="2260"/>
        <v>0</v>
      </c>
      <c r="BA2224" s="11">
        <f t="shared" si="2261"/>
        <v>0</v>
      </c>
      <c r="BC2224" s="11">
        <f t="shared" si="2262"/>
        <v>0</v>
      </c>
      <c r="BE2224" s="11">
        <f t="shared" si="2263"/>
        <v>0</v>
      </c>
      <c r="BG2224" s="11">
        <f t="shared" si="2264"/>
        <v>0</v>
      </c>
      <c r="BN2224" s="8">
        <f t="shared" si="2244"/>
        <v>0</v>
      </c>
      <c r="BO2224" s="8">
        <f t="shared" si="2245"/>
        <v>0</v>
      </c>
      <c r="BP2224" s="8">
        <f t="shared" si="2203"/>
        <v>0</v>
      </c>
      <c r="BQ2224" s="12">
        <f t="shared" si="2204"/>
        <v>0</v>
      </c>
    </row>
    <row r="2225" spans="1:69">
      <c r="A2225" s="28">
        <v>1974</v>
      </c>
      <c r="B2225" s="27" t="s">
        <v>101</v>
      </c>
      <c r="C2225" s="24">
        <f t="shared" si="2243"/>
        <v>2206</v>
      </c>
      <c r="D2225" s="7" t="e">
        <f t="shared" ca="1" si="2223"/>
        <v>#N/A</v>
      </c>
      <c r="E2225" s="26" t="e">
        <f t="array" aca="1" ref="E2225" ca="1">AVERAGE(IF(INDIRECT(DatCol&amp;"$"&amp;TEXT(C2225,"###")):INDIRECT(DatCol&amp;"$"&amp;TEXT(C2225+57,"###"))&gt;0,INDIRECT(DatCol&amp;"$"&amp;TEXT(C2225,"###")):INDIRECT(DatCol&amp;"$"&amp;TEXT(C2225+57,"###"))))</f>
        <v>#DIV/0!</v>
      </c>
      <c r="F2225" s="26" t="str">
        <f t="shared" si="2202"/>
        <v>N</v>
      </c>
      <c r="G2225" s="8"/>
      <c r="K2225" s="9">
        <f t="shared" si="2246"/>
        <v>0</v>
      </c>
      <c r="M2225" s="11">
        <f t="shared" si="2247"/>
        <v>0</v>
      </c>
      <c r="O2225" s="11">
        <f t="shared" si="2248"/>
        <v>0</v>
      </c>
      <c r="Q2225" s="11">
        <f t="shared" si="2249"/>
        <v>0</v>
      </c>
      <c r="Y2225" s="11">
        <f t="shared" si="2250"/>
        <v>0</v>
      </c>
      <c r="AG2225" s="11">
        <f t="shared" si="2251"/>
        <v>0</v>
      </c>
      <c r="AI2225" s="11">
        <f t="shared" si="2252"/>
        <v>0</v>
      </c>
      <c r="AK2225" s="13">
        <f t="shared" si="2253"/>
        <v>0</v>
      </c>
      <c r="AM2225" s="13">
        <f t="shared" si="2254"/>
        <v>0</v>
      </c>
      <c r="AO2225" s="11">
        <f t="shared" si="2255"/>
        <v>0</v>
      </c>
      <c r="AQ2225" s="11">
        <f t="shared" si="2256"/>
        <v>0</v>
      </c>
      <c r="AS2225" s="11">
        <f t="shared" si="2257"/>
        <v>0</v>
      </c>
      <c r="AU2225" s="11">
        <f t="shared" si="2258"/>
        <v>0</v>
      </c>
      <c r="AW2225" s="11">
        <f t="shared" si="2259"/>
        <v>0</v>
      </c>
      <c r="AY2225" s="11">
        <f t="shared" si="2260"/>
        <v>0</v>
      </c>
      <c r="BA2225" s="11">
        <f t="shared" si="2261"/>
        <v>0</v>
      </c>
      <c r="BC2225" s="11">
        <f t="shared" si="2262"/>
        <v>0</v>
      </c>
      <c r="BE2225" s="11">
        <f t="shared" si="2263"/>
        <v>0</v>
      </c>
      <c r="BG2225" s="11">
        <f t="shared" si="2264"/>
        <v>0</v>
      </c>
      <c r="BN2225" s="8">
        <f t="shared" si="2244"/>
        <v>0</v>
      </c>
      <c r="BO2225" s="8">
        <f t="shared" si="2245"/>
        <v>0</v>
      </c>
      <c r="BP2225" s="8">
        <f t="shared" si="2203"/>
        <v>0</v>
      </c>
      <c r="BQ2225" s="12">
        <f t="shared" si="2204"/>
        <v>0</v>
      </c>
    </row>
    <row r="2226" spans="1:69">
      <c r="A2226" s="28">
        <v>1975</v>
      </c>
      <c r="B2226" s="27" t="s">
        <v>101</v>
      </c>
      <c r="C2226" s="24">
        <f t="shared" si="2243"/>
        <v>2206</v>
      </c>
      <c r="D2226" s="7" t="e">
        <f t="shared" ca="1" si="2223"/>
        <v>#N/A</v>
      </c>
      <c r="E2226" s="26" t="e">
        <f t="array" aca="1" ref="E2226" ca="1">AVERAGE(IF(INDIRECT(DatCol&amp;"$"&amp;TEXT(C2226,"###")):INDIRECT(DatCol&amp;"$"&amp;TEXT(C2226+57,"###"))&gt;0,INDIRECT(DatCol&amp;"$"&amp;TEXT(C2226,"###")):INDIRECT(DatCol&amp;"$"&amp;TEXT(C2226+57,"###"))))</f>
        <v>#DIV/0!</v>
      </c>
      <c r="F2226" s="26" t="str">
        <f t="shared" si="2202"/>
        <v>N</v>
      </c>
      <c r="G2226" s="8"/>
      <c r="K2226" s="9">
        <f t="shared" si="2246"/>
        <v>0</v>
      </c>
      <c r="M2226" s="11">
        <f t="shared" si="2247"/>
        <v>0</v>
      </c>
      <c r="O2226" s="11">
        <f t="shared" si="2248"/>
        <v>0</v>
      </c>
      <c r="Q2226" s="11">
        <f t="shared" si="2249"/>
        <v>0</v>
      </c>
      <c r="Y2226" s="11">
        <f t="shared" si="2250"/>
        <v>0</v>
      </c>
      <c r="AG2226" s="11">
        <f t="shared" si="2251"/>
        <v>0</v>
      </c>
      <c r="AI2226" s="11">
        <f t="shared" si="2252"/>
        <v>0</v>
      </c>
      <c r="AK2226" s="13">
        <f t="shared" si="2253"/>
        <v>0</v>
      </c>
      <c r="AM2226" s="13">
        <f t="shared" si="2254"/>
        <v>0</v>
      </c>
      <c r="AO2226" s="11">
        <f t="shared" si="2255"/>
        <v>0</v>
      </c>
      <c r="AQ2226" s="11">
        <f t="shared" si="2256"/>
        <v>0</v>
      </c>
      <c r="AS2226" s="11">
        <f t="shared" si="2257"/>
        <v>0</v>
      </c>
      <c r="AU2226" s="11">
        <f t="shared" si="2258"/>
        <v>0</v>
      </c>
      <c r="AW2226" s="11">
        <f t="shared" si="2259"/>
        <v>0</v>
      </c>
      <c r="AY2226" s="11">
        <f t="shared" si="2260"/>
        <v>0</v>
      </c>
      <c r="BA2226" s="11">
        <f t="shared" si="2261"/>
        <v>0</v>
      </c>
      <c r="BC2226" s="11">
        <f t="shared" si="2262"/>
        <v>0</v>
      </c>
      <c r="BE2226" s="11">
        <f t="shared" si="2263"/>
        <v>0</v>
      </c>
      <c r="BG2226" s="11">
        <f t="shared" si="2264"/>
        <v>0</v>
      </c>
      <c r="BN2226" s="8">
        <f t="shared" si="2244"/>
        <v>0</v>
      </c>
      <c r="BO2226" s="8">
        <f t="shared" si="2245"/>
        <v>0</v>
      </c>
      <c r="BP2226" s="8">
        <f t="shared" ref="BP2226:BP2290" si="2265">(N2226+X2226+Z2226+AB2226+AD2226+AH2226+AL2226+AP2226+AT2226+AX2226+BB2226+BF2226)</f>
        <v>0</v>
      </c>
      <c r="BQ2226" s="12">
        <f t="shared" ref="BQ2226:BQ2290" si="2266">(O2226+Y2226+AA2226+AC2226+AE2226+AI2226+AM2226+AQ2226+AU2226+AY2226+BC2226+BG2226)</f>
        <v>0</v>
      </c>
    </row>
    <row r="2227" spans="1:69">
      <c r="A2227" s="28">
        <v>1976</v>
      </c>
      <c r="B2227" s="27" t="s">
        <v>101</v>
      </c>
      <c r="C2227" s="24">
        <f t="shared" si="2243"/>
        <v>2206</v>
      </c>
      <c r="D2227" s="7" t="e">
        <f t="shared" ca="1" si="2223"/>
        <v>#N/A</v>
      </c>
      <c r="E2227" s="26" t="e">
        <f t="array" aca="1" ref="E2227" ca="1">AVERAGE(IF(INDIRECT(DatCol&amp;"$"&amp;TEXT(C2227,"###")):INDIRECT(DatCol&amp;"$"&amp;TEXT(C2227+57,"###"))&gt;0,INDIRECT(DatCol&amp;"$"&amp;TEXT(C2227,"###")):INDIRECT(DatCol&amp;"$"&amp;TEXT(C2227+57,"###"))))</f>
        <v>#DIV/0!</v>
      </c>
      <c r="F2227" s="26" t="str">
        <f t="shared" si="2202"/>
        <v>N</v>
      </c>
      <c r="G2227" s="8"/>
      <c r="K2227" s="9">
        <f t="shared" si="2246"/>
        <v>0</v>
      </c>
      <c r="M2227" s="11">
        <f t="shared" si="2247"/>
        <v>0</v>
      </c>
      <c r="O2227" s="11">
        <f t="shared" si="2248"/>
        <v>0</v>
      </c>
      <c r="Q2227" s="11">
        <f t="shared" si="2249"/>
        <v>0</v>
      </c>
      <c r="Y2227" s="11">
        <f t="shared" si="2250"/>
        <v>0</v>
      </c>
      <c r="AG2227" s="11">
        <f t="shared" si="2251"/>
        <v>0</v>
      </c>
      <c r="AI2227" s="11">
        <f t="shared" si="2252"/>
        <v>0</v>
      </c>
      <c r="AK2227" s="13">
        <f t="shared" si="2253"/>
        <v>0</v>
      </c>
      <c r="AM2227" s="13">
        <f t="shared" si="2254"/>
        <v>0</v>
      </c>
      <c r="AO2227" s="11">
        <f t="shared" si="2255"/>
        <v>0</v>
      </c>
      <c r="AQ2227" s="11">
        <f t="shared" si="2256"/>
        <v>0</v>
      </c>
      <c r="AS2227" s="11">
        <f t="shared" si="2257"/>
        <v>0</v>
      </c>
      <c r="AU2227" s="11">
        <f t="shared" si="2258"/>
        <v>0</v>
      </c>
      <c r="AW2227" s="11">
        <f t="shared" si="2259"/>
        <v>0</v>
      </c>
      <c r="AY2227" s="11">
        <f t="shared" si="2260"/>
        <v>0</v>
      </c>
      <c r="BA2227" s="11">
        <f t="shared" si="2261"/>
        <v>0</v>
      </c>
      <c r="BC2227" s="11">
        <f t="shared" si="2262"/>
        <v>0</v>
      </c>
      <c r="BE2227" s="11">
        <f t="shared" si="2263"/>
        <v>0</v>
      </c>
      <c r="BG2227" s="11">
        <f t="shared" si="2264"/>
        <v>0</v>
      </c>
      <c r="BN2227" s="8">
        <f t="shared" si="2244"/>
        <v>0</v>
      </c>
      <c r="BO2227" s="8">
        <f t="shared" si="2245"/>
        <v>0</v>
      </c>
      <c r="BP2227" s="8">
        <f t="shared" si="2265"/>
        <v>0</v>
      </c>
      <c r="BQ2227" s="12">
        <f t="shared" si="2266"/>
        <v>0</v>
      </c>
    </row>
    <row r="2228" spans="1:69">
      <c r="A2228" s="28">
        <v>1977</v>
      </c>
      <c r="B2228" s="27" t="s">
        <v>101</v>
      </c>
      <c r="C2228" s="24">
        <f t="shared" si="2243"/>
        <v>2206</v>
      </c>
      <c r="D2228" s="7" t="e">
        <f t="shared" ca="1" si="2223"/>
        <v>#N/A</v>
      </c>
      <c r="E2228" s="26" t="e">
        <f t="array" aca="1" ref="E2228" ca="1">AVERAGE(IF(INDIRECT(DatCol&amp;"$"&amp;TEXT(C2228,"###")):INDIRECT(DatCol&amp;"$"&amp;TEXT(C2228+57,"###"))&gt;0,INDIRECT(DatCol&amp;"$"&amp;TEXT(C2228,"###")):INDIRECT(DatCol&amp;"$"&amp;TEXT(C2228+57,"###"))))</f>
        <v>#DIV/0!</v>
      </c>
      <c r="F2228" s="26" t="str">
        <f t="shared" ref="F2228:F2294" si="2267">VLOOKUP(B2228,town_region,2,FALSE)</f>
        <v>N</v>
      </c>
      <c r="G2228" s="8"/>
      <c r="K2228" s="9">
        <f t="shared" si="2246"/>
        <v>0</v>
      </c>
      <c r="M2228" s="11">
        <f t="shared" si="2247"/>
        <v>0</v>
      </c>
      <c r="O2228" s="11">
        <f t="shared" si="2248"/>
        <v>0</v>
      </c>
      <c r="Q2228" s="11">
        <f t="shared" si="2249"/>
        <v>0</v>
      </c>
      <c r="Y2228" s="11">
        <f t="shared" si="2250"/>
        <v>0</v>
      </c>
      <c r="AG2228" s="11">
        <f t="shared" si="2251"/>
        <v>0</v>
      </c>
      <c r="AI2228" s="11">
        <f t="shared" si="2252"/>
        <v>0</v>
      </c>
      <c r="AK2228" s="13">
        <f t="shared" si="2253"/>
        <v>0</v>
      </c>
      <c r="AM2228" s="13">
        <f t="shared" si="2254"/>
        <v>0</v>
      </c>
      <c r="AO2228" s="11">
        <f t="shared" si="2255"/>
        <v>0</v>
      </c>
      <c r="AQ2228" s="11">
        <f t="shared" si="2256"/>
        <v>0</v>
      </c>
      <c r="AS2228" s="11">
        <f t="shared" si="2257"/>
        <v>0</v>
      </c>
      <c r="AU2228" s="11">
        <f t="shared" si="2258"/>
        <v>0</v>
      </c>
      <c r="AW2228" s="11">
        <f t="shared" si="2259"/>
        <v>0</v>
      </c>
      <c r="AY2228" s="11">
        <f t="shared" si="2260"/>
        <v>0</v>
      </c>
      <c r="BA2228" s="11">
        <f t="shared" si="2261"/>
        <v>0</v>
      </c>
      <c r="BC2228" s="11">
        <f t="shared" si="2262"/>
        <v>0</v>
      </c>
      <c r="BE2228" s="11">
        <f t="shared" si="2263"/>
        <v>0</v>
      </c>
      <c r="BG2228" s="11">
        <f t="shared" si="2264"/>
        <v>0</v>
      </c>
      <c r="BN2228" s="8">
        <f t="shared" si="2244"/>
        <v>0</v>
      </c>
      <c r="BO2228" s="8">
        <f t="shared" si="2245"/>
        <v>0</v>
      </c>
      <c r="BP2228" s="8">
        <f t="shared" si="2265"/>
        <v>0</v>
      </c>
      <c r="BQ2228" s="12">
        <f t="shared" si="2266"/>
        <v>0</v>
      </c>
    </row>
    <row r="2229" spans="1:69">
      <c r="A2229" s="28">
        <v>1978</v>
      </c>
      <c r="B2229" s="27" t="s">
        <v>101</v>
      </c>
      <c r="C2229" s="24">
        <f t="shared" si="2243"/>
        <v>2206</v>
      </c>
      <c r="D2229" s="7" t="e">
        <f t="shared" ca="1" si="2223"/>
        <v>#N/A</v>
      </c>
      <c r="E2229" s="26" t="e">
        <f t="array" aca="1" ref="E2229" ca="1">AVERAGE(IF(INDIRECT(DatCol&amp;"$"&amp;TEXT(C2229,"###")):INDIRECT(DatCol&amp;"$"&amp;TEXT(C2229+57,"###"))&gt;0,INDIRECT(DatCol&amp;"$"&amp;TEXT(C2229,"###")):INDIRECT(DatCol&amp;"$"&amp;TEXT(C2229+57,"###"))))</f>
        <v>#DIV/0!</v>
      </c>
      <c r="F2229" s="26" t="str">
        <f t="shared" si="2267"/>
        <v>N</v>
      </c>
      <c r="G2229" s="8"/>
      <c r="J2229" s="8">
        <v>6</v>
      </c>
      <c r="K2229" s="9">
        <f t="shared" si="2246"/>
        <v>6</v>
      </c>
      <c r="M2229" s="11">
        <f t="shared" si="2247"/>
        <v>0</v>
      </c>
      <c r="O2229" s="11">
        <f t="shared" si="2248"/>
        <v>0</v>
      </c>
      <c r="Q2229" s="11">
        <f t="shared" si="2249"/>
        <v>0</v>
      </c>
      <c r="Y2229" s="11">
        <f t="shared" si="2250"/>
        <v>0</v>
      </c>
      <c r="AG2229" s="11">
        <f t="shared" si="2251"/>
        <v>0</v>
      </c>
      <c r="AI2229" s="11">
        <f t="shared" si="2252"/>
        <v>0</v>
      </c>
      <c r="AK2229" s="13">
        <f t="shared" si="2253"/>
        <v>0</v>
      </c>
      <c r="AM2229" s="13">
        <f t="shared" si="2254"/>
        <v>0</v>
      </c>
      <c r="AO2229" s="11">
        <f t="shared" si="2255"/>
        <v>0</v>
      </c>
      <c r="AQ2229" s="11">
        <f t="shared" si="2256"/>
        <v>0</v>
      </c>
      <c r="AS2229" s="11">
        <f t="shared" si="2257"/>
        <v>0</v>
      </c>
      <c r="AU2229" s="11">
        <f t="shared" si="2258"/>
        <v>0</v>
      </c>
      <c r="AW2229" s="11">
        <f t="shared" si="2259"/>
        <v>0</v>
      </c>
      <c r="AY2229" s="11">
        <f t="shared" si="2260"/>
        <v>0</v>
      </c>
      <c r="BA2229" s="11">
        <f t="shared" si="2261"/>
        <v>0</v>
      </c>
      <c r="BC2229" s="11">
        <f t="shared" si="2262"/>
        <v>0</v>
      </c>
      <c r="BE2229" s="11">
        <f t="shared" si="2263"/>
        <v>0</v>
      </c>
      <c r="BG2229" s="11">
        <f t="shared" si="2264"/>
        <v>0</v>
      </c>
      <c r="BN2229" s="8">
        <f t="shared" si="2244"/>
        <v>0</v>
      </c>
      <c r="BO2229" s="8">
        <f t="shared" si="2245"/>
        <v>0</v>
      </c>
      <c r="BP2229" s="8">
        <f t="shared" si="2265"/>
        <v>0</v>
      </c>
      <c r="BQ2229" s="12">
        <f t="shared" si="2266"/>
        <v>0</v>
      </c>
    </row>
    <row r="2230" spans="1:69">
      <c r="A2230" s="28">
        <v>1979</v>
      </c>
      <c r="B2230" s="27" t="s">
        <v>101</v>
      </c>
      <c r="C2230" s="24">
        <f t="shared" si="2243"/>
        <v>2206</v>
      </c>
      <c r="D2230" s="7" t="e">
        <f t="shared" ca="1" si="2223"/>
        <v>#N/A</v>
      </c>
      <c r="E2230" s="26" t="e">
        <f t="array" aca="1" ref="E2230" ca="1">AVERAGE(IF(INDIRECT(DatCol&amp;"$"&amp;TEXT(C2230,"###")):INDIRECT(DatCol&amp;"$"&amp;TEXT(C2230+57,"###"))&gt;0,INDIRECT(DatCol&amp;"$"&amp;TEXT(C2230,"###")):INDIRECT(DatCol&amp;"$"&amp;TEXT(C2230+57,"###"))))</f>
        <v>#DIV/0!</v>
      </c>
      <c r="F2230" s="26" t="str">
        <f t="shared" si="2267"/>
        <v>N</v>
      </c>
      <c r="G2230" s="8"/>
      <c r="H2230" s="8">
        <v>1</v>
      </c>
      <c r="I2230" s="8">
        <v>0</v>
      </c>
      <c r="J2230" s="8">
        <v>2</v>
      </c>
      <c r="K2230" s="9">
        <f t="shared" si="2246"/>
        <v>3</v>
      </c>
      <c r="M2230" s="11">
        <f t="shared" si="2247"/>
        <v>0</v>
      </c>
      <c r="O2230" s="11">
        <f t="shared" si="2248"/>
        <v>0</v>
      </c>
      <c r="Q2230" s="11">
        <f t="shared" si="2249"/>
        <v>0</v>
      </c>
      <c r="Y2230" s="11">
        <f t="shared" si="2250"/>
        <v>0</v>
      </c>
      <c r="AG2230" s="11">
        <f t="shared" si="2251"/>
        <v>0</v>
      </c>
      <c r="AI2230" s="11">
        <f t="shared" si="2252"/>
        <v>0</v>
      </c>
      <c r="AK2230" s="13">
        <f t="shared" si="2253"/>
        <v>0</v>
      </c>
      <c r="AM2230" s="13">
        <f t="shared" si="2254"/>
        <v>0</v>
      </c>
      <c r="AO2230" s="11">
        <f t="shared" si="2255"/>
        <v>0</v>
      </c>
      <c r="AQ2230" s="11">
        <f t="shared" si="2256"/>
        <v>0</v>
      </c>
      <c r="AS2230" s="11">
        <f t="shared" si="2257"/>
        <v>0</v>
      </c>
      <c r="AU2230" s="11">
        <f t="shared" si="2258"/>
        <v>0</v>
      </c>
      <c r="AW2230" s="11">
        <f t="shared" si="2259"/>
        <v>0</v>
      </c>
      <c r="AY2230" s="11">
        <f t="shared" si="2260"/>
        <v>0</v>
      </c>
      <c r="BA2230" s="11">
        <f t="shared" si="2261"/>
        <v>0</v>
      </c>
      <c r="BC2230" s="11">
        <f t="shared" si="2262"/>
        <v>0</v>
      </c>
      <c r="BE2230" s="11">
        <f t="shared" si="2263"/>
        <v>0</v>
      </c>
      <c r="BG2230" s="11">
        <f t="shared" si="2264"/>
        <v>0</v>
      </c>
      <c r="BN2230" s="8">
        <f t="shared" si="2244"/>
        <v>0</v>
      </c>
      <c r="BO2230" s="8">
        <f t="shared" si="2245"/>
        <v>0</v>
      </c>
      <c r="BP2230" s="8">
        <f t="shared" si="2265"/>
        <v>0</v>
      </c>
      <c r="BQ2230" s="12">
        <f t="shared" si="2266"/>
        <v>0</v>
      </c>
    </row>
    <row r="2231" spans="1:69">
      <c r="A2231" s="28">
        <v>1980</v>
      </c>
      <c r="B2231" s="27" t="s">
        <v>101</v>
      </c>
      <c r="C2231" s="24">
        <f t="shared" si="2243"/>
        <v>2206</v>
      </c>
      <c r="D2231" s="7" t="e">
        <f t="shared" ca="1" si="2223"/>
        <v>#N/A</v>
      </c>
      <c r="E2231" s="26" t="e">
        <f t="array" aca="1" ref="E2231" ca="1">AVERAGE(IF(INDIRECT(DatCol&amp;"$"&amp;TEXT(C2231,"###")):INDIRECT(DatCol&amp;"$"&amp;TEXT(C2231+57,"###"))&gt;0,INDIRECT(DatCol&amp;"$"&amp;TEXT(C2231,"###")):INDIRECT(DatCol&amp;"$"&amp;TEXT(C2231+57,"###"))))</f>
        <v>#DIV/0!</v>
      </c>
      <c r="F2231" s="26" t="str">
        <f t="shared" si="2267"/>
        <v>N</v>
      </c>
      <c r="G2231" s="8"/>
      <c r="K2231" s="9">
        <f t="shared" si="2246"/>
        <v>0</v>
      </c>
      <c r="M2231" s="11">
        <f t="shared" si="2247"/>
        <v>0</v>
      </c>
      <c r="O2231" s="11">
        <f t="shared" si="2248"/>
        <v>0</v>
      </c>
      <c r="Q2231" s="11">
        <f t="shared" si="2249"/>
        <v>0</v>
      </c>
      <c r="Y2231" s="11">
        <f t="shared" si="2250"/>
        <v>0</v>
      </c>
      <c r="AG2231" s="11">
        <f t="shared" si="2251"/>
        <v>0</v>
      </c>
      <c r="AI2231" s="11">
        <f t="shared" si="2252"/>
        <v>0</v>
      </c>
      <c r="AK2231" s="13">
        <f t="shared" si="2253"/>
        <v>0</v>
      </c>
      <c r="AM2231" s="13">
        <f t="shared" si="2254"/>
        <v>0</v>
      </c>
      <c r="AO2231" s="11">
        <f t="shared" si="2255"/>
        <v>0</v>
      </c>
      <c r="AQ2231" s="11">
        <f t="shared" si="2256"/>
        <v>0</v>
      </c>
      <c r="AS2231" s="11">
        <f t="shared" si="2257"/>
        <v>0</v>
      </c>
      <c r="AU2231" s="11">
        <f t="shared" si="2258"/>
        <v>0</v>
      </c>
      <c r="AW2231" s="11">
        <f t="shared" si="2259"/>
        <v>0</v>
      </c>
      <c r="AY2231" s="11">
        <f t="shared" si="2260"/>
        <v>0</v>
      </c>
      <c r="BA2231" s="11">
        <f t="shared" si="2261"/>
        <v>0</v>
      </c>
      <c r="BC2231" s="11">
        <f t="shared" si="2262"/>
        <v>0</v>
      </c>
      <c r="BE2231" s="11">
        <f t="shared" si="2263"/>
        <v>0</v>
      </c>
      <c r="BG2231" s="11">
        <f t="shared" si="2264"/>
        <v>0</v>
      </c>
      <c r="BN2231" s="8">
        <f t="shared" si="2244"/>
        <v>0</v>
      </c>
      <c r="BO2231" s="8">
        <f t="shared" si="2245"/>
        <v>0</v>
      </c>
      <c r="BP2231" s="8">
        <f t="shared" si="2265"/>
        <v>0</v>
      </c>
      <c r="BQ2231" s="12">
        <f t="shared" si="2266"/>
        <v>0</v>
      </c>
    </row>
    <row r="2232" spans="1:69">
      <c r="A2232" s="28">
        <v>1981</v>
      </c>
      <c r="B2232" s="27" t="s">
        <v>101</v>
      </c>
      <c r="C2232" s="24">
        <f t="shared" si="2243"/>
        <v>2206</v>
      </c>
      <c r="D2232" s="7" t="e">
        <f t="shared" ca="1" si="2223"/>
        <v>#N/A</v>
      </c>
      <c r="E2232" s="26" t="e">
        <f t="array" aca="1" ref="E2232" ca="1">AVERAGE(IF(INDIRECT(DatCol&amp;"$"&amp;TEXT(C2232,"###")):INDIRECT(DatCol&amp;"$"&amp;TEXT(C2232+57,"###"))&gt;0,INDIRECT(DatCol&amp;"$"&amp;TEXT(C2232,"###")):INDIRECT(DatCol&amp;"$"&amp;TEXT(C2232+57,"###"))))</f>
        <v>#DIV/0!</v>
      </c>
      <c r="F2232" s="26" t="str">
        <f t="shared" si="2267"/>
        <v>N</v>
      </c>
      <c r="G2232" s="8"/>
      <c r="K2232" s="9">
        <f t="shared" si="2246"/>
        <v>0</v>
      </c>
      <c r="M2232" s="11">
        <f t="shared" si="2247"/>
        <v>0</v>
      </c>
      <c r="O2232" s="11">
        <f t="shared" si="2248"/>
        <v>0</v>
      </c>
      <c r="Q2232" s="11">
        <f t="shared" si="2249"/>
        <v>0</v>
      </c>
      <c r="Y2232" s="11">
        <f t="shared" si="2250"/>
        <v>0</v>
      </c>
      <c r="AG2232" s="11">
        <f t="shared" si="2251"/>
        <v>0</v>
      </c>
      <c r="AI2232" s="11">
        <f t="shared" si="2252"/>
        <v>0</v>
      </c>
      <c r="AK2232" s="13">
        <f t="shared" si="2253"/>
        <v>0</v>
      </c>
      <c r="AM2232" s="13">
        <f t="shared" si="2254"/>
        <v>0</v>
      </c>
      <c r="AO2232" s="11">
        <f t="shared" si="2255"/>
        <v>0</v>
      </c>
      <c r="AQ2232" s="11">
        <f t="shared" si="2256"/>
        <v>0</v>
      </c>
      <c r="AS2232" s="11">
        <f t="shared" si="2257"/>
        <v>0</v>
      </c>
      <c r="AU2232" s="11">
        <f t="shared" si="2258"/>
        <v>0</v>
      </c>
      <c r="AW2232" s="11">
        <f t="shared" si="2259"/>
        <v>0</v>
      </c>
      <c r="AY2232" s="11">
        <f t="shared" si="2260"/>
        <v>0</v>
      </c>
      <c r="BA2232" s="11">
        <f t="shared" si="2261"/>
        <v>0</v>
      </c>
      <c r="BC2232" s="11">
        <f t="shared" si="2262"/>
        <v>0</v>
      </c>
      <c r="BE2232" s="11">
        <f t="shared" si="2263"/>
        <v>0</v>
      </c>
      <c r="BG2232" s="11">
        <f t="shared" si="2264"/>
        <v>0</v>
      </c>
      <c r="BN2232" s="8">
        <f t="shared" si="2244"/>
        <v>0</v>
      </c>
      <c r="BO2232" s="8">
        <f t="shared" si="2245"/>
        <v>0</v>
      </c>
      <c r="BP2232" s="8">
        <f t="shared" si="2265"/>
        <v>0</v>
      </c>
      <c r="BQ2232" s="12">
        <f t="shared" si="2266"/>
        <v>0</v>
      </c>
    </row>
    <row r="2233" spans="1:69">
      <c r="A2233" s="28">
        <v>1982</v>
      </c>
      <c r="B2233" s="27" t="s">
        <v>101</v>
      </c>
      <c r="C2233" s="24">
        <f t="shared" si="2243"/>
        <v>2206</v>
      </c>
      <c r="D2233" s="7" t="e">
        <f t="shared" ca="1" si="2223"/>
        <v>#N/A</v>
      </c>
      <c r="E2233" s="26" t="e">
        <f t="array" aca="1" ref="E2233" ca="1">AVERAGE(IF(INDIRECT(DatCol&amp;"$"&amp;TEXT(C2233,"###")):INDIRECT(DatCol&amp;"$"&amp;TEXT(C2233+57,"###"))&gt;0,INDIRECT(DatCol&amp;"$"&amp;TEXT(C2233,"###")):INDIRECT(DatCol&amp;"$"&amp;TEXT(C2233+57,"###"))))</f>
        <v>#DIV/0!</v>
      </c>
      <c r="F2233" s="26" t="str">
        <f t="shared" si="2267"/>
        <v>N</v>
      </c>
      <c r="G2233" s="8"/>
      <c r="K2233" s="9">
        <f t="shared" si="2246"/>
        <v>0</v>
      </c>
      <c r="M2233" s="11">
        <f t="shared" si="2247"/>
        <v>0</v>
      </c>
      <c r="O2233" s="11">
        <f t="shared" si="2248"/>
        <v>0</v>
      </c>
      <c r="Q2233" s="11">
        <f t="shared" si="2249"/>
        <v>0</v>
      </c>
      <c r="Y2233" s="11">
        <f t="shared" si="2250"/>
        <v>0</v>
      </c>
      <c r="AG2233" s="11">
        <f t="shared" si="2251"/>
        <v>0</v>
      </c>
      <c r="AI2233" s="11">
        <f t="shared" si="2252"/>
        <v>0</v>
      </c>
      <c r="AK2233" s="13">
        <f t="shared" si="2253"/>
        <v>0</v>
      </c>
      <c r="AM2233" s="13">
        <f t="shared" si="2254"/>
        <v>0</v>
      </c>
      <c r="AO2233" s="11">
        <f t="shared" si="2255"/>
        <v>0</v>
      </c>
      <c r="AQ2233" s="11">
        <f t="shared" si="2256"/>
        <v>0</v>
      </c>
      <c r="AS2233" s="11">
        <f t="shared" si="2257"/>
        <v>0</v>
      </c>
      <c r="AU2233" s="11">
        <f t="shared" si="2258"/>
        <v>0</v>
      </c>
      <c r="AW2233" s="11">
        <f t="shared" si="2259"/>
        <v>0</v>
      </c>
      <c r="AY2233" s="11">
        <f t="shared" si="2260"/>
        <v>0</v>
      </c>
      <c r="BA2233" s="11">
        <f t="shared" si="2261"/>
        <v>0</v>
      </c>
      <c r="BC2233" s="11">
        <f t="shared" si="2262"/>
        <v>0</v>
      </c>
      <c r="BE2233" s="11">
        <f t="shared" si="2263"/>
        <v>0</v>
      </c>
      <c r="BG2233" s="11">
        <f t="shared" si="2264"/>
        <v>0</v>
      </c>
      <c r="BN2233" s="8">
        <f t="shared" si="2244"/>
        <v>0</v>
      </c>
      <c r="BO2233" s="8">
        <f t="shared" si="2245"/>
        <v>0</v>
      </c>
      <c r="BP2233" s="8">
        <f t="shared" si="2265"/>
        <v>0</v>
      </c>
      <c r="BQ2233" s="12">
        <f t="shared" si="2266"/>
        <v>0</v>
      </c>
    </row>
    <row r="2234" spans="1:69">
      <c r="A2234" s="28">
        <v>1983</v>
      </c>
      <c r="B2234" s="27" t="s">
        <v>101</v>
      </c>
      <c r="C2234" s="24">
        <f t="shared" si="2243"/>
        <v>2206</v>
      </c>
      <c r="D2234" s="7" t="e">
        <f t="shared" ca="1" si="2223"/>
        <v>#N/A</v>
      </c>
      <c r="E2234" s="26" t="e">
        <f t="array" aca="1" ref="E2234" ca="1">AVERAGE(IF(INDIRECT(DatCol&amp;"$"&amp;TEXT(C2234,"###")):INDIRECT(DatCol&amp;"$"&amp;TEXT(C2234+57,"###"))&gt;0,INDIRECT(DatCol&amp;"$"&amp;TEXT(C2234,"###")):INDIRECT(DatCol&amp;"$"&amp;TEXT(C2234+57,"###"))))</f>
        <v>#DIV/0!</v>
      </c>
      <c r="F2234" s="26" t="str">
        <f t="shared" si="2267"/>
        <v>N</v>
      </c>
      <c r="G2234" s="8"/>
      <c r="H2234" s="8">
        <v>0</v>
      </c>
      <c r="I2234" s="8">
        <v>0</v>
      </c>
      <c r="J2234" s="8">
        <v>0</v>
      </c>
      <c r="K2234" s="9">
        <f t="shared" si="2246"/>
        <v>0</v>
      </c>
      <c r="M2234" s="11">
        <f t="shared" si="2247"/>
        <v>0</v>
      </c>
      <c r="O2234" s="11">
        <f t="shared" si="2248"/>
        <v>0</v>
      </c>
      <c r="Q2234" s="11">
        <f t="shared" si="2249"/>
        <v>0</v>
      </c>
      <c r="Y2234" s="11">
        <f t="shared" si="2250"/>
        <v>0</v>
      </c>
      <c r="AG2234" s="11">
        <f t="shared" si="2251"/>
        <v>0</v>
      </c>
      <c r="AI2234" s="11">
        <f t="shared" si="2252"/>
        <v>0</v>
      </c>
      <c r="AK2234" s="13">
        <f t="shared" si="2253"/>
        <v>0</v>
      </c>
      <c r="AM2234" s="13">
        <f t="shared" si="2254"/>
        <v>0</v>
      </c>
      <c r="AO2234" s="11">
        <f t="shared" si="2255"/>
        <v>0</v>
      </c>
      <c r="AQ2234" s="11">
        <f t="shared" si="2256"/>
        <v>0</v>
      </c>
      <c r="AS2234" s="11">
        <f t="shared" si="2257"/>
        <v>0</v>
      </c>
      <c r="AU2234" s="11">
        <f t="shared" si="2258"/>
        <v>0</v>
      </c>
      <c r="AW2234" s="11">
        <f t="shared" si="2259"/>
        <v>0</v>
      </c>
      <c r="AY2234" s="11">
        <f t="shared" si="2260"/>
        <v>0</v>
      </c>
      <c r="BA2234" s="11">
        <f t="shared" si="2261"/>
        <v>0</v>
      </c>
      <c r="BC2234" s="11">
        <f t="shared" si="2262"/>
        <v>0</v>
      </c>
      <c r="BE2234" s="11">
        <f t="shared" si="2263"/>
        <v>0</v>
      </c>
      <c r="BG2234" s="11">
        <f t="shared" si="2264"/>
        <v>0</v>
      </c>
      <c r="BN2234" s="8">
        <f t="shared" si="2244"/>
        <v>0</v>
      </c>
      <c r="BO2234" s="8">
        <f t="shared" si="2245"/>
        <v>0</v>
      </c>
      <c r="BP2234" s="8">
        <f t="shared" si="2265"/>
        <v>0</v>
      </c>
      <c r="BQ2234" s="12">
        <f t="shared" si="2266"/>
        <v>0</v>
      </c>
    </row>
    <row r="2235" spans="1:69">
      <c r="A2235" s="28">
        <v>1984</v>
      </c>
      <c r="B2235" s="27" t="s">
        <v>101</v>
      </c>
      <c r="C2235" s="24">
        <f t="shared" si="2243"/>
        <v>2206</v>
      </c>
      <c r="D2235" s="7" t="e">
        <f t="shared" ca="1" si="2223"/>
        <v>#N/A</v>
      </c>
      <c r="E2235" s="26" t="e">
        <f t="array" aca="1" ref="E2235" ca="1">AVERAGE(IF(INDIRECT(DatCol&amp;"$"&amp;TEXT(C2235,"###")):INDIRECT(DatCol&amp;"$"&amp;TEXT(C2235+57,"###"))&gt;0,INDIRECT(DatCol&amp;"$"&amp;TEXT(C2235,"###")):INDIRECT(DatCol&amp;"$"&amp;TEXT(C2235+57,"###"))))</f>
        <v>#DIV/0!</v>
      </c>
      <c r="F2235" s="26" t="str">
        <f t="shared" si="2267"/>
        <v>N</v>
      </c>
      <c r="G2235" s="8"/>
      <c r="K2235" s="9">
        <f t="shared" si="2246"/>
        <v>0</v>
      </c>
      <c r="M2235" s="11">
        <f t="shared" si="2247"/>
        <v>0</v>
      </c>
      <c r="O2235" s="11">
        <f t="shared" si="2248"/>
        <v>0</v>
      </c>
      <c r="Q2235" s="11">
        <f t="shared" si="2249"/>
        <v>0</v>
      </c>
      <c r="Y2235" s="11">
        <f t="shared" si="2250"/>
        <v>0</v>
      </c>
      <c r="AG2235" s="11">
        <f t="shared" si="2251"/>
        <v>0</v>
      </c>
      <c r="AI2235" s="11">
        <f t="shared" si="2252"/>
        <v>0</v>
      </c>
      <c r="AK2235" s="13">
        <f t="shared" si="2253"/>
        <v>0</v>
      </c>
      <c r="AM2235" s="13">
        <f t="shared" si="2254"/>
        <v>0</v>
      </c>
      <c r="AO2235" s="11">
        <f t="shared" si="2255"/>
        <v>0</v>
      </c>
      <c r="AQ2235" s="11">
        <f t="shared" si="2256"/>
        <v>0</v>
      </c>
      <c r="AS2235" s="11">
        <f t="shared" si="2257"/>
        <v>0</v>
      </c>
      <c r="AU2235" s="11">
        <f t="shared" si="2258"/>
        <v>0</v>
      </c>
      <c r="AW2235" s="11">
        <f t="shared" si="2259"/>
        <v>0</v>
      </c>
      <c r="AY2235" s="11">
        <f t="shared" si="2260"/>
        <v>0</v>
      </c>
      <c r="BA2235" s="11">
        <f t="shared" si="2261"/>
        <v>0</v>
      </c>
      <c r="BC2235" s="11">
        <f t="shared" si="2262"/>
        <v>0</v>
      </c>
      <c r="BE2235" s="11">
        <f t="shared" si="2263"/>
        <v>0</v>
      </c>
      <c r="BG2235" s="11">
        <f t="shared" si="2264"/>
        <v>0</v>
      </c>
      <c r="BN2235" s="8">
        <f t="shared" si="2244"/>
        <v>0</v>
      </c>
      <c r="BO2235" s="8">
        <f t="shared" si="2245"/>
        <v>0</v>
      </c>
      <c r="BP2235" s="8">
        <f t="shared" si="2265"/>
        <v>0</v>
      </c>
      <c r="BQ2235" s="12">
        <f t="shared" si="2266"/>
        <v>0</v>
      </c>
    </row>
    <row r="2236" spans="1:69">
      <c r="A2236" s="28">
        <v>1985</v>
      </c>
      <c r="B2236" s="27" t="s">
        <v>101</v>
      </c>
      <c r="C2236" s="24">
        <f t="shared" si="2243"/>
        <v>2206</v>
      </c>
      <c r="D2236" s="7" t="e">
        <f t="shared" ca="1" si="2223"/>
        <v>#N/A</v>
      </c>
      <c r="E2236" s="26" t="e">
        <f t="array" aca="1" ref="E2236" ca="1">AVERAGE(IF(INDIRECT(DatCol&amp;"$"&amp;TEXT(C2236,"###")):INDIRECT(DatCol&amp;"$"&amp;TEXT(C2236+57,"###"))&gt;0,INDIRECT(DatCol&amp;"$"&amp;TEXT(C2236,"###")):INDIRECT(DatCol&amp;"$"&amp;TEXT(C2236+57,"###"))))</f>
        <v>#DIV/0!</v>
      </c>
      <c r="F2236" s="26" t="str">
        <f t="shared" si="2267"/>
        <v>N</v>
      </c>
      <c r="G2236" s="8"/>
      <c r="K2236" s="9">
        <f t="shared" si="2246"/>
        <v>0</v>
      </c>
      <c r="M2236" s="11">
        <f t="shared" si="2247"/>
        <v>0</v>
      </c>
      <c r="O2236" s="11">
        <f t="shared" si="2248"/>
        <v>0</v>
      </c>
      <c r="Q2236" s="11">
        <f t="shared" si="2249"/>
        <v>0</v>
      </c>
      <c r="Y2236" s="11">
        <f t="shared" si="2250"/>
        <v>0</v>
      </c>
      <c r="AG2236" s="11">
        <f t="shared" si="2251"/>
        <v>0</v>
      </c>
      <c r="AI2236" s="11">
        <f t="shared" si="2252"/>
        <v>0</v>
      </c>
      <c r="AK2236" s="13">
        <f t="shared" si="2253"/>
        <v>0</v>
      </c>
      <c r="AM2236" s="13">
        <f t="shared" si="2254"/>
        <v>0</v>
      </c>
      <c r="AO2236" s="11">
        <f t="shared" si="2255"/>
        <v>0</v>
      </c>
      <c r="AQ2236" s="11">
        <f t="shared" si="2256"/>
        <v>0</v>
      </c>
      <c r="AS2236" s="11">
        <f t="shared" si="2257"/>
        <v>0</v>
      </c>
      <c r="AU2236" s="11">
        <f t="shared" si="2258"/>
        <v>0</v>
      </c>
      <c r="AW2236" s="11">
        <f t="shared" si="2259"/>
        <v>0</v>
      </c>
      <c r="AY2236" s="11">
        <f t="shared" si="2260"/>
        <v>0</v>
      </c>
      <c r="BA2236" s="11">
        <f t="shared" si="2261"/>
        <v>0</v>
      </c>
      <c r="BC2236" s="11">
        <f t="shared" si="2262"/>
        <v>0</v>
      </c>
      <c r="BE2236" s="11">
        <f t="shared" si="2263"/>
        <v>0</v>
      </c>
      <c r="BG2236" s="11">
        <f t="shared" si="2264"/>
        <v>0</v>
      </c>
      <c r="BN2236" s="8">
        <f t="shared" si="2244"/>
        <v>0</v>
      </c>
      <c r="BO2236" s="8">
        <f t="shared" si="2245"/>
        <v>0</v>
      </c>
      <c r="BP2236" s="8">
        <f t="shared" si="2265"/>
        <v>0</v>
      </c>
      <c r="BQ2236" s="12">
        <f t="shared" si="2266"/>
        <v>0</v>
      </c>
    </row>
    <row r="2237" spans="1:69">
      <c r="A2237" s="28">
        <v>1986</v>
      </c>
      <c r="B2237" s="27" t="s">
        <v>101</v>
      </c>
      <c r="C2237" s="24">
        <f t="shared" si="2243"/>
        <v>2206</v>
      </c>
      <c r="D2237" s="7" t="e">
        <f t="shared" ca="1" si="2223"/>
        <v>#N/A</v>
      </c>
      <c r="E2237" s="26" t="e">
        <f t="array" aca="1" ref="E2237" ca="1">AVERAGE(IF(INDIRECT(DatCol&amp;"$"&amp;TEXT(C2237,"###")):INDIRECT(DatCol&amp;"$"&amp;TEXT(C2237+57,"###"))&gt;0,INDIRECT(DatCol&amp;"$"&amp;TEXT(C2237,"###")):INDIRECT(DatCol&amp;"$"&amp;TEXT(C2237+57,"###"))))</f>
        <v>#DIV/0!</v>
      </c>
      <c r="F2237" s="26" t="str">
        <f t="shared" si="2267"/>
        <v>N</v>
      </c>
      <c r="G2237" s="8"/>
      <c r="H2237" s="8">
        <v>0</v>
      </c>
      <c r="I2237" s="8">
        <v>25</v>
      </c>
      <c r="J2237" s="8">
        <v>0</v>
      </c>
      <c r="K2237" s="9">
        <f t="shared" si="2246"/>
        <v>0</v>
      </c>
      <c r="L2237" s="12">
        <v>468</v>
      </c>
      <c r="M2237" s="11">
        <f t="shared" ref="M2237:M2246" si="2268">(L2237*50)</f>
        <v>23400</v>
      </c>
      <c r="O2237" s="11">
        <f t="shared" ref="O2237:O2246" si="2269">(N2237*50)</f>
        <v>0</v>
      </c>
      <c r="Q2237" s="11">
        <f t="shared" ref="Q2237:Q2246" si="2270">((P2237*330)/5.5)</f>
        <v>0</v>
      </c>
      <c r="Y2237" s="11">
        <f t="shared" ref="Y2237:Y2246" si="2271">((X2237*330)/5.5)</f>
        <v>0</v>
      </c>
      <c r="AG2237" s="11">
        <f t="shared" ref="AG2237:AG2246" si="2272">(AF2237*65)</f>
        <v>0</v>
      </c>
      <c r="AI2237" s="11">
        <f t="shared" ref="AI2237:AI2246" si="2273">(AH2237*65)</f>
        <v>0</v>
      </c>
      <c r="AK2237" s="13">
        <f t="shared" ref="AK2237:AK2246" si="2274">(AJ2237*9)</f>
        <v>0</v>
      </c>
      <c r="AM2237" s="13">
        <f t="shared" ref="AM2237:AM2246" si="2275">(AL2237*9)</f>
        <v>0</v>
      </c>
      <c r="AO2237" s="11">
        <f t="shared" ref="AO2237:AO2246" si="2276">(AN2237*80)</f>
        <v>0</v>
      </c>
      <c r="AQ2237" s="11">
        <f t="shared" ref="AQ2237:AQ2246" si="2277">(AP2237*80)</f>
        <v>0</v>
      </c>
      <c r="AS2237" s="11">
        <f t="shared" ref="AS2237:AS2246" si="2278">(AR2237*50)</f>
        <v>0</v>
      </c>
      <c r="AU2237" s="11">
        <f t="shared" ref="AU2237:AU2246" si="2279">(AT2237*50)</f>
        <v>0</v>
      </c>
      <c r="AW2237" s="11">
        <f t="shared" ref="AW2237:AW2246" si="2280">(AV2237*60)</f>
        <v>0</v>
      </c>
      <c r="AY2237" s="11">
        <f t="shared" ref="AY2237:AY2246" si="2281">(AX2237*60)</f>
        <v>0</v>
      </c>
      <c r="BA2237" s="11">
        <f t="shared" ref="BA2237:BA2246" si="2282">(AZ2237*40)</f>
        <v>0</v>
      </c>
      <c r="BC2237" s="11">
        <f t="shared" ref="BC2237:BC2246" si="2283">(BB2237*40)</f>
        <v>0</v>
      </c>
      <c r="BE2237" s="11">
        <f t="shared" ref="BE2237:BE2246" si="2284">(BD2237*95)</f>
        <v>0</v>
      </c>
      <c r="BG2237" s="11">
        <f t="shared" ref="BG2237:BG2246" si="2285">(BF2237*95)</f>
        <v>0</v>
      </c>
      <c r="BN2237" s="8">
        <f t="shared" si="2244"/>
        <v>468</v>
      </c>
      <c r="BO2237" s="8">
        <f t="shared" si="2245"/>
        <v>23400</v>
      </c>
      <c r="BP2237" s="8">
        <f t="shared" si="2265"/>
        <v>0</v>
      </c>
      <c r="BQ2237" s="12">
        <f t="shared" si="2266"/>
        <v>0</v>
      </c>
    </row>
    <row r="2238" spans="1:69">
      <c r="A2238" s="28">
        <v>1987</v>
      </c>
      <c r="B2238" s="27" t="s">
        <v>101</v>
      </c>
      <c r="C2238" s="24">
        <f t="shared" si="2243"/>
        <v>2206</v>
      </c>
      <c r="D2238" s="7" t="e">
        <f t="shared" ca="1" si="2223"/>
        <v>#N/A</v>
      </c>
      <c r="E2238" s="26" t="e">
        <f t="array" aca="1" ref="E2238" ca="1">AVERAGE(IF(INDIRECT(DatCol&amp;"$"&amp;TEXT(C2238,"###")):INDIRECT(DatCol&amp;"$"&amp;TEXT(C2238+57,"###"))&gt;0,INDIRECT(DatCol&amp;"$"&amp;TEXT(C2238,"###")):INDIRECT(DatCol&amp;"$"&amp;TEXT(C2238+57,"###"))))</f>
        <v>#DIV/0!</v>
      </c>
      <c r="F2238" s="26" t="str">
        <f t="shared" si="2267"/>
        <v>N</v>
      </c>
      <c r="G2238" s="8"/>
      <c r="H2238" s="8">
        <v>0</v>
      </c>
      <c r="I2238" s="8">
        <v>0</v>
      </c>
      <c r="J2238" s="8">
        <v>0</v>
      </c>
      <c r="K2238" s="9">
        <f t="shared" si="2246"/>
        <v>0</v>
      </c>
      <c r="M2238" s="11">
        <f t="shared" si="2268"/>
        <v>0</v>
      </c>
      <c r="O2238" s="11">
        <f t="shared" si="2269"/>
        <v>0</v>
      </c>
      <c r="Q2238" s="11">
        <f t="shared" si="2270"/>
        <v>0</v>
      </c>
      <c r="Y2238" s="11">
        <f t="shared" si="2271"/>
        <v>0</v>
      </c>
      <c r="AG2238" s="11">
        <f t="shared" si="2272"/>
        <v>0</v>
      </c>
      <c r="AI2238" s="11">
        <f t="shared" si="2273"/>
        <v>0</v>
      </c>
      <c r="AK2238" s="13">
        <f t="shared" si="2274"/>
        <v>0</v>
      </c>
      <c r="AM2238" s="13">
        <f t="shared" si="2275"/>
        <v>0</v>
      </c>
      <c r="AO2238" s="11">
        <f t="shared" si="2276"/>
        <v>0</v>
      </c>
      <c r="AQ2238" s="11">
        <f t="shared" si="2277"/>
        <v>0</v>
      </c>
      <c r="AS2238" s="11">
        <f t="shared" si="2278"/>
        <v>0</v>
      </c>
      <c r="AU2238" s="11">
        <f t="shared" si="2279"/>
        <v>0</v>
      </c>
      <c r="AW2238" s="11">
        <f t="shared" si="2280"/>
        <v>0</v>
      </c>
      <c r="AY2238" s="11">
        <f t="shared" si="2281"/>
        <v>0</v>
      </c>
      <c r="BA2238" s="11">
        <f t="shared" si="2282"/>
        <v>0</v>
      </c>
      <c r="BC2238" s="11">
        <f t="shared" si="2283"/>
        <v>0</v>
      </c>
      <c r="BE2238" s="11">
        <f t="shared" si="2284"/>
        <v>0</v>
      </c>
      <c r="BG2238" s="11">
        <f t="shared" si="2285"/>
        <v>0</v>
      </c>
      <c r="BN2238" s="8">
        <f t="shared" si="2244"/>
        <v>0</v>
      </c>
      <c r="BO2238" s="8">
        <f t="shared" si="2245"/>
        <v>0</v>
      </c>
      <c r="BP2238" s="8">
        <f t="shared" si="2265"/>
        <v>0</v>
      </c>
      <c r="BQ2238" s="12">
        <f t="shared" si="2266"/>
        <v>0</v>
      </c>
    </row>
    <row r="2239" spans="1:69">
      <c r="A2239" s="28">
        <v>1988</v>
      </c>
      <c r="B2239" s="27" t="s">
        <v>101</v>
      </c>
      <c r="C2239" s="24">
        <f t="shared" si="2243"/>
        <v>2206</v>
      </c>
      <c r="D2239" s="7" t="e">
        <f t="shared" ca="1" si="2223"/>
        <v>#N/A</v>
      </c>
      <c r="E2239" s="26" t="e">
        <f t="array" aca="1" ref="E2239" ca="1">AVERAGE(IF(INDIRECT(DatCol&amp;"$"&amp;TEXT(C2239,"###")):INDIRECT(DatCol&amp;"$"&amp;TEXT(C2239+57,"###"))&gt;0,INDIRECT(DatCol&amp;"$"&amp;TEXT(C2239,"###")):INDIRECT(DatCol&amp;"$"&amp;TEXT(C2239+57,"###"))))</f>
        <v>#DIV/0!</v>
      </c>
      <c r="F2239" s="26" t="str">
        <f t="shared" si="2267"/>
        <v>N</v>
      </c>
      <c r="G2239" s="8"/>
      <c r="H2239" s="8">
        <v>0</v>
      </c>
      <c r="I2239" s="8">
        <v>0</v>
      </c>
      <c r="J2239" s="8">
        <v>0</v>
      </c>
      <c r="K2239" s="9">
        <f t="shared" si="2246"/>
        <v>0</v>
      </c>
      <c r="M2239" s="11">
        <f t="shared" si="2268"/>
        <v>0</v>
      </c>
      <c r="O2239" s="11">
        <f t="shared" si="2269"/>
        <v>0</v>
      </c>
      <c r="Q2239" s="11">
        <f t="shared" si="2270"/>
        <v>0</v>
      </c>
      <c r="Y2239" s="11">
        <f t="shared" si="2271"/>
        <v>0</v>
      </c>
      <c r="AG2239" s="11">
        <f t="shared" si="2272"/>
        <v>0</v>
      </c>
      <c r="AI2239" s="11">
        <f t="shared" si="2273"/>
        <v>0</v>
      </c>
      <c r="AK2239" s="13">
        <f t="shared" si="2274"/>
        <v>0</v>
      </c>
      <c r="AM2239" s="13">
        <f t="shared" si="2275"/>
        <v>0</v>
      </c>
      <c r="AO2239" s="11">
        <f t="shared" si="2276"/>
        <v>0</v>
      </c>
      <c r="AQ2239" s="11">
        <f t="shared" si="2277"/>
        <v>0</v>
      </c>
      <c r="AS2239" s="11">
        <f t="shared" si="2278"/>
        <v>0</v>
      </c>
      <c r="AU2239" s="11">
        <f t="shared" si="2279"/>
        <v>0</v>
      </c>
      <c r="AW2239" s="11">
        <f t="shared" si="2280"/>
        <v>0</v>
      </c>
      <c r="AY2239" s="11">
        <f t="shared" si="2281"/>
        <v>0</v>
      </c>
      <c r="BA2239" s="11">
        <f t="shared" si="2282"/>
        <v>0</v>
      </c>
      <c r="BC2239" s="11">
        <f t="shared" si="2283"/>
        <v>0</v>
      </c>
      <c r="BE2239" s="11">
        <f t="shared" si="2284"/>
        <v>0</v>
      </c>
      <c r="BG2239" s="11">
        <f t="shared" si="2285"/>
        <v>0</v>
      </c>
      <c r="BN2239" s="8">
        <f t="shared" si="2244"/>
        <v>0</v>
      </c>
      <c r="BO2239" s="8">
        <f t="shared" si="2245"/>
        <v>0</v>
      </c>
      <c r="BP2239" s="8">
        <f t="shared" si="2265"/>
        <v>0</v>
      </c>
      <c r="BQ2239" s="12">
        <f t="shared" si="2266"/>
        <v>0</v>
      </c>
    </row>
    <row r="2240" spans="1:69">
      <c r="A2240" s="28">
        <v>1989</v>
      </c>
      <c r="B2240" s="27" t="s">
        <v>101</v>
      </c>
      <c r="C2240" s="24">
        <f t="shared" si="2243"/>
        <v>2206</v>
      </c>
      <c r="D2240" s="7" t="e">
        <f t="shared" ca="1" si="2223"/>
        <v>#N/A</v>
      </c>
      <c r="E2240" s="26" t="e">
        <f t="array" aca="1" ref="E2240" ca="1">AVERAGE(IF(INDIRECT(DatCol&amp;"$"&amp;TEXT(C2240,"###")):INDIRECT(DatCol&amp;"$"&amp;TEXT(C2240+57,"###"))&gt;0,INDIRECT(DatCol&amp;"$"&amp;TEXT(C2240,"###")):INDIRECT(DatCol&amp;"$"&amp;TEXT(C2240+57,"###"))))</f>
        <v>#DIV/0!</v>
      </c>
      <c r="F2240" s="26" t="str">
        <f t="shared" si="2267"/>
        <v>N</v>
      </c>
      <c r="G2240" s="8"/>
      <c r="H2240" s="8" t="s">
        <v>28</v>
      </c>
      <c r="K2240" s="9">
        <f t="shared" si="2246"/>
        <v>0</v>
      </c>
      <c r="M2240" s="11">
        <f t="shared" si="2268"/>
        <v>0</v>
      </c>
      <c r="O2240" s="11">
        <f t="shared" si="2269"/>
        <v>0</v>
      </c>
      <c r="Q2240" s="11">
        <f t="shared" si="2270"/>
        <v>0</v>
      </c>
      <c r="Y2240" s="11">
        <f t="shared" si="2271"/>
        <v>0</v>
      </c>
      <c r="AG2240" s="11">
        <f t="shared" si="2272"/>
        <v>0</v>
      </c>
      <c r="AI2240" s="11">
        <f t="shared" si="2273"/>
        <v>0</v>
      </c>
      <c r="AK2240" s="13">
        <f t="shared" si="2274"/>
        <v>0</v>
      </c>
      <c r="AM2240" s="13">
        <f t="shared" si="2275"/>
        <v>0</v>
      </c>
      <c r="AO2240" s="11">
        <f t="shared" si="2276"/>
        <v>0</v>
      </c>
      <c r="AQ2240" s="11">
        <f t="shared" si="2277"/>
        <v>0</v>
      </c>
      <c r="AS2240" s="11">
        <f t="shared" si="2278"/>
        <v>0</v>
      </c>
      <c r="AU2240" s="11">
        <f t="shared" si="2279"/>
        <v>0</v>
      </c>
      <c r="AW2240" s="11">
        <f t="shared" si="2280"/>
        <v>0</v>
      </c>
      <c r="AY2240" s="11">
        <f t="shared" si="2281"/>
        <v>0</v>
      </c>
      <c r="BA2240" s="11">
        <f t="shared" si="2282"/>
        <v>0</v>
      </c>
      <c r="BC2240" s="11">
        <f t="shared" si="2283"/>
        <v>0</v>
      </c>
      <c r="BE2240" s="11">
        <f t="shared" si="2284"/>
        <v>0</v>
      </c>
      <c r="BG2240" s="11">
        <f t="shared" si="2285"/>
        <v>0</v>
      </c>
      <c r="BN2240" s="8">
        <f t="shared" si="2244"/>
        <v>0</v>
      </c>
      <c r="BO2240" s="8">
        <f t="shared" si="2245"/>
        <v>0</v>
      </c>
      <c r="BP2240" s="8">
        <f t="shared" si="2265"/>
        <v>0</v>
      </c>
      <c r="BQ2240" s="12">
        <f t="shared" si="2266"/>
        <v>0</v>
      </c>
    </row>
    <row r="2241" spans="1:69">
      <c r="A2241" s="28">
        <v>1990</v>
      </c>
      <c r="B2241" s="27" t="s">
        <v>101</v>
      </c>
      <c r="C2241" s="24">
        <f t="shared" si="2243"/>
        <v>2206</v>
      </c>
      <c r="D2241" s="7" t="e">
        <f t="shared" ca="1" si="2223"/>
        <v>#N/A</v>
      </c>
      <c r="E2241" s="26" t="e">
        <f t="array" aca="1" ref="E2241" ca="1">AVERAGE(IF(INDIRECT(DatCol&amp;"$"&amp;TEXT(C2241,"###")):INDIRECT(DatCol&amp;"$"&amp;TEXT(C2241+57,"###"))&gt;0,INDIRECT(DatCol&amp;"$"&amp;TEXT(C2241,"###")):INDIRECT(DatCol&amp;"$"&amp;TEXT(C2241+57,"###"))))</f>
        <v>#DIV/0!</v>
      </c>
      <c r="F2241" s="26" t="str">
        <f t="shared" si="2267"/>
        <v>N</v>
      </c>
      <c r="G2241" s="8"/>
      <c r="H2241" s="8" t="s">
        <v>28</v>
      </c>
      <c r="K2241" s="9">
        <f t="shared" si="2246"/>
        <v>0</v>
      </c>
      <c r="M2241" s="11">
        <f t="shared" si="2268"/>
        <v>0</v>
      </c>
      <c r="O2241" s="11">
        <f t="shared" si="2269"/>
        <v>0</v>
      </c>
      <c r="Q2241" s="11">
        <f t="shared" si="2270"/>
        <v>0</v>
      </c>
      <c r="Y2241" s="11">
        <f t="shared" si="2271"/>
        <v>0</v>
      </c>
      <c r="AG2241" s="11">
        <f t="shared" si="2272"/>
        <v>0</v>
      </c>
      <c r="AI2241" s="11">
        <f t="shared" si="2273"/>
        <v>0</v>
      </c>
      <c r="AK2241" s="13">
        <f t="shared" si="2274"/>
        <v>0</v>
      </c>
      <c r="AM2241" s="13">
        <f t="shared" si="2275"/>
        <v>0</v>
      </c>
      <c r="AO2241" s="11">
        <f t="shared" si="2276"/>
        <v>0</v>
      </c>
      <c r="AQ2241" s="11">
        <f t="shared" si="2277"/>
        <v>0</v>
      </c>
      <c r="AS2241" s="11">
        <f t="shared" si="2278"/>
        <v>0</v>
      </c>
      <c r="AU2241" s="11">
        <f t="shared" si="2279"/>
        <v>0</v>
      </c>
      <c r="AW2241" s="11">
        <f t="shared" si="2280"/>
        <v>0</v>
      </c>
      <c r="AY2241" s="11">
        <f t="shared" si="2281"/>
        <v>0</v>
      </c>
      <c r="BA2241" s="11">
        <f t="shared" si="2282"/>
        <v>0</v>
      </c>
      <c r="BC2241" s="11">
        <f t="shared" si="2283"/>
        <v>0</v>
      </c>
      <c r="BE2241" s="11">
        <f t="shared" si="2284"/>
        <v>0</v>
      </c>
      <c r="BG2241" s="11">
        <f t="shared" si="2285"/>
        <v>0</v>
      </c>
      <c r="BN2241" s="8">
        <f t="shared" si="2244"/>
        <v>0</v>
      </c>
      <c r="BO2241" s="8">
        <f t="shared" si="2245"/>
        <v>0</v>
      </c>
      <c r="BP2241" s="8">
        <f t="shared" si="2265"/>
        <v>0</v>
      </c>
      <c r="BQ2241" s="12">
        <f t="shared" si="2266"/>
        <v>0</v>
      </c>
    </row>
    <row r="2242" spans="1:69">
      <c r="A2242" s="28">
        <v>1991</v>
      </c>
      <c r="B2242" s="27" t="s">
        <v>101</v>
      </c>
      <c r="C2242" s="24">
        <f t="shared" si="2243"/>
        <v>2206</v>
      </c>
      <c r="D2242" s="7" t="e">
        <f t="shared" ref="D2242:D2305" ca="1" si="2286">IF(AND((INDIRECT(DatCol&amp;TEXT(ROW(),"###"))&gt;0),((F2242=RegionSelect)+(RegionSelect="A"))),INDIRECT(DatCol&amp;TEXT(ROW(),"###"))/E2242,NA())</f>
        <v>#N/A</v>
      </c>
      <c r="E2242" s="26" t="e">
        <f t="array" aca="1" ref="E2242" ca="1">AVERAGE(IF(INDIRECT(DatCol&amp;"$"&amp;TEXT(C2242,"###")):INDIRECT(DatCol&amp;"$"&amp;TEXT(C2242+57,"###"))&gt;0,INDIRECT(DatCol&amp;"$"&amp;TEXT(C2242,"###")):INDIRECT(DatCol&amp;"$"&amp;TEXT(C2242+57,"###"))))</f>
        <v>#DIV/0!</v>
      </c>
      <c r="F2242" s="26" t="str">
        <f t="shared" si="2267"/>
        <v>N</v>
      </c>
      <c r="G2242" s="8"/>
      <c r="H2242" s="8" t="s">
        <v>28</v>
      </c>
      <c r="K2242" s="9">
        <f t="shared" si="2246"/>
        <v>0</v>
      </c>
      <c r="M2242" s="11">
        <f t="shared" si="2268"/>
        <v>0</v>
      </c>
      <c r="O2242" s="11">
        <f t="shared" si="2269"/>
        <v>0</v>
      </c>
      <c r="Q2242" s="11">
        <f t="shared" si="2270"/>
        <v>0</v>
      </c>
      <c r="Y2242" s="11">
        <f t="shared" si="2271"/>
        <v>0</v>
      </c>
      <c r="AG2242" s="11">
        <f t="shared" si="2272"/>
        <v>0</v>
      </c>
      <c r="AI2242" s="11">
        <f t="shared" si="2273"/>
        <v>0</v>
      </c>
      <c r="AK2242" s="13">
        <f t="shared" si="2274"/>
        <v>0</v>
      </c>
      <c r="AM2242" s="13">
        <f t="shared" si="2275"/>
        <v>0</v>
      </c>
      <c r="AO2242" s="11">
        <f t="shared" si="2276"/>
        <v>0</v>
      </c>
      <c r="AQ2242" s="11">
        <f t="shared" si="2277"/>
        <v>0</v>
      </c>
      <c r="AS2242" s="11">
        <f t="shared" si="2278"/>
        <v>0</v>
      </c>
      <c r="AU2242" s="11">
        <f t="shared" si="2279"/>
        <v>0</v>
      </c>
      <c r="AW2242" s="11">
        <f t="shared" si="2280"/>
        <v>0</v>
      </c>
      <c r="AY2242" s="11">
        <f t="shared" si="2281"/>
        <v>0</v>
      </c>
      <c r="BA2242" s="11">
        <f t="shared" si="2282"/>
        <v>0</v>
      </c>
      <c r="BC2242" s="11">
        <f t="shared" si="2283"/>
        <v>0</v>
      </c>
      <c r="BE2242" s="11">
        <f t="shared" si="2284"/>
        <v>0</v>
      </c>
      <c r="BG2242" s="11">
        <f t="shared" si="2285"/>
        <v>0</v>
      </c>
      <c r="BN2242" s="8">
        <f t="shared" si="2244"/>
        <v>0</v>
      </c>
      <c r="BO2242" s="8">
        <f t="shared" si="2245"/>
        <v>0</v>
      </c>
      <c r="BP2242" s="8">
        <f t="shared" si="2265"/>
        <v>0</v>
      </c>
      <c r="BQ2242" s="12">
        <f t="shared" si="2266"/>
        <v>0</v>
      </c>
    </row>
    <row r="2243" spans="1:69">
      <c r="A2243" s="28">
        <v>1992</v>
      </c>
      <c r="B2243" s="27" t="s">
        <v>101</v>
      </c>
      <c r="C2243" s="24">
        <f t="shared" si="2243"/>
        <v>2206</v>
      </c>
      <c r="D2243" s="7" t="e">
        <f t="shared" ca="1" si="2286"/>
        <v>#N/A</v>
      </c>
      <c r="E2243" s="26" t="e">
        <f t="array" aca="1" ref="E2243" ca="1">AVERAGE(IF(INDIRECT(DatCol&amp;"$"&amp;TEXT(C2243,"###")):INDIRECT(DatCol&amp;"$"&amp;TEXT(C2243+57,"###"))&gt;0,INDIRECT(DatCol&amp;"$"&amp;TEXT(C2243,"###")):INDIRECT(DatCol&amp;"$"&amp;TEXT(C2243+57,"###"))))</f>
        <v>#DIV/0!</v>
      </c>
      <c r="F2243" s="26" t="str">
        <f t="shared" si="2267"/>
        <v>N</v>
      </c>
      <c r="G2243" s="8"/>
      <c r="H2243" s="8" t="s">
        <v>28</v>
      </c>
      <c r="K2243" s="9">
        <f t="shared" si="2246"/>
        <v>0</v>
      </c>
      <c r="M2243" s="11">
        <f t="shared" si="2268"/>
        <v>0</v>
      </c>
      <c r="O2243" s="11">
        <f t="shared" si="2269"/>
        <v>0</v>
      </c>
      <c r="Q2243" s="11">
        <f t="shared" si="2270"/>
        <v>0</v>
      </c>
      <c r="Y2243" s="11">
        <f t="shared" si="2271"/>
        <v>0</v>
      </c>
      <c r="AG2243" s="11">
        <f t="shared" si="2272"/>
        <v>0</v>
      </c>
      <c r="AI2243" s="11">
        <f t="shared" si="2273"/>
        <v>0</v>
      </c>
      <c r="AK2243" s="13">
        <f t="shared" si="2274"/>
        <v>0</v>
      </c>
      <c r="AM2243" s="13">
        <f t="shared" si="2275"/>
        <v>0</v>
      </c>
      <c r="AO2243" s="11">
        <f t="shared" si="2276"/>
        <v>0</v>
      </c>
      <c r="AQ2243" s="11">
        <f t="shared" si="2277"/>
        <v>0</v>
      </c>
      <c r="AS2243" s="11">
        <f t="shared" si="2278"/>
        <v>0</v>
      </c>
      <c r="AU2243" s="11">
        <f t="shared" si="2279"/>
        <v>0</v>
      </c>
      <c r="AW2243" s="11">
        <f t="shared" si="2280"/>
        <v>0</v>
      </c>
      <c r="AY2243" s="11">
        <f t="shared" si="2281"/>
        <v>0</v>
      </c>
      <c r="BA2243" s="11">
        <f t="shared" si="2282"/>
        <v>0</v>
      </c>
      <c r="BC2243" s="11">
        <f t="shared" si="2283"/>
        <v>0</v>
      </c>
      <c r="BE2243" s="11">
        <f t="shared" si="2284"/>
        <v>0</v>
      </c>
      <c r="BG2243" s="11">
        <f t="shared" si="2285"/>
        <v>0</v>
      </c>
      <c r="BN2243" s="8">
        <f t="shared" si="2244"/>
        <v>0</v>
      </c>
      <c r="BO2243" s="8">
        <f t="shared" si="2245"/>
        <v>0</v>
      </c>
      <c r="BP2243" s="8">
        <f t="shared" si="2265"/>
        <v>0</v>
      </c>
      <c r="BQ2243" s="12">
        <f t="shared" si="2266"/>
        <v>0</v>
      </c>
    </row>
    <row r="2244" spans="1:69">
      <c r="A2244" s="28">
        <v>1993</v>
      </c>
      <c r="B2244" s="27" t="s">
        <v>101</v>
      </c>
      <c r="C2244" s="24">
        <f t="shared" si="2243"/>
        <v>2206</v>
      </c>
      <c r="D2244" s="7" t="e">
        <f t="shared" ca="1" si="2286"/>
        <v>#N/A</v>
      </c>
      <c r="E2244" s="26" t="e">
        <f t="array" aca="1" ref="E2244" ca="1">AVERAGE(IF(INDIRECT(DatCol&amp;"$"&amp;TEXT(C2244,"###")):INDIRECT(DatCol&amp;"$"&amp;TEXT(C2244+57,"###"))&gt;0,INDIRECT(DatCol&amp;"$"&amp;TEXT(C2244,"###")):INDIRECT(DatCol&amp;"$"&amp;TEXT(C2244+57,"###"))))</f>
        <v>#DIV/0!</v>
      </c>
      <c r="F2244" s="26" t="str">
        <f t="shared" si="2267"/>
        <v>N</v>
      </c>
      <c r="G2244" s="8"/>
      <c r="H2244" s="8" t="s">
        <v>28</v>
      </c>
      <c r="K2244" s="9">
        <f t="shared" si="2246"/>
        <v>0</v>
      </c>
      <c r="M2244" s="11">
        <f t="shared" si="2268"/>
        <v>0</v>
      </c>
      <c r="O2244" s="11">
        <f t="shared" si="2269"/>
        <v>0</v>
      </c>
      <c r="Q2244" s="11">
        <f t="shared" si="2270"/>
        <v>0</v>
      </c>
      <c r="Y2244" s="11">
        <f t="shared" si="2271"/>
        <v>0</v>
      </c>
      <c r="AG2244" s="11">
        <f t="shared" si="2272"/>
        <v>0</v>
      </c>
      <c r="AI2244" s="11">
        <f t="shared" si="2273"/>
        <v>0</v>
      </c>
      <c r="AK2244" s="13">
        <f t="shared" si="2274"/>
        <v>0</v>
      </c>
      <c r="AM2244" s="13">
        <f t="shared" si="2275"/>
        <v>0</v>
      </c>
      <c r="AO2244" s="11">
        <f t="shared" si="2276"/>
        <v>0</v>
      </c>
      <c r="AQ2244" s="11">
        <f t="shared" si="2277"/>
        <v>0</v>
      </c>
      <c r="AS2244" s="11">
        <f t="shared" si="2278"/>
        <v>0</v>
      </c>
      <c r="AU2244" s="11">
        <f t="shared" si="2279"/>
        <v>0</v>
      </c>
      <c r="AW2244" s="11">
        <f t="shared" si="2280"/>
        <v>0</v>
      </c>
      <c r="AY2244" s="11">
        <f t="shared" si="2281"/>
        <v>0</v>
      </c>
      <c r="BA2244" s="11">
        <f t="shared" si="2282"/>
        <v>0</v>
      </c>
      <c r="BC2244" s="11">
        <f t="shared" si="2283"/>
        <v>0</v>
      </c>
      <c r="BE2244" s="11">
        <f t="shared" si="2284"/>
        <v>0</v>
      </c>
      <c r="BG2244" s="11">
        <f t="shared" si="2285"/>
        <v>0</v>
      </c>
      <c r="BN2244" s="8">
        <f t="shared" si="2244"/>
        <v>0</v>
      </c>
      <c r="BO2244" s="8">
        <f t="shared" si="2245"/>
        <v>0</v>
      </c>
      <c r="BP2244" s="8">
        <f t="shared" si="2265"/>
        <v>0</v>
      </c>
      <c r="BQ2244" s="12">
        <f t="shared" si="2266"/>
        <v>0</v>
      </c>
    </row>
    <row r="2245" spans="1:69">
      <c r="A2245" s="28">
        <v>1994</v>
      </c>
      <c r="B2245" s="27" t="s">
        <v>101</v>
      </c>
      <c r="C2245" s="24">
        <f t="shared" si="2243"/>
        <v>2206</v>
      </c>
      <c r="D2245" s="7" t="e">
        <f t="shared" ca="1" si="2286"/>
        <v>#N/A</v>
      </c>
      <c r="E2245" s="26" t="e">
        <f t="array" aca="1" ref="E2245" ca="1">AVERAGE(IF(INDIRECT(DatCol&amp;"$"&amp;TEXT(C2245,"###")):INDIRECT(DatCol&amp;"$"&amp;TEXT(C2245+57,"###"))&gt;0,INDIRECT(DatCol&amp;"$"&amp;TEXT(C2245,"###")):INDIRECT(DatCol&amp;"$"&amp;TEXT(C2245+57,"###"))))</f>
        <v>#DIV/0!</v>
      </c>
      <c r="F2245" s="26" t="str">
        <f t="shared" si="2267"/>
        <v>N</v>
      </c>
      <c r="G2245" s="8"/>
      <c r="H2245" s="8" t="s">
        <v>28</v>
      </c>
      <c r="K2245" s="9">
        <f t="shared" si="2246"/>
        <v>0</v>
      </c>
      <c r="M2245" s="11">
        <f t="shared" si="2268"/>
        <v>0</v>
      </c>
      <c r="O2245" s="11">
        <f t="shared" si="2269"/>
        <v>0</v>
      </c>
      <c r="Q2245" s="11">
        <f t="shared" si="2270"/>
        <v>0</v>
      </c>
      <c r="Y2245" s="11">
        <f t="shared" si="2271"/>
        <v>0</v>
      </c>
      <c r="AG2245" s="11">
        <f t="shared" si="2272"/>
        <v>0</v>
      </c>
      <c r="AI2245" s="11">
        <f t="shared" si="2273"/>
        <v>0</v>
      </c>
      <c r="AK2245" s="13">
        <f t="shared" si="2274"/>
        <v>0</v>
      </c>
      <c r="AM2245" s="13">
        <f t="shared" si="2275"/>
        <v>0</v>
      </c>
      <c r="AO2245" s="11">
        <f t="shared" si="2276"/>
        <v>0</v>
      </c>
      <c r="AQ2245" s="11">
        <f t="shared" si="2277"/>
        <v>0</v>
      </c>
      <c r="AS2245" s="11">
        <f t="shared" si="2278"/>
        <v>0</v>
      </c>
      <c r="AU2245" s="11">
        <f t="shared" si="2279"/>
        <v>0</v>
      </c>
      <c r="AW2245" s="11">
        <f t="shared" si="2280"/>
        <v>0</v>
      </c>
      <c r="AY2245" s="11">
        <f t="shared" si="2281"/>
        <v>0</v>
      </c>
      <c r="BA2245" s="11">
        <f t="shared" si="2282"/>
        <v>0</v>
      </c>
      <c r="BC2245" s="11">
        <f t="shared" si="2283"/>
        <v>0</v>
      </c>
      <c r="BE2245" s="11">
        <f t="shared" si="2284"/>
        <v>0</v>
      </c>
      <c r="BG2245" s="11">
        <f t="shared" si="2285"/>
        <v>0</v>
      </c>
      <c r="BN2245" s="8">
        <f t="shared" si="2244"/>
        <v>0</v>
      </c>
      <c r="BO2245" s="8">
        <f t="shared" si="2245"/>
        <v>0</v>
      </c>
      <c r="BP2245" s="8">
        <f t="shared" si="2265"/>
        <v>0</v>
      </c>
      <c r="BQ2245" s="12">
        <f t="shared" si="2266"/>
        <v>0</v>
      </c>
    </row>
    <row r="2246" spans="1:69">
      <c r="A2246" s="28">
        <v>1995</v>
      </c>
      <c r="B2246" s="27" t="s">
        <v>101</v>
      </c>
      <c r="C2246" s="24">
        <f t="shared" si="2243"/>
        <v>2206</v>
      </c>
      <c r="D2246" s="7" t="e">
        <f t="shared" ca="1" si="2286"/>
        <v>#N/A</v>
      </c>
      <c r="E2246" s="26" t="e">
        <f t="array" aca="1" ref="E2246" ca="1">AVERAGE(IF(INDIRECT(DatCol&amp;"$"&amp;TEXT(C2246,"###")):INDIRECT(DatCol&amp;"$"&amp;TEXT(C2246+57,"###"))&gt;0,INDIRECT(DatCol&amp;"$"&amp;TEXT(C2246,"###")):INDIRECT(DatCol&amp;"$"&amp;TEXT(C2246+57,"###"))))</f>
        <v>#DIV/0!</v>
      </c>
      <c r="F2246" s="26" t="str">
        <f t="shared" si="2267"/>
        <v>N</v>
      </c>
      <c r="H2246" s="8" t="s">
        <v>28</v>
      </c>
      <c r="K2246" s="9">
        <f t="shared" si="2246"/>
        <v>0</v>
      </c>
      <c r="M2246" s="11">
        <f t="shared" si="2268"/>
        <v>0</v>
      </c>
      <c r="O2246" s="11">
        <f t="shared" si="2269"/>
        <v>0</v>
      </c>
      <c r="Q2246" s="11">
        <f t="shared" si="2270"/>
        <v>0</v>
      </c>
      <c r="Y2246" s="11">
        <f t="shared" si="2271"/>
        <v>0</v>
      </c>
      <c r="AG2246" s="11">
        <f t="shared" si="2272"/>
        <v>0</v>
      </c>
      <c r="AI2246" s="11">
        <f t="shared" si="2273"/>
        <v>0</v>
      </c>
      <c r="AK2246" s="13">
        <f t="shared" si="2274"/>
        <v>0</v>
      </c>
      <c r="AM2246" s="13">
        <f t="shared" si="2275"/>
        <v>0</v>
      </c>
      <c r="AO2246" s="11">
        <f t="shared" si="2276"/>
        <v>0</v>
      </c>
      <c r="AQ2246" s="11">
        <f t="shared" si="2277"/>
        <v>0</v>
      </c>
      <c r="AS2246" s="11">
        <f t="shared" si="2278"/>
        <v>0</v>
      </c>
      <c r="AU2246" s="11">
        <f t="shared" si="2279"/>
        <v>0</v>
      </c>
      <c r="AW2246" s="11">
        <f t="shared" si="2280"/>
        <v>0</v>
      </c>
      <c r="AY2246" s="11">
        <f t="shared" si="2281"/>
        <v>0</v>
      </c>
      <c r="BA2246" s="11">
        <f t="shared" si="2282"/>
        <v>0</v>
      </c>
      <c r="BC2246" s="11">
        <f t="shared" si="2283"/>
        <v>0</v>
      </c>
      <c r="BE2246" s="11">
        <f t="shared" si="2284"/>
        <v>0</v>
      </c>
      <c r="BG2246" s="11">
        <f t="shared" si="2285"/>
        <v>0</v>
      </c>
      <c r="BN2246" s="8">
        <f t="shared" si="2244"/>
        <v>0</v>
      </c>
      <c r="BO2246" s="8">
        <f t="shared" si="2245"/>
        <v>0</v>
      </c>
      <c r="BP2246" s="8">
        <f t="shared" si="2265"/>
        <v>0</v>
      </c>
      <c r="BQ2246" s="12">
        <f t="shared" si="2266"/>
        <v>0</v>
      </c>
    </row>
    <row r="2247" spans="1:69">
      <c r="A2247" s="28">
        <v>1996</v>
      </c>
      <c r="B2247" s="27" t="s">
        <v>101</v>
      </c>
      <c r="C2247" s="24">
        <f t="shared" si="2243"/>
        <v>2206</v>
      </c>
      <c r="D2247" s="7" t="e">
        <f t="shared" ca="1" si="2286"/>
        <v>#N/A</v>
      </c>
      <c r="E2247" s="26" t="e">
        <f t="array" aca="1" ref="E2247" ca="1">AVERAGE(IF(INDIRECT(DatCol&amp;"$"&amp;TEXT(C2247,"###")):INDIRECT(DatCol&amp;"$"&amp;TEXT(C2247+57,"###"))&gt;0,INDIRECT(DatCol&amp;"$"&amp;TEXT(C2247,"###")):INDIRECT(DatCol&amp;"$"&amp;TEXT(C2247+57,"###"))))</f>
        <v>#DIV/0!</v>
      </c>
      <c r="F2247" s="26" t="str">
        <f t="shared" si="2267"/>
        <v>N</v>
      </c>
      <c r="H2247" s="8" t="s">
        <v>28</v>
      </c>
      <c r="K2247" s="9">
        <f t="shared" si="2246"/>
        <v>0</v>
      </c>
      <c r="AK2247" s="13"/>
      <c r="AM2247" s="13"/>
      <c r="BN2247" s="8">
        <f t="shared" si="2244"/>
        <v>0</v>
      </c>
      <c r="BO2247" s="8">
        <f t="shared" si="2245"/>
        <v>0</v>
      </c>
      <c r="BP2247" s="8">
        <f t="shared" si="2265"/>
        <v>0</v>
      </c>
      <c r="BQ2247" s="12">
        <f t="shared" si="2266"/>
        <v>0</v>
      </c>
    </row>
    <row r="2248" spans="1:69">
      <c r="A2248" s="28">
        <v>1997</v>
      </c>
      <c r="B2248" s="27" t="s">
        <v>101</v>
      </c>
      <c r="C2248" s="24">
        <f t="shared" si="2243"/>
        <v>2206</v>
      </c>
      <c r="D2248" s="7" t="e">
        <f t="shared" ca="1" si="2286"/>
        <v>#N/A</v>
      </c>
      <c r="E2248" s="26" t="e">
        <f t="array" aca="1" ref="E2248" ca="1">AVERAGE(IF(INDIRECT(DatCol&amp;"$"&amp;TEXT(C2248,"###")):INDIRECT(DatCol&amp;"$"&amp;TEXT(C2248+57,"###"))&gt;0,INDIRECT(DatCol&amp;"$"&amp;TEXT(C2248,"###")):INDIRECT(DatCol&amp;"$"&amp;TEXT(C2248+57,"###"))))</f>
        <v>#DIV/0!</v>
      </c>
      <c r="F2248" s="26" t="str">
        <f t="shared" si="2267"/>
        <v>N</v>
      </c>
      <c r="H2248" s="8" t="s">
        <v>28</v>
      </c>
      <c r="K2248" s="9">
        <f t="shared" si="2246"/>
        <v>0</v>
      </c>
      <c r="AK2248" s="13"/>
      <c r="AM2248" s="13"/>
      <c r="BN2248" s="8">
        <f t="shared" si="2244"/>
        <v>0</v>
      </c>
      <c r="BO2248" s="8">
        <f t="shared" si="2245"/>
        <v>0</v>
      </c>
      <c r="BP2248" s="8">
        <f t="shared" si="2265"/>
        <v>0</v>
      </c>
      <c r="BQ2248" s="12">
        <f t="shared" si="2266"/>
        <v>0</v>
      </c>
    </row>
    <row r="2249" spans="1:69">
      <c r="A2249" s="28">
        <v>1998</v>
      </c>
      <c r="B2249" s="27" t="s">
        <v>101</v>
      </c>
      <c r="C2249" s="24">
        <f t="shared" si="2243"/>
        <v>2206</v>
      </c>
      <c r="D2249" s="7" t="e">
        <f t="shared" ca="1" si="2286"/>
        <v>#N/A</v>
      </c>
      <c r="E2249" s="26" t="e">
        <f t="array" aca="1" ref="E2249" ca="1">AVERAGE(IF(INDIRECT(DatCol&amp;"$"&amp;TEXT(C2249,"###")):INDIRECT(DatCol&amp;"$"&amp;TEXT(C2249+57,"###"))&gt;0,INDIRECT(DatCol&amp;"$"&amp;TEXT(C2249,"###")):INDIRECT(DatCol&amp;"$"&amp;TEXT(C2249+57,"###"))))</f>
        <v>#DIV/0!</v>
      </c>
      <c r="F2249" s="26" t="str">
        <f t="shared" si="2267"/>
        <v>N</v>
      </c>
      <c r="H2249" s="8" t="s">
        <v>28</v>
      </c>
      <c r="K2249" s="9">
        <f t="shared" si="2246"/>
        <v>0</v>
      </c>
      <c r="AK2249" s="13"/>
      <c r="AM2249" s="13"/>
      <c r="BN2249" s="8">
        <f t="shared" si="2244"/>
        <v>0</v>
      </c>
      <c r="BO2249" s="8">
        <f t="shared" si="2245"/>
        <v>0</v>
      </c>
      <c r="BP2249" s="8">
        <f t="shared" si="2265"/>
        <v>0</v>
      </c>
      <c r="BQ2249" s="12">
        <f t="shared" si="2266"/>
        <v>0</v>
      </c>
    </row>
    <row r="2250" spans="1:69">
      <c r="A2250" s="28">
        <v>1999</v>
      </c>
      <c r="B2250" s="27" t="s">
        <v>101</v>
      </c>
      <c r="C2250" s="24">
        <f t="shared" si="2243"/>
        <v>2206</v>
      </c>
      <c r="D2250" s="7" t="e">
        <f t="shared" ca="1" si="2286"/>
        <v>#N/A</v>
      </c>
      <c r="E2250" s="26" t="e">
        <f t="array" aca="1" ref="E2250" ca="1">AVERAGE(IF(INDIRECT(DatCol&amp;"$"&amp;TEXT(C2250,"###")):INDIRECT(DatCol&amp;"$"&amp;TEXT(C2250+57,"###"))&gt;0,INDIRECT(DatCol&amp;"$"&amp;TEXT(C2250,"###")):INDIRECT(DatCol&amp;"$"&amp;TEXT(C2250+57,"###"))))</f>
        <v>#DIV/0!</v>
      </c>
      <c r="F2250" s="26" t="str">
        <f t="shared" si="2267"/>
        <v>N</v>
      </c>
      <c r="H2250" s="8" t="s">
        <v>28</v>
      </c>
      <c r="K2250" s="9">
        <f t="shared" si="2246"/>
        <v>0</v>
      </c>
      <c r="AK2250" s="13"/>
      <c r="AM2250" s="13"/>
      <c r="BN2250" s="8">
        <f t="shared" si="2244"/>
        <v>0</v>
      </c>
      <c r="BO2250" s="8">
        <f t="shared" si="2245"/>
        <v>0</v>
      </c>
      <c r="BP2250" s="8">
        <f t="shared" si="2265"/>
        <v>0</v>
      </c>
      <c r="BQ2250" s="12">
        <f t="shared" si="2266"/>
        <v>0</v>
      </c>
    </row>
    <row r="2251" spans="1:69">
      <c r="A2251" s="28">
        <v>2000</v>
      </c>
      <c r="B2251" s="27" t="s">
        <v>101</v>
      </c>
      <c r="C2251" s="24">
        <f t="shared" si="2243"/>
        <v>2206</v>
      </c>
      <c r="D2251" s="7" t="e">
        <f t="shared" ca="1" si="2286"/>
        <v>#N/A</v>
      </c>
      <c r="E2251" s="26" t="e">
        <f t="array" aca="1" ref="E2251" ca="1">AVERAGE(IF(INDIRECT(DatCol&amp;"$"&amp;TEXT(C2251,"###")):INDIRECT(DatCol&amp;"$"&amp;TEXT(C2251+57,"###"))&gt;0,INDIRECT(DatCol&amp;"$"&amp;TEXT(C2251,"###")):INDIRECT(DatCol&amp;"$"&amp;TEXT(C2251+57,"###"))))</f>
        <v>#DIV/0!</v>
      </c>
      <c r="F2251" s="26" t="str">
        <f t="shared" si="2267"/>
        <v>N</v>
      </c>
      <c r="H2251" s="8"/>
      <c r="K2251" s="9">
        <f t="shared" si="2246"/>
        <v>0</v>
      </c>
      <c r="AK2251" s="13"/>
      <c r="AM2251" s="13"/>
      <c r="BN2251" s="8">
        <f t="shared" si="2244"/>
        <v>0</v>
      </c>
      <c r="BO2251" s="8">
        <f t="shared" si="2245"/>
        <v>0</v>
      </c>
      <c r="BP2251" s="8">
        <f t="shared" si="2265"/>
        <v>0</v>
      </c>
      <c r="BQ2251" s="12">
        <f t="shared" si="2266"/>
        <v>0</v>
      </c>
    </row>
    <row r="2252" spans="1:69">
      <c r="A2252" s="28">
        <v>2001</v>
      </c>
      <c r="B2252" s="27" t="s">
        <v>101</v>
      </c>
      <c r="C2252" s="24">
        <f t="shared" si="2243"/>
        <v>2206</v>
      </c>
      <c r="D2252" s="7" t="e">
        <f t="shared" ca="1" si="2286"/>
        <v>#N/A</v>
      </c>
      <c r="E2252" s="26" t="e">
        <f t="array" aca="1" ref="E2252" ca="1">AVERAGE(IF(INDIRECT(DatCol&amp;"$"&amp;TEXT(C2252,"###")):INDIRECT(DatCol&amp;"$"&amp;TEXT(C2252+57,"###"))&gt;0,INDIRECT(DatCol&amp;"$"&amp;TEXT(C2252,"###")):INDIRECT(DatCol&amp;"$"&amp;TEXT(C2252+57,"###"))))</f>
        <v>#DIV/0!</v>
      </c>
      <c r="F2252" s="26" t="str">
        <f t="shared" si="2267"/>
        <v>N</v>
      </c>
      <c r="H2252" s="8"/>
      <c r="K2252" s="9">
        <f t="shared" si="2246"/>
        <v>0</v>
      </c>
      <c r="AK2252" s="13"/>
      <c r="AM2252" s="13"/>
      <c r="BN2252" s="8">
        <f t="shared" si="2244"/>
        <v>0</v>
      </c>
      <c r="BO2252" s="8">
        <f t="shared" si="2245"/>
        <v>0</v>
      </c>
      <c r="BP2252" s="8">
        <f t="shared" si="2265"/>
        <v>0</v>
      </c>
      <c r="BQ2252" s="12">
        <f t="shared" si="2266"/>
        <v>0</v>
      </c>
    </row>
    <row r="2253" spans="1:69">
      <c r="A2253" s="28">
        <v>2002</v>
      </c>
      <c r="B2253" s="27" t="s">
        <v>101</v>
      </c>
      <c r="C2253" s="24">
        <f t="shared" si="2243"/>
        <v>2206</v>
      </c>
      <c r="D2253" s="7" t="e">
        <f t="shared" ca="1" si="2286"/>
        <v>#N/A</v>
      </c>
      <c r="E2253" s="26" t="e">
        <f t="array" aca="1" ref="E2253" ca="1">AVERAGE(IF(INDIRECT(DatCol&amp;"$"&amp;TEXT(C2253,"###")):INDIRECT(DatCol&amp;"$"&amp;TEXT(C2253+57,"###"))&gt;0,INDIRECT(DatCol&amp;"$"&amp;TEXT(C2253,"###")):INDIRECT(DatCol&amp;"$"&amp;TEXT(C2253+57,"###"))))</f>
        <v>#DIV/0!</v>
      </c>
      <c r="F2253" s="26" t="str">
        <f t="shared" si="2267"/>
        <v>N</v>
      </c>
      <c r="H2253" s="8"/>
      <c r="K2253" s="9">
        <f t="shared" si="2246"/>
        <v>0</v>
      </c>
      <c r="AK2253" s="13"/>
      <c r="AM2253" s="13"/>
      <c r="BN2253" s="8">
        <f t="shared" si="2244"/>
        <v>0</v>
      </c>
      <c r="BO2253" s="8">
        <f t="shared" si="2245"/>
        <v>0</v>
      </c>
      <c r="BP2253" s="8">
        <f t="shared" si="2265"/>
        <v>0</v>
      </c>
      <c r="BQ2253" s="12">
        <f t="shared" si="2266"/>
        <v>0</v>
      </c>
    </row>
    <row r="2254" spans="1:69">
      <c r="A2254" s="28">
        <v>2003</v>
      </c>
      <c r="B2254" s="27" t="s">
        <v>101</v>
      </c>
      <c r="C2254" s="24">
        <f t="shared" si="2243"/>
        <v>2206</v>
      </c>
      <c r="D2254" s="7" t="e">
        <f t="shared" ca="1" si="2286"/>
        <v>#N/A</v>
      </c>
      <c r="E2254" s="26" t="e">
        <f t="array" aca="1" ref="E2254" ca="1">AVERAGE(IF(INDIRECT(DatCol&amp;"$"&amp;TEXT(C2254,"###")):INDIRECT(DatCol&amp;"$"&amp;TEXT(C2254+57,"###"))&gt;0,INDIRECT(DatCol&amp;"$"&amp;TEXT(C2254,"###")):INDIRECT(DatCol&amp;"$"&amp;TEXT(C2254+57,"###"))))</f>
        <v>#DIV/0!</v>
      </c>
      <c r="F2254" s="26" t="str">
        <f t="shared" si="2267"/>
        <v>N</v>
      </c>
      <c r="H2254" s="8"/>
      <c r="K2254" s="9">
        <f t="shared" si="2246"/>
        <v>0</v>
      </c>
      <c r="AK2254" s="13"/>
      <c r="AM2254" s="13"/>
      <c r="BN2254" s="8">
        <f t="shared" si="2244"/>
        <v>0</v>
      </c>
      <c r="BO2254" s="8">
        <f t="shared" si="2245"/>
        <v>0</v>
      </c>
      <c r="BP2254" s="8">
        <f t="shared" si="2265"/>
        <v>0</v>
      </c>
      <c r="BQ2254" s="12">
        <f t="shared" si="2266"/>
        <v>0</v>
      </c>
    </row>
    <row r="2255" spans="1:69">
      <c r="A2255" s="28">
        <v>2004</v>
      </c>
      <c r="B2255" s="27" t="s">
        <v>101</v>
      </c>
      <c r="C2255" s="24">
        <f t="shared" si="2243"/>
        <v>2206</v>
      </c>
      <c r="D2255" s="7" t="e">
        <f t="shared" ca="1" si="2286"/>
        <v>#N/A</v>
      </c>
      <c r="E2255" s="26" t="e">
        <f t="array" aca="1" ref="E2255" ca="1">AVERAGE(IF(INDIRECT(DatCol&amp;"$"&amp;TEXT(C2255,"###")):INDIRECT(DatCol&amp;"$"&amp;TEXT(C2255+57,"###"))&gt;0,INDIRECT(DatCol&amp;"$"&amp;TEXT(C2255,"###")):INDIRECT(DatCol&amp;"$"&amp;TEXT(C2255+57,"###"))))</f>
        <v>#DIV/0!</v>
      </c>
      <c r="F2255" s="26" t="str">
        <f t="shared" si="2267"/>
        <v>N</v>
      </c>
      <c r="H2255" s="8"/>
      <c r="K2255" s="9">
        <f t="shared" si="2246"/>
        <v>0</v>
      </c>
      <c r="AK2255" s="13"/>
      <c r="AM2255" s="13"/>
      <c r="BN2255" s="8">
        <f t="shared" si="2244"/>
        <v>0</v>
      </c>
      <c r="BO2255" s="8">
        <f t="shared" si="2245"/>
        <v>0</v>
      </c>
      <c r="BP2255" s="8">
        <f t="shared" si="2265"/>
        <v>0</v>
      </c>
      <c r="BQ2255" s="12">
        <f t="shared" si="2266"/>
        <v>0</v>
      </c>
    </row>
    <row r="2256" spans="1:69">
      <c r="A2256" s="28">
        <v>2005</v>
      </c>
      <c r="B2256" s="27" t="s">
        <v>101</v>
      </c>
      <c r="C2256" s="24">
        <f t="shared" si="2243"/>
        <v>2206</v>
      </c>
      <c r="D2256" s="7" t="e">
        <f t="shared" ca="1" si="2286"/>
        <v>#N/A</v>
      </c>
      <c r="E2256" s="26" t="e">
        <f t="array" aca="1" ref="E2256" ca="1">AVERAGE(IF(INDIRECT(DatCol&amp;"$"&amp;TEXT(C2256,"###")):INDIRECT(DatCol&amp;"$"&amp;TEXT(C2256+57,"###"))&gt;0,INDIRECT(DatCol&amp;"$"&amp;TEXT(C2256,"###")):INDIRECT(DatCol&amp;"$"&amp;TEXT(C2256+57,"###"))))</f>
        <v>#DIV/0!</v>
      </c>
      <c r="F2256" s="26" t="str">
        <f t="shared" si="2267"/>
        <v>N</v>
      </c>
      <c r="H2256" s="8"/>
      <c r="K2256" s="9">
        <f t="shared" si="2246"/>
        <v>0</v>
      </c>
      <c r="AK2256" s="13"/>
      <c r="AM2256" s="13"/>
      <c r="BN2256" s="8">
        <f t="shared" si="2244"/>
        <v>0</v>
      </c>
      <c r="BO2256" s="8">
        <f t="shared" si="2245"/>
        <v>0</v>
      </c>
      <c r="BP2256" s="8">
        <f t="shared" si="2265"/>
        <v>0</v>
      </c>
      <c r="BQ2256" s="12">
        <f t="shared" si="2266"/>
        <v>0</v>
      </c>
    </row>
    <row r="2257" spans="1:69">
      <c r="A2257" s="28">
        <v>2006</v>
      </c>
      <c r="B2257" s="27" t="s">
        <v>101</v>
      </c>
      <c r="C2257" s="24">
        <f t="shared" si="2243"/>
        <v>2206</v>
      </c>
      <c r="D2257" s="7" t="e">
        <f t="shared" ca="1" si="2286"/>
        <v>#N/A</v>
      </c>
      <c r="E2257" s="26" t="e">
        <f t="array" aca="1" ref="E2257" ca="1">AVERAGE(IF(INDIRECT(DatCol&amp;"$"&amp;TEXT(C2257,"###")):INDIRECT(DatCol&amp;"$"&amp;TEXT(C2257+57,"###"))&gt;0,INDIRECT(DatCol&amp;"$"&amp;TEXT(C2257,"###")):INDIRECT(DatCol&amp;"$"&amp;TEXT(C2257+57,"###"))))</f>
        <v>#DIV/0!</v>
      </c>
      <c r="F2257" s="26" t="str">
        <f t="shared" si="2267"/>
        <v>N</v>
      </c>
      <c r="H2257" s="8"/>
      <c r="K2257" s="9">
        <f t="shared" si="2246"/>
        <v>0</v>
      </c>
      <c r="AK2257" s="13"/>
      <c r="AM2257" s="13"/>
      <c r="BN2257" s="8">
        <f t="shared" si="2244"/>
        <v>0</v>
      </c>
      <c r="BO2257" s="8">
        <f t="shared" si="2245"/>
        <v>0</v>
      </c>
      <c r="BP2257" s="8">
        <f t="shared" si="2265"/>
        <v>0</v>
      </c>
      <c r="BQ2257" s="12">
        <f t="shared" si="2266"/>
        <v>0</v>
      </c>
    </row>
    <row r="2258" spans="1:69">
      <c r="A2258" s="28">
        <v>2007</v>
      </c>
      <c r="B2258" s="27" t="s">
        <v>101</v>
      </c>
      <c r="C2258" s="24">
        <f t="shared" si="2243"/>
        <v>2206</v>
      </c>
      <c r="D2258" s="7" t="e">
        <f t="shared" ca="1" si="2286"/>
        <v>#N/A</v>
      </c>
      <c r="E2258" s="26" t="e">
        <f t="array" aca="1" ref="E2258" ca="1">AVERAGE(IF(INDIRECT(DatCol&amp;"$"&amp;TEXT(C2258,"###")):INDIRECT(DatCol&amp;"$"&amp;TEXT(C2258+57,"###"))&gt;0,INDIRECT(DatCol&amp;"$"&amp;TEXT(C2258,"###")):INDIRECT(DatCol&amp;"$"&amp;TEXT(C2258+57,"###"))))</f>
        <v>#DIV/0!</v>
      </c>
      <c r="F2258" s="26" t="str">
        <f t="shared" si="2267"/>
        <v>N</v>
      </c>
      <c r="H2258" s="8"/>
      <c r="K2258" s="9">
        <f t="shared" si="2246"/>
        <v>0</v>
      </c>
      <c r="AK2258" s="13"/>
      <c r="AM2258" s="13"/>
      <c r="BN2258" s="8">
        <f t="shared" si="2244"/>
        <v>0</v>
      </c>
      <c r="BO2258" s="8">
        <f t="shared" si="2245"/>
        <v>0</v>
      </c>
      <c r="BP2258" s="8">
        <f t="shared" si="2265"/>
        <v>0</v>
      </c>
      <c r="BQ2258" s="12">
        <f t="shared" si="2266"/>
        <v>0</v>
      </c>
    </row>
    <row r="2259" spans="1:69">
      <c r="A2259" s="28">
        <v>2008</v>
      </c>
      <c r="B2259" s="27" t="s">
        <v>101</v>
      </c>
      <c r="C2259" s="24">
        <f t="shared" si="2243"/>
        <v>2206</v>
      </c>
      <c r="D2259" s="7" t="e">
        <f t="shared" ca="1" si="2286"/>
        <v>#N/A</v>
      </c>
      <c r="E2259" s="26" t="e">
        <f t="array" aca="1" ref="E2259" ca="1">AVERAGE(IF(INDIRECT(DatCol&amp;"$"&amp;TEXT(C2259,"###")):INDIRECT(DatCol&amp;"$"&amp;TEXT(C2259+57,"###"))&gt;0,INDIRECT(DatCol&amp;"$"&amp;TEXT(C2259,"###")):INDIRECT(DatCol&amp;"$"&amp;TEXT(C2259+57,"###"))))</f>
        <v>#DIV/0!</v>
      </c>
      <c r="F2259" s="26" t="str">
        <f t="shared" si="2267"/>
        <v>N</v>
      </c>
      <c r="H2259" s="8"/>
      <c r="K2259" s="9">
        <f t="shared" si="2246"/>
        <v>0</v>
      </c>
      <c r="AK2259" s="13"/>
      <c r="AM2259" s="13"/>
      <c r="BN2259" s="8">
        <f t="shared" si="2244"/>
        <v>0</v>
      </c>
      <c r="BO2259" s="8">
        <f t="shared" si="2245"/>
        <v>0</v>
      </c>
      <c r="BP2259" s="8">
        <f t="shared" si="2265"/>
        <v>0</v>
      </c>
      <c r="BQ2259" s="12">
        <f t="shared" si="2266"/>
        <v>0</v>
      </c>
    </row>
    <row r="2260" spans="1:69">
      <c r="A2260" s="28">
        <v>2009</v>
      </c>
      <c r="B2260" s="27" t="s">
        <v>101</v>
      </c>
      <c r="C2260" s="24">
        <f t="shared" si="2243"/>
        <v>2206</v>
      </c>
      <c r="D2260" s="7" t="e">
        <f t="shared" ca="1" si="2286"/>
        <v>#N/A</v>
      </c>
      <c r="E2260" s="26" t="e">
        <f t="array" aca="1" ref="E2260" ca="1">AVERAGE(IF(INDIRECT(DatCol&amp;"$"&amp;TEXT(C2260,"###")):INDIRECT(DatCol&amp;"$"&amp;TEXT(C2260+57,"###"))&gt;0,INDIRECT(DatCol&amp;"$"&amp;TEXT(C2260,"###")):INDIRECT(DatCol&amp;"$"&amp;TEXT(C2260+57,"###"))))</f>
        <v>#DIV/0!</v>
      </c>
      <c r="F2260" s="26" t="str">
        <f t="shared" si="2267"/>
        <v>N</v>
      </c>
      <c r="K2260" s="9">
        <f t="shared" si="2246"/>
        <v>0</v>
      </c>
      <c r="AK2260" s="13"/>
      <c r="AM2260" s="13"/>
      <c r="BN2260" s="8">
        <f t="shared" si="2244"/>
        <v>0</v>
      </c>
      <c r="BO2260" s="8">
        <f t="shared" si="2245"/>
        <v>0</v>
      </c>
      <c r="BP2260" s="8">
        <f t="shared" si="2265"/>
        <v>0</v>
      </c>
      <c r="BQ2260" s="12">
        <f t="shared" si="2266"/>
        <v>0</v>
      </c>
    </row>
    <row r="2261" spans="1:69">
      <c r="A2261" s="28">
        <v>2010</v>
      </c>
      <c r="B2261" s="27" t="s">
        <v>101</v>
      </c>
      <c r="C2261" s="24">
        <f t="shared" si="2243"/>
        <v>2206</v>
      </c>
      <c r="D2261" s="7" t="e">
        <f t="shared" ca="1" si="2286"/>
        <v>#N/A</v>
      </c>
      <c r="E2261" s="26" t="e">
        <f t="array" aca="1" ref="E2261" ca="1">AVERAGE(IF(INDIRECT(DatCol&amp;"$"&amp;TEXT(C2261,"###")):INDIRECT(DatCol&amp;"$"&amp;TEXT(C2261+57,"###"))&gt;0,INDIRECT(DatCol&amp;"$"&amp;TEXT(C2261,"###")):INDIRECT(DatCol&amp;"$"&amp;TEXT(C2261+57,"###"))))</f>
        <v>#DIV/0!</v>
      </c>
      <c r="F2261" s="26" t="str">
        <f t="shared" ref="F2261:F2263" si="2287">VLOOKUP(B2261,town_region,2,FALSE)</f>
        <v>N</v>
      </c>
      <c r="AK2261" s="13"/>
      <c r="AM2261" s="13"/>
      <c r="BN2261" s="8"/>
      <c r="BO2261" s="8"/>
      <c r="BP2261" s="8"/>
      <c r="BQ2261" s="12"/>
    </row>
    <row r="2262" spans="1:69">
      <c r="A2262" s="28">
        <v>2011</v>
      </c>
      <c r="B2262" s="27" t="s">
        <v>101</v>
      </c>
      <c r="C2262" s="24">
        <f t="shared" si="2243"/>
        <v>2206</v>
      </c>
      <c r="D2262" s="7" t="e">
        <f t="shared" ca="1" si="2286"/>
        <v>#N/A</v>
      </c>
      <c r="E2262" s="26" t="e">
        <f t="array" aca="1" ref="E2262" ca="1">AVERAGE(IF(INDIRECT(DatCol&amp;"$"&amp;TEXT(C2262,"###")):INDIRECT(DatCol&amp;"$"&amp;TEXT(C2262+57,"###"))&gt;0,INDIRECT(DatCol&amp;"$"&amp;TEXT(C2262,"###")):INDIRECT(DatCol&amp;"$"&amp;TEXT(C2262+57,"###"))))</f>
        <v>#DIV/0!</v>
      </c>
      <c r="F2262" s="26" t="str">
        <f t="shared" si="2287"/>
        <v>N</v>
      </c>
      <c r="AK2262" s="13"/>
      <c r="AM2262" s="13"/>
      <c r="BN2262" s="8"/>
      <c r="BO2262" s="8"/>
      <c r="BP2262" s="8"/>
      <c r="BQ2262" s="12"/>
    </row>
    <row r="2263" spans="1:69">
      <c r="A2263" s="28">
        <v>2012</v>
      </c>
      <c r="B2263" s="27" t="s">
        <v>101</v>
      </c>
      <c r="C2263" s="24">
        <f t="shared" si="2243"/>
        <v>2206</v>
      </c>
      <c r="D2263" s="7" t="e">
        <f t="shared" ca="1" si="2286"/>
        <v>#N/A</v>
      </c>
      <c r="E2263" s="26" t="e">
        <f t="array" aca="1" ref="E2263" ca="1">AVERAGE(IF(INDIRECT(DatCol&amp;"$"&amp;TEXT(C2263,"###")):INDIRECT(DatCol&amp;"$"&amp;TEXT(C2263+57,"###"))&gt;0,INDIRECT(DatCol&amp;"$"&amp;TEXT(C2263,"###")):INDIRECT(DatCol&amp;"$"&amp;TEXT(C2263+57,"###"))))</f>
        <v>#DIV/0!</v>
      </c>
      <c r="F2263" s="26" t="str">
        <f t="shared" si="2287"/>
        <v>N</v>
      </c>
      <c r="AK2263" s="13"/>
      <c r="AM2263" s="13"/>
      <c r="BN2263" s="8"/>
      <c r="BO2263" s="8"/>
      <c r="BP2263" s="8"/>
      <c r="BQ2263" s="12"/>
    </row>
    <row r="2264" spans="1:69">
      <c r="A2264" s="28">
        <v>1955</v>
      </c>
      <c r="B2264" s="27" t="s">
        <v>102</v>
      </c>
      <c r="C2264" s="24">
        <f>ROW()</f>
        <v>2264</v>
      </c>
      <c r="D2264" s="7" t="e">
        <f t="shared" ca="1" si="2286"/>
        <v>#N/A</v>
      </c>
      <c r="E2264" s="26">
        <f t="array" aca="1" ref="E2264" ca="1">AVERAGE(IF(INDIRECT(DatCol&amp;"$"&amp;TEXT(C2264,"###")):INDIRECT(DatCol&amp;"$"&amp;TEXT(C2264+57,"###"))&gt;0,INDIRECT(DatCol&amp;"$"&amp;TEXT(C2264,"###")):INDIRECT(DatCol&amp;"$"&amp;TEXT(C2264+57,"###"))))</f>
        <v>490.72727272727275</v>
      </c>
      <c r="F2264" s="26" t="str">
        <f t="shared" si="2267"/>
        <v>S</v>
      </c>
      <c r="G2264" s="8"/>
      <c r="K2264" s="9">
        <f t="shared" si="2246"/>
        <v>0</v>
      </c>
      <c r="M2264" s="11">
        <f>(L2264*50)</f>
        <v>0</v>
      </c>
      <c r="O2264" s="11">
        <f>(N2264*50)</f>
        <v>0</v>
      </c>
      <c r="Q2264" s="11">
        <f>((P2264*330)/5.5)</f>
        <v>0</v>
      </c>
      <c r="Y2264" s="11">
        <f>((X2264*330)/5.5)</f>
        <v>0</v>
      </c>
      <c r="AG2264" s="11">
        <f>(AF2264*65)</f>
        <v>0</v>
      </c>
      <c r="AI2264" s="11">
        <f>(AH2264*65)</f>
        <v>0</v>
      </c>
      <c r="AK2264" s="13">
        <f>(AJ2264*9)</f>
        <v>0</v>
      </c>
      <c r="AM2264" s="13">
        <f>(AL2264*9)</f>
        <v>0</v>
      </c>
      <c r="AO2264" s="11">
        <f>(AN2264*80)</f>
        <v>0</v>
      </c>
      <c r="AQ2264" s="11">
        <f>(AP2264*80)</f>
        <v>0</v>
      </c>
      <c r="AS2264" s="11">
        <f>(AR2264*50)</f>
        <v>0</v>
      </c>
      <c r="AU2264" s="11">
        <f>(AT2264*50)</f>
        <v>0</v>
      </c>
      <c r="AW2264" s="11">
        <f>(AV2264*60)</f>
        <v>0</v>
      </c>
      <c r="AY2264" s="11">
        <f>(AX2264*60)</f>
        <v>0</v>
      </c>
      <c r="BA2264" s="11">
        <f>(AZ2264*40)</f>
        <v>0</v>
      </c>
      <c r="BC2264" s="11">
        <f>(BB2264*40)</f>
        <v>0</v>
      </c>
      <c r="BE2264" s="11">
        <f>(BD2264*95)</f>
        <v>0</v>
      </c>
      <c r="BG2264" s="11">
        <f>(BF2264*95)</f>
        <v>0</v>
      </c>
      <c r="BN2264" s="8">
        <f t="shared" si="2244"/>
        <v>0</v>
      </c>
      <c r="BO2264" s="8">
        <f t="shared" si="2245"/>
        <v>0</v>
      </c>
      <c r="BP2264" s="8">
        <f t="shared" si="2265"/>
        <v>0</v>
      </c>
      <c r="BQ2264" s="12">
        <f t="shared" si="2266"/>
        <v>0</v>
      </c>
    </row>
    <row r="2265" spans="1:69">
      <c r="A2265" s="28">
        <v>1956</v>
      </c>
      <c r="B2265" s="27" t="s">
        <v>102</v>
      </c>
      <c r="C2265" s="24">
        <f t="shared" ref="C2265:C2321" si="2288">C2264</f>
        <v>2264</v>
      </c>
      <c r="D2265" s="7" t="e">
        <f t="shared" ca="1" si="2286"/>
        <v>#N/A</v>
      </c>
      <c r="E2265" s="26">
        <f t="array" aca="1" ref="E2265" ca="1">AVERAGE(IF(INDIRECT(DatCol&amp;"$"&amp;TEXT(C2265,"###")):INDIRECT(DatCol&amp;"$"&amp;TEXT(C2265+57,"###"))&gt;0,INDIRECT(DatCol&amp;"$"&amp;TEXT(C2265,"###")):INDIRECT(DatCol&amp;"$"&amp;TEXT(C2265+57,"###"))))</f>
        <v>490.72727272727275</v>
      </c>
      <c r="F2265" s="26" t="str">
        <f t="shared" si="2267"/>
        <v>S</v>
      </c>
      <c r="G2265" s="8"/>
      <c r="K2265" s="9">
        <f t="shared" si="2246"/>
        <v>0</v>
      </c>
      <c r="M2265" s="11">
        <f>(L2265*50)</f>
        <v>0</v>
      </c>
      <c r="O2265" s="11">
        <f>(N2265*50)</f>
        <v>0</v>
      </c>
      <c r="Q2265" s="11">
        <f>((P2265*330)/5.5)</f>
        <v>0</v>
      </c>
      <c r="Y2265" s="11">
        <f>((X2265*330)/5.5)</f>
        <v>0</v>
      </c>
      <c r="AG2265" s="11">
        <f>(AF2265*65)</f>
        <v>0</v>
      </c>
      <c r="AI2265" s="11">
        <f>(AH2265*65)</f>
        <v>0</v>
      </c>
      <c r="AK2265" s="13">
        <f>(AJ2265*9)</f>
        <v>0</v>
      </c>
      <c r="AM2265" s="13">
        <f>(AL2265*9)</f>
        <v>0</v>
      </c>
      <c r="AO2265" s="11">
        <f>(AN2265*80)</f>
        <v>0</v>
      </c>
      <c r="AQ2265" s="11">
        <f>(AP2265*80)</f>
        <v>0</v>
      </c>
      <c r="AS2265" s="11">
        <f>(AR2265*50)</f>
        <v>0</v>
      </c>
      <c r="AU2265" s="11">
        <f>(AT2265*50)</f>
        <v>0</v>
      </c>
      <c r="AW2265" s="11">
        <f>(AV2265*60)</f>
        <v>0</v>
      </c>
      <c r="AY2265" s="11">
        <f>(AX2265*60)</f>
        <v>0</v>
      </c>
      <c r="BA2265" s="11">
        <f>(AZ2265*40)</f>
        <v>0</v>
      </c>
      <c r="BC2265" s="11">
        <f>(BB2265*40)</f>
        <v>0</v>
      </c>
      <c r="BE2265" s="11">
        <f>(BD2265*95)</f>
        <v>0</v>
      </c>
      <c r="BG2265" s="11">
        <f>(BF2265*95)</f>
        <v>0</v>
      </c>
      <c r="BN2265" s="8">
        <f t="shared" si="2244"/>
        <v>0</v>
      </c>
      <c r="BO2265" s="8">
        <f t="shared" si="2245"/>
        <v>0</v>
      </c>
      <c r="BP2265" s="8">
        <f t="shared" si="2265"/>
        <v>0</v>
      </c>
      <c r="BQ2265" s="12">
        <f t="shared" si="2266"/>
        <v>0</v>
      </c>
    </row>
    <row r="2266" spans="1:69">
      <c r="A2266" s="28">
        <v>1957</v>
      </c>
      <c r="B2266" s="27" t="s">
        <v>102</v>
      </c>
      <c r="C2266" s="24">
        <f t="shared" si="2288"/>
        <v>2264</v>
      </c>
      <c r="D2266" s="7" t="e">
        <f t="shared" ca="1" si="2286"/>
        <v>#N/A</v>
      </c>
      <c r="E2266" s="26">
        <f t="array" aca="1" ref="E2266" ca="1">AVERAGE(IF(INDIRECT(DatCol&amp;"$"&amp;TEXT(C2266,"###")):INDIRECT(DatCol&amp;"$"&amp;TEXT(C2266+57,"###"))&gt;0,INDIRECT(DatCol&amp;"$"&amp;TEXT(C2266,"###")):INDIRECT(DatCol&amp;"$"&amp;TEXT(C2266+57,"###"))))</f>
        <v>490.72727272727275</v>
      </c>
      <c r="F2266" s="26" t="str">
        <f t="shared" si="2267"/>
        <v>S</v>
      </c>
      <c r="G2266" s="8"/>
      <c r="K2266" s="9">
        <f t="shared" si="2246"/>
        <v>0</v>
      </c>
      <c r="M2266" s="11">
        <f>(L2266*50)</f>
        <v>0</v>
      </c>
      <c r="O2266" s="11">
        <f>(N2266*50)</f>
        <v>0</v>
      </c>
      <c r="Q2266" s="11">
        <f>((P2266*330)/5.5)</f>
        <v>0</v>
      </c>
      <c r="Y2266" s="11">
        <f>((X2266*330)/5.5)</f>
        <v>0</v>
      </c>
      <c r="AG2266" s="11">
        <f>(AF2266*65)</f>
        <v>0</v>
      </c>
      <c r="AI2266" s="11">
        <f>(AH2266*65)</f>
        <v>0</v>
      </c>
      <c r="AK2266" s="13">
        <f>(AJ2266*9)</f>
        <v>0</v>
      </c>
      <c r="AM2266" s="13">
        <f>(AL2266*9)</f>
        <v>0</v>
      </c>
      <c r="AO2266" s="11">
        <f>(AN2266*80)</f>
        <v>0</v>
      </c>
      <c r="AQ2266" s="11">
        <f>(AP2266*80)</f>
        <v>0</v>
      </c>
      <c r="AS2266" s="11">
        <f>(AR2266*50)</f>
        <v>0</v>
      </c>
      <c r="AU2266" s="11">
        <f>(AT2266*50)</f>
        <v>0</v>
      </c>
      <c r="AW2266" s="11">
        <f>(AV2266*60)</f>
        <v>0</v>
      </c>
      <c r="AY2266" s="11">
        <f>(AX2266*60)</f>
        <v>0</v>
      </c>
      <c r="BA2266" s="11">
        <f>(AZ2266*40)</f>
        <v>0</v>
      </c>
      <c r="BC2266" s="11">
        <f>(BB2266*40)</f>
        <v>0</v>
      </c>
      <c r="BE2266" s="11">
        <f>(BD2266*95)</f>
        <v>0</v>
      </c>
      <c r="BG2266" s="11">
        <f>(BF2266*95)</f>
        <v>0</v>
      </c>
      <c r="BN2266" s="8">
        <f t="shared" si="2244"/>
        <v>0</v>
      </c>
      <c r="BO2266" s="8">
        <f t="shared" si="2245"/>
        <v>0</v>
      </c>
      <c r="BP2266" s="8">
        <f t="shared" si="2265"/>
        <v>0</v>
      </c>
      <c r="BQ2266" s="12">
        <f t="shared" si="2266"/>
        <v>0</v>
      </c>
    </row>
    <row r="2267" spans="1:69">
      <c r="A2267" s="28">
        <v>1958</v>
      </c>
      <c r="B2267" s="27" t="s">
        <v>102</v>
      </c>
      <c r="C2267" s="24">
        <f t="shared" si="2288"/>
        <v>2264</v>
      </c>
      <c r="D2267" s="7" t="e">
        <f t="shared" ca="1" si="2286"/>
        <v>#N/A</v>
      </c>
      <c r="E2267" s="26">
        <f t="array" aca="1" ref="E2267" ca="1">AVERAGE(IF(INDIRECT(DatCol&amp;"$"&amp;TEXT(C2267,"###")):INDIRECT(DatCol&amp;"$"&amp;TEXT(C2267+57,"###"))&gt;0,INDIRECT(DatCol&amp;"$"&amp;TEXT(C2267,"###")):INDIRECT(DatCol&amp;"$"&amp;TEXT(C2267+57,"###"))))</f>
        <v>490.72727272727275</v>
      </c>
      <c r="F2267" s="26" t="str">
        <f t="shared" si="2267"/>
        <v>S</v>
      </c>
      <c r="G2267" s="8"/>
      <c r="K2267" s="9">
        <f t="shared" si="2246"/>
        <v>0</v>
      </c>
      <c r="M2267" s="11">
        <f>(L2267*50)</f>
        <v>0</v>
      </c>
      <c r="O2267" s="11">
        <f>(N2267*50)</f>
        <v>0</v>
      </c>
      <c r="Q2267" s="11">
        <f>((P2267*330)/5.5)</f>
        <v>0</v>
      </c>
      <c r="Y2267" s="11">
        <f>((X2267*330)/5.5)</f>
        <v>0</v>
      </c>
      <c r="AG2267" s="11">
        <f>(AF2267*65)</f>
        <v>0</v>
      </c>
      <c r="AI2267" s="11">
        <f>(AH2267*65)</f>
        <v>0</v>
      </c>
      <c r="AK2267" s="13">
        <f>(AJ2267*9)</f>
        <v>0</v>
      </c>
      <c r="AM2267" s="13">
        <f>(AL2267*9)</f>
        <v>0</v>
      </c>
      <c r="AO2267" s="11">
        <f>(AN2267*80)</f>
        <v>0</v>
      </c>
      <c r="AQ2267" s="11">
        <f>(AP2267*80)</f>
        <v>0</v>
      </c>
      <c r="AS2267" s="11">
        <f>(AR2267*50)</f>
        <v>0</v>
      </c>
      <c r="AU2267" s="11">
        <f>(AT2267*50)</f>
        <v>0</v>
      </c>
      <c r="AW2267" s="11">
        <f>(AV2267*60)</f>
        <v>0</v>
      </c>
      <c r="AY2267" s="11">
        <f>(AX2267*60)</f>
        <v>0</v>
      </c>
      <c r="BA2267" s="11">
        <f>(AZ2267*40)</f>
        <v>0</v>
      </c>
      <c r="BC2267" s="11">
        <f>(BB2267*40)</f>
        <v>0</v>
      </c>
      <c r="BE2267" s="11">
        <f>(BD2267*95)</f>
        <v>0</v>
      </c>
      <c r="BG2267" s="11">
        <f>(BF2267*95)</f>
        <v>0</v>
      </c>
      <c r="BN2267" s="8">
        <f t="shared" si="2244"/>
        <v>0</v>
      </c>
      <c r="BO2267" s="8">
        <f t="shared" si="2245"/>
        <v>0</v>
      </c>
      <c r="BP2267" s="8">
        <f t="shared" si="2265"/>
        <v>0</v>
      </c>
      <c r="BQ2267" s="12">
        <f t="shared" si="2266"/>
        <v>0</v>
      </c>
    </row>
    <row r="2268" spans="1:69">
      <c r="A2268" s="28">
        <v>1959</v>
      </c>
      <c r="B2268" s="27" t="s">
        <v>102</v>
      </c>
      <c r="C2268" s="24">
        <f t="shared" si="2288"/>
        <v>2264</v>
      </c>
      <c r="D2268" s="7" t="e">
        <f t="shared" ca="1" si="2286"/>
        <v>#N/A</v>
      </c>
      <c r="E2268" s="26">
        <f t="array" aca="1" ref="E2268" ca="1">AVERAGE(IF(INDIRECT(DatCol&amp;"$"&amp;TEXT(C2268,"###")):INDIRECT(DatCol&amp;"$"&amp;TEXT(C2268+57,"###"))&gt;0,INDIRECT(DatCol&amp;"$"&amp;TEXT(C2268,"###")):INDIRECT(DatCol&amp;"$"&amp;TEXT(C2268+57,"###"))))</f>
        <v>490.72727272727275</v>
      </c>
      <c r="F2268" s="26" t="str">
        <f t="shared" si="2267"/>
        <v>S</v>
      </c>
      <c r="G2268" s="8"/>
      <c r="K2268" s="9">
        <f t="shared" si="2246"/>
        <v>0</v>
      </c>
      <c r="M2268" s="11">
        <f t="shared" ref="M2268:M2283" si="2289">(L2268*50)</f>
        <v>0</v>
      </c>
      <c r="O2268" s="11">
        <f t="shared" ref="O2268:O2283" si="2290">(N2268*50)</f>
        <v>0</v>
      </c>
      <c r="Q2268" s="11">
        <f t="shared" ref="Q2268:Q2283" si="2291">((P2268*330)/5.5)</f>
        <v>0</v>
      </c>
      <c r="Y2268" s="11">
        <f t="shared" ref="Y2268:Y2283" si="2292">((X2268*330)/5.5)</f>
        <v>0</v>
      </c>
      <c r="AG2268" s="11">
        <f t="shared" ref="AG2268:AG2283" si="2293">(AF2268*65)</f>
        <v>0</v>
      </c>
      <c r="AI2268" s="11">
        <f t="shared" ref="AI2268:AI2283" si="2294">(AH2268*65)</f>
        <v>0</v>
      </c>
      <c r="AK2268" s="13">
        <f t="shared" ref="AK2268:AK2283" si="2295">(AJ2268*9)</f>
        <v>0</v>
      </c>
      <c r="AM2268" s="13">
        <f t="shared" ref="AM2268:AM2283" si="2296">(AL2268*9)</f>
        <v>0</v>
      </c>
      <c r="AO2268" s="11">
        <f t="shared" ref="AO2268:AO2283" si="2297">(AN2268*80)</f>
        <v>0</v>
      </c>
      <c r="AQ2268" s="11">
        <f t="shared" ref="AQ2268:AQ2283" si="2298">(AP2268*80)</f>
        <v>0</v>
      </c>
      <c r="AS2268" s="11">
        <f t="shared" ref="AS2268:AS2283" si="2299">(AR2268*50)</f>
        <v>0</v>
      </c>
      <c r="AU2268" s="11">
        <f t="shared" ref="AU2268:AU2283" si="2300">(AT2268*50)</f>
        <v>0</v>
      </c>
      <c r="AW2268" s="11">
        <f t="shared" ref="AW2268:AW2283" si="2301">(AV2268*60)</f>
        <v>0</v>
      </c>
      <c r="AY2268" s="11">
        <f t="shared" ref="AY2268:AY2283" si="2302">(AX2268*60)</f>
        <v>0</v>
      </c>
      <c r="BA2268" s="11">
        <f t="shared" ref="BA2268:BA2283" si="2303">(AZ2268*40)</f>
        <v>0</v>
      </c>
      <c r="BC2268" s="11">
        <f t="shared" ref="BC2268:BC2283" si="2304">(BB2268*40)</f>
        <v>0</v>
      </c>
      <c r="BE2268" s="11">
        <f t="shared" ref="BE2268:BE2283" si="2305">(BD2268*95)</f>
        <v>0</v>
      </c>
      <c r="BG2268" s="11">
        <f t="shared" ref="BG2268:BG2283" si="2306">(BF2268*95)</f>
        <v>0</v>
      </c>
      <c r="BN2268" s="8">
        <f t="shared" si="2244"/>
        <v>0</v>
      </c>
      <c r="BO2268" s="8">
        <f t="shared" si="2245"/>
        <v>0</v>
      </c>
      <c r="BP2268" s="8">
        <f t="shared" si="2265"/>
        <v>0</v>
      </c>
      <c r="BQ2268" s="12">
        <f t="shared" si="2266"/>
        <v>0</v>
      </c>
    </row>
    <row r="2269" spans="1:69">
      <c r="A2269" s="28">
        <v>1960</v>
      </c>
      <c r="B2269" s="27" t="s">
        <v>102</v>
      </c>
      <c r="C2269" s="24">
        <f t="shared" si="2288"/>
        <v>2264</v>
      </c>
      <c r="D2269" s="7" t="e">
        <f t="shared" ca="1" si="2286"/>
        <v>#N/A</v>
      </c>
      <c r="E2269" s="26">
        <f t="array" aca="1" ref="E2269" ca="1">AVERAGE(IF(INDIRECT(DatCol&amp;"$"&amp;TEXT(C2269,"###")):INDIRECT(DatCol&amp;"$"&amp;TEXT(C2269+57,"###"))&gt;0,INDIRECT(DatCol&amp;"$"&amp;TEXT(C2269,"###")):INDIRECT(DatCol&amp;"$"&amp;TEXT(C2269+57,"###"))))</f>
        <v>490.72727272727275</v>
      </c>
      <c r="F2269" s="26" t="str">
        <f t="shared" si="2267"/>
        <v>S</v>
      </c>
      <c r="G2269" s="8"/>
      <c r="K2269" s="9">
        <f t="shared" si="2246"/>
        <v>0</v>
      </c>
      <c r="M2269" s="11">
        <f t="shared" si="2289"/>
        <v>0</v>
      </c>
      <c r="O2269" s="11">
        <f t="shared" si="2290"/>
        <v>0</v>
      </c>
      <c r="Q2269" s="11">
        <f t="shared" si="2291"/>
        <v>0</v>
      </c>
      <c r="Y2269" s="11">
        <f t="shared" si="2292"/>
        <v>0</v>
      </c>
      <c r="AG2269" s="11">
        <f t="shared" si="2293"/>
        <v>0</v>
      </c>
      <c r="AI2269" s="11">
        <f t="shared" si="2294"/>
        <v>0</v>
      </c>
      <c r="AK2269" s="13">
        <f t="shared" si="2295"/>
        <v>0</v>
      </c>
      <c r="AM2269" s="13">
        <f t="shared" si="2296"/>
        <v>0</v>
      </c>
      <c r="AO2269" s="11">
        <f t="shared" si="2297"/>
        <v>0</v>
      </c>
      <c r="AQ2269" s="11">
        <f t="shared" si="2298"/>
        <v>0</v>
      </c>
      <c r="AS2269" s="11">
        <f t="shared" si="2299"/>
        <v>0</v>
      </c>
      <c r="AU2269" s="11">
        <f t="shared" si="2300"/>
        <v>0</v>
      </c>
      <c r="AW2269" s="11">
        <f t="shared" si="2301"/>
        <v>0</v>
      </c>
      <c r="AY2269" s="11">
        <f t="shared" si="2302"/>
        <v>0</v>
      </c>
      <c r="BA2269" s="11">
        <f t="shared" si="2303"/>
        <v>0</v>
      </c>
      <c r="BC2269" s="11">
        <f t="shared" si="2304"/>
        <v>0</v>
      </c>
      <c r="BE2269" s="11">
        <f t="shared" si="2305"/>
        <v>0</v>
      </c>
      <c r="BG2269" s="11">
        <f t="shared" si="2306"/>
        <v>0</v>
      </c>
      <c r="BN2269" s="8">
        <f t="shared" si="2244"/>
        <v>0</v>
      </c>
      <c r="BO2269" s="8">
        <f t="shared" si="2245"/>
        <v>0</v>
      </c>
      <c r="BP2269" s="8">
        <f t="shared" si="2265"/>
        <v>0</v>
      </c>
      <c r="BQ2269" s="12">
        <f t="shared" si="2266"/>
        <v>0</v>
      </c>
    </row>
    <row r="2270" spans="1:69">
      <c r="A2270" s="28">
        <v>1961</v>
      </c>
      <c r="B2270" s="27" t="s">
        <v>102</v>
      </c>
      <c r="C2270" s="24">
        <f t="shared" si="2288"/>
        <v>2264</v>
      </c>
      <c r="D2270" s="7" t="e">
        <f t="shared" ca="1" si="2286"/>
        <v>#N/A</v>
      </c>
      <c r="E2270" s="26">
        <f t="array" aca="1" ref="E2270" ca="1">AVERAGE(IF(INDIRECT(DatCol&amp;"$"&amp;TEXT(C2270,"###")):INDIRECT(DatCol&amp;"$"&amp;TEXT(C2270+57,"###"))&gt;0,INDIRECT(DatCol&amp;"$"&amp;TEXT(C2270,"###")):INDIRECT(DatCol&amp;"$"&amp;TEXT(C2270+57,"###"))))</f>
        <v>490.72727272727275</v>
      </c>
      <c r="F2270" s="26" t="str">
        <f t="shared" si="2267"/>
        <v>S</v>
      </c>
      <c r="G2270" s="8"/>
      <c r="K2270" s="9">
        <f t="shared" si="2246"/>
        <v>0</v>
      </c>
      <c r="M2270" s="11">
        <f t="shared" si="2289"/>
        <v>0</v>
      </c>
      <c r="O2270" s="11">
        <f t="shared" si="2290"/>
        <v>0</v>
      </c>
      <c r="Q2270" s="11">
        <f t="shared" si="2291"/>
        <v>0</v>
      </c>
      <c r="Y2270" s="11">
        <f t="shared" si="2292"/>
        <v>0</v>
      </c>
      <c r="AG2270" s="11">
        <f t="shared" si="2293"/>
        <v>0</v>
      </c>
      <c r="AI2270" s="11">
        <f t="shared" si="2294"/>
        <v>0</v>
      </c>
      <c r="AK2270" s="13">
        <f t="shared" si="2295"/>
        <v>0</v>
      </c>
      <c r="AM2270" s="13">
        <f t="shared" si="2296"/>
        <v>0</v>
      </c>
      <c r="AO2270" s="11">
        <f t="shared" si="2297"/>
        <v>0</v>
      </c>
      <c r="AQ2270" s="11">
        <f t="shared" si="2298"/>
        <v>0</v>
      </c>
      <c r="AS2270" s="11">
        <f t="shared" si="2299"/>
        <v>0</v>
      </c>
      <c r="AU2270" s="11">
        <f t="shared" si="2300"/>
        <v>0</v>
      </c>
      <c r="AW2270" s="11">
        <f t="shared" si="2301"/>
        <v>0</v>
      </c>
      <c r="AY2270" s="11">
        <f t="shared" si="2302"/>
        <v>0</v>
      </c>
      <c r="BA2270" s="11">
        <f t="shared" si="2303"/>
        <v>0</v>
      </c>
      <c r="BC2270" s="11">
        <f t="shared" si="2304"/>
        <v>0</v>
      </c>
      <c r="BE2270" s="11">
        <f t="shared" si="2305"/>
        <v>0</v>
      </c>
      <c r="BG2270" s="11">
        <f t="shared" si="2306"/>
        <v>0</v>
      </c>
      <c r="BN2270" s="8">
        <f t="shared" si="2244"/>
        <v>0</v>
      </c>
      <c r="BO2270" s="8">
        <f t="shared" si="2245"/>
        <v>0</v>
      </c>
      <c r="BP2270" s="8">
        <f t="shared" si="2265"/>
        <v>0</v>
      </c>
      <c r="BQ2270" s="12">
        <f t="shared" si="2266"/>
        <v>0</v>
      </c>
    </row>
    <row r="2271" spans="1:69">
      <c r="A2271" s="28">
        <v>1962</v>
      </c>
      <c r="B2271" s="27" t="s">
        <v>102</v>
      </c>
      <c r="C2271" s="24">
        <f t="shared" si="2288"/>
        <v>2264</v>
      </c>
      <c r="D2271" s="7" t="e">
        <f t="shared" ca="1" si="2286"/>
        <v>#N/A</v>
      </c>
      <c r="E2271" s="26">
        <f t="array" aca="1" ref="E2271" ca="1">AVERAGE(IF(INDIRECT(DatCol&amp;"$"&amp;TEXT(C2271,"###")):INDIRECT(DatCol&amp;"$"&amp;TEXT(C2271+57,"###"))&gt;0,INDIRECT(DatCol&amp;"$"&amp;TEXT(C2271,"###")):INDIRECT(DatCol&amp;"$"&amp;TEXT(C2271+57,"###"))))</f>
        <v>490.72727272727275</v>
      </c>
      <c r="F2271" s="26" t="str">
        <f t="shared" si="2267"/>
        <v>S</v>
      </c>
      <c r="G2271" s="8"/>
      <c r="K2271" s="9">
        <f t="shared" si="2246"/>
        <v>0</v>
      </c>
      <c r="M2271" s="11">
        <f t="shared" si="2289"/>
        <v>0</v>
      </c>
      <c r="O2271" s="11">
        <f t="shared" si="2290"/>
        <v>0</v>
      </c>
      <c r="Q2271" s="11">
        <f t="shared" si="2291"/>
        <v>0</v>
      </c>
      <c r="Y2271" s="11">
        <f t="shared" si="2292"/>
        <v>0</v>
      </c>
      <c r="AG2271" s="11">
        <f t="shared" si="2293"/>
        <v>0</v>
      </c>
      <c r="AI2271" s="11">
        <f t="shared" si="2294"/>
        <v>0</v>
      </c>
      <c r="AK2271" s="13">
        <f t="shared" si="2295"/>
        <v>0</v>
      </c>
      <c r="AM2271" s="13">
        <f t="shared" si="2296"/>
        <v>0</v>
      </c>
      <c r="AO2271" s="11">
        <f t="shared" si="2297"/>
        <v>0</v>
      </c>
      <c r="AQ2271" s="11">
        <f t="shared" si="2298"/>
        <v>0</v>
      </c>
      <c r="AS2271" s="11">
        <f t="shared" si="2299"/>
        <v>0</v>
      </c>
      <c r="AU2271" s="11">
        <f t="shared" si="2300"/>
        <v>0</v>
      </c>
      <c r="AW2271" s="11">
        <f t="shared" si="2301"/>
        <v>0</v>
      </c>
      <c r="AY2271" s="11">
        <f t="shared" si="2302"/>
        <v>0</v>
      </c>
      <c r="BA2271" s="11">
        <f t="shared" si="2303"/>
        <v>0</v>
      </c>
      <c r="BC2271" s="11">
        <f t="shared" si="2304"/>
        <v>0</v>
      </c>
      <c r="BE2271" s="11">
        <f t="shared" si="2305"/>
        <v>0</v>
      </c>
      <c r="BG2271" s="11">
        <f t="shared" si="2306"/>
        <v>0</v>
      </c>
      <c r="BN2271" s="8">
        <f t="shared" si="2244"/>
        <v>0</v>
      </c>
      <c r="BO2271" s="8">
        <f t="shared" si="2245"/>
        <v>0</v>
      </c>
      <c r="BP2271" s="8">
        <f t="shared" si="2265"/>
        <v>0</v>
      </c>
      <c r="BQ2271" s="12">
        <f t="shared" si="2266"/>
        <v>0</v>
      </c>
    </row>
    <row r="2272" spans="1:69">
      <c r="A2272" s="28">
        <v>1963</v>
      </c>
      <c r="B2272" s="27" t="s">
        <v>102</v>
      </c>
      <c r="C2272" s="24">
        <f t="shared" si="2288"/>
        <v>2264</v>
      </c>
      <c r="D2272" s="7" t="e">
        <f t="shared" ca="1" si="2286"/>
        <v>#N/A</v>
      </c>
      <c r="E2272" s="26">
        <f t="array" aca="1" ref="E2272" ca="1">AVERAGE(IF(INDIRECT(DatCol&amp;"$"&amp;TEXT(C2272,"###")):INDIRECT(DatCol&amp;"$"&amp;TEXT(C2272+57,"###"))&gt;0,INDIRECT(DatCol&amp;"$"&amp;TEXT(C2272,"###")):INDIRECT(DatCol&amp;"$"&amp;TEXT(C2272+57,"###"))))</f>
        <v>490.72727272727275</v>
      </c>
      <c r="F2272" s="26" t="str">
        <f t="shared" si="2267"/>
        <v>S</v>
      </c>
      <c r="G2272" s="8"/>
      <c r="I2272" s="8">
        <v>3</v>
      </c>
      <c r="J2272" s="8">
        <v>338</v>
      </c>
      <c r="K2272" s="9">
        <f t="shared" si="2246"/>
        <v>338</v>
      </c>
      <c r="M2272" s="11">
        <f t="shared" si="2289"/>
        <v>0</v>
      </c>
      <c r="O2272" s="11">
        <f t="shared" si="2290"/>
        <v>0</v>
      </c>
      <c r="Q2272" s="11">
        <f t="shared" si="2291"/>
        <v>0</v>
      </c>
      <c r="Y2272" s="11">
        <f t="shared" si="2292"/>
        <v>0</v>
      </c>
      <c r="AG2272" s="11">
        <f t="shared" si="2293"/>
        <v>0</v>
      </c>
      <c r="AI2272" s="11">
        <f t="shared" si="2294"/>
        <v>0</v>
      </c>
      <c r="AK2272" s="13">
        <f t="shared" si="2295"/>
        <v>0</v>
      </c>
      <c r="AM2272" s="13">
        <f t="shared" si="2296"/>
        <v>0</v>
      </c>
      <c r="AO2272" s="11">
        <f t="shared" si="2297"/>
        <v>0</v>
      </c>
      <c r="AQ2272" s="11">
        <f t="shared" si="2298"/>
        <v>0</v>
      </c>
      <c r="AR2272" s="12">
        <v>4000</v>
      </c>
      <c r="AS2272" s="11">
        <f t="shared" si="2299"/>
        <v>200000</v>
      </c>
      <c r="AU2272" s="11">
        <f t="shared" si="2300"/>
        <v>0</v>
      </c>
      <c r="AW2272" s="11">
        <f t="shared" si="2301"/>
        <v>0</v>
      </c>
      <c r="AY2272" s="11">
        <f t="shared" si="2302"/>
        <v>0</v>
      </c>
      <c r="BA2272" s="11">
        <f t="shared" si="2303"/>
        <v>0</v>
      </c>
      <c r="BC2272" s="11">
        <f t="shared" si="2304"/>
        <v>0</v>
      </c>
      <c r="BE2272" s="11">
        <f t="shared" si="2305"/>
        <v>0</v>
      </c>
      <c r="BG2272" s="11">
        <f t="shared" si="2306"/>
        <v>0</v>
      </c>
      <c r="BN2272" s="8">
        <f t="shared" si="2244"/>
        <v>4000</v>
      </c>
      <c r="BO2272" s="8">
        <f t="shared" si="2245"/>
        <v>200000</v>
      </c>
      <c r="BP2272" s="8">
        <f t="shared" si="2265"/>
        <v>0</v>
      </c>
      <c r="BQ2272" s="12">
        <f t="shared" si="2266"/>
        <v>0</v>
      </c>
    </row>
    <row r="2273" spans="1:69">
      <c r="A2273" s="28">
        <v>1964</v>
      </c>
      <c r="B2273" s="27" t="s">
        <v>102</v>
      </c>
      <c r="C2273" s="24">
        <f t="shared" si="2288"/>
        <v>2264</v>
      </c>
      <c r="D2273" s="7" t="e">
        <f t="shared" ca="1" si="2286"/>
        <v>#N/A</v>
      </c>
      <c r="E2273" s="26">
        <f t="array" aca="1" ref="E2273" ca="1">AVERAGE(IF(INDIRECT(DatCol&amp;"$"&amp;TEXT(C2273,"###")):INDIRECT(DatCol&amp;"$"&amp;TEXT(C2273+57,"###"))&gt;0,INDIRECT(DatCol&amp;"$"&amp;TEXT(C2273,"###")):INDIRECT(DatCol&amp;"$"&amp;TEXT(C2273+57,"###"))))</f>
        <v>490.72727272727275</v>
      </c>
      <c r="F2273" s="26" t="str">
        <f t="shared" si="2267"/>
        <v>S</v>
      </c>
      <c r="G2273" s="8"/>
      <c r="K2273" s="9">
        <f t="shared" si="2246"/>
        <v>0</v>
      </c>
      <c r="M2273" s="11">
        <f t="shared" si="2289"/>
        <v>0</v>
      </c>
      <c r="O2273" s="11">
        <f t="shared" si="2290"/>
        <v>0</v>
      </c>
      <c r="Q2273" s="11">
        <f t="shared" si="2291"/>
        <v>0</v>
      </c>
      <c r="Y2273" s="11">
        <f t="shared" si="2292"/>
        <v>0</v>
      </c>
      <c r="AG2273" s="11">
        <f t="shared" si="2293"/>
        <v>0</v>
      </c>
      <c r="AI2273" s="11">
        <f t="shared" si="2294"/>
        <v>0</v>
      </c>
      <c r="AK2273" s="13">
        <f t="shared" si="2295"/>
        <v>0</v>
      </c>
      <c r="AM2273" s="13">
        <f t="shared" si="2296"/>
        <v>0</v>
      </c>
      <c r="AO2273" s="11">
        <f t="shared" si="2297"/>
        <v>0</v>
      </c>
      <c r="AQ2273" s="11">
        <f t="shared" si="2298"/>
        <v>0</v>
      </c>
      <c r="AS2273" s="11">
        <f t="shared" si="2299"/>
        <v>0</v>
      </c>
      <c r="AU2273" s="11">
        <f t="shared" si="2300"/>
        <v>0</v>
      </c>
      <c r="AW2273" s="11">
        <f t="shared" si="2301"/>
        <v>0</v>
      </c>
      <c r="AY2273" s="11">
        <f t="shared" si="2302"/>
        <v>0</v>
      </c>
      <c r="BA2273" s="11">
        <f t="shared" si="2303"/>
        <v>0</v>
      </c>
      <c r="BC2273" s="11">
        <f t="shared" si="2304"/>
        <v>0</v>
      </c>
      <c r="BE2273" s="11">
        <f t="shared" si="2305"/>
        <v>0</v>
      </c>
      <c r="BG2273" s="11">
        <f t="shared" si="2306"/>
        <v>0</v>
      </c>
      <c r="BN2273" s="8">
        <f t="shared" si="2244"/>
        <v>0</v>
      </c>
      <c r="BO2273" s="8">
        <f t="shared" si="2245"/>
        <v>0</v>
      </c>
      <c r="BP2273" s="8">
        <f t="shared" si="2265"/>
        <v>0</v>
      </c>
      <c r="BQ2273" s="12">
        <f t="shared" si="2266"/>
        <v>0</v>
      </c>
    </row>
    <row r="2274" spans="1:69">
      <c r="A2274" s="28">
        <v>1965</v>
      </c>
      <c r="B2274" s="27" t="s">
        <v>102</v>
      </c>
      <c r="C2274" s="24">
        <f t="shared" si="2288"/>
        <v>2264</v>
      </c>
      <c r="D2274" s="7" t="e">
        <f t="shared" ca="1" si="2286"/>
        <v>#N/A</v>
      </c>
      <c r="E2274" s="26">
        <f t="array" aca="1" ref="E2274" ca="1">AVERAGE(IF(INDIRECT(DatCol&amp;"$"&amp;TEXT(C2274,"###")):INDIRECT(DatCol&amp;"$"&amp;TEXT(C2274+57,"###"))&gt;0,INDIRECT(DatCol&amp;"$"&amp;TEXT(C2274,"###")):INDIRECT(DatCol&amp;"$"&amp;TEXT(C2274+57,"###"))))</f>
        <v>490.72727272727275</v>
      </c>
      <c r="F2274" s="26" t="str">
        <f t="shared" si="2267"/>
        <v>S</v>
      </c>
      <c r="G2274" s="8"/>
      <c r="K2274" s="9">
        <f t="shared" si="2246"/>
        <v>0</v>
      </c>
      <c r="M2274" s="11">
        <f t="shared" si="2289"/>
        <v>0</v>
      </c>
      <c r="O2274" s="11">
        <f t="shared" si="2290"/>
        <v>0</v>
      </c>
      <c r="Q2274" s="11">
        <f t="shared" si="2291"/>
        <v>0</v>
      </c>
      <c r="Y2274" s="11">
        <f t="shared" si="2292"/>
        <v>0</v>
      </c>
      <c r="AG2274" s="11">
        <f t="shared" si="2293"/>
        <v>0</v>
      </c>
      <c r="AI2274" s="11">
        <f t="shared" si="2294"/>
        <v>0</v>
      </c>
      <c r="AK2274" s="13">
        <f t="shared" si="2295"/>
        <v>0</v>
      </c>
      <c r="AM2274" s="13">
        <f t="shared" si="2296"/>
        <v>0</v>
      </c>
      <c r="AO2274" s="11">
        <f t="shared" si="2297"/>
        <v>0</v>
      </c>
      <c r="AQ2274" s="11">
        <f t="shared" si="2298"/>
        <v>0</v>
      </c>
      <c r="AS2274" s="11">
        <f t="shared" si="2299"/>
        <v>0</v>
      </c>
      <c r="AU2274" s="11">
        <f t="shared" si="2300"/>
        <v>0</v>
      </c>
      <c r="AW2274" s="11">
        <f t="shared" si="2301"/>
        <v>0</v>
      </c>
      <c r="AY2274" s="11">
        <f t="shared" si="2302"/>
        <v>0</v>
      </c>
      <c r="BA2274" s="11">
        <f t="shared" si="2303"/>
        <v>0</v>
      </c>
      <c r="BC2274" s="11">
        <f t="shared" si="2304"/>
        <v>0</v>
      </c>
      <c r="BE2274" s="11">
        <f t="shared" si="2305"/>
        <v>0</v>
      </c>
      <c r="BG2274" s="11">
        <f t="shared" si="2306"/>
        <v>0</v>
      </c>
      <c r="BN2274" s="8">
        <f t="shared" si="2244"/>
        <v>0</v>
      </c>
      <c r="BO2274" s="8">
        <f t="shared" si="2245"/>
        <v>0</v>
      </c>
      <c r="BP2274" s="8">
        <f t="shared" si="2265"/>
        <v>0</v>
      </c>
      <c r="BQ2274" s="12">
        <f t="shared" si="2266"/>
        <v>0</v>
      </c>
    </row>
    <row r="2275" spans="1:69">
      <c r="A2275" s="28">
        <v>1966</v>
      </c>
      <c r="B2275" s="27" t="s">
        <v>102</v>
      </c>
      <c r="C2275" s="24">
        <f t="shared" si="2288"/>
        <v>2264</v>
      </c>
      <c r="D2275" s="7" t="e">
        <f t="shared" ca="1" si="2286"/>
        <v>#N/A</v>
      </c>
      <c r="E2275" s="26">
        <f t="array" aca="1" ref="E2275" ca="1">AVERAGE(IF(INDIRECT(DatCol&amp;"$"&amp;TEXT(C2275,"###")):INDIRECT(DatCol&amp;"$"&amp;TEXT(C2275+57,"###"))&gt;0,INDIRECT(DatCol&amp;"$"&amp;TEXT(C2275,"###")):INDIRECT(DatCol&amp;"$"&amp;TEXT(C2275+57,"###"))))</f>
        <v>490.72727272727275</v>
      </c>
      <c r="F2275" s="26" t="str">
        <f t="shared" si="2267"/>
        <v>S</v>
      </c>
      <c r="G2275" s="8"/>
      <c r="K2275" s="9">
        <f t="shared" si="2246"/>
        <v>0</v>
      </c>
      <c r="M2275" s="11">
        <f t="shared" si="2289"/>
        <v>0</v>
      </c>
      <c r="O2275" s="11">
        <f t="shared" si="2290"/>
        <v>0</v>
      </c>
      <c r="Q2275" s="11">
        <f t="shared" si="2291"/>
        <v>0</v>
      </c>
      <c r="Y2275" s="11">
        <f t="shared" si="2292"/>
        <v>0</v>
      </c>
      <c r="AG2275" s="11">
        <f t="shared" si="2293"/>
        <v>0</v>
      </c>
      <c r="AI2275" s="11">
        <f t="shared" si="2294"/>
        <v>0</v>
      </c>
      <c r="AK2275" s="13">
        <f t="shared" si="2295"/>
        <v>0</v>
      </c>
      <c r="AM2275" s="13">
        <f t="shared" si="2296"/>
        <v>0</v>
      </c>
      <c r="AO2275" s="11">
        <f t="shared" si="2297"/>
        <v>0</v>
      </c>
      <c r="AQ2275" s="11">
        <f t="shared" si="2298"/>
        <v>0</v>
      </c>
      <c r="AS2275" s="11">
        <f t="shared" si="2299"/>
        <v>0</v>
      </c>
      <c r="AU2275" s="11">
        <f t="shared" si="2300"/>
        <v>0</v>
      </c>
      <c r="AW2275" s="11">
        <f t="shared" si="2301"/>
        <v>0</v>
      </c>
      <c r="AY2275" s="11">
        <f t="shared" si="2302"/>
        <v>0</v>
      </c>
      <c r="BA2275" s="11">
        <f t="shared" si="2303"/>
        <v>0</v>
      </c>
      <c r="BC2275" s="11">
        <f t="shared" si="2304"/>
        <v>0</v>
      </c>
      <c r="BE2275" s="11">
        <f t="shared" si="2305"/>
        <v>0</v>
      </c>
      <c r="BG2275" s="11">
        <f t="shared" si="2306"/>
        <v>0</v>
      </c>
      <c r="BN2275" s="8">
        <f t="shared" si="2244"/>
        <v>0</v>
      </c>
      <c r="BO2275" s="8">
        <f t="shared" si="2245"/>
        <v>0</v>
      </c>
      <c r="BP2275" s="8">
        <f t="shared" si="2265"/>
        <v>0</v>
      </c>
      <c r="BQ2275" s="12">
        <f t="shared" si="2266"/>
        <v>0</v>
      </c>
    </row>
    <row r="2276" spans="1:69">
      <c r="A2276" s="28">
        <v>1967</v>
      </c>
      <c r="B2276" s="27" t="s">
        <v>102</v>
      </c>
      <c r="C2276" s="24">
        <f t="shared" si="2288"/>
        <v>2264</v>
      </c>
      <c r="D2276" s="7" t="e">
        <f t="shared" ca="1" si="2286"/>
        <v>#N/A</v>
      </c>
      <c r="E2276" s="26">
        <f t="array" aca="1" ref="E2276" ca="1">AVERAGE(IF(INDIRECT(DatCol&amp;"$"&amp;TEXT(C2276,"###")):INDIRECT(DatCol&amp;"$"&amp;TEXT(C2276+57,"###"))&gt;0,INDIRECT(DatCol&amp;"$"&amp;TEXT(C2276,"###")):INDIRECT(DatCol&amp;"$"&amp;TEXT(C2276+57,"###"))))</f>
        <v>490.72727272727275</v>
      </c>
      <c r="F2276" s="26" t="str">
        <f t="shared" si="2267"/>
        <v>S</v>
      </c>
      <c r="G2276" s="8"/>
      <c r="K2276" s="9">
        <f t="shared" si="2246"/>
        <v>0</v>
      </c>
      <c r="M2276" s="11">
        <f t="shared" si="2289"/>
        <v>0</v>
      </c>
      <c r="O2276" s="11">
        <f t="shared" si="2290"/>
        <v>0</v>
      </c>
      <c r="Q2276" s="11">
        <f t="shared" si="2291"/>
        <v>0</v>
      </c>
      <c r="Y2276" s="11">
        <f t="shared" si="2292"/>
        <v>0</v>
      </c>
      <c r="AG2276" s="11">
        <f t="shared" si="2293"/>
        <v>0</v>
      </c>
      <c r="AI2276" s="11">
        <f t="shared" si="2294"/>
        <v>0</v>
      </c>
      <c r="AK2276" s="13">
        <f t="shared" si="2295"/>
        <v>0</v>
      </c>
      <c r="AM2276" s="13">
        <f t="shared" si="2296"/>
        <v>0</v>
      </c>
      <c r="AO2276" s="11">
        <f t="shared" si="2297"/>
        <v>0</v>
      </c>
      <c r="AQ2276" s="11">
        <f t="shared" si="2298"/>
        <v>0</v>
      </c>
      <c r="AS2276" s="11">
        <f t="shared" si="2299"/>
        <v>0</v>
      </c>
      <c r="AU2276" s="11">
        <f t="shared" si="2300"/>
        <v>0</v>
      </c>
      <c r="AW2276" s="11">
        <f t="shared" si="2301"/>
        <v>0</v>
      </c>
      <c r="AY2276" s="11">
        <f t="shared" si="2302"/>
        <v>0</v>
      </c>
      <c r="BA2276" s="11">
        <f t="shared" si="2303"/>
        <v>0</v>
      </c>
      <c r="BC2276" s="11">
        <f t="shared" si="2304"/>
        <v>0</v>
      </c>
      <c r="BE2276" s="11">
        <f t="shared" si="2305"/>
        <v>0</v>
      </c>
      <c r="BG2276" s="11">
        <f t="shared" si="2306"/>
        <v>0</v>
      </c>
      <c r="BN2276" s="8">
        <f t="shared" si="2244"/>
        <v>0</v>
      </c>
      <c r="BO2276" s="8">
        <f t="shared" si="2245"/>
        <v>0</v>
      </c>
      <c r="BP2276" s="8">
        <f t="shared" si="2265"/>
        <v>0</v>
      </c>
      <c r="BQ2276" s="12">
        <f t="shared" si="2266"/>
        <v>0</v>
      </c>
    </row>
    <row r="2277" spans="1:69">
      <c r="A2277" s="28">
        <v>1968</v>
      </c>
      <c r="B2277" s="27" t="s">
        <v>102</v>
      </c>
      <c r="C2277" s="24">
        <f t="shared" si="2288"/>
        <v>2264</v>
      </c>
      <c r="D2277" s="7" t="e">
        <f t="shared" ca="1" si="2286"/>
        <v>#N/A</v>
      </c>
      <c r="E2277" s="26">
        <f t="array" aca="1" ref="E2277" ca="1">AVERAGE(IF(INDIRECT(DatCol&amp;"$"&amp;TEXT(C2277,"###")):INDIRECT(DatCol&amp;"$"&amp;TEXT(C2277+57,"###"))&gt;0,INDIRECT(DatCol&amp;"$"&amp;TEXT(C2277,"###")):INDIRECT(DatCol&amp;"$"&amp;TEXT(C2277+57,"###"))))</f>
        <v>490.72727272727275</v>
      </c>
      <c r="F2277" s="26" t="str">
        <f t="shared" si="2267"/>
        <v>S</v>
      </c>
      <c r="G2277" s="8"/>
      <c r="H2277" s="8">
        <v>219</v>
      </c>
      <c r="I2277" s="8">
        <v>15</v>
      </c>
      <c r="J2277" s="8">
        <v>630</v>
      </c>
      <c r="K2277" s="9">
        <f t="shared" si="2246"/>
        <v>849</v>
      </c>
      <c r="L2277" s="12">
        <v>513</v>
      </c>
      <c r="M2277" s="11">
        <f t="shared" si="2289"/>
        <v>25650</v>
      </c>
      <c r="N2277" s="12">
        <v>450</v>
      </c>
      <c r="O2277" s="11">
        <f t="shared" si="2290"/>
        <v>22500</v>
      </c>
      <c r="Q2277" s="11">
        <f t="shared" si="2291"/>
        <v>0</v>
      </c>
      <c r="Y2277" s="11">
        <f t="shared" si="2292"/>
        <v>0</v>
      </c>
      <c r="AG2277" s="11">
        <f t="shared" si="2293"/>
        <v>0</v>
      </c>
      <c r="AI2277" s="11">
        <f t="shared" si="2294"/>
        <v>0</v>
      </c>
      <c r="AK2277" s="13">
        <f t="shared" si="2295"/>
        <v>0</v>
      </c>
      <c r="AM2277" s="13">
        <f t="shared" si="2296"/>
        <v>0</v>
      </c>
      <c r="AO2277" s="11">
        <f t="shared" si="2297"/>
        <v>0</v>
      </c>
      <c r="AQ2277" s="11">
        <f t="shared" si="2298"/>
        <v>0</v>
      </c>
      <c r="AR2277" s="12">
        <v>1300</v>
      </c>
      <c r="AS2277" s="11">
        <f t="shared" si="2299"/>
        <v>65000</v>
      </c>
      <c r="AT2277" s="12">
        <v>25</v>
      </c>
      <c r="AU2277" s="11">
        <f t="shared" si="2300"/>
        <v>1250</v>
      </c>
      <c r="AW2277" s="11">
        <f t="shared" si="2301"/>
        <v>0</v>
      </c>
      <c r="AY2277" s="11">
        <f t="shared" si="2302"/>
        <v>0</v>
      </c>
      <c r="BA2277" s="11">
        <f t="shared" si="2303"/>
        <v>0</v>
      </c>
      <c r="BC2277" s="11">
        <f t="shared" si="2304"/>
        <v>0</v>
      </c>
      <c r="BE2277" s="11">
        <f t="shared" si="2305"/>
        <v>0</v>
      </c>
      <c r="BG2277" s="11">
        <f t="shared" si="2306"/>
        <v>0</v>
      </c>
      <c r="BN2277" s="8">
        <f t="shared" si="2244"/>
        <v>1813</v>
      </c>
      <c r="BO2277" s="8">
        <f t="shared" si="2245"/>
        <v>90650</v>
      </c>
      <c r="BP2277" s="8">
        <f t="shared" si="2265"/>
        <v>475</v>
      </c>
      <c r="BQ2277" s="12">
        <f t="shared" si="2266"/>
        <v>23750</v>
      </c>
    </row>
    <row r="2278" spans="1:69">
      <c r="A2278" s="28">
        <v>1969</v>
      </c>
      <c r="B2278" s="27" t="s">
        <v>102</v>
      </c>
      <c r="C2278" s="24">
        <f t="shared" si="2288"/>
        <v>2264</v>
      </c>
      <c r="D2278" s="7" t="e">
        <f t="shared" ca="1" si="2286"/>
        <v>#N/A</v>
      </c>
      <c r="E2278" s="26">
        <f t="array" aca="1" ref="E2278" ca="1">AVERAGE(IF(INDIRECT(DatCol&amp;"$"&amp;TEXT(C2278,"###")):INDIRECT(DatCol&amp;"$"&amp;TEXT(C2278+57,"###"))&gt;0,INDIRECT(DatCol&amp;"$"&amp;TEXT(C2278,"###")):INDIRECT(DatCol&amp;"$"&amp;TEXT(C2278+57,"###"))))</f>
        <v>490.72727272727275</v>
      </c>
      <c r="F2278" s="26" t="str">
        <f t="shared" si="2267"/>
        <v>S</v>
      </c>
      <c r="G2278" s="8"/>
      <c r="H2278" s="8">
        <v>133</v>
      </c>
      <c r="I2278" s="8">
        <v>0</v>
      </c>
      <c r="J2278" s="8">
        <v>430</v>
      </c>
      <c r="K2278" s="9">
        <f t="shared" si="2246"/>
        <v>563</v>
      </c>
      <c r="M2278" s="11">
        <f t="shared" si="2289"/>
        <v>0</v>
      </c>
      <c r="N2278" s="12">
        <v>575</v>
      </c>
      <c r="O2278" s="11">
        <f t="shared" si="2290"/>
        <v>28750</v>
      </c>
      <c r="Q2278" s="11">
        <f t="shared" si="2291"/>
        <v>0</v>
      </c>
      <c r="Y2278" s="11">
        <f t="shared" si="2292"/>
        <v>0</v>
      </c>
      <c r="AG2278" s="11">
        <f t="shared" si="2293"/>
        <v>0</v>
      </c>
      <c r="AI2278" s="11">
        <f t="shared" si="2294"/>
        <v>0</v>
      </c>
      <c r="AK2278" s="13">
        <f t="shared" si="2295"/>
        <v>0</v>
      </c>
      <c r="AM2278" s="13">
        <f t="shared" si="2296"/>
        <v>0</v>
      </c>
      <c r="AO2278" s="11">
        <f t="shared" si="2297"/>
        <v>0</v>
      </c>
      <c r="AQ2278" s="11">
        <f t="shared" si="2298"/>
        <v>0</v>
      </c>
      <c r="AS2278" s="11">
        <f t="shared" si="2299"/>
        <v>0</v>
      </c>
      <c r="AU2278" s="11">
        <f t="shared" si="2300"/>
        <v>0</v>
      </c>
      <c r="AW2278" s="11">
        <f t="shared" si="2301"/>
        <v>0</v>
      </c>
      <c r="AY2278" s="11">
        <f t="shared" si="2302"/>
        <v>0</v>
      </c>
      <c r="BA2278" s="11">
        <f t="shared" si="2303"/>
        <v>0</v>
      </c>
      <c r="BC2278" s="11">
        <f t="shared" si="2304"/>
        <v>0</v>
      </c>
      <c r="BE2278" s="11">
        <f t="shared" si="2305"/>
        <v>0</v>
      </c>
      <c r="BG2278" s="11">
        <f t="shared" si="2306"/>
        <v>0</v>
      </c>
      <c r="BN2278" s="8">
        <f t="shared" si="2244"/>
        <v>0</v>
      </c>
      <c r="BO2278" s="8">
        <f t="shared" si="2245"/>
        <v>0</v>
      </c>
      <c r="BP2278" s="8">
        <f t="shared" si="2265"/>
        <v>575</v>
      </c>
      <c r="BQ2278" s="12">
        <f t="shared" si="2266"/>
        <v>28750</v>
      </c>
    </row>
    <row r="2279" spans="1:69">
      <c r="A2279" s="28">
        <v>1970</v>
      </c>
      <c r="B2279" s="27" t="s">
        <v>102</v>
      </c>
      <c r="C2279" s="24">
        <f t="shared" si="2288"/>
        <v>2264</v>
      </c>
      <c r="D2279" s="7" t="e">
        <f t="shared" ca="1" si="2286"/>
        <v>#N/A</v>
      </c>
      <c r="E2279" s="26">
        <f t="array" aca="1" ref="E2279" ca="1">AVERAGE(IF(INDIRECT(DatCol&amp;"$"&amp;TEXT(C2279,"###")):INDIRECT(DatCol&amp;"$"&amp;TEXT(C2279+57,"###"))&gt;0,INDIRECT(DatCol&amp;"$"&amp;TEXT(C2279,"###")):INDIRECT(DatCol&amp;"$"&amp;TEXT(C2279+57,"###"))))</f>
        <v>490.72727272727275</v>
      </c>
      <c r="F2279" s="26" t="str">
        <f t="shared" si="2267"/>
        <v>S</v>
      </c>
      <c r="G2279" s="8"/>
      <c r="H2279" s="8">
        <v>56</v>
      </c>
      <c r="I2279" s="8">
        <v>0</v>
      </c>
      <c r="J2279" s="8">
        <v>720</v>
      </c>
      <c r="K2279" s="9">
        <f t="shared" si="2246"/>
        <v>776</v>
      </c>
      <c r="M2279" s="11">
        <f t="shared" si="2289"/>
        <v>0</v>
      </c>
      <c r="N2279" s="12">
        <v>776</v>
      </c>
      <c r="O2279" s="11">
        <f t="shared" si="2290"/>
        <v>38800</v>
      </c>
      <c r="Q2279" s="11">
        <f t="shared" si="2291"/>
        <v>0</v>
      </c>
      <c r="Y2279" s="11">
        <f t="shared" si="2292"/>
        <v>0</v>
      </c>
      <c r="AG2279" s="11">
        <f t="shared" si="2293"/>
        <v>0</v>
      </c>
      <c r="AI2279" s="11">
        <f t="shared" si="2294"/>
        <v>0</v>
      </c>
      <c r="AK2279" s="13">
        <f t="shared" si="2295"/>
        <v>0</v>
      </c>
      <c r="AM2279" s="13">
        <f t="shared" si="2296"/>
        <v>0</v>
      </c>
      <c r="AO2279" s="11">
        <f t="shared" si="2297"/>
        <v>0</v>
      </c>
      <c r="AQ2279" s="11">
        <f t="shared" si="2298"/>
        <v>0</v>
      </c>
      <c r="AS2279" s="11">
        <f t="shared" si="2299"/>
        <v>0</v>
      </c>
      <c r="AU2279" s="11">
        <f t="shared" si="2300"/>
        <v>0</v>
      </c>
      <c r="AW2279" s="11">
        <f t="shared" si="2301"/>
        <v>0</v>
      </c>
      <c r="AY2279" s="11">
        <f t="shared" si="2302"/>
        <v>0</v>
      </c>
      <c r="BA2279" s="11">
        <f t="shared" si="2303"/>
        <v>0</v>
      </c>
      <c r="BC2279" s="11">
        <f t="shared" si="2304"/>
        <v>0</v>
      </c>
      <c r="BE2279" s="11">
        <f t="shared" si="2305"/>
        <v>0</v>
      </c>
      <c r="BG2279" s="11">
        <f t="shared" si="2306"/>
        <v>0</v>
      </c>
      <c r="BN2279" s="8">
        <f t="shared" si="2244"/>
        <v>0</v>
      </c>
      <c r="BO2279" s="8">
        <f t="shared" si="2245"/>
        <v>0</v>
      </c>
      <c r="BP2279" s="8">
        <f t="shared" si="2265"/>
        <v>776</v>
      </c>
      <c r="BQ2279" s="12">
        <f t="shared" si="2266"/>
        <v>38800</v>
      </c>
    </row>
    <row r="2280" spans="1:69">
      <c r="A2280" s="28">
        <v>1971</v>
      </c>
      <c r="B2280" s="27" t="s">
        <v>102</v>
      </c>
      <c r="C2280" s="24">
        <f t="shared" si="2288"/>
        <v>2264</v>
      </c>
      <c r="D2280" s="7" t="e">
        <f t="shared" ca="1" si="2286"/>
        <v>#N/A</v>
      </c>
      <c r="E2280" s="26">
        <f t="array" aca="1" ref="E2280" ca="1">AVERAGE(IF(INDIRECT(DatCol&amp;"$"&amp;TEXT(C2280,"###")):INDIRECT(DatCol&amp;"$"&amp;TEXT(C2280+57,"###"))&gt;0,INDIRECT(DatCol&amp;"$"&amp;TEXT(C2280,"###")):INDIRECT(DatCol&amp;"$"&amp;TEXT(C2280+57,"###"))))</f>
        <v>490.72727272727275</v>
      </c>
      <c r="F2280" s="26" t="str">
        <f t="shared" si="2267"/>
        <v>S</v>
      </c>
      <c r="G2280" s="8"/>
      <c r="K2280" s="9">
        <f t="shared" si="2246"/>
        <v>0</v>
      </c>
      <c r="M2280" s="11">
        <f t="shared" si="2289"/>
        <v>0</v>
      </c>
      <c r="O2280" s="11">
        <f t="shared" si="2290"/>
        <v>0</v>
      </c>
      <c r="Q2280" s="11">
        <f t="shared" si="2291"/>
        <v>0</v>
      </c>
      <c r="Y2280" s="11">
        <f t="shared" si="2292"/>
        <v>0</v>
      </c>
      <c r="AG2280" s="11">
        <f t="shared" si="2293"/>
        <v>0</v>
      </c>
      <c r="AI2280" s="11">
        <f t="shared" si="2294"/>
        <v>0</v>
      </c>
      <c r="AK2280" s="13">
        <f t="shared" si="2295"/>
        <v>0</v>
      </c>
      <c r="AM2280" s="13">
        <f t="shared" si="2296"/>
        <v>0</v>
      </c>
      <c r="AO2280" s="11">
        <f t="shared" si="2297"/>
        <v>0</v>
      </c>
      <c r="AQ2280" s="11">
        <f t="shared" si="2298"/>
        <v>0</v>
      </c>
      <c r="AS2280" s="11">
        <f t="shared" si="2299"/>
        <v>0</v>
      </c>
      <c r="AU2280" s="11">
        <f t="shared" si="2300"/>
        <v>0</v>
      </c>
      <c r="AW2280" s="11">
        <f t="shared" si="2301"/>
        <v>0</v>
      </c>
      <c r="AY2280" s="11">
        <f t="shared" si="2302"/>
        <v>0</v>
      </c>
      <c r="BA2280" s="11">
        <f t="shared" si="2303"/>
        <v>0</v>
      </c>
      <c r="BC2280" s="11">
        <f t="shared" si="2304"/>
        <v>0</v>
      </c>
      <c r="BE2280" s="11">
        <f t="shared" si="2305"/>
        <v>0</v>
      </c>
      <c r="BG2280" s="11">
        <f t="shared" si="2306"/>
        <v>0</v>
      </c>
      <c r="BN2280" s="8">
        <f t="shared" ref="BN2280:BN2344" si="2307">(L2280+P2280+R2280+T2280+V2280+X2280+Z2280+AB2280+AD2280+AF2280+AJ2280+AN2280+AR2280+AV2280+AZ2280+BD2280)</f>
        <v>0</v>
      </c>
      <c r="BO2280" s="8">
        <f t="shared" si="2245"/>
        <v>0</v>
      </c>
      <c r="BP2280" s="8">
        <f t="shared" si="2265"/>
        <v>0</v>
      </c>
      <c r="BQ2280" s="12">
        <f t="shared" si="2266"/>
        <v>0</v>
      </c>
    </row>
    <row r="2281" spans="1:69">
      <c r="A2281" s="28">
        <v>1972</v>
      </c>
      <c r="B2281" s="27" t="s">
        <v>102</v>
      </c>
      <c r="C2281" s="24">
        <f t="shared" si="2288"/>
        <v>2264</v>
      </c>
      <c r="D2281" s="7" t="e">
        <f t="shared" ca="1" si="2286"/>
        <v>#N/A</v>
      </c>
      <c r="E2281" s="26">
        <f t="array" aca="1" ref="E2281" ca="1">AVERAGE(IF(INDIRECT(DatCol&amp;"$"&amp;TEXT(C2281,"###")):INDIRECT(DatCol&amp;"$"&amp;TEXT(C2281+57,"###"))&gt;0,INDIRECT(DatCol&amp;"$"&amp;TEXT(C2281,"###")):INDIRECT(DatCol&amp;"$"&amp;TEXT(C2281+57,"###"))))</f>
        <v>490.72727272727275</v>
      </c>
      <c r="F2281" s="26" t="str">
        <f t="shared" si="2267"/>
        <v>S</v>
      </c>
      <c r="G2281" s="8"/>
      <c r="H2281" s="8">
        <v>120</v>
      </c>
      <c r="J2281" s="8">
        <v>951</v>
      </c>
      <c r="K2281" s="9">
        <f t="shared" si="2246"/>
        <v>1071</v>
      </c>
      <c r="M2281" s="11">
        <f t="shared" si="2289"/>
        <v>0</v>
      </c>
      <c r="O2281" s="11">
        <f t="shared" si="2290"/>
        <v>0</v>
      </c>
      <c r="Q2281" s="11">
        <f t="shared" si="2291"/>
        <v>0</v>
      </c>
      <c r="Y2281" s="11">
        <f t="shared" si="2292"/>
        <v>0</v>
      </c>
      <c r="AG2281" s="11">
        <f t="shared" si="2293"/>
        <v>0</v>
      </c>
      <c r="AI2281" s="11">
        <f t="shared" si="2294"/>
        <v>0</v>
      </c>
      <c r="AK2281" s="13">
        <f t="shared" si="2295"/>
        <v>0</v>
      </c>
      <c r="AM2281" s="13">
        <f t="shared" si="2296"/>
        <v>0</v>
      </c>
      <c r="AO2281" s="11">
        <f t="shared" si="2297"/>
        <v>0</v>
      </c>
      <c r="AQ2281" s="11">
        <f t="shared" si="2298"/>
        <v>0</v>
      </c>
      <c r="AS2281" s="11">
        <f t="shared" si="2299"/>
        <v>0</v>
      </c>
      <c r="AU2281" s="11">
        <f t="shared" si="2300"/>
        <v>0</v>
      </c>
      <c r="AW2281" s="11">
        <f t="shared" si="2301"/>
        <v>0</v>
      </c>
      <c r="AY2281" s="11">
        <f t="shared" si="2302"/>
        <v>0</v>
      </c>
      <c r="BA2281" s="11">
        <f t="shared" si="2303"/>
        <v>0</v>
      </c>
      <c r="BC2281" s="11">
        <f t="shared" si="2304"/>
        <v>0</v>
      </c>
      <c r="BE2281" s="11">
        <f t="shared" si="2305"/>
        <v>0</v>
      </c>
      <c r="BG2281" s="11">
        <f t="shared" si="2306"/>
        <v>0</v>
      </c>
      <c r="BN2281" s="8">
        <f t="shared" si="2307"/>
        <v>0</v>
      </c>
      <c r="BO2281" s="8">
        <f t="shared" ref="BO2281:BO2345" si="2308">(M2281+Q2281+S2281+U2281+W2281+Y2281+AA2281+AC2281+AG2281+AK2281+AO2281+AS2281+AW2281+BA2281+BE2281)</f>
        <v>0</v>
      </c>
      <c r="BP2281" s="8">
        <f t="shared" si="2265"/>
        <v>0</v>
      </c>
      <c r="BQ2281" s="12">
        <f t="shared" si="2266"/>
        <v>0</v>
      </c>
    </row>
    <row r="2282" spans="1:69">
      <c r="A2282" s="28">
        <v>1973</v>
      </c>
      <c r="B2282" s="27" t="s">
        <v>102</v>
      </c>
      <c r="C2282" s="24">
        <f t="shared" si="2288"/>
        <v>2264</v>
      </c>
      <c r="D2282" s="7" t="e">
        <f t="shared" ca="1" si="2286"/>
        <v>#N/A</v>
      </c>
      <c r="E2282" s="26">
        <f t="array" aca="1" ref="E2282" ca="1">AVERAGE(IF(INDIRECT(DatCol&amp;"$"&amp;TEXT(C2282,"###")):INDIRECT(DatCol&amp;"$"&amp;TEXT(C2282+57,"###"))&gt;0,INDIRECT(DatCol&amp;"$"&amp;TEXT(C2282,"###")):INDIRECT(DatCol&amp;"$"&amp;TEXT(C2282+57,"###"))))</f>
        <v>490.72727272727275</v>
      </c>
      <c r="F2282" s="26" t="str">
        <f t="shared" si="2267"/>
        <v>S</v>
      </c>
      <c r="G2282" s="8"/>
      <c r="H2282" s="8">
        <v>213</v>
      </c>
      <c r="J2282" s="8">
        <v>1306</v>
      </c>
      <c r="K2282" s="9">
        <f t="shared" ref="K2282:K2346" si="2309">G2282+H2282+J2282</f>
        <v>1519</v>
      </c>
      <c r="M2282" s="11">
        <f t="shared" si="2289"/>
        <v>0</v>
      </c>
      <c r="N2282" s="12">
        <v>425</v>
      </c>
      <c r="O2282" s="11">
        <f t="shared" si="2290"/>
        <v>21250</v>
      </c>
      <c r="Q2282" s="11">
        <f t="shared" si="2291"/>
        <v>0</v>
      </c>
      <c r="Y2282" s="11">
        <f t="shared" si="2292"/>
        <v>0</v>
      </c>
      <c r="AG2282" s="11">
        <f t="shared" si="2293"/>
        <v>0</v>
      </c>
      <c r="AI2282" s="11">
        <f t="shared" si="2294"/>
        <v>0</v>
      </c>
      <c r="AK2282" s="13">
        <f t="shared" si="2295"/>
        <v>0</v>
      </c>
      <c r="AM2282" s="13">
        <f t="shared" si="2296"/>
        <v>0</v>
      </c>
      <c r="AO2282" s="11">
        <f t="shared" si="2297"/>
        <v>0</v>
      </c>
      <c r="AQ2282" s="11">
        <f t="shared" si="2298"/>
        <v>0</v>
      </c>
      <c r="AS2282" s="11">
        <f t="shared" si="2299"/>
        <v>0</v>
      </c>
      <c r="AU2282" s="11">
        <f t="shared" si="2300"/>
        <v>0</v>
      </c>
      <c r="AW2282" s="11">
        <f t="shared" si="2301"/>
        <v>0</v>
      </c>
      <c r="AY2282" s="11">
        <f t="shared" si="2302"/>
        <v>0</v>
      </c>
      <c r="BA2282" s="11">
        <f t="shared" si="2303"/>
        <v>0</v>
      </c>
      <c r="BC2282" s="11">
        <f t="shared" si="2304"/>
        <v>0</v>
      </c>
      <c r="BE2282" s="11">
        <f t="shared" si="2305"/>
        <v>0</v>
      </c>
      <c r="BG2282" s="11">
        <f t="shared" si="2306"/>
        <v>0</v>
      </c>
      <c r="BN2282" s="8">
        <f t="shared" si="2307"/>
        <v>0</v>
      </c>
      <c r="BO2282" s="8">
        <f t="shared" si="2308"/>
        <v>0</v>
      </c>
      <c r="BP2282" s="8">
        <f t="shared" si="2265"/>
        <v>425</v>
      </c>
      <c r="BQ2282" s="12">
        <f t="shared" si="2266"/>
        <v>21250</v>
      </c>
    </row>
    <row r="2283" spans="1:69">
      <c r="A2283" s="28">
        <v>1974</v>
      </c>
      <c r="B2283" s="27" t="s">
        <v>102</v>
      </c>
      <c r="C2283" s="24">
        <f t="shared" si="2288"/>
        <v>2264</v>
      </c>
      <c r="D2283" s="7" t="e">
        <f t="shared" ca="1" si="2286"/>
        <v>#N/A</v>
      </c>
      <c r="E2283" s="26">
        <f t="array" aca="1" ref="E2283" ca="1">AVERAGE(IF(INDIRECT(DatCol&amp;"$"&amp;TEXT(C2283,"###")):INDIRECT(DatCol&amp;"$"&amp;TEXT(C2283+57,"###"))&gt;0,INDIRECT(DatCol&amp;"$"&amp;TEXT(C2283,"###")):INDIRECT(DatCol&amp;"$"&amp;TEXT(C2283+57,"###"))))</f>
        <v>490.72727272727275</v>
      </c>
      <c r="F2283" s="26" t="str">
        <f t="shared" si="2267"/>
        <v>S</v>
      </c>
      <c r="G2283" s="8"/>
      <c r="H2283" s="8">
        <v>315</v>
      </c>
      <c r="J2283" s="8">
        <v>1156</v>
      </c>
      <c r="K2283" s="9">
        <f t="shared" si="2309"/>
        <v>1471</v>
      </c>
      <c r="M2283" s="11">
        <f t="shared" si="2289"/>
        <v>0</v>
      </c>
      <c r="N2283" s="12">
        <v>450</v>
      </c>
      <c r="O2283" s="11">
        <f t="shared" si="2290"/>
        <v>22500</v>
      </c>
      <c r="Q2283" s="11">
        <f t="shared" si="2291"/>
        <v>0</v>
      </c>
      <c r="Y2283" s="11">
        <f t="shared" si="2292"/>
        <v>0</v>
      </c>
      <c r="AG2283" s="11">
        <f t="shared" si="2293"/>
        <v>0</v>
      </c>
      <c r="AI2283" s="11">
        <f t="shared" si="2294"/>
        <v>0</v>
      </c>
      <c r="AK2283" s="13">
        <f t="shared" si="2295"/>
        <v>0</v>
      </c>
      <c r="AM2283" s="13">
        <f t="shared" si="2296"/>
        <v>0</v>
      </c>
      <c r="AO2283" s="11">
        <f t="shared" si="2297"/>
        <v>0</v>
      </c>
      <c r="AQ2283" s="11">
        <f t="shared" si="2298"/>
        <v>0</v>
      </c>
      <c r="AS2283" s="11">
        <f t="shared" si="2299"/>
        <v>0</v>
      </c>
      <c r="AU2283" s="11">
        <f t="shared" si="2300"/>
        <v>0</v>
      </c>
      <c r="AW2283" s="11">
        <f t="shared" si="2301"/>
        <v>0</v>
      </c>
      <c r="AY2283" s="11">
        <f t="shared" si="2302"/>
        <v>0</v>
      </c>
      <c r="BA2283" s="11">
        <f t="shared" si="2303"/>
        <v>0</v>
      </c>
      <c r="BC2283" s="11">
        <f t="shared" si="2304"/>
        <v>0</v>
      </c>
      <c r="BE2283" s="11">
        <f t="shared" si="2305"/>
        <v>0</v>
      </c>
      <c r="BG2283" s="11">
        <f t="shared" si="2306"/>
        <v>0</v>
      </c>
      <c r="BN2283" s="8">
        <f t="shared" si="2307"/>
        <v>0</v>
      </c>
      <c r="BO2283" s="8">
        <f t="shared" si="2308"/>
        <v>0</v>
      </c>
      <c r="BP2283" s="8">
        <f t="shared" si="2265"/>
        <v>450</v>
      </c>
      <c r="BQ2283" s="12">
        <f t="shared" si="2266"/>
        <v>22500</v>
      </c>
    </row>
    <row r="2284" spans="1:69">
      <c r="A2284" s="28">
        <v>1975</v>
      </c>
      <c r="B2284" s="27" t="s">
        <v>102</v>
      </c>
      <c r="C2284" s="24">
        <f t="shared" si="2288"/>
        <v>2264</v>
      </c>
      <c r="D2284" s="7" t="e">
        <f t="shared" ca="1" si="2286"/>
        <v>#N/A</v>
      </c>
      <c r="E2284" s="26">
        <f t="array" aca="1" ref="E2284" ca="1">AVERAGE(IF(INDIRECT(DatCol&amp;"$"&amp;TEXT(C2284,"###")):INDIRECT(DatCol&amp;"$"&amp;TEXT(C2284+57,"###"))&gt;0,INDIRECT(DatCol&amp;"$"&amp;TEXT(C2284,"###")):INDIRECT(DatCol&amp;"$"&amp;TEXT(C2284+57,"###"))))</f>
        <v>490.72727272727275</v>
      </c>
      <c r="F2284" s="26" t="str">
        <f t="shared" si="2267"/>
        <v>S</v>
      </c>
      <c r="G2284" s="8"/>
      <c r="H2284" s="8">
        <v>340</v>
      </c>
      <c r="I2284" s="8">
        <v>3</v>
      </c>
      <c r="J2284" s="8">
        <v>977</v>
      </c>
      <c r="K2284" s="9">
        <f t="shared" si="2309"/>
        <v>1317</v>
      </c>
      <c r="M2284" s="11">
        <f t="shared" ref="M2284:M2299" si="2310">(L2284*50)</f>
        <v>0</v>
      </c>
      <c r="O2284" s="11">
        <f t="shared" ref="O2284:O2299" si="2311">(N2284*50)</f>
        <v>0</v>
      </c>
      <c r="Q2284" s="11">
        <f t="shared" ref="Q2284:Q2299" si="2312">((P2284*330)/5.5)</f>
        <v>0</v>
      </c>
      <c r="Y2284" s="11">
        <f t="shared" ref="Y2284:Y2299" si="2313">((X2284*330)/5.5)</f>
        <v>0</v>
      </c>
      <c r="AG2284" s="11">
        <f t="shared" ref="AG2284:AG2299" si="2314">(AF2284*65)</f>
        <v>0</v>
      </c>
      <c r="AI2284" s="11">
        <f t="shared" ref="AI2284:AI2299" si="2315">(AH2284*65)</f>
        <v>0</v>
      </c>
      <c r="AK2284" s="13">
        <f t="shared" ref="AK2284:AK2299" si="2316">(AJ2284*9)</f>
        <v>0</v>
      </c>
      <c r="AM2284" s="13">
        <f t="shared" ref="AM2284:AM2299" si="2317">(AL2284*9)</f>
        <v>0</v>
      </c>
      <c r="AO2284" s="11">
        <f t="shared" ref="AO2284:AO2299" si="2318">(AN2284*80)</f>
        <v>0</v>
      </c>
      <c r="AQ2284" s="11">
        <f t="shared" ref="AQ2284:AQ2299" si="2319">(AP2284*80)</f>
        <v>0</v>
      </c>
      <c r="AS2284" s="11">
        <f t="shared" ref="AS2284:AS2299" si="2320">(AR2284*50)</f>
        <v>0</v>
      </c>
      <c r="AU2284" s="11">
        <f t="shared" ref="AU2284:AU2299" si="2321">(AT2284*50)</f>
        <v>0</v>
      </c>
      <c r="AW2284" s="11">
        <f t="shared" ref="AW2284:AW2299" si="2322">(AV2284*60)</f>
        <v>0</v>
      </c>
      <c r="AY2284" s="11">
        <f t="shared" ref="AY2284:AY2299" si="2323">(AX2284*60)</f>
        <v>0</v>
      </c>
      <c r="BA2284" s="11">
        <f t="shared" ref="BA2284:BA2299" si="2324">(AZ2284*40)</f>
        <v>0</v>
      </c>
      <c r="BC2284" s="11">
        <f t="shared" ref="BC2284:BC2299" si="2325">(BB2284*40)</f>
        <v>0</v>
      </c>
      <c r="BE2284" s="11">
        <f t="shared" ref="BE2284:BE2299" si="2326">(BD2284*95)</f>
        <v>0</v>
      </c>
      <c r="BG2284" s="11">
        <f t="shared" ref="BG2284:BG2299" si="2327">(BF2284*95)</f>
        <v>0</v>
      </c>
      <c r="BN2284" s="8">
        <f t="shared" si="2307"/>
        <v>0</v>
      </c>
      <c r="BO2284" s="8">
        <f t="shared" si="2308"/>
        <v>0</v>
      </c>
      <c r="BP2284" s="8">
        <f t="shared" si="2265"/>
        <v>0</v>
      </c>
      <c r="BQ2284" s="12">
        <f t="shared" si="2266"/>
        <v>0</v>
      </c>
    </row>
    <row r="2285" spans="1:69">
      <c r="A2285" s="28">
        <v>1976</v>
      </c>
      <c r="B2285" s="27" t="s">
        <v>102</v>
      </c>
      <c r="C2285" s="24">
        <f t="shared" si="2288"/>
        <v>2264</v>
      </c>
      <c r="D2285" s="7" t="e">
        <f t="shared" ca="1" si="2286"/>
        <v>#N/A</v>
      </c>
      <c r="E2285" s="26">
        <f t="array" aca="1" ref="E2285" ca="1">AVERAGE(IF(INDIRECT(DatCol&amp;"$"&amp;TEXT(C2285,"###")):INDIRECT(DatCol&amp;"$"&amp;TEXT(C2285+57,"###"))&gt;0,INDIRECT(DatCol&amp;"$"&amp;TEXT(C2285,"###")):INDIRECT(DatCol&amp;"$"&amp;TEXT(C2285+57,"###"))))</f>
        <v>490.72727272727275</v>
      </c>
      <c r="F2285" s="26" t="str">
        <f t="shared" si="2267"/>
        <v>S</v>
      </c>
      <c r="G2285" s="8"/>
      <c r="H2285" s="8">
        <v>236</v>
      </c>
      <c r="J2285" s="8">
        <v>883</v>
      </c>
      <c r="K2285" s="9">
        <f t="shared" si="2309"/>
        <v>1119</v>
      </c>
      <c r="M2285" s="11">
        <f t="shared" si="2310"/>
        <v>0</v>
      </c>
      <c r="N2285" s="12">
        <v>300</v>
      </c>
      <c r="O2285" s="11">
        <f t="shared" si="2311"/>
        <v>15000</v>
      </c>
      <c r="Q2285" s="11">
        <f t="shared" si="2312"/>
        <v>0</v>
      </c>
      <c r="X2285" s="12">
        <v>2</v>
      </c>
      <c r="Y2285" s="11">
        <f t="shared" si="2313"/>
        <v>120</v>
      </c>
      <c r="AG2285" s="11">
        <f t="shared" si="2314"/>
        <v>0</v>
      </c>
      <c r="AH2285" s="12">
        <v>1</v>
      </c>
      <c r="AI2285" s="11">
        <f t="shared" si="2315"/>
        <v>65</v>
      </c>
      <c r="AK2285" s="13">
        <f t="shared" si="2316"/>
        <v>0</v>
      </c>
      <c r="AM2285" s="13">
        <f t="shared" si="2317"/>
        <v>0</v>
      </c>
      <c r="AO2285" s="11">
        <f t="shared" si="2318"/>
        <v>0</v>
      </c>
      <c r="AP2285" s="12">
        <v>100</v>
      </c>
      <c r="AQ2285" s="11">
        <f t="shared" si="2319"/>
        <v>8000</v>
      </c>
      <c r="AS2285" s="11">
        <f t="shared" si="2320"/>
        <v>0</v>
      </c>
      <c r="AT2285" s="12">
        <v>25</v>
      </c>
      <c r="AU2285" s="11">
        <f t="shared" si="2321"/>
        <v>1250</v>
      </c>
      <c r="AW2285" s="11">
        <f t="shared" si="2322"/>
        <v>0</v>
      </c>
      <c r="AY2285" s="11">
        <f t="shared" si="2323"/>
        <v>0</v>
      </c>
      <c r="BA2285" s="11">
        <f t="shared" si="2324"/>
        <v>0</v>
      </c>
      <c r="BC2285" s="11">
        <f t="shared" si="2325"/>
        <v>0</v>
      </c>
      <c r="BE2285" s="11">
        <f t="shared" si="2326"/>
        <v>0</v>
      </c>
      <c r="BG2285" s="11">
        <f t="shared" si="2327"/>
        <v>0</v>
      </c>
      <c r="BN2285" s="8">
        <f t="shared" si="2307"/>
        <v>2</v>
      </c>
      <c r="BO2285" s="8">
        <f t="shared" si="2308"/>
        <v>120</v>
      </c>
      <c r="BP2285" s="8">
        <f t="shared" si="2265"/>
        <v>428</v>
      </c>
      <c r="BQ2285" s="12">
        <f t="shared" si="2266"/>
        <v>24435</v>
      </c>
    </row>
    <row r="2286" spans="1:69">
      <c r="A2286" s="28">
        <v>1977</v>
      </c>
      <c r="B2286" s="27" t="s">
        <v>102</v>
      </c>
      <c r="C2286" s="24">
        <f t="shared" si="2288"/>
        <v>2264</v>
      </c>
      <c r="D2286" s="7" t="e">
        <f t="shared" ca="1" si="2286"/>
        <v>#N/A</v>
      </c>
      <c r="E2286" s="26">
        <f t="array" aca="1" ref="E2286" ca="1">AVERAGE(IF(INDIRECT(DatCol&amp;"$"&amp;TEXT(C2286,"###")):INDIRECT(DatCol&amp;"$"&amp;TEXT(C2286+57,"###"))&gt;0,INDIRECT(DatCol&amp;"$"&amp;TEXT(C2286,"###")):INDIRECT(DatCol&amp;"$"&amp;TEXT(C2286+57,"###"))))</f>
        <v>490.72727272727275</v>
      </c>
      <c r="F2286" s="26" t="str">
        <f t="shared" si="2267"/>
        <v>S</v>
      </c>
      <c r="G2286" s="8"/>
      <c r="H2286" s="8">
        <v>126</v>
      </c>
      <c r="J2286" s="8">
        <v>707</v>
      </c>
      <c r="K2286" s="9">
        <f t="shared" si="2309"/>
        <v>833</v>
      </c>
      <c r="M2286" s="11">
        <f t="shared" si="2310"/>
        <v>0</v>
      </c>
      <c r="N2286" s="12">
        <v>200</v>
      </c>
      <c r="O2286" s="11">
        <f t="shared" si="2311"/>
        <v>10000</v>
      </c>
      <c r="Q2286" s="11">
        <f t="shared" si="2312"/>
        <v>0</v>
      </c>
      <c r="X2286" s="12">
        <v>2</v>
      </c>
      <c r="Y2286" s="11">
        <f t="shared" si="2313"/>
        <v>120</v>
      </c>
      <c r="AG2286" s="11">
        <f t="shared" si="2314"/>
        <v>0</v>
      </c>
      <c r="AI2286" s="11">
        <f t="shared" si="2315"/>
        <v>0</v>
      </c>
      <c r="AK2286" s="13">
        <f t="shared" si="2316"/>
        <v>0</v>
      </c>
      <c r="AM2286" s="13">
        <f t="shared" si="2317"/>
        <v>0</v>
      </c>
      <c r="AO2286" s="11">
        <f t="shared" si="2318"/>
        <v>0</v>
      </c>
      <c r="AP2286" s="12">
        <v>50</v>
      </c>
      <c r="AQ2286" s="11">
        <f t="shared" si="2319"/>
        <v>4000</v>
      </c>
      <c r="AS2286" s="11">
        <f t="shared" si="2320"/>
        <v>0</v>
      </c>
      <c r="AT2286" s="12">
        <v>25</v>
      </c>
      <c r="AU2286" s="11">
        <f t="shared" si="2321"/>
        <v>1250</v>
      </c>
      <c r="AW2286" s="11">
        <f t="shared" si="2322"/>
        <v>0</v>
      </c>
      <c r="AY2286" s="11">
        <f t="shared" si="2323"/>
        <v>0</v>
      </c>
      <c r="BA2286" s="11">
        <f t="shared" si="2324"/>
        <v>0</v>
      </c>
      <c r="BC2286" s="11">
        <f t="shared" si="2325"/>
        <v>0</v>
      </c>
      <c r="BE2286" s="11">
        <f t="shared" si="2326"/>
        <v>0</v>
      </c>
      <c r="BG2286" s="11">
        <f t="shared" si="2327"/>
        <v>0</v>
      </c>
      <c r="BN2286" s="8">
        <f t="shared" si="2307"/>
        <v>2</v>
      </c>
      <c r="BO2286" s="8">
        <f t="shared" si="2308"/>
        <v>120</v>
      </c>
      <c r="BP2286" s="8">
        <f t="shared" si="2265"/>
        <v>277</v>
      </c>
      <c r="BQ2286" s="12">
        <f t="shared" si="2266"/>
        <v>15370</v>
      </c>
    </row>
    <row r="2287" spans="1:69">
      <c r="A2287" s="28">
        <v>1978</v>
      </c>
      <c r="B2287" s="27" t="s">
        <v>102</v>
      </c>
      <c r="C2287" s="24">
        <f t="shared" si="2288"/>
        <v>2264</v>
      </c>
      <c r="D2287" s="7" t="e">
        <f t="shared" ca="1" si="2286"/>
        <v>#N/A</v>
      </c>
      <c r="E2287" s="26">
        <f t="array" aca="1" ref="E2287" ca="1">AVERAGE(IF(INDIRECT(DatCol&amp;"$"&amp;TEXT(C2287,"###")):INDIRECT(DatCol&amp;"$"&amp;TEXT(C2287+57,"###"))&gt;0,INDIRECT(DatCol&amp;"$"&amp;TEXT(C2287,"###")):INDIRECT(DatCol&amp;"$"&amp;TEXT(C2287+57,"###"))))</f>
        <v>490.72727272727275</v>
      </c>
      <c r="F2287" s="26" t="str">
        <f t="shared" si="2267"/>
        <v>S</v>
      </c>
      <c r="G2287" s="8"/>
      <c r="H2287" s="8">
        <v>48</v>
      </c>
      <c r="J2287" s="8">
        <v>352</v>
      </c>
      <c r="K2287" s="9">
        <f t="shared" si="2309"/>
        <v>400</v>
      </c>
      <c r="M2287" s="11">
        <f t="shared" si="2310"/>
        <v>0</v>
      </c>
      <c r="N2287" s="12">
        <v>400</v>
      </c>
      <c r="O2287" s="11">
        <f t="shared" si="2311"/>
        <v>20000</v>
      </c>
      <c r="Q2287" s="11">
        <f t="shared" si="2312"/>
        <v>0</v>
      </c>
      <c r="X2287" s="12">
        <v>1</v>
      </c>
      <c r="Y2287" s="11">
        <f t="shared" si="2313"/>
        <v>60</v>
      </c>
      <c r="AG2287" s="11">
        <f t="shared" si="2314"/>
        <v>0</v>
      </c>
      <c r="AI2287" s="11">
        <f t="shared" si="2315"/>
        <v>0</v>
      </c>
      <c r="AK2287" s="13">
        <f t="shared" si="2316"/>
        <v>0</v>
      </c>
      <c r="AM2287" s="13">
        <f t="shared" si="2317"/>
        <v>0</v>
      </c>
      <c r="AO2287" s="11">
        <f t="shared" si="2318"/>
        <v>0</v>
      </c>
      <c r="AP2287" s="12">
        <v>10</v>
      </c>
      <c r="AQ2287" s="11">
        <f t="shared" si="2319"/>
        <v>800</v>
      </c>
      <c r="AS2287" s="11">
        <f t="shared" si="2320"/>
        <v>0</v>
      </c>
      <c r="AT2287" s="12">
        <v>20</v>
      </c>
      <c r="AU2287" s="11">
        <f t="shared" si="2321"/>
        <v>1000</v>
      </c>
      <c r="AW2287" s="11">
        <f t="shared" si="2322"/>
        <v>0</v>
      </c>
      <c r="AY2287" s="11">
        <f t="shared" si="2323"/>
        <v>0</v>
      </c>
      <c r="BA2287" s="11">
        <f t="shared" si="2324"/>
        <v>0</v>
      </c>
      <c r="BC2287" s="11">
        <f t="shared" si="2325"/>
        <v>0</v>
      </c>
      <c r="BE2287" s="11">
        <f t="shared" si="2326"/>
        <v>0</v>
      </c>
      <c r="BG2287" s="11">
        <f t="shared" si="2327"/>
        <v>0</v>
      </c>
      <c r="BN2287" s="8">
        <f t="shared" si="2307"/>
        <v>1</v>
      </c>
      <c r="BO2287" s="8">
        <f t="shared" si="2308"/>
        <v>60</v>
      </c>
      <c r="BP2287" s="8">
        <f t="shared" si="2265"/>
        <v>431</v>
      </c>
      <c r="BQ2287" s="12">
        <f t="shared" si="2266"/>
        <v>21860</v>
      </c>
    </row>
    <row r="2288" spans="1:69">
      <c r="A2288" s="28">
        <v>1979</v>
      </c>
      <c r="B2288" s="27" t="s">
        <v>102</v>
      </c>
      <c r="C2288" s="24">
        <f t="shared" si="2288"/>
        <v>2264</v>
      </c>
      <c r="D2288" s="7" t="e">
        <f t="shared" ca="1" si="2286"/>
        <v>#N/A</v>
      </c>
      <c r="E2288" s="26">
        <f t="array" aca="1" ref="E2288" ca="1">AVERAGE(IF(INDIRECT(DatCol&amp;"$"&amp;TEXT(C2288,"###")):INDIRECT(DatCol&amp;"$"&amp;TEXT(C2288+57,"###"))&gt;0,INDIRECT(DatCol&amp;"$"&amp;TEXT(C2288,"###")):INDIRECT(DatCol&amp;"$"&amp;TEXT(C2288+57,"###"))))</f>
        <v>490.72727272727275</v>
      </c>
      <c r="F2288" s="26" t="str">
        <f t="shared" si="2267"/>
        <v>S</v>
      </c>
      <c r="G2288" s="8"/>
      <c r="H2288" s="8">
        <v>34</v>
      </c>
      <c r="I2288" s="8">
        <v>2</v>
      </c>
      <c r="J2288" s="8">
        <v>585</v>
      </c>
      <c r="K2288" s="9">
        <f t="shared" si="2309"/>
        <v>619</v>
      </c>
      <c r="M2288" s="11">
        <f t="shared" si="2310"/>
        <v>0</v>
      </c>
      <c r="N2288" s="12">
        <v>400</v>
      </c>
      <c r="O2288" s="11">
        <f t="shared" si="2311"/>
        <v>20000</v>
      </c>
      <c r="Q2288" s="11">
        <f t="shared" si="2312"/>
        <v>0</v>
      </c>
      <c r="X2288" s="12">
        <v>2</v>
      </c>
      <c r="Y2288" s="11">
        <f t="shared" si="2313"/>
        <v>120</v>
      </c>
      <c r="AG2288" s="11">
        <f t="shared" si="2314"/>
        <v>0</v>
      </c>
      <c r="AI2288" s="11">
        <f t="shared" si="2315"/>
        <v>0</v>
      </c>
      <c r="AK2288" s="13">
        <f t="shared" si="2316"/>
        <v>0</v>
      </c>
      <c r="AM2288" s="13">
        <f t="shared" si="2317"/>
        <v>0</v>
      </c>
      <c r="AO2288" s="11">
        <f t="shared" si="2318"/>
        <v>0</v>
      </c>
      <c r="AP2288" s="12">
        <v>20</v>
      </c>
      <c r="AQ2288" s="11">
        <f t="shared" si="2319"/>
        <v>1600</v>
      </c>
      <c r="AS2288" s="11">
        <f t="shared" si="2320"/>
        <v>0</v>
      </c>
      <c r="AT2288" s="12">
        <v>40</v>
      </c>
      <c r="AU2288" s="11">
        <f t="shared" si="2321"/>
        <v>2000</v>
      </c>
      <c r="AW2288" s="11">
        <f t="shared" si="2322"/>
        <v>0</v>
      </c>
      <c r="AY2288" s="11">
        <f t="shared" si="2323"/>
        <v>0</v>
      </c>
      <c r="BA2288" s="11">
        <f t="shared" si="2324"/>
        <v>0</v>
      </c>
      <c r="BB2288" s="12">
        <v>1</v>
      </c>
      <c r="BC2288" s="11">
        <f t="shared" si="2325"/>
        <v>40</v>
      </c>
      <c r="BE2288" s="11">
        <f t="shared" si="2326"/>
        <v>0</v>
      </c>
      <c r="BG2288" s="11">
        <f t="shared" si="2327"/>
        <v>0</v>
      </c>
      <c r="BN2288" s="8">
        <f t="shared" si="2307"/>
        <v>2</v>
      </c>
      <c r="BO2288" s="8">
        <f t="shared" si="2308"/>
        <v>120</v>
      </c>
      <c r="BP2288" s="8">
        <f t="shared" si="2265"/>
        <v>463</v>
      </c>
      <c r="BQ2288" s="12">
        <f t="shared" si="2266"/>
        <v>23760</v>
      </c>
    </row>
    <row r="2289" spans="1:69">
      <c r="A2289" s="28">
        <v>1980</v>
      </c>
      <c r="B2289" s="27" t="s">
        <v>102</v>
      </c>
      <c r="C2289" s="24">
        <f t="shared" si="2288"/>
        <v>2264</v>
      </c>
      <c r="D2289" s="7" t="e">
        <f t="shared" ca="1" si="2286"/>
        <v>#N/A</v>
      </c>
      <c r="E2289" s="26">
        <f t="array" aca="1" ref="E2289" ca="1">AVERAGE(IF(INDIRECT(DatCol&amp;"$"&amp;TEXT(C2289,"###")):INDIRECT(DatCol&amp;"$"&amp;TEXT(C2289+57,"###"))&gt;0,INDIRECT(DatCol&amp;"$"&amp;TEXT(C2289,"###")):INDIRECT(DatCol&amp;"$"&amp;TEXT(C2289+57,"###"))))</f>
        <v>490.72727272727275</v>
      </c>
      <c r="F2289" s="26" t="str">
        <f t="shared" si="2267"/>
        <v>S</v>
      </c>
      <c r="G2289" s="8"/>
      <c r="H2289" s="8">
        <v>111</v>
      </c>
      <c r="I2289" s="8">
        <v>0</v>
      </c>
      <c r="J2289" s="8">
        <v>1108</v>
      </c>
      <c r="K2289" s="9">
        <f t="shared" si="2309"/>
        <v>1219</v>
      </c>
      <c r="M2289" s="11">
        <f t="shared" si="2310"/>
        <v>0</v>
      </c>
      <c r="N2289" s="12">
        <v>600</v>
      </c>
      <c r="O2289" s="11">
        <f t="shared" si="2311"/>
        <v>30000</v>
      </c>
      <c r="Q2289" s="11">
        <f t="shared" si="2312"/>
        <v>0</v>
      </c>
      <c r="X2289" s="12">
        <v>2</v>
      </c>
      <c r="Y2289" s="11">
        <f t="shared" si="2313"/>
        <v>120</v>
      </c>
      <c r="AG2289" s="11">
        <f t="shared" si="2314"/>
        <v>0</v>
      </c>
      <c r="AI2289" s="11">
        <f t="shared" si="2315"/>
        <v>0</v>
      </c>
      <c r="AK2289" s="13">
        <f t="shared" si="2316"/>
        <v>0</v>
      </c>
      <c r="AM2289" s="13">
        <f t="shared" si="2317"/>
        <v>0</v>
      </c>
      <c r="AO2289" s="11">
        <f t="shared" si="2318"/>
        <v>0</v>
      </c>
      <c r="AP2289" s="12">
        <v>50</v>
      </c>
      <c r="AQ2289" s="11">
        <f t="shared" si="2319"/>
        <v>4000</v>
      </c>
      <c r="AS2289" s="11">
        <f t="shared" si="2320"/>
        <v>0</v>
      </c>
      <c r="AT2289" s="12">
        <v>50</v>
      </c>
      <c r="AU2289" s="11">
        <f t="shared" si="2321"/>
        <v>2500</v>
      </c>
      <c r="AW2289" s="11">
        <f t="shared" si="2322"/>
        <v>0</v>
      </c>
      <c r="AY2289" s="11">
        <f t="shared" si="2323"/>
        <v>0</v>
      </c>
      <c r="BA2289" s="11">
        <f t="shared" si="2324"/>
        <v>0</v>
      </c>
      <c r="BB2289" s="12">
        <v>1</v>
      </c>
      <c r="BC2289" s="11">
        <f t="shared" si="2325"/>
        <v>40</v>
      </c>
      <c r="BE2289" s="11">
        <f t="shared" si="2326"/>
        <v>0</v>
      </c>
      <c r="BG2289" s="11">
        <f t="shared" si="2327"/>
        <v>0</v>
      </c>
      <c r="BN2289" s="8">
        <f t="shared" si="2307"/>
        <v>2</v>
      </c>
      <c r="BO2289" s="8">
        <f t="shared" si="2308"/>
        <v>120</v>
      </c>
      <c r="BP2289" s="8">
        <f t="shared" si="2265"/>
        <v>703</v>
      </c>
      <c r="BQ2289" s="12">
        <f t="shared" si="2266"/>
        <v>36660</v>
      </c>
    </row>
    <row r="2290" spans="1:69">
      <c r="A2290" s="28">
        <v>1981</v>
      </c>
      <c r="B2290" s="27" t="s">
        <v>102</v>
      </c>
      <c r="C2290" s="24">
        <f t="shared" si="2288"/>
        <v>2264</v>
      </c>
      <c r="D2290" s="7" t="e">
        <f t="shared" ca="1" si="2286"/>
        <v>#N/A</v>
      </c>
      <c r="E2290" s="26">
        <f t="array" aca="1" ref="E2290" ca="1">AVERAGE(IF(INDIRECT(DatCol&amp;"$"&amp;TEXT(C2290,"###")):INDIRECT(DatCol&amp;"$"&amp;TEXT(C2290+57,"###"))&gt;0,INDIRECT(DatCol&amp;"$"&amp;TEXT(C2290,"###")):INDIRECT(DatCol&amp;"$"&amp;TEXT(C2290+57,"###"))))</f>
        <v>490.72727272727275</v>
      </c>
      <c r="F2290" s="26" t="str">
        <f t="shared" si="2267"/>
        <v>S</v>
      </c>
      <c r="G2290" s="8"/>
      <c r="H2290" s="8">
        <v>111</v>
      </c>
      <c r="I2290" s="8">
        <v>0</v>
      </c>
      <c r="J2290" s="8">
        <v>1254</v>
      </c>
      <c r="K2290" s="9">
        <f t="shared" si="2309"/>
        <v>1365</v>
      </c>
      <c r="M2290" s="11">
        <f t="shared" si="2310"/>
        <v>0</v>
      </c>
      <c r="N2290" s="12">
        <v>2700</v>
      </c>
      <c r="O2290" s="11">
        <f t="shared" si="2311"/>
        <v>135000</v>
      </c>
      <c r="Q2290" s="11">
        <f t="shared" si="2312"/>
        <v>0</v>
      </c>
      <c r="Y2290" s="11">
        <f t="shared" si="2313"/>
        <v>0</v>
      </c>
      <c r="AG2290" s="11">
        <f t="shared" si="2314"/>
        <v>0</v>
      </c>
      <c r="AI2290" s="11">
        <f t="shared" si="2315"/>
        <v>0</v>
      </c>
      <c r="AK2290" s="13">
        <f t="shared" si="2316"/>
        <v>0</v>
      </c>
      <c r="AM2290" s="13">
        <f t="shared" si="2317"/>
        <v>0</v>
      </c>
      <c r="AO2290" s="11">
        <f t="shared" si="2318"/>
        <v>0</v>
      </c>
      <c r="AP2290" s="12">
        <v>100</v>
      </c>
      <c r="AQ2290" s="11">
        <f t="shared" si="2319"/>
        <v>8000</v>
      </c>
      <c r="AS2290" s="11">
        <f t="shared" si="2320"/>
        <v>0</v>
      </c>
      <c r="AT2290" s="12">
        <v>350</v>
      </c>
      <c r="AU2290" s="11">
        <f t="shared" si="2321"/>
        <v>17500</v>
      </c>
      <c r="AW2290" s="11">
        <f t="shared" si="2322"/>
        <v>0</v>
      </c>
      <c r="AY2290" s="11">
        <f t="shared" si="2323"/>
        <v>0</v>
      </c>
      <c r="BA2290" s="11">
        <f t="shared" si="2324"/>
        <v>0</v>
      </c>
      <c r="BC2290" s="11">
        <f t="shared" si="2325"/>
        <v>0</v>
      </c>
      <c r="BE2290" s="11">
        <f t="shared" si="2326"/>
        <v>0</v>
      </c>
      <c r="BG2290" s="11">
        <f t="shared" si="2327"/>
        <v>0</v>
      </c>
      <c r="BN2290" s="8">
        <f t="shared" si="2307"/>
        <v>0</v>
      </c>
      <c r="BO2290" s="8">
        <f t="shared" si="2308"/>
        <v>0</v>
      </c>
      <c r="BP2290" s="8">
        <f t="shared" si="2265"/>
        <v>3150</v>
      </c>
      <c r="BQ2290" s="12">
        <f t="shared" si="2266"/>
        <v>160500</v>
      </c>
    </row>
    <row r="2291" spans="1:69">
      <c r="A2291" s="28">
        <v>1982</v>
      </c>
      <c r="B2291" s="27" t="s">
        <v>102</v>
      </c>
      <c r="C2291" s="24">
        <f t="shared" si="2288"/>
        <v>2264</v>
      </c>
      <c r="D2291" s="7" t="e">
        <f t="shared" ca="1" si="2286"/>
        <v>#N/A</v>
      </c>
      <c r="E2291" s="26">
        <f t="array" aca="1" ref="E2291" ca="1">AVERAGE(IF(INDIRECT(DatCol&amp;"$"&amp;TEXT(C2291,"###")):INDIRECT(DatCol&amp;"$"&amp;TEXT(C2291+57,"###"))&gt;0,INDIRECT(DatCol&amp;"$"&amp;TEXT(C2291,"###")):INDIRECT(DatCol&amp;"$"&amp;TEXT(C2291+57,"###"))))</f>
        <v>490.72727272727275</v>
      </c>
      <c r="F2291" s="26" t="str">
        <f t="shared" si="2267"/>
        <v>S</v>
      </c>
      <c r="G2291" s="8"/>
      <c r="H2291" s="8">
        <v>129</v>
      </c>
      <c r="I2291" s="8">
        <v>10</v>
      </c>
      <c r="J2291" s="8">
        <v>1147</v>
      </c>
      <c r="K2291" s="9">
        <f t="shared" si="2309"/>
        <v>1276</v>
      </c>
      <c r="M2291" s="11">
        <f t="shared" si="2310"/>
        <v>0</v>
      </c>
      <c r="N2291" s="12">
        <v>1400</v>
      </c>
      <c r="O2291" s="11">
        <f t="shared" si="2311"/>
        <v>70000</v>
      </c>
      <c r="Q2291" s="11">
        <f t="shared" si="2312"/>
        <v>0</v>
      </c>
      <c r="Y2291" s="11">
        <f t="shared" si="2313"/>
        <v>0</v>
      </c>
      <c r="AG2291" s="11">
        <f t="shared" si="2314"/>
        <v>0</v>
      </c>
      <c r="AI2291" s="11">
        <f t="shared" si="2315"/>
        <v>0</v>
      </c>
      <c r="AK2291" s="13">
        <f t="shared" si="2316"/>
        <v>0</v>
      </c>
      <c r="AM2291" s="13">
        <f t="shared" si="2317"/>
        <v>0</v>
      </c>
      <c r="AO2291" s="11">
        <f t="shared" si="2318"/>
        <v>0</v>
      </c>
      <c r="AQ2291" s="11">
        <f t="shared" si="2319"/>
        <v>0</v>
      </c>
      <c r="AR2291" s="12">
        <v>10535</v>
      </c>
      <c r="AS2291" s="11">
        <f t="shared" si="2320"/>
        <v>526750</v>
      </c>
      <c r="AT2291" s="12">
        <v>500</v>
      </c>
      <c r="AU2291" s="11">
        <f t="shared" si="2321"/>
        <v>25000</v>
      </c>
      <c r="AW2291" s="11">
        <f t="shared" si="2322"/>
        <v>0</v>
      </c>
      <c r="AY2291" s="11">
        <f t="shared" si="2323"/>
        <v>0</v>
      </c>
      <c r="BA2291" s="11">
        <f t="shared" si="2324"/>
        <v>0</v>
      </c>
      <c r="BC2291" s="11">
        <f t="shared" si="2325"/>
        <v>0</v>
      </c>
      <c r="BE2291" s="11">
        <f t="shared" si="2326"/>
        <v>0</v>
      </c>
      <c r="BG2291" s="11">
        <f t="shared" si="2327"/>
        <v>0</v>
      </c>
      <c r="BN2291" s="8">
        <f t="shared" si="2307"/>
        <v>10535</v>
      </c>
      <c r="BO2291" s="8">
        <f t="shared" si="2308"/>
        <v>526750</v>
      </c>
      <c r="BP2291" s="8">
        <f t="shared" ref="BP2291:BP2355" si="2328">(N2291+X2291+Z2291+AB2291+AD2291+AH2291+AL2291+AP2291+AT2291+AX2291+BB2291+BF2291)</f>
        <v>1900</v>
      </c>
      <c r="BQ2291" s="12">
        <f t="shared" ref="BQ2291:BQ2355" si="2329">(O2291+Y2291+AA2291+AC2291+AE2291+AI2291+AM2291+AQ2291+AU2291+AY2291+BC2291+BG2291)</f>
        <v>95000</v>
      </c>
    </row>
    <row r="2292" spans="1:69">
      <c r="A2292" s="28">
        <v>1983</v>
      </c>
      <c r="B2292" s="27" t="s">
        <v>102</v>
      </c>
      <c r="C2292" s="24">
        <f t="shared" si="2288"/>
        <v>2264</v>
      </c>
      <c r="D2292" s="7" t="e">
        <f t="shared" ca="1" si="2286"/>
        <v>#N/A</v>
      </c>
      <c r="E2292" s="26">
        <f t="array" aca="1" ref="E2292" ca="1">AVERAGE(IF(INDIRECT(DatCol&amp;"$"&amp;TEXT(C2292,"###")):INDIRECT(DatCol&amp;"$"&amp;TEXT(C2292+57,"###"))&gt;0,INDIRECT(DatCol&amp;"$"&amp;TEXT(C2292,"###")):INDIRECT(DatCol&amp;"$"&amp;TEXT(C2292+57,"###"))))</f>
        <v>490.72727272727275</v>
      </c>
      <c r="F2292" s="26" t="str">
        <f t="shared" si="2267"/>
        <v>S</v>
      </c>
      <c r="G2292" s="8"/>
      <c r="H2292" s="8">
        <v>161</v>
      </c>
      <c r="I2292" s="8">
        <v>0</v>
      </c>
      <c r="J2292" s="8">
        <v>1026</v>
      </c>
      <c r="K2292" s="9">
        <f t="shared" si="2309"/>
        <v>1187</v>
      </c>
      <c r="M2292" s="11">
        <f t="shared" si="2310"/>
        <v>0</v>
      </c>
      <c r="N2292" s="12">
        <v>1500</v>
      </c>
      <c r="O2292" s="11">
        <f t="shared" si="2311"/>
        <v>75000</v>
      </c>
      <c r="Q2292" s="11">
        <f t="shared" si="2312"/>
        <v>0</v>
      </c>
      <c r="X2292" s="12">
        <v>10</v>
      </c>
      <c r="Y2292" s="11">
        <f t="shared" si="2313"/>
        <v>600</v>
      </c>
      <c r="AG2292" s="11">
        <f t="shared" si="2314"/>
        <v>0</v>
      </c>
      <c r="AI2292" s="11">
        <f t="shared" si="2315"/>
        <v>0</v>
      </c>
      <c r="AK2292" s="13">
        <f t="shared" si="2316"/>
        <v>0</v>
      </c>
      <c r="AM2292" s="13">
        <f t="shared" si="2317"/>
        <v>0</v>
      </c>
      <c r="AO2292" s="11">
        <f t="shared" si="2318"/>
        <v>0</v>
      </c>
      <c r="AP2292" s="12">
        <v>200</v>
      </c>
      <c r="AQ2292" s="11">
        <f t="shared" si="2319"/>
        <v>16000</v>
      </c>
      <c r="AS2292" s="11">
        <f t="shared" si="2320"/>
        <v>0</v>
      </c>
      <c r="AT2292" s="12">
        <v>500</v>
      </c>
      <c r="AU2292" s="11">
        <f t="shared" si="2321"/>
        <v>25000</v>
      </c>
      <c r="AW2292" s="11">
        <f t="shared" si="2322"/>
        <v>0</v>
      </c>
      <c r="AY2292" s="11">
        <f t="shared" si="2323"/>
        <v>0</v>
      </c>
      <c r="BA2292" s="11">
        <f t="shared" si="2324"/>
        <v>0</v>
      </c>
      <c r="BC2292" s="11">
        <f t="shared" si="2325"/>
        <v>0</v>
      </c>
      <c r="BE2292" s="11">
        <f t="shared" si="2326"/>
        <v>0</v>
      </c>
      <c r="BG2292" s="11">
        <f t="shared" si="2327"/>
        <v>0</v>
      </c>
      <c r="BN2292" s="8">
        <f t="shared" si="2307"/>
        <v>10</v>
      </c>
      <c r="BO2292" s="8">
        <f t="shared" si="2308"/>
        <v>600</v>
      </c>
      <c r="BP2292" s="8">
        <f t="shared" si="2328"/>
        <v>2210</v>
      </c>
      <c r="BQ2292" s="12">
        <f t="shared" si="2329"/>
        <v>116600</v>
      </c>
    </row>
    <row r="2293" spans="1:69">
      <c r="A2293" s="28">
        <v>1984</v>
      </c>
      <c r="B2293" s="27" t="s">
        <v>102</v>
      </c>
      <c r="C2293" s="24">
        <f t="shared" si="2288"/>
        <v>2264</v>
      </c>
      <c r="D2293" s="7" t="e">
        <f t="shared" ca="1" si="2286"/>
        <v>#N/A</v>
      </c>
      <c r="E2293" s="26">
        <f t="array" aca="1" ref="E2293" ca="1">AVERAGE(IF(INDIRECT(DatCol&amp;"$"&amp;TEXT(C2293,"###")):INDIRECT(DatCol&amp;"$"&amp;TEXT(C2293+57,"###"))&gt;0,INDIRECT(DatCol&amp;"$"&amp;TEXT(C2293,"###")):INDIRECT(DatCol&amp;"$"&amp;TEXT(C2293+57,"###"))))</f>
        <v>490.72727272727275</v>
      </c>
      <c r="F2293" s="26" t="str">
        <f t="shared" si="2267"/>
        <v>S</v>
      </c>
      <c r="G2293" s="8"/>
      <c r="H2293" s="8">
        <v>130</v>
      </c>
      <c r="I2293" s="8">
        <v>0</v>
      </c>
      <c r="J2293" s="8">
        <v>565</v>
      </c>
      <c r="K2293" s="9">
        <f t="shared" si="2309"/>
        <v>695</v>
      </c>
      <c r="M2293" s="11">
        <f t="shared" si="2310"/>
        <v>0</v>
      </c>
      <c r="N2293" s="12">
        <v>150</v>
      </c>
      <c r="O2293" s="11">
        <f t="shared" si="2311"/>
        <v>7500</v>
      </c>
      <c r="Q2293" s="11">
        <f t="shared" si="2312"/>
        <v>0</v>
      </c>
      <c r="Y2293" s="11">
        <f t="shared" si="2313"/>
        <v>0</v>
      </c>
      <c r="AG2293" s="11">
        <f t="shared" si="2314"/>
        <v>0</v>
      </c>
      <c r="AI2293" s="11">
        <f t="shared" si="2315"/>
        <v>0</v>
      </c>
      <c r="AK2293" s="13">
        <f t="shared" si="2316"/>
        <v>0</v>
      </c>
      <c r="AM2293" s="13">
        <f t="shared" si="2317"/>
        <v>0</v>
      </c>
      <c r="AO2293" s="11">
        <f t="shared" si="2318"/>
        <v>0</v>
      </c>
      <c r="AP2293" s="12">
        <v>150</v>
      </c>
      <c r="AQ2293" s="11">
        <f t="shared" si="2319"/>
        <v>12000</v>
      </c>
      <c r="AS2293" s="11">
        <f t="shared" si="2320"/>
        <v>0</v>
      </c>
      <c r="AT2293" s="12">
        <v>125</v>
      </c>
      <c r="AU2293" s="11">
        <f t="shared" si="2321"/>
        <v>6250</v>
      </c>
      <c r="AW2293" s="11">
        <f t="shared" si="2322"/>
        <v>0</v>
      </c>
      <c r="AY2293" s="11">
        <f t="shared" si="2323"/>
        <v>0</v>
      </c>
      <c r="BA2293" s="11">
        <f t="shared" si="2324"/>
        <v>0</v>
      </c>
      <c r="BC2293" s="11">
        <f t="shared" si="2325"/>
        <v>0</v>
      </c>
      <c r="BE2293" s="11">
        <f t="shared" si="2326"/>
        <v>0</v>
      </c>
      <c r="BG2293" s="11">
        <f t="shared" si="2327"/>
        <v>0</v>
      </c>
      <c r="BN2293" s="8">
        <f t="shared" si="2307"/>
        <v>0</v>
      </c>
      <c r="BO2293" s="8">
        <f t="shared" si="2308"/>
        <v>0</v>
      </c>
      <c r="BP2293" s="8">
        <f t="shared" si="2328"/>
        <v>425</v>
      </c>
      <c r="BQ2293" s="12">
        <f t="shared" si="2329"/>
        <v>25750</v>
      </c>
    </row>
    <row r="2294" spans="1:69">
      <c r="A2294" s="28">
        <v>1985</v>
      </c>
      <c r="B2294" s="27" t="s">
        <v>102</v>
      </c>
      <c r="C2294" s="24">
        <f t="shared" si="2288"/>
        <v>2264</v>
      </c>
      <c r="D2294" s="7" t="e">
        <f t="shared" ca="1" si="2286"/>
        <v>#N/A</v>
      </c>
      <c r="E2294" s="26">
        <f t="array" aca="1" ref="E2294" ca="1">AVERAGE(IF(INDIRECT(DatCol&amp;"$"&amp;TEXT(C2294,"###")):INDIRECT(DatCol&amp;"$"&amp;TEXT(C2294+57,"###"))&gt;0,INDIRECT(DatCol&amp;"$"&amp;TEXT(C2294,"###")):INDIRECT(DatCol&amp;"$"&amp;TEXT(C2294+57,"###"))))</f>
        <v>490.72727272727275</v>
      </c>
      <c r="F2294" s="26" t="str">
        <f t="shared" si="2267"/>
        <v>S</v>
      </c>
      <c r="G2294" s="8">
        <v>83</v>
      </c>
      <c r="H2294" s="8">
        <v>53</v>
      </c>
      <c r="I2294" s="8">
        <v>0</v>
      </c>
      <c r="J2294" s="8">
        <v>440</v>
      </c>
      <c r="K2294" s="9">
        <f t="shared" si="2309"/>
        <v>576</v>
      </c>
      <c r="M2294" s="11">
        <f t="shared" si="2310"/>
        <v>0</v>
      </c>
      <c r="N2294" s="12">
        <v>1000</v>
      </c>
      <c r="O2294" s="11">
        <f t="shared" si="2311"/>
        <v>50000</v>
      </c>
      <c r="Q2294" s="11">
        <f t="shared" si="2312"/>
        <v>0</v>
      </c>
      <c r="X2294" s="12">
        <v>25</v>
      </c>
      <c r="Y2294" s="11">
        <f t="shared" si="2313"/>
        <v>1500</v>
      </c>
      <c r="AG2294" s="11">
        <f t="shared" si="2314"/>
        <v>0</v>
      </c>
      <c r="AI2294" s="11">
        <f t="shared" si="2315"/>
        <v>0</v>
      </c>
      <c r="AK2294" s="13">
        <f t="shared" si="2316"/>
        <v>0</v>
      </c>
      <c r="AM2294" s="13">
        <f t="shared" si="2317"/>
        <v>0</v>
      </c>
      <c r="AO2294" s="11">
        <f t="shared" si="2318"/>
        <v>0</v>
      </c>
      <c r="AQ2294" s="11">
        <f t="shared" si="2319"/>
        <v>0</v>
      </c>
      <c r="AS2294" s="11">
        <f t="shared" si="2320"/>
        <v>0</v>
      </c>
      <c r="AU2294" s="11">
        <f t="shared" si="2321"/>
        <v>0</v>
      </c>
      <c r="AW2294" s="11">
        <f t="shared" si="2322"/>
        <v>0</v>
      </c>
      <c r="AY2294" s="11">
        <f t="shared" si="2323"/>
        <v>0</v>
      </c>
      <c r="BA2294" s="11">
        <f t="shared" si="2324"/>
        <v>0</v>
      </c>
      <c r="BC2294" s="11">
        <f t="shared" si="2325"/>
        <v>0</v>
      </c>
      <c r="BE2294" s="11">
        <f t="shared" si="2326"/>
        <v>0</v>
      </c>
      <c r="BG2294" s="11">
        <f t="shared" si="2327"/>
        <v>0</v>
      </c>
      <c r="BN2294" s="8">
        <f t="shared" si="2307"/>
        <v>25</v>
      </c>
      <c r="BO2294" s="8">
        <f t="shared" si="2308"/>
        <v>1500</v>
      </c>
      <c r="BP2294" s="8">
        <f t="shared" si="2328"/>
        <v>1025</v>
      </c>
      <c r="BQ2294" s="12">
        <f t="shared" si="2329"/>
        <v>51500</v>
      </c>
    </row>
    <row r="2295" spans="1:69">
      <c r="A2295" s="28">
        <v>1986</v>
      </c>
      <c r="B2295" s="27" t="s">
        <v>102</v>
      </c>
      <c r="C2295" s="24">
        <f t="shared" si="2288"/>
        <v>2264</v>
      </c>
      <c r="D2295" s="7" t="e">
        <f t="shared" ca="1" si="2286"/>
        <v>#N/A</v>
      </c>
      <c r="E2295" s="26">
        <f t="array" aca="1" ref="E2295" ca="1">AVERAGE(IF(INDIRECT(DatCol&amp;"$"&amp;TEXT(C2295,"###")):INDIRECT(DatCol&amp;"$"&amp;TEXT(C2295+57,"###"))&gt;0,INDIRECT(DatCol&amp;"$"&amp;TEXT(C2295,"###")):INDIRECT(DatCol&amp;"$"&amp;TEXT(C2295+57,"###"))))</f>
        <v>490.72727272727275</v>
      </c>
      <c r="F2295" s="26" t="str">
        <f t="shared" ref="F2295:F2361" si="2330">VLOOKUP(B2295,town_region,2,FALSE)</f>
        <v>S</v>
      </c>
      <c r="G2295" s="8">
        <v>36</v>
      </c>
      <c r="H2295" s="8">
        <v>26</v>
      </c>
      <c r="I2295" s="8">
        <v>6</v>
      </c>
      <c r="J2295" s="8">
        <v>118</v>
      </c>
      <c r="K2295" s="9">
        <f t="shared" si="2309"/>
        <v>180</v>
      </c>
      <c r="M2295" s="11">
        <f t="shared" si="2310"/>
        <v>0</v>
      </c>
      <c r="N2295" s="12">
        <v>200</v>
      </c>
      <c r="O2295" s="11">
        <f t="shared" si="2311"/>
        <v>10000</v>
      </c>
      <c r="Q2295" s="11">
        <f t="shared" si="2312"/>
        <v>0</v>
      </c>
      <c r="Y2295" s="11">
        <f t="shared" si="2313"/>
        <v>0</v>
      </c>
      <c r="AG2295" s="11">
        <f t="shared" si="2314"/>
        <v>0</v>
      </c>
      <c r="AI2295" s="11">
        <f t="shared" si="2315"/>
        <v>0</v>
      </c>
      <c r="AK2295" s="13">
        <f t="shared" si="2316"/>
        <v>0</v>
      </c>
      <c r="AM2295" s="13">
        <f t="shared" si="2317"/>
        <v>0</v>
      </c>
      <c r="AO2295" s="11">
        <f t="shared" si="2318"/>
        <v>0</v>
      </c>
      <c r="AP2295" s="12">
        <v>200</v>
      </c>
      <c r="AQ2295" s="11">
        <f t="shared" si="2319"/>
        <v>16000</v>
      </c>
      <c r="AR2295" s="12">
        <v>6000</v>
      </c>
      <c r="AS2295" s="11">
        <f t="shared" si="2320"/>
        <v>300000</v>
      </c>
      <c r="AT2295" s="12">
        <v>120</v>
      </c>
      <c r="AU2295" s="11">
        <f t="shared" si="2321"/>
        <v>6000</v>
      </c>
      <c r="AW2295" s="11">
        <f t="shared" si="2322"/>
        <v>0</v>
      </c>
      <c r="AY2295" s="11">
        <f t="shared" si="2323"/>
        <v>0</v>
      </c>
      <c r="BA2295" s="11">
        <f t="shared" si="2324"/>
        <v>0</v>
      </c>
      <c r="BC2295" s="11">
        <f t="shared" si="2325"/>
        <v>0</v>
      </c>
      <c r="BE2295" s="11">
        <f t="shared" si="2326"/>
        <v>0</v>
      </c>
      <c r="BG2295" s="11">
        <f t="shared" si="2327"/>
        <v>0</v>
      </c>
      <c r="BN2295" s="8">
        <f t="shared" si="2307"/>
        <v>6000</v>
      </c>
      <c r="BO2295" s="8">
        <f t="shared" si="2308"/>
        <v>300000</v>
      </c>
      <c r="BP2295" s="8">
        <f t="shared" si="2328"/>
        <v>520</v>
      </c>
      <c r="BQ2295" s="12">
        <f t="shared" si="2329"/>
        <v>32000</v>
      </c>
    </row>
    <row r="2296" spans="1:69">
      <c r="A2296" s="28">
        <v>1987</v>
      </c>
      <c r="B2296" s="27" t="s">
        <v>102</v>
      </c>
      <c r="C2296" s="24">
        <f t="shared" si="2288"/>
        <v>2264</v>
      </c>
      <c r="D2296" s="7" t="e">
        <f t="shared" ca="1" si="2286"/>
        <v>#N/A</v>
      </c>
      <c r="E2296" s="26">
        <f t="array" aca="1" ref="E2296" ca="1">AVERAGE(IF(INDIRECT(DatCol&amp;"$"&amp;TEXT(C2296,"###")):INDIRECT(DatCol&amp;"$"&amp;TEXT(C2296+57,"###"))&gt;0,INDIRECT(DatCol&amp;"$"&amp;TEXT(C2296,"###")):INDIRECT(DatCol&amp;"$"&amp;TEXT(C2296+57,"###"))))</f>
        <v>490.72727272727275</v>
      </c>
      <c r="F2296" s="26" t="str">
        <f t="shared" si="2330"/>
        <v>S</v>
      </c>
      <c r="G2296" s="8">
        <v>41</v>
      </c>
      <c r="H2296" s="8">
        <v>29</v>
      </c>
      <c r="I2296" s="8">
        <v>1</v>
      </c>
      <c r="J2296" s="8">
        <v>114</v>
      </c>
      <c r="K2296" s="9">
        <f t="shared" si="2309"/>
        <v>184</v>
      </c>
      <c r="L2296" s="12">
        <v>0</v>
      </c>
      <c r="M2296" s="11">
        <f t="shared" si="2310"/>
        <v>0</v>
      </c>
      <c r="N2296" s="12">
        <v>400</v>
      </c>
      <c r="O2296" s="11">
        <f t="shared" si="2311"/>
        <v>20000</v>
      </c>
      <c r="P2296" s="12">
        <v>0</v>
      </c>
      <c r="Q2296" s="11">
        <f t="shared" si="2312"/>
        <v>0</v>
      </c>
      <c r="X2296" s="12">
        <v>0</v>
      </c>
      <c r="Y2296" s="11">
        <f t="shared" si="2313"/>
        <v>0</v>
      </c>
      <c r="AG2296" s="11">
        <f t="shared" si="2314"/>
        <v>0</v>
      </c>
      <c r="AI2296" s="11">
        <f t="shared" si="2315"/>
        <v>0</v>
      </c>
      <c r="AK2296" s="13">
        <f t="shared" si="2316"/>
        <v>0</v>
      </c>
      <c r="AM2296" s="13">
        <f t="shared" si="2317"/>
        <v>0</v>
      </c>
      <c r="AO2296" s="11">
        <f t="shared" si="2318"/>
        <v>0</v>
      </c>
      <c r="AP2296" s="12">
        <v>150</v>
      </c>
      <c r="AQ2296" s="11">
        <f t="shared" si="2319"/>
        <v>12000</v>
      </c>
      <c r="AR2296" s="12">
        <v>1600</v>
      </c>
      <c r="AS2296" s="11">
        <f t="shared" si="2320"/>
        <v>80000</v>
      </c>
      <c r="AU2296" s="11">
        <f t="shared" si="2321"/>
        <v>0</v>
      </c>
      <c r="AW2296" s="11">
        <f t="shared" si="2322"/>
        <v>0</v>
      </c>
      <c r="AY2296" s="11">
        <f t="shared" si="2323"/>
        <v>0</v>
      </c>
      <c r="BA2296" s="11">
        <f t="shared" si="2324"/>
        <v>0</v>
      </c>
      <c r="BC2296" s="11">
        <f t="shared" si="2325"/>
        <v>0</v>
      </c>
      <c r="BE2296" s="11">
        <f t="shared" si="2326"/>
        <v>0</v>
      </c>
      <c r="BG2296" s="11">
        <f t="shared" si="2327"/>
        <v>0</v>
      </c>
      <c r="BN2296" s="8">
        <f t="shared" si="2307"/>
        <v>1600</v>
      </c>
      <c r="BO2296" s="8">
        <f t="shared" si="2308"/>
        <v>80000</v>
      </c>
      <c r="BP2296" s="8">
        <f t="shared" si="2328"/>
        <v>550</v>
      </c>
      <c r="BQ2296" s="12">
        <f t="shared" si="2329"/>
        <v>32000</v>
      </c>
    </row>
    <row r="2297" spans="1:69">
      <c r="A2297" s="28">
        <v>1988</v>
      </c>
      <c r="B2297" s="27" t="s">
        <v>102</v>
      </c>
      <c r="C2297" s="24">
        <f t="shared" si="2288"/>
        <v>2264</v>
      </c>
      <c r="D2297" s="7" t="e">
        <f t="shared" ca="1" si="2286"/>
        <v>#N/A</v>
      </c>
      <c r="E2297" s="26">
        <f t="array" aca="1" ref="E2297" ca="1">AVERAGE(IF(INDIRECT(DatCol&amp;"$"&amp;TEXT(C2297,"###")):INDIRECT(DatCol&amp;"$"&amp;TEXT(C2297+57,"###"))&gt;0,INDIRECT(DatCol&amp;"$"&amp;TEXT(C2297,"###")):INDIRECT(DatCol&amp;"$"&amp;TEXT(C2297+57,"###"))))</f>
        <v>490.72727272727275</v>
      </c>
      <c r="F2297" s="26" t="str">
        <f t="shared" si="2330"/>
        <v>S</v>
      </c>
      <c r="G2297" s="8">
        <v>32</v>
      </c>
      <c r="H2297" s="8">
        <v>24</v>
      </c>
      <c r="I2297" s="8">
        <v>1</v>
      </c>
      <c r="J2297" s="8">
        <v>76</v>
      </c>
      <c r="K2297" s="9">
        <f t="shared" si="2309"/>
        <v>132</v>
      </c>
      <c r="M2297" s="11">
        <f t="shared" si="2310"/>
        <v>0</v>
      </c>
      <c r="N2297" s="12">
        <v>225</v>
      </c>
      <c r="O2297" s="11">
        <f t="shared" si="2311"/>
        <v>11250</v>
      </c>
      <c r="Q2297" s="11">
        <f t="shared" si="2312"/>
        <v>0</v>
      </c>
      <c r="Y2297" s="11">
        <f t="shared" si="2313"/>
        <v>0</v>
      </c>
      <c r="AG2297" s="11">
        <f t="shared" si="2314"/>
        <v>0</v>
      </c>
      <c r="AI2297" s="11">
        <f t="shared" si="2315"/>
        <v>0</v>
      </c>
      <c r="AK2297" s="13">
        <f t="shared" si="2316"/>
        <v>0</v>
      </c>
      <c r="AM2297" s="13">
        <f t="shared" si="2317"/>
        <v>0</v>
      </c>
      <c r="AO2297" s="11">
        <f t="shared" si="2318"/>
        <v>0</v>
      </c>
      <c r="AP2297" s="12">
        <v>250</v>
      </c>
      <c r="AQ2297" s="11">
        <f t="shared" si="2319"/>
        <v>20000</v>
      </c>
      <c r="AR2297" s="12">
        <v>200</v>
      </c>
      <c r="AS2297" s="11">
        <f t="shared" si="2320"/>
        <v>10000</v>
      </c>
      <c r="AU2297" s="11">
        <f t="shared" si="2321"/>
        <v>0</v>
      </c>
      <c r="AW2297" s="11">
        <f t="shared" si="2322"/>
        <v>0</v>
      </c>
      <c r="AY2297" s="11">
        <f t="shared" si="2323"/>
        <v>0</v>
      </c>
      <c r="BA2297" s="11">
        <f t="shared" si="2324"/>
        <v>0</v>
      </c>
      <c r="BC2297" s="11">
        <f t="shared" si="2325"/>
        <v>0</v>
      </c>
      <c r="BE2297" s="11">
        <f t="shared" si="2326"/>
        <v>0</v>
      </c>
      <c r="BG2297" s="11">
        <f t="shared" si="2327"/>
        <v>0</v>
      </c>
      <c r="BN2297" s="8">
        <f t="shared" si="2307"/>
        <v>200</v>
      </c>
      <c r="BO2297" s="8">
        <f t="shared" si="2308"/>
        <v>10000</v>
      </c>
      <c r="BP2297" s="8">
        <f t="shared" si="2328"/>
        <v>475</v>
      </c>
      <c r="BQ2297" s="12">
        <f t="shared" si="2329"/>
        <v>31250</v>
      </c>
    </row>
    <row r="2298" spans="1:69">
      <c r="A2298" s="28">
        <v>1989</v>
      </c>
      <c r="B2298" s="27" t="s">
        <v>102</v>
      </c>
      <c r="C2298" s="24">
        <f t="shared" si="2288"/>
        <v>2264</v>
      </c>
      <c r="D2298" s="7" t="e">
        <f t="shared" ca="1" si="2286"/>
        <v>#N/A</v>
      </c>
      <c r="E2298" s="26">
        <f t="array" aca="1" ref="E2298" ca="1">AVERAGE(IF(INDIRECT(DatCol&amp;"$"&amp;TEXT(C2298,"###")):INDIRECT(DatCol&amp;"$"&amp;TEXT(C2298+57,"###"))&gt;0,INDIRECT(DatCol&amp;"$"&amp;TEXT(C2298,"###")):INDIRECT(DatCol&amp;"$"&amp;TEXT(C2298+57,"###"))))</f>
        <v>490.72727272727275</v>
      </c>
      <c r="F2298" s="26" t="str">
        <f t="shared" si="2330"/>
        <v>S</v>
      </c>
      <c r="G2298" s="8">
        <v>27</v>
      </c>
      <c r="H2298" s="8">
        <v>10</v>
      </c>
      <c r="I2298" s="8">
        <v>0</v>
      </c>
      <c r="J2298" s="8">
        <v>84</v>
      </c>
      <c r="K2298" s="9">
        <f t="shared" si="2309"/>
        <v>121</v>
      </c>
      <c r="L2298" s="12">
        <v>0</v>
      </c>
      <c r="M2298" s="11">
        <f t="shared" si="2310"/>
        <v>0</v>
      </c>
      <c r="N2298" s="12">
        <v>150</v>
      </c>
      <c r="O2298" s="11">
        <f t="shared" si="2311"/>
        <v>7500</v>
      </c>
      <c r="Q2298" s="11">
        <f t="shared" si="2312"/>
        <v>0</v>
      </c>
      <c r="Y2298" s="11">
        <f t="shared" si="2313"/>
        <v>0</v>
      </c>
      <c r="AG2298" s="11">
        <f t="shared" si="2314"/>
        <v>0</v>
      </c>
      <c r="AI2298" s="11">
        <f t="shared" si="2315"/>
        <v>0</v>
      </c>
      <c r="AK2298" s="13">
        <f t="shared" si="2316"/>
        <v>0</v>
      </c>
      <c r="AM2298" s="13">
        <f t="shared" si="2317"/>
        <v>0</v>
      </c>
      <c r="AO2298" s="11">
        <f t="shared" si="2318"/>
        <v>0</v>
      </c>
      <c r="AP2298" s="12">
        <v>400</v>
      </c>
      <c r="AQ2298" s="11">
        <f t="shared" si="2319"/>
        <v>32000</v>
      </c>
      <c r="AR2298" s="12">
        <v>0</v>
      </c>
      <c r="AS2298" s="11">
        <f t="shared" si="2320"/>
        <v>0</v>
      </c>
      <c r="AT2298" s="12">
        <v>100</v>
      </c>
      <c r="AU2298" s="11">
        <f t="shared" si="2321"/>
        <v>5000</v>
      </c>
      <c r="AW2298" s="11">
        <f t="shared" si="2322"/>
        <v>0</v>
      </c>
      <c r="AY2298" s="11">
        <f t="shared" si="2323"/>
        <v>0</v>
      </c>
      <c r="BA2298" s="11">
        <f t="shared" si="2324"/>
        <v>0</v>
      </c>
      <c r="BC2298" s="11">
        <f t="shared" si="2325"/>
        <v>0</v>
      </c>
      <c r="BE2298" s="11">
        <f t="shared" si="2326"/>
        <v>0</v>
      </c>
      <c r="BG2298" s="11">
        <f t="shared" si="2327"/>
        <v>0</v>
      </c>
      <c r="BN2298" s="8">
        <f t="shared" si="2307"/>
        <v>0</v>
      </c>
      <c r="BO2298" s="8">
        <f t="shared" si="2308"/>
        <v>0</v>
      </c>
      <c r="BP2298" s="8">
        <f t="shared" si="2328"/>
        <v>650</v>
      </c>
      <c r="BQ2298" s="12">
        <f t="shared" si="2329"/>
        <v>44500</v>
      </c>
    </row>
    <row r="2299" spans="1:69">
      <c r="A2299" s="28">
        <v>1990</v>
      </c>
      <c r="B2299" s="27" t="s">
        <v>102</v>
      </c>
      <c r="C2299" s="24">
        <f t="shared" si="2288"/>
        <v>2264</v>
      </c>
      <c r="D2299" s="7" t="e">
        <f t="shared" ca="1" si="2286"/>
        <v>#N/A</v>
      </c>
      <c r="E2299" s="26">
        <f t="array" aca="1" ref="E2299" ca="1">AVERAGE(IF(INDIRECT(DatCol&amp;"$"&amp;TEXT(C2299,"###")):INDIRECT(DatCol&amp;"$"&amp;TEXT(C2299+57,"###"))&gt;0,INDIRECT(DatCol&amp;"$"&amp;TEXT(C2299,"###")):INDIRECT(DatCol&amp;"$"&amp;TEXT(C2299+57,"###"))))</f>
        <v>490.72727272727275</v>
      </c>
      <c r="F2299" s="26" t="str">
        <f t="shared" si="2330"/>
        <v>S</v>
      </c>
      <c r="G2299" s="8">
        <v>27</v>
      </c>
      <c r="H2299" s="8">
        <v>11</v>
      </c>
      <c r="I2299" s="8">
        <v>0</v>
      </c>
      <c r="J2299" s="8">
        <v>92</v>
      </c>
      <c r="K2299" s="9">
        <f t="shared" si="2309"/>
        <v>130</v>
      </c>
      <c r="M2299" s="11">
        <f t="shared" si="2310"/>
        <v>0</v>
      </c>
      <c r="N2299" s="12">
        <v>0</v>
      </c>
      <c r="O2299" s="11">
        <f t="shared" si="2311"/>
        <v>0</v>
      </c>
      <c r="Q2299" s="11">
        <f t="shared" si="2312"/>
        <v>0</v>
      </c>
      <c r="Y2299" s="11">
        <f t="shared" si="2313"/>
        <v>0</v>
      </c>
      <c r="AG2299" s="11">
        <f t="shared" si="2314"/>
        <v>0</v>
      </c>
      <c r="AI2299" s="11">
        <f t="shared" si="2315"/>
        <v>0</v>
      </c>
      <c r="AK2299" s="13">
        <f t="shared" si="2316"/>
        <v>0</v>
      </c>
      <c r="AM2299" s="13">
        <f t="shared" si="2317"/>
        <v>0</v>
      </c>
      <c r="AO2299" s="11">
        <f t="shared" si="2318"/>
        <v>0</v>
      </c>
      <c r="AP2299" s="12">
        <v>500</v>
      </c>
      <c r="AQ2299" s="11">
        <f t="shared" si="2319"/>
        <v>40000</v>
      </c>
      <c r="AS2299" s="11">
        <f t="shared" si="2320"/>
        <v>0</v>
      </c>
      <c r="AU2299" s="11">
        <f t="shared" si="2321"/>
        <v>0</v>
      </c>
      <c r="AW2299" s="11">
        <f t="shared" si="2322"/>
        <v>0</v>
      </c>
      <c r="AY2299" s="11">
        <f t="shared" si="2323"/>
        <v>0</v>
      </c>
      <c r="BA2299" s="11">
        <f t="shared" si="2324"/>
        <v>0</v>
      </c>
      <c r="BC2299" s="11">
        <f t="shared" si="2325"/>
        <v>0</v>
      </c>
      <c r="BE2299" s="11">
        <f t="shared" si="2326"/>
        <v>0</v>
      </c>
      <c r="BG2299" s="11">
        <f t="shared" si="2327"/>
        <v>0</v>
      </c>
      <c r="BN2299" s="8">
        <f t="shared" si="2307"/>
        <v>0</v>
      </c>
      <c r="BO2299" s="8">
        <f t="shared" si="2308"/>
        <v>0</v>
      </c>
      <c r="BP2299" s="8">
        <f t="shared" si="2328"/>
        <v>500</v>
      </c>
      <c r="BQ2299" s="12">
        <f t="shared" si="2329"/>
        <v>40000</v>
      </c>
    </row>
    <row r="2300" spans="1:69">
      <c r="A2300" s="28">
        <v>1991</v>
      </c>
      <c r="B2300" s="27" t="s">
        <v>102</v>
      </c>
      <c r="C2300" s="24">
        <f t="shared" si="2288"/>
        <v>2264</v>
      </c>
      <c r="D2300" s="7" t="e">
        <f t="shared" ca="1" si="2286"/>
        <v>#N/A</v>
      </c>
      <c r="E2300" s="26">
        <f t="array" aca="1" ref="E2300" ca="1">AVERAGE(IF(INDIRECT(DatCol&amp;"$"&amp;TEXT(C2300,"###")):INDIRECT(DatCol&amp;"$"&amp;TEXT(C2300+57,"###"))&gt;0,INDIRECT(DatCol&amp;"$"&amp;TEXT(C2300,"###")):INDIRECT(DatCol&amp;"$"&amp;TEXT(C2300+57,"###"))))</f>
        <v>490.72727272727275</v>
      </c>
      <c r="F2300" s="26" t="str">
        <f t="shared" si="2330"/>
        <v>S</v>
      </c>
      <c r="G2300" s="8">
        <v>15</v>
      </c>
      <c r="H2300" s="8">
        <v>0</v>
      </c>
      <c r="I2300" s="8">
        <v>0</v>
      </c>
      <c r="J2300" s="8">
        <v>19</v>
      </c>
      <c r="K2300" s="9">
        <f t="shared" si="2309"/>
        <v>34</v>
      </c>
      <c r="M2300" s="11">
        <f t="shared" ref="M2300:M2330" si="2331">(L2300*50)</f>
        <v>0</v>
      </c>
      <c r="N2300" s="12">
        <v>0</v>
      </c>
      <c r="O2300" s="11">
        <f t="shared" ref="O2300:O2330" si="2332">(N2300*50)</f>
        <v>0</v>
      </c>
      <c r="Q2300" s="11">
        <f t="shared" ref="Q2300:Q2330" si="2333">((P2300*330)/5.5)</f>
        <v>0</v>
      </c>
      <c r="Y2300" s="11">
        <f t="shared" ref="Y2300:Y2330" si="2334">((X2300*330)/5.5)</f>
        <v>0</v>
      </c>
      <c r="AG2300" s="11">
        <f t="shared" ref="AG2300:AG2330" si="2335">(AF2300*65)</f>
        <v>0</v>
      </c>
      <c r="AI2300" s="11">
        <f t="shared" ref="AI2300:AI2330" si="2336">(AH2300*65)</f>
        <v>0</v>
      </c>
      <c r="AK2300" s="13">
        <f t="shared" ref="AK2300:AK2330" si="2337">(AJ2300*9)</f>
        <v>0</v>
      </c>
      <c r="AM2300" s="13">
        <f t="shared" ref="AM2300:AM2330" si="2338">(AL2300*9)</f>
        <v>0</v>
      </c>
      <c r="AO2300" s="11">
        <f t="shared" ref="AO2300:AO2330" si="2339">(AN2300*80)</f>
        <v>0</v>
      </c>
      <c r="AP2300" s="12">
        <v>150</v>
      </c>
      <c r="AQ2300" s="11">
        <f t="shared" ref="AQ2300:AQ2330" si="2340">(AP2300*80)</f>
        <v>12000</v>
      </c>
      <c r="AS2300" s="11">
        <f t="shared" ref="AS2300:AS2330" si="2341">(AR2300*50)</f>
        <v>0</v>
      </c>
      <c r="AU2300" s="11">
        <f t="shared" ref="AU2300:AU2330" si="2342">(AT2300*50)</f>
        <v>0</v>
      </c>
      <c r="AW2300" s="11">
        <f t="shared" ref="AW2300:AW2330" si="2343">(AV2300*60)</f>
        <v>0</v>
      </c>
      <c r="AY2300" s="11">
        <f t="shared" ref="AY2300:AY2330" si="2344">(AX2300*60)</f>
        <v>0</v>
      </c>
      <c r="BA2300" s="11">
        <f t="shared" ref="BA2300:BA2330" si="2345">(AZ2300*40)</f>
        <v>0</v>
      </c>
      <c r="BC2300" s="11">
        <f t="shared" ref="BC2300:BC2330" si="2346">(BB2300*40)</f>
        <v>0</v>
      </c>
      <c r="BE2300" s="11">
        <f t="shared" ref="BE2300:BE2330" si="2347">(BD2300*95)</f>
        <v>0</v>
      </c>
      <c r="BG2300" s="11">
        <f t="shared" ref="BG2300:BG2330" si="2348">(BF2300*95)</f>
        <v>0</v>
      </c>
      <c r="BN2300" s="8">
        <f t="shared" si="2307"/>
        <v>0</v>
      </c>
      <c r="BO2300" s="8">
        <f t="shared" si="2308"/>
        <v>0</v>
      </c>
      <c r="BP2300" s="8">
        <f t="shared" si="2328"/>
        <v>150</v>
      </c>
      <c r="BQ2300" s="12">
        <f t="shared" si="2329"/>
        <v>12000</v>
      </c>
    </row>
    <row r="2301" spans="1:69">
      <c r="A2301" s="28">
        <v>1992</v>
      </c>
      <c r="B2301" s="27" t="s">
        <v>102</v>
      </c>
      <c r="C2301" s="24">
        <f t="shared" si="2288"/>
        <v>2264</v>
      </c>
      <c r="D2301" s="7" t="e">
        <f t="shared" ca="1" si="2286"/>
        <v>#N/A</v>
      </c>
      <c r="E2301" s="26">
        <f t="array" aca="1" ref="E2301" ca="1">AVERAGE(IF(INDIRECT(DatCol&amp;"$"&amp;TEXT(C2301,"###")):INDIRECT(DatCol&amp;"$"&amp;TEXT(C2301+57,"###"))&gt;0,INDIRECT(DatCol&amp;"$"&amp;TEXT(C2301,"###")):INDIRECT(DatCol&amp;"$"&amp;TEXT(C2301+57,"###"))))</f>
        <v>490.72727272727275</v>
      </c>
      <c r="F2301" s="26" t="str">
        <f t="shared" si="2330"/>
        <v>S</v>
      </c>
      <c r="G2301" s="8">
        <v>12</v>
      </c>
      <c r="H2301" s="8">
        <v>0</v>
      </c>
      <c r="I2301" s="8">
        <v>0</v>
      </c>
      <c r="J2301" s="8">
        <v>20</v>
      </c>
      <c r="K2301" s="9">
        <f t="shared" si="2309"/>
        <v>32</v>
      </c>
      <c r="L2301" s="12">
        <v>0</v>
      </c>
      <c r="M2301" s="11">
        <f t="shared" si="2331"/>
        <v>0</v>
      </c>
      <c r="N2301" s="12">
        <v>0</v>
      </c>
      <c r="O2301" s="11">
        <f t="shared" si="2332"/>
        <v>0</v>
      </c>
      <c r="Q2301" s="11">
        <f t="shared" si="2333"/>
        <v>0</v>
      </c>
      <c r="Y2301" s="11">
        <f t="shared" si="2334"/>
        <v>0</v>
      </c>
      <c r="AG2301" s="11">
        <f t="shared" si="2335"/>
        <v>0</v>
      </c>
      <c r="AI2301" s="11">
        <f t="shared" si="2336"/>
        <v>0</v>
      </c>
      <c r="AK2301" s="13">
        <f t="shared" si="2337"/>
        <v>0</v>
      </c>
      <c r="AM2301" s="13">
        <f t="shared" si="2338"/>
        <v>0</v>
      </c>
      <c r="AO2301" s="11">
        <f t="shared" si="2339"/>
        <v>0</v>
      </c>
      <c r="AP2301" s="12">
        <v>100</v>
      </c>
      <c r="AQ2301" s="11">
        <f t="shared" si="2340"/>
        <v>8000</v>
      </c>
      <c r="AS2301" s="11">
        <f t="shared" si="2341"/>
        <v>0</v>
      </c>
      <c r="AU2301" s="11">
        <f t="shared" si="2342"/>
        <v>0</v>
      </c>
      <c r="AW2301" s="11">
        <f t="shared" si="2343"/>
        <v>0</v>
      </c>
      <c r="AY2301" s="11">
        <f t="shared" si="2344"/>
        <v>0</v>
      </c>
      <c r="BA2301" s="11">
        <f t="shared" si="2345"/>
        <v>0</v>
      </c>
      <c r="BC2301" s="11">
        <f t="shared" si="2346"/>
        <v>0</v>
      </c>
      <c r="BE2301" s="11">
        <f t="shared" si="2347"/>
        <v>0</v>
      </c>
      <c r="BG2301" s="11">
        <f t="shared" si="2348"/>
        <v>0</v>
      </c>
      <c r="BN2301" s="8">
        <f t="shared" si="2307"/>
        <v>0</v>
      </c>
      <c r="BO2301" s="8">
        <f t="shared" si="2308"/>
        <v>0</v>
      </c>
      <c r="BP2301" s="8">
        <f t="shared" si="2328"/>
        <v>100</v>
      </c>
      <c r="BQ2301" s="12">
        <f t="shared" si="2329"/>
        <v>8000</v>
      </c>
    </row>
    <row r="2302" spans="1:69">
      <c r="A2302" s="28">
        <v>1993</v>
      </c>
      <c r="B2302" s="27" t="s">
        <v>102</v>
      </c>
      <c r="C2302" s="24">
        <f t="shared" si="2288"/>
        <v>2264</v>
      </c>
      <c r="D2302" s="7" t="e">
        <f t="shared" ca="1" si="2286"/>
        <v>#N/A</v>
      </c>
      <c r="E2302" s="26">
        <f t="array" aca="1" ref="E2302" ca="1">AVERAGE(IF(INDIRECT(DatCol&amp;"$"&amp;TEXT(C2302,"###")):INDIRECT(DatCol&amp;"$"&amp;TEXT(C2302+57,"###"))&gt;0,INDIRECT(DatCol&amp;"$"&amp;TEXT(C2302,"###")):INDIRECT(DatCol&amp;"$"&amp;TEXT(C2302+57,"###"))))</f>
        <v>490.72727272727275</v>
      </c>
      <c r="F2302" s="26" t="str">
        <f t="shared" si="2330"/>
        <v>S</v>
      </c>
      <c r="G2302" s="8">
        <v>12</v>
      </c>
      <c r="H2302" s="8">
        <v>0</v>
      </c>
      <c r="I2302" s="8">
        <v>0</v>
      </c>
      <c r="J2302" s="8">
        <v>4</v>
      </c>
      <c r="K2302" s="9">
        <f t="shared" si="2309"/>
        <v>16</v>
      </c>
      <c r="L2302" s="12">
        <v>0</v>
      </c>
      <c r="M2302" s="11">
        <f t="shared" si="2331"/>
        <v>0</v>
      </c>
      <c r="N2302" s="12">
        <v>0</v>
      </c>
      <c r="O2302" s="11">
        <f t="shared" si="2332"/>
        <v>0</v>
      </c>
      <c r="P2302" s="12">
        <v>0</v>
      </c>
      <c r="Q2302" s="11">
        <f t="shared" si="2333"/>
        <v>0</v>
      </c>
      <c r="X2302" s="12">
        <v>0</v>
      </c>
      <c r="Y2302" s="11">
        <f t="shared" si="2334"/>
        <v>0</v>
      </c>
      <c r="AF2302" s="12">
        <v>0</v>
      </c>
      <c r="AG2302" s="11">
        <f t="shared" si="2335"/>
        <v>0</v>
      </c>
      <c r="AH2302" s="12">
        <v>0</v>
      </c>
      <c r="AI2302" s="11">
        <f t="shared" si="2336"/>
        <v>0</v>
      </c>
      <c r="AJ2302" s="12">
        <v>0</v>
      </c>
      <c r="AK2302" s="13">
        <f t="shared" si="2337"/>
        <v>0</v>
      </c>
      <c r="AL2302" s="12">
        <v>0</v>
      </c>
      <c r="AM2302" s="13">
        <f t="shared" si="2338"/>
        <v>0</v>
      </c>
      <c r="AN2302" s="12">
        <v>0</v>
      </c>
      <c r="AO2302" s="11">
        <f t="shared" si="2339"/>
        <v>0</v>
      </c>
      <c r="AP2302" s="12">
        <v>100</v>
      </c>
      <c r="AQ2302" s="11">
        <f t="shared" si="2340"/>
        <v>8000</v>
      </c>
      <c r="AS2302" s="11">
        <f t="shared" si="2341"/>
        <v>0</v>
      </c>
      <c r="AU2302" s="11">
        <f t="shared" si="2342"/>
        <v>0</v>
      </c>
      <c r="AW2302" s="11">
        <f t="shared" si="2343"/>
        <v>0</v>
      </c>
      <c r="AY2302" s="11">
        <f t="shared" si="2344"/>
        <v>0</v>
      </c>
      <c r="BA2302" s="11">
        <f t="shared" si="2345"/>
        <v>0</v>
      </c>
      <c r="BC2302" s="11">
        <f t="shared" si="2346"/>
        <v>0</v>
      </c>
      <c r="BE2302" s="11">
        <f t="shared" si="2347"/>
        <v>0</v>
      </c>
      <c r="BG2302" s="11">
        <f t="shared" si="2348"/>
        <v>0</v>
      </c>
      <c r="BN2302" s="8">
        <f t="shared" si="2307"/>
        <v>0</v>
      </c>
      <c r="BO2302" s="8">
        <f t="shared" si="2308"/>
        <v>0</v>
      </c>
      <c r="BP2302" s="8">
        <f t="shared" si="2328"/>
        <v>100</v>
      </c>
      <c r="BQ2302" s="12">
        <f t="shared" si="2329"/>
        <v>8000</v>
      </c>
    </row>
    <row r="2303" spans="1:69">
      <c r="A2303" s="28">
        <v>1994</v>
      </c>
      <c r="B2303" s="27" t="s">
        <v>102</v>
      </c>
      <c r="C2303" s="24">
        <f t="shared" si="2288"/>
        <v>2264</v>
      </c>
      <c r="D2303" s="7" t="e">
        <f t="shared" ca="1" si="2286"/>
        <v>#N/A</v>
      </c>
      <c r="E2303" s="26">
        <f t="array" aca="1" ref="E2303" ca="1">AVERAGE(IF(INDIRECT(DatCol&amp;"$"&amp;TEXT(C2303,"###")):INDIRECT(DatCol&amp;"$"&amp;TEXT(C2303+57,"###"))&gt;0,INDIRECT(DatCol&amp;"$"&amp;TEXT(C2303,"###")):INDIRECT(DatCol&amp;"$"&amp;TEXT(C2303+57,"###"))))</f>
        <v>490.72727272727275</v>
      </c>
      <c r="F2303" s="26" t="str">
        <f t="shared" si="2330"/>
        <v>S</v>
      </c>
      <c r="G2303" s="8">
        <v>41</v>
      </c>
      <c r="H2303" s="8">
        <v>33</v>
      </c>
      <c r="I2303" s="8">
        <v>0</v>
      </c>
      <c r="J2303" s="8">
        <v>312</v>
      </c>
      <c r="K2303" s="9">
        <f t="shared" si="2309"/>
        <v>386</v>
      </c>
      <c r="L2303" s="12">
        <v>0</v>
      </c>
      <c r="M2303" s="11">
        <f t="shared" si="2331"/>
        <v>0</v>
      </c>
      <c r="N2303" s="12">
        <v>270</v>
      </c>
      <c r="O2303" s="11">
        <f t="shared" si="2332"/>
        <v>13500</v>
      </c>
      <c r="P2303" s="12">
        <v>0</v>
      </c>
      <c r="Q2303" s="11">
        <f t="shared" si="2333"/>
        <v>0</v>
      </c>
      <c r="X2303" s="12">
        <v>0</v>
      </c>
      <c r="Y2303" s="11">
        <f t="shared" si="2334"/>
        <v>0</v>
      </c>
      <c r="AF2303" s="12">
        <v>0</v>
      </c>
      <c r="AG2303" s="11">
        <f t="shared" si="2335"/>
        <v>0</v>
      </c>
      <c r="AH2303" s="12">
        <v>0</v>
      </c>
      <c r="AI2303" s="11">
        <f t="shared" si="2336"/>
        <v>0</v>
      </c>
      <c r="AJ2303" s="12">
        <v>0</v>
      </c>
      <c r="AK2303" s="13">
        <f t="shared" si="2337"/>
        <v>0</v>
      </c>
      <c r="AL2303" s="12">
        <v>0</v>
      </c>
      <c r="AM2303" s="13">
        <f t="shared" si="2338"/>
        <v>0</v>
      </c>
      <c r="AN2303" s="12">
        <v>0</v>
      </c>
      <c r="AO2303" s="11">
        <f t="shared" si="2339"/>
        <v>0</v>
      </c>
      <c r="AP2303" s="12">
        <v>300</v>
      </c>
      <c r="AQ2303" s="11">
        <f t="shared" si="2340"/>
        <v>24000</v>
      </c>
      <c r="AS2303" s="11">
        <f t="shared" si="2341"/>
        <v>0</v>
      </c>
      <c r="AU2303" s="11">
        <f t="shared" si="2342"/>
        <v>0</v>
      </c>
      <c r="AW2303" s="11">
        <f t="shared" si="2343"/>
        <v>0</v>
      </c>
      <c r="AY2303" s="11">
        <f t="shared" si="2344"/>
        <v>0</v>
      </c>
      <c r="BA2303" s="11">
        <f t="shared" si="2345"/>
        <v>0</v>
      </c>
      <c r="BC2303" s="11">
        <f t="shared" si="2346"/>
        <v>0</v>
      </c>
      <c r="BE2303" s="11">
        <f t="shared" si="2347"/>
        <v>0</v>
      </c>
      <c r="BG2303" s="11">
        <f t="shared" si="2348"/>
        <v>0</v>
      </c>
      <c r="BN2303" s="8">
        <f t="shared" si="2307"/>
        <v>0</v>
      </c>
      <c r="BO2303" s="8">
        <f t="shared" si="2308"/>
        <v>0</v>
      </c>
      <c r="BP2303" s="8">
        <f t="shared" si="2328"/>
        <v>570</v>
      </c>
      <c r="BQ2303" s="12">
        <f t="shared" si="2329"/>
        <v>37500</v>
      </c>
    </row>
    <row r="2304" spans="1:69">
      <c r="A2304" s="28">
        <v>1995</v>
      </c>
      <c r="B2304" s="27" t="s">
        <v>102</v>
      </c>
      <c r="C2304" s="24">
        <f t="shared" si="2288"/>
        <v>2264</v>
      </c>
      <c r="D2304" s="7" t="e">
        <f t="shared" ca="1" si="2286"/>
        <v>#N/A</v>
      </c>
      <c r="E2304" s="26">
        <f t="array" aca="1" ref="E2304" ca="1">AVERAGE(IF(INDIRECT(DatCol&amp;"$"&amp;TEXT(C2304,"###")):INDIRECT(DatCol&amp;"$"&amp;TEXT(C2304+57,"###"))&gt;0,INDIRECT(DatCol&amp;"$"&amp;TEXT(C2304,"###")):INDIRECT(DatCol&amp;"$"&amp;TEXT(C2304+57,"###"))))</f>
        <v>490.72727272727275</v>
      </c>
      <c r="F2304" s="26" t="str">
        <f t="shared" si="2330"/>
        <v>S</v>
      </c>
      <c r="G2304" s="9">
        <v>93</v>
      </c>
      <c r="H2304" s="9">
        <v>67</v>
      </c>
      <c r="I2304" s="9">
        <v>0</v>
      </c>
      <c r="J2304" s="9">
        <v>228</v>
      </c>
      <c r="K2304" s="9">
        <f t="shared" si="2309"/>
        <v>388</v>
      </c>
      <c r="L2304" s="10">
        <v>0</v>
      </c>
      <c r="M2304" s="11">
        <f t="shared" si="2331"/>
        <v>0</v>
      </c>
      <c r="N2304" s="10">
        <v>800</v>
      </c>
      <c r="O2304" s="11">
        <f t="shared" si="2332"/>
        <v>40000</v>
      </c>
      <c r="P2304" s="10">
        <v>0</v>
      </c>
      <c r="Q2304" s="11">
        <f t="shared" si="2333"/>
        <v>0</v>
      </c>
      <c r="X2304" s="10">
        <v>0</v>
      </c>
      <c r="Y2304" s="11">
        <f t="shared" si="2334"/>
        <v>0</v>
      </c>
      <c r="AF2304" s="10">
        <v>0</v>
      </c>
      <c r="AG2304" s="11">
        <f t="shared" si="2335"/>
        <v>0</v>
      </c>
      <c r="AH2304" s="10">
        <v>0</v>
      </c>
      <c r="AI2304" s="11">
        <f t="shared" si="2336"/>
        <v>0</v>
      </c>
      <c r="AJ2304" s="10">
        <v>0</v>
      </c>
      <c r="AK2304" s="13">
        <f t="shared" si="2337"/>
        <v>0</v>
      </c>
      <c r="AL2304" s="10">
        <v>0</v>
      </c>
      <c r="AM2304" s="13">
        <f t="shared" si="2338"/>
        <v>0</v>
      </c>
      <c r="AN2304" s="10">
        <v>0</v>
      </c>
      <c r="AO2304" s="11">
        <f t="shared" si="2339"/>
        <v>0</v>
      </c>
      <c r="AP2304" s="10">
        <v>100</v>
      </c>
      <c r="AQ2304" s="11">
        <f t="shared" si="2340"/>
        <v>8000</v>
      </c>
      <c r="AS2304" s="11">
        <f t="shared" si="2341"/>
        <v>0</v>
      </c>
      <c r="AU2304" s="11">
        <f t="shared" si="2342"/>
        <v>0</v>
      </c>
      <c r="AW2304" s="11">
        <f t="shared" si="2343"/>
        <v>0</v>
      </c>
      <c r="AY2304" s="11">
        <f t="shared" si="2344"/>
        <v>0</v>
      </c>
      <c r="BA2304" s="11">
        <f t="shared" si="2345"/>
        <v>0</v>
      </c>
      <c r="BC2304" s="11">
        <f t="shared" si="2346"/>
        <v>0</v>
      </c>
      <c r="BE2304" s="11">
        <f t="shared" si="2347"/>
        <v>0</v>
      </c>
      <c r="BG2304" s="11">
        <f t="shared" si="2348"/>
        <v>0</v>
      </c>
      <c r="BN2304" s="8">
        <f t="shared" si="2307"/>
        <v>0</v>
      </c>
      <c r="BO2304" s="8">
        <f t="shared" si="2308"/>
        <v>0</v>
      </c>
      <c r="BP2304" s="8">
        <f t="shared" si="2328"/>
        <v>900</v>
      </c>
      <c r="BQ2304" s="12">
        <f t="shared" si="2329"/>
        <v>48000</v>
      </c>
    </row>
    <row r="2305" spans="1:69">
      <c r="A2305" s="28">
        <v>1996</v>
      </c>
      <c r="B2305" s="27" t="s">
        <v>102</v>
      </c>
      <c r="C2305" s="24">
        <f t="shared" si="2288"/>
        <v>2264</v>
      </c>
      <c r="D2305" s="7" t="e">
        <f t="shared" ca="1" si="2286"/>
        <v>#N/A</v>
      </c>
      <c r="E2305" s="26">
        <f t="array" aca="1" ref="E2305" ca="1">AVERAGE(IF(INDIRECT(DatCol&amp;"$"&amp;TEXT(C2305,"###")):INDIRECT(DatCol&amp;"$"&amp;TEXT(C2305+57,"###"))&gt;0,INDIRECT(DatCol&amp;"$"&amp;TEXT(C2305,"###")):INDIRECT(DatCol&amp;"$"&amp;TEXT(C2305+57,"###"))))</f>
        <v>490.72727272727275</v>
      </c>
      <c r="F2305" s="26" t="str">
        <f t="shared" si="2330"/>
        <v>S</v>
      </c>
      <c r="G2305" s="9">
        <v>127</v>
      </c>
      <c r="H2305" s="9">
        <v>62</v>
      </c>
      <c r="I2305" s="9">
        <v>0</v>
      </c>
      <c r="J2305" s="9">
        <v>271</v>
      </c>
      <c r="K2305" s="9">
        <f t="shared" si="2309"/>
        <v>460</v>
      </c>
      <c r="L2305" s="10">
        <v>0</v>
      </c>
      <c r="M2305" s="11">
        <f t="shared" si="2331"/>
        <v>0</v>
      </c>
      <c r="N2305" s="10">
        <v>750</v>
      </c>
      <c r="O2305" s="11">
        <f t="shared" si="2332"/>
        <v>37500</v>
      </c>
      <c r="P2305" s="10">
        <v>0</v>
      </c>
      <c r="Q2305" s="11">
        <f t="shared" si="2333"/>
        <v>0</v>
      </c>
      <c r="X2305" s="10">
        <v>0</v>
      </c>
      <c r="Y2305" s="11">
        <f t="shared" si="2334"/>
        <v>0</v>
      </c>
      <c r="AF2305" s="10">
        <v>0</v>
      </c>
      <c r="AG2305" s="11">
        <f t="shared" si="2335"/>
        <v>0</v>
      </c>
      <c r="AH2305" s="10">
        <v>0</v>
      </c>
      <c r="AI2305" s="11">
        <f t="shared" si="2336"/>
        <v>0</v>
      </c>
      <c r="AJ2305" s="10">
        <v>0</v>
      </c>
      <c r="AK2305" s="13">
        <f t="shared" si="2337"/>
        <v>0</v>
      </c>
      <c r="AL2305" s="10">
        <v>0</v>
      </c>
      <c r="AM2305" s="13">
        <f t="shared" si="2338"/>
        <v>0</v>
      </c>
      <c r="AN2305" s="10">
        <v>0</v>
      </c>
      <c r="AO2305" s="11">
        <f t="shared" si="2339"/>
        <v>0</v>
      </c>
      <c r="AP2305" s="10">
        <v>100</v>
      </c>
      <c r="AQ2305" s="11">
        <f t="shared" si="2340"/>
        <v>8000</v>
      </c>
      <c r="AS2305" s="11">
        <f t="shared" si="2341"/>
        <v>0</v>
      </c>
      <c r="AT2305" s="10">
        <v>50</v>
      </c>
      <c r="AU2305" s="11">
        <f t="shared" si="2342"/>
        <v>2500</v>
      </c>
      <c r="AW2305" s="11">
        <f t="shared" si="2343"/>
        <v>0</v>
      </c>
      <c r="AY2305" s="11">
        <f t="shared" si="2344"/>
        <v>0</v>
      </c>
      <c r="BA2305" s="11">
        <f t="shared" si="2345"/>
        <v>0</v>
      </c>
      <c r="BC2305" s="11">
        <f t="shared" si="2346"/>
        <v>0</v>
      </c>
      <c r="BE2305" s="11">
        <f t="shared" si="2347"/>
        <v>0</v>
      </c>
      <c r="BG2305" s="11">
        <f t="shared" si="2348"/>
        <v>0</v>
      </c>
      <c r="BN2305" s="8">
        <f t="shared" si="2307"/>
        <v>0</v>
      </c>
      <c r="BO2305" s="8">
        <f t="shared" si="2308"/>
        <v>0</v>
      </c>
      <c r="BP2305" s="8">
        <f t="shared" si="2328"/>
        <v>900</v>
      </c>
      <c r="BQ2305" s="12">
        <f t="shared" si="2329"/>
        <v>48000</v>
      </c>
    </row>
    <row r="2306" spans="1:69">
      <c r="A2306" s="28">
        <v>1997</v>
      </c>
      <c r="B2306" s="27" t="s">
        <v>102</v>
      </c>
      <c r="C2306" s="24">
        <f t="shared" si="2288"/>
        <v>2264</v>
      </c>
      <c r="D2306" s="7" t="e">
        <f t="shared" ref="D2306:D2369" ca="1" si="2349">IF(AND((INDIRECT(DatCol&amp;TEXT(ROW(),"###"))&gt;0),((F2306=RegionSelect)+(RegionSelect="A"))),INDIRECT(DatCol&amp;TEXT(ROW(),"###"))/E2306,NA())</f>
        <v>#N/A</v>
      </c>
      <c r="E2306" s="26">
        <f t="array" aca="1" ref="E2306" ca="1">AVERAGE(IF(INDIRECT(DatCol&amp;"$"&amp;TEXT(C2306,"###")):INDIRECT(DatCol&amp;"$"&amp;TEXT(C2306+57,"###"))&gt;0,INDIRECT(DatCol&amp;"$"&amp;TEXT(C2306,"###")):INDIRECT(DatCol&amp;"$"&amp;TEXT(C2306+57,"###"))))</f>
        <v>490.72727272727275</v>
      </c>
      <c r="F2306" s="26" t="str">
        <f t="shared" si="2330"/>
        <v>S</v>
      </c>
      <c r="G2306" s="9">
        <v>104</v>
      </c>
      <c r="H2306" s="9">
        <v>77</v>
      </c>
      <c r="I2306" s="9">
        <v>0</v>
      </c>
      <c r="J2306" s="9">
        <v>279</v>
      </c>
      <c r="K2306" s="9">
        <f t="shared" si="2309"/>
        <v>460</v>
      </c>
      <c r="L2306" s="10">
        <v>0</v>
      </c>
      <c r="M2306" s="11">
        <f t="shared" si="2331"/>
        <v>0</v>
      </c>
      <c r="N2306" s="10">
        <v>1000</v>
      </c>
      <c r="O2306" s="11">
        <f t="shared" si="2332"/>
        <v>50000</v>
      </c>
      <c r="P2306" s="10">
        <v>0</v>
      </c>
      <c r="Q2306" s="11">
        <f t="shared" si="2333"/>
        <v>0</v>
      </c>
      <c r="X2306" s="10">
        <v>0</v>
      </c>
      <c r="Y2306" s="11">
        <f t="shared" si="2334"/>
        <v>0</v>
      </c>
      <c r="AF2306" s="10">
        <v>0</v>
      </c>
      <c r="AG2306" s="11">
        <f t="shared" si="2335"/>
        <v>0</v>
      </c>
      <c r="AH2306" s="10">
        <v>0</v>
      </c>
      <c r="AI2306" s="11">
        <f t="shared" si="2336"/>
        <v>0</v>
      </c>
      <c r="AJ2306" s="10">
        <v>0</v>
      </c>
      <c r="AK2306" s="13">
        <f t="shared" si="2337"/>
        <v>0</v>
      </c>
      <c r="AL2306" s="10">
        <v>0</v>
      </c>
      <c r="AM2306" s="13">
        <f t="shared" si="2338"/>
        <v>0</v>
      </c>
      <c r="AN2306" s="10">
        <v>0</v>
      </c>
      <c r="AO2306" s="11">
        <f t="shared" si="2339"/>
        <v>0</v>
      </c>
      <c r="AP2306" s="10">
        <v>150</v>
      </c>
      <c r="AQ2306" s="11">
        <f t="shared" si="2340"/>
        <v>12000</v>
      </c>
      <c r="AS2306" s="11">
        <f t="shared" si="2341"/>
        <v>0</v>
      </c>
      <c r="AT2306" s="10">
        <v>50</v>
      </c>
      <c r="AU2306" s="11">
        <f t="shared" si="2342"/>
        <v>2500</v>
      </c>
      <c r="AW2306" s="11">
        <f t="shared" si="2343"/>
        <v>0</v>
      </c>
      <c r="AY2306" s="11">
        <f t="shared" si="2344"/>
        <v>0</v>
      </c>
      <c r="BA2306" s="11">
        <f t="shared" si="2345"/>
        <v>0</v>
      </c>
      <c r="BC2306" s="11">
        <f t="shared" si="2346"/>
        <v>0</v>
      </c>
      <c r="BE2306" s="11">
        <f t="shared" si="2347"/>
        <v>0</v>
      </c>
      <c r="BG2306" s="11">
        <f t="shared" si="2348"/>
        <v>0</v>
      </c>
      <c r="BN2306" s="8">
        <f t="shared" si="2307"/>
        <v>0</v>
      </c>
      <c r="BO2306" s="8">
        <f t="shared" si="2308"/>
        <v>0</v>
      </c>
      <c r="BP2306" s="8">
        <f t="shared" si="2328"/>
        <v>1200</v>
      </c>
      <c r="BQ2306" s="12">
        <f t="shared" si="2329"/>
        <v>64500</v>
      </c>
    </row>
    <row r="2307" spans="1:69">
      <c r="A2307" s="28">
        <v>1998</v>
      </c>
      <c r="B2307" s="27" t="s">
        <v>102</v>
      </c>
      <c r="C2307" s="24">
        <f t="shared" si="2288"/>
        <v>2264</v>
      </c>
      <c r="D2307" s="7" t="e">
        <f t="shared" ca="1" si="2349"/>
        <v>#N/A</v>
      </c>
      <c r="E2307" s="26">
        <f t="array" aca="1" ref="E2307" ca="1">AVERAGE(IF(INDIRECT(DatCol&amp;"$"&amp;TEXT(C2307,"###")):INDIRECT(DatCol&amp;"$"&amp;TEXT(C2307+57,"###"))&gt;0,INDIRECT(DatCol&amp;"$"&amp;TEXT(C2307,"###")):INDIRECT(DatCol&amp;"$"&amp;TEXT(C2307+57,"###"))))</f>
        <v>490.72727272727275</v>
      </c>
      <c r="F2307" s="26" t="str">
        <f t="shared" si="2330"/>
        <v>S</v>
      </c>
      <c r="G2307" s="9">
        <v>77</v>
      </c>
      <c r="H2307" s="9">
        <v>36</v>
      </c>
      <c r="I2307" s="9">
        <v>0</v>
      </c>
      <c r="J2307" s="9">
        <v>169</v>
      </c>
      <c r="K2307" s="9">
        <f t="shared" si="2309"/>
        <v>282</v>
      </c>
      <c r="L2307" s="10">
        <v>0</v>
      </c>
      <c r="M2307" s="11">
        <v>0</v>
      </c>
      <c r="N2307" s="10">
        <f>(O2307/50)</f>
        <v>450</v>
      </c>
      <c r="O2307" s="11">
        <v>22500</v>
      </c>
      <c r="P2307" s="10">
        <v>0</v>
      </c>
      <c r="Q2307" s="11">
        <v>0</v>
      </c>
      <c r="X2307" s="10">
        <v>0</v>
      </c>
      <c r="Y2307" s="11">
        <v>0</v>
      </c>
      <c r="AF2307" s="10">
        <v>0</v>
      </c>
      <c r="AG2307" s="11">
        <v>0</v>
      </c>
      <c r="AH2307" s="10">
        <v>0</v>
      </c>
      <c r="AI2307" s="11">
        <v>0</v>
      </c>
      <c r="AJ2307" s="10">
        <v>0</v>
      </c>
      <c r="AK2307" s="13">
        <v>0</v>
      </c>
      <c r="AL2307" s="10">
        <v>0</v>
      </c>
      <c r="AM2307" s="13">
        <v>0</v>
      </c>
      <c r="AN2307" s="10">
        <v>0</v>
      </c>
      <c r="AO2307" s="11">
        <v>0</v>
      </c>
      <c r="AP2307" s="10">
        <f>(AQ2307/80)</f>
        <v>120</v>
      </c>
      <c r="AQ2307" s="11">
        <v>9600</v>
      </c>
      <c r="BN2307" s="8">
        <f t="shared" si="2307"/>
        <v>0</v>
      </c>
      <c r="BO2307" s="8">
        <f t="shared" si="2308"/>
        <v>0</v>
      </c>
      <c r="BP2307" s="8">
        <f t="shared" si="2328"/>
        <v>570</v>
      </c>
      <c r="BQ2307" s="12">
        <f t="shared" si="2329"/>
        <v>32100</v>
      </c>
    </row>
    <row r="2308" spans="1:69">
      <c r="A2308" s="28">
        <v>1999</v>
      </c>
      <c r="B2308" s="27" t="s">
        <v>102</v>
      </c>
      <c r="C2308" s="24">
        <f t="shared" si="2288"/>
        <v>2264</v>
      </c>
      <c r="D2308" s="7" t="e">
        <f t="shared" ca="1" si="2349"/>
        <v>#N/A</v>
      </c>
      <c r="E2308" s="26">
        <f t="array" aca="1" ref="E2308" ca="1">AVERAGE(IF(INDIRECT(DatCol&amp;"$"&amp;TEXT(C2308,"###")):INDIRECT(DatCol&amp;"$"&amp;TEXT(C2308+57,"###"))&gt;0,INDIRECT(DatCol&amp;"$"&amp;TEXT(C2308,"###")):INDIRECT(DatCol&amp;"$"&amp;TEXT(C2308+57,"###"))))</f>
        <v>490.72727272727275</v>
      </c>
      <c r="F2308" s="26" t="str">
        <f t="shared" si="2330"/>
        <v>S</v>
      </c>
      <c r="G2308" s="9">
        <v>69</v>
      </c>
      <c r="H2308" s="9">
        <v>35</v>
      </c>
      <c r="I2308" s="9">
        <v>0</v>
      </c>
      <c r="J2308" s="9">
        <v>157</v>
      </c>
      <c r="K2308" s="9">
        <f t="shared" si="2309"/>
        <v>261</v>
      </c>
      <c r="L2308" s="10">
        <v>0</v>
      </c>
      <c r="M2308" s="11">
        <v>0</v>
      </c>
      <c r="N2308" s="10">
        <f>O2308/50</f>
        <v>28</v>
      </c>
      <c r="O2308" s="11">
        <v>1400</v>
      </c>
      <c r="P2308" s="10">
        <v>0</v>
      </c>
      <c r="Q2308" s="11">
        <v>0</v>
      </c>
      <c r="R2308" s="10">
        <v>0</v>
      </c>
      <c r="S2308" s="11">
        <v>0</v>
      </c>
      <c r="T2308" s="10">
        <v>0</v>
      </c>
      <c r="V2308" s="10">
        <v>0</v>
      </c>
      <c r="W2308" s="11">
        <v>0</v>
      </c>
      <c r="X2308" s="10">
        <v>0</v>
      </c>
      <c r="Y2308" s="11">
        <v>0</v>
      </c>
      <c r="Z2308" s="10">
        <v>0</v>
      </c>
      <c r="AA2308" s="11">
        <v>0</v>
      </c>
      <c r="AB2308" s="10">
        <v>0</v>
      </c>
      <c r="AC2308" s="11">
        <v>0</v>
      </c>
      <c r="AD2308" s="10">
        <v>0</v>
      </c>
      <c r="AE2308" s="11">
        <v>0</v>
      </c>
      <c r="AF2308" s="10">
        <v>0</v>
      </c>
      <c r="AG2308" s="11">
        <v>0</v>
      </c>
      <c r="AH2308" s="10">
        <v>0</v>
      </c>
      <c r="AI2308" s="11">
        <v>0</v>
      </c>
      <c r="AJ2308" s="10">
        <v>0</v>
      </c>
      <c r="AK2308" s="13">
        <v>0</v>
      </c>
      <c r="AL2308" s="10">
        <v>0</v>
      </c>
      <c r="AM2308" s="13">
        <v>0</v>
      </c>
      <c r="AN2308" s="10">
        <v>0</v>
      </c>
      <c r="AO2308" s="11">
        <v>0</v>
      </c>
      <c r="AP2308" s="10">
        <f>AQ2308/80</f>
        <v>11</v>
      </c>
      <c r="AQ2308" s="11">
        <v>880</v>
      </c>
      <c r="BN2308" s="8">
        <f t="shared" si="2307"/>
        <v>0</v>
      </c>
      <c r="BO2308" s="8">
        <f t="shared" si="2308"/>
        <v>0</v>
      </c>
      <c r="BP2308" s="8">
        <f t="shared" si="2328"/>
        <v>39</v>
      </c>
      <c r="BQ2308" s="12">
        <f t="shared" si="2329"/>
        <v>2280</v>
      </c>
    </row>
    <row r="2309" spans="1:69">
      <c r="A2309" s="28">
        <v>2000</v>
      </c>
      <c r="B2309" s="27" t="s">
        <v>102</v>
      </c>
      <c r="C2309" s="24">
        <f t="shared" si="2288"/>
        <v>2264</v>
      </c>
      <c r="D2309" s="7" t="e">
        <f t="shared" ca="1" si="2349"/>
        <v>#N/A</v>
      </c>
      <c r="E2309" s="26">
        <f t="array" aca="1" ref="E2309" ca="1">AVERAGE(IF(INDIRECT(DatCol&amp;"$"&amp;TEXT(C2309,"###")):INDIRECT(DatCol&amp;"$"&amp;TEXT(C2309+57,"###"))&gt;0,INDIRECT(DatCol&amp;"$"&amp;TEXT(C2309,"###")):INDIRECT(DatCol&amp;"$"&amp;TEXT(C2309+57,"###"))))</f>
        <v>490.72727272727275</v>
      </c>
      <c r="F2309" s="26" t="str">
        <f t="shared" si="2330"/>
        <v>S</v>
      </c>
      <c r="G2309" s="9">
        <v>0</v>
      </c>
      <c r="H2309" s="9">
        <v>0</v>
      </c>
      <c r="I2309" s="9">
        <v>0</v>
      </c>
      <c r="J2309" s="9">
        <v>0</v>
      </c>
      <c r="K2309" s="9">
        <f t="shared" si="2309"/>
        <v>0</v>
      </c>
      <c r="L2309" s="10" t="s">
        <v>98</v>
      </c>
      <c r="AK2309" s="13"/>
      <c r="AM2309" s="13"/>
      <c r="BN2309" s="8">
        <f t="shared" si="2307"/>
        <v>0</v>
      </c>
      <c r="BO2309" s="8">
        <f t="shared" si="2308"/>
        <v>0</v>
      </c>
      <c r="BP2309" s="8">
        <f t="shared" si="2328"/>
        <v>0</v>
      </c>
      <c r="BQ2309" s="12">
        <f t="shared" si="2329"/>
        <v>0</v>
      </c>
    </row>
    <row r="2310" spans="1:69">
      <c r="A2310" s="28">
        <v>2001</v>
      </c>
      <c r="B2310" s="27" t="s">
        <v>102</v>
      </c>
      <c r="C2310" s="24">
        <f t="shared" si="2288"/>
        <v>2264</v>
      </c>
      <c r="D2310" s="7" t="e">
        <f t="shared" ca="1" si="2349"/>
        <v>#N/A</v>
      </c>
      <c r="E2310" s="26">
        <f t="array" aca="1" ref="E2310" ca="1">AVERAGE(IF(INDIRECT(DatCol&amp;"$"&amp;TEXT(C2310,"###")):INDIRECT(DatCol&amp;"$"&amp;TEXT(C2310+57,"###"))&gt;0,INDIRECT(DatCol&amp;"$"&amp;TEXT(C2310,"###")):INDIRECT(DatCol&amp;"$"&amp;TEXT(C2310+57,"###"))))</f>
        <v>490.72727272727275</v>
      </c>
      <c r="F2310" s="26" t="str">
        <f t="shared" si="2330"/>
        <v>S</v>
      </c>
      <c r="G2310" s="9">
        <v>0</v>
      </c>
      <c r="H2310" s="9">
        <v>3</v>
      </c>
      <c r="I2310" s="9">
        <v>0</v>
      </c>
      <c r="J2310" s="9">
        <v>63</v>
      </c>
      <c r="K2310" s="9">
        <f t="shared" si="2309"/>
        <v>66</v>
      </c>
      <c r="L2310" s="10">
        <v>0</v>
      </c>
      <c r="M2310" s="11">
        <v>0</v>
      </c>
      <c r="N2310" s="10">
        <f>O2310/50</f>
        <v>48</v>
      </c>
      <c r="O2310" s="11">
        <v>2400</v>
      </c>
      <c r="P2310" s="10">
        <v>0</v>
      </c>
      <c r="Q2310" s="11">
        <v>0</v>
      </c>
      <c r="R2310" s="10">
        <v>0</v>
      </c>
      <c r="S2310" s="11">
        <v>0</v>
      </c>
      <c r="T2310" s="10">
        <v>0</v>
      </c>
      <c r="U2310" s="11">
        <v>0</v>
      </c>
      <c r="V2310" s="10">
        <v>0</v>
      </c>
      <c r="W2310" s="11">
        <v>0</v>
      </c>
      <c r="X2310" s="10">
        <v>0</v>
      </c>
      <c r="Y2310" s="11">
        <v>0</v>
      </c>
      <c r="Z2310" s="10">
        <v>0</v>
      </c>
      <c r="AA2310" s="11">
        <v>0</v>
      </c>
      <c r="AB2310" s="10">
        <v>0</v>
      </c>
      <c r="AC2310" s="11">
        <v>0</v>
      </c>
      <c r="AD2310" s="10">
        <v>0</v>
      </c>
      <c r="AE2310" s="11">
        <v>0</v>
      </c>
      <c r="AF2310" s="10">
        <v>0</v>
      </c>
      <c r="AG2310" s="11">
        <v>0</v>
      </c>
      <c r="AH2310" s="10">
        <v>0</v>
      </c>
      <c r="AI2310" s="11">
        <v>0</v>
      </c>
      <c r="AJ2310" s="10">
        <v>0</v>
      </c>
      <c r="AK2310" s="13">
        <v>0</v>
      </c>
      <c r="AL2310" s="10">
        <v>0</v>
      </c>
      <c r="AM2310" s="13">
        <v>0</v>
      </c>
      <c r="AN2310" s="10">
        <v>0</v>
      </c>
      <c r="AO2310" s="11">
        <v>0</v>
      </c>
      <c r="AQ2310" s="11">
        <v>2500</v>
      </c>
      <c r="BN2310" s="8">
        <f t="shared" si="2307"/>
        <v>0</v>
      </c>
      <c r="BO2310" s="8">
        <f t="shared" si="2308"/>
        <v>0</v>
      </c>
      <c r="BP2310" s="8">
        <f t="shared" si="2328"/>
        <v>48</v>
      </c>
      <c r="BQ2310" s="12">
        <f t="shared" si="2329"/>
        <v>4900</v>
      </c>
    </row>
    <row r="2311" spans="1:69">
      <c r="A2311" s="28">
        <v>2002</v>
      </c>
      <c r="B2311" s="27" t="s">
        <v>102</v>
      </c>
      <c r="C2311" s="24">
        <f t="shared" si="2288"/>
        <v>2264</v>
      </c>
      <c r="D2311" s="7" t="e">
        <f t="shared" ca="1" si="2349"/>
        <v>#N/A</v>
      </c>
      <c r="E2311" s="26">
        <f t="array" aca="1" ref="E2311" ca="1">AVERAGE(IF(INDIRECT(DatCol&amp;"$"&amp;TEXT(C2311,"###")):INDIRECT(DatCol&amp;"$"&amp;TEXT(C2311+57,"###"))&gt;0,INDIRECT(DatCol&amp;"$"&amp;TEXT(C2311,"###")):INDIRECT(DatCol&amp;"$"&amp;TEXT(C2311+57,"###"))))</f>
        <v>490.72727272727275</v>
      </c>
      <c r="F2311" s="26" t="str">
        <f t="shared" si="2330"/>
        <v>S</v>
      </c>
      <c r="G2311" s="9">
        <v>0</v>
      </c>
      <c r="H2311" s="9">
        <v>0</v>
      </c>
      <c r="I2311" s="9">
        <v>0</v>
      </c>
      <c r="J2311" s="9">
        <v>18</v>
      </c>
      <c r="K2311" s="9">
        <f t="shared" si="2309"/>
        <v>18</v>
      </c>
      <c r="L2311" s="10">
        <v>0</v>
      </c>
      <c r="M2311" s="11">
        <v>0</v>
      </c>
      <c r="N2311" s="10">
        <v>25</v>
      </c>
      <c r="O2311" s="11">
        <f>N2311*50</f>
        <v>1250</v>
      </c>
      <c r="P2311" s="10">
        <v>0</v>
      </c>
      <c r="Q2311" s="11">
        <v>0</v>
      </c>
      <c r="R2311" s="10">
        <v>0</v>
      </c>
      <c r="S2311" s="11">
        <v>0</v>
      </c>
      <c r="T2311" s="10">
        <v>0</v>
      </c>
      <c r="U2311" s="11">
        <v>0</v>
      </c>
      <c r="V2311" s="10">
        <v>0</v>
      </c>
      <c r="W2311" s="11">
        <v>0</v>
      </c>
      <c r="X2311" s="10">
        <v>0</v>
      </c>
      <c r="Y2311" s="11">
        <v>0</v>
      </c>
      <c r="Z2311" s="10">
        <v>0</v>
      </c>
      <c r="AA2311" s="11">
        <v>0</v>
      </c>
      <c r="AB2311" s="10">
        <v>0</v>
      </c>
      <c r="AC2311" s="11">
        <v>0</v>
      </c>
      <c r="AD2311" s="10">
        <v>0</v>
      </c>
      <c r="AE2311" s="11">
        <v>0</v>
      </c>
      <c r="AF2311" s="10">
        <v>0</v>
      </c>
      <c r="AG2311" s="11">
        <v>0</v>
      </c>
      <c r="AH2311" s="10">
        <v>0</v>
      </c>
      <c r="AI2311" s="11">
        <v>0</v>
      </c>
      <c r="AJ2311" s="10">
        <v>0</v>
      </c>
      <c r="AK2311" s="13">
        <v>0</v>
      </c>
      <c r="AL2311" s="10">
        <v>0</v>
      </c>
      <c r="AM2311" s="13">
        <v>0</v>
      </c>
      <c r="AN2311" s="10">
        <v>0</v>
      </c>
      <c r="AO2311" s="11">
        <v>0</v>
      </c>
      <c r="AP2311" s="10">
        <f>AQ2311/80</f>
        <v>5.0250000000000004</v>
      </c>
      <c r="AQ2311" s="11">
        <v>402</v>
      </c>
      <c r="BN2311" s="8">
        <f t="shared" si="2307"/>
        <v>0</v>
      </c>
      <c r="BO2311" s="8">
        <f t="shared" si="2308"/>
        <v>0</v>
      </c>
      <c r="BP2311" s="8">
        <f t="shared" si="2328"/>
        <v>30.024999999999999</v>
      </c>
      <c r="BQ2311" s="12">
        <f t="shared" si="2329"/>
        <v>1652</v>
      </c>
    </row>
    <row r="2312" spans="1:69">
      <c r="A2312" s="28">
        <v>2003</v>
      </c>
      <c r="B2312" s="27" t="s">
        <v>102</v>
      </c>
      <c r="C2312" s="24">
        <f t="shared" si="2288"/>
        <v>2264</v>
      </c>
      <c r="D2312" s="7" t="e">
        <f t="shared" ca="1" si="2349"/>
        <v>#N/A</v>
      </c>
      <c r="E2312" s="26">
        <f t="array" aca="1" ref="E2312" ca="1">AVERAGE(IF(INDIRECT(DatCol&amp;"$"&amp;TEXT(C2312,"###")):INDIRECT(DatCol&amp;"$"&amp;TEXT(C2312+57,"###"))&gt;0,INDIRECT(DatCol&amp;"$"&amp;TEXT(C2312,"###")):INDIRECT(DatCol&amp;"$"&amp;TEXT(C2312+57,"###"))))</f>
        <v>490.72727272727275</v>
      </c>
      <c r="F2312" s="26" t="str">
        <f t="shared" si="2330"/>
        <v>S</v>
      </c>
      <c r="G2312" s="9">
        <v>0</v>
      </c>
      <c r="H2312" s="9">
        <v>3</v>
      </c>
      <c r="I2312" s="9">
        <v>0</v>
      </c>
      <c r="J2312" s="9">
        <v>50</v>
      </c>
      <c r="K2312" s="9">
        <f t="shared" si="2309"/>
        <v>53</v>
      </c>
      <c r="L2312" s="10">
        <v>0</v>
      </c>
      <c r="M2312" s="11">
        <v>0</v>
      </c>
      <c r="N2312" s="10">
        <v>22</v>
      </c>
      <c r="O2312" s="11">
        <f>N2312*50</f>
        <v>1100</v>
      </c>
      <c r="P2312" s="10">
        <v>0</v>
      </c>
      <c r="Q2312" s="11">
        <v>0</v>
      </c>
      <c r="R2312" s="10">
        <v>0</v>
      </c>
      <c r="S2312" s="11">
        <v>0</v>
      </c>
      <c r="T2312" s="10">
        <v>0</v>
      </c>
      <c r="U2312" s="11">
        <v>0</v>
      </c>
      <c r="V2312" s="10">
        <v>0</v>
      </c>
      <c r="W2312" s="11">
        <v>0</v>
      </c>
      <c r="X2312" s="10">
        <v>0</v>
      </c>
      <c r="Y2312" s="11">
        <v>0</v>
      </c>
      <c r="Z2312" s="10">
        <v>0</v>
      </c>
      <c r="AA2312" s="11">
        <v>0</v>
      </c>
      <c r="AB2312" s="10">
        <v>0</v>
      </c>
      <c r="AC2312" s="11">
        <v>0</v>
      </c>
      <c r="AD2312" s="10">
        <v>0</v>
      </c>
      <c r="AE2312" s="11">
        <v>0</v>
      </c>
      <c r="AF2312" s="10">
        <v>0</v>
      </c>
      <c r="AG2312" s="11">
        <v>0</v>
      </c>
      <c r="AH2312" s="10">
        <v>0</v>
      </c>
      <c r="AI2312" s="11">
        <v>0</v>
      </c>
      <c r="AJ2312" s="10">
        <v>0</v>
      </c>
      <c r="AK2312" s="13">
        <v>0</v>
      </c>
      <c r="AL2312" s="10">
        <v>0</v>
      </c>
      <c r="AM2312" s="13">
        <v>0</v>
      </c>
      <c r="AN2312" s="10">
        <v>50</v>
      </c>
      <c r="AO2312" s="11">
        <f>AN2312*80</f>
        <v>4000</v>
      </c>
      <c r="BN2312" s="8">
        <f t="shared" si="2307"/>
        <v>50</v>
      </c>
      <c r="BO2312" s="8">
        <f t="shared" si="2308"/>
        <v>4000</v>
      </c>
      <c r="BP2312" s="8">
        <f t="shared" si="2328"/>
        <v>22</v>
      </c>
      <c r="BQ2312" s="12">
        <f t="shared" si="2329"/>
        <v>1100</v>
      </c>
    </row>
    <row r="2313" spans="1:69">
      <c r="A2313" s="28">
        <v>2004</v>
      </c>
      <c r="B2313" s="27" t="s">
        <v>102</v>
      </c>
      <c r="C2313" s="24">
        <f t="shared" si="2288"/>
        <v>2264</v>
      </c>
      <c r="D2313" s="7" t="e">
        <f t="shared" ca="1" si="2349"/>
        <v>#N/A</v>
      </c>
      <c r="E2313" s="26">
        <f t="array" aca="1" ref="E2313" ca="1">AVERAGE(IF(INDIRECT(DatCol&amp;"$"&amp;TEXT(C2313,"###")):INDIRECT(DatCol&amp;"$"&amp;TEXT(C2313+57,"###"))&gt;0,INDIRECT(DatCol&amp;"$"&amp;TEXT(C2313,"###")):INDIRECT(DatCol&amp;"$"&amp;TEXT(C2313+57,"###"))))</f>
        <v>490.72727272727275</v>
      </c>
      <c r="F2313" s="26" t="str">
        <f t="shared" si="2330"/>
        <v>S</v>
      </c>
      <c r="G2313" s="9">
        <v>0</v>
      </c>
      <c r="H2313" s="9">
        <v>15</v>
      </c>
      <c r="I2313" s="9">
        <v>0</v>
      </c>
      <c r="J2313" s="9">
        <v>127</v>
      </c>
      <c r="K2313" s="9">
        <f t="shared" si="2309"/>
        <v>142</v>
      </c>
      <c r="L2313" s="10">
        <v>0</v>
      </c>
      <c r="M2313" s="11">
        <v>0</v>
      </c>
      <c r="N2313" s="10">
        <f>O2313/50</f>
        <v>80</v>
      </c>
      <c r="O2313" s="11">
        <v>4000</v>
      </c>
      <c r="P2313" s="10">
        <v>0</v>
      </c>
      <c r="Q2313" s="11">
        <v>0</v>
      </c>
      <c r="R2313" s="10">
        <v>0</v>
      </c>
      <c r="S2313" s="11">
        <v>0</v>
      </c>
      <c r="T2313" s="10">
        <v>0</v>
      </c>
      <c r="U2313" s="11">
        <v>0</v>
      </c>
      <c r="V2313" s="10">
        <v>0</v>
      </c>
      <c r="W2313" s="11">
        <v>0</v>
      </c>
      <c r="X2313" s="10">
        <v>0</v>
      </c>
      <c r="Y2313" s="11">
        <v>0</v>
      </c>
      <c r="Z2313" s="10">
        <v>0</v>
      </c>
      <c r="AA2313" s="11">
        <v>0</v>
      </c>
      <c r="AB2313" s="10">
        <v>0</v>
      </c>
      <c r="AC2313" s="11">
        <v>0</v>
      </c>
      <c r="AD2313" s="10">
        <v>0</v>
      </c>
      <c r="AE2313" s="11">
        <v>0</v>
      </c>
      <c r="AF2313" s="10">
        <v>0</v>
      </c>
      <c r="AG2313" s="11">
        <v>0</v>
      </c>
      <c r="AH2313" s="10">
        <v>0</v>
      </c>
      <c r="AI2313" s="11">
        <v>0</v>
      </c>
      <c r="AJ2313" s="10">
        <v>0</v>
      </c>
      <c r="AK2313" s="13">
        <v>0</v>
      </c>
      <c r="AL2313" s="10">
        <v>0</v>
      </c>
      <c r="AM2313" s="13">
        <v>0</v>
      </c>
      <c r="AN2313" s="10">
        <v>0</v>
      </c>
      <c r="AO2313" s="11">
        <v>0</v>
      </c>
      <c r="AP2313" s="10">
        <v>0</v>
      </c>
      <c r="AQ2313" s="11">
        <v>0</v>
      </c>
      <c r="AR2313" s="10">
        <v>0</v>
      </c>
      <c r="AS2313" s="11">
        <v>0</v>
      </c>
      <c r="AT2313" s="10">
        <v>0</v>
      </c>
      <c r="AU2313" s="11">
        <v>0</v>
      </c>
      <c r="AV2313" s="10">
        <v>0</v>
      </c>
      <c r="AW2313" s="11">
        <v>0</v>
      </c>
      <c r="AX2313" s="10">
        <v>0</v>
      </c>
      <c r="BN2313" s="8">
        <f t="shared" si="2307"/>
        <v>0</v>
      </c>
      <c r="BO2313" s="8">
        <f t="shared" si="2308"/>
        <v>0</v>
      </c>
      <c r="BP2313" s="8">
        <f t="shared" si="2328"/>
        <v>80</v>
      </c>
      <c r="BQ2313" s="12">
        <f t="shared" si="2329"/>
        <v>4000</v>
      </c>
    </row>
    <row r="2314" spans="1:69">
      <c r="A2314" s="28">
        <v>2005</v>
      </c>
      <c r="B2314" s="27" t="s">
        <v>102</v>
      </c>
      <c r="C2314" s="24">
        <f t="shared" si="2288"/>
        <v>2264</v>
      </c>
      <c r="D2314" s="7" t="e">
        <f t="shared" ca="1" si="2349"/>
        <v>#N/A</v>
      </c>
      <c r="E2314" s="26">
        <f t="array" aca="1" ref="E2314" ca="1">AVERAGE(IF(INDIRECT(DatCol&amp;"$"&amp;TEXT(C2314,"###")):INDIRECT(DatCol&amp;"$"&amp;TEXT(C2314+57,"###"))&gt;0,INDIRECT(DatCol&amp;"$"&amp;TEXT(C2314,"###")):INDIRECT(DatCol&amp;"$"&amp;TEXT(C2314+57,"###"))))</f>
        <v>490.72727272727275</v>
      </c>
      <c r="F2314" s="26" t="str">
        <f t="shared" si="2330"/>
        <v>S</v>
      </c>
      <c r="H2314" s="9">
        <v>2</v>
      </c>
      <c r="I2314" s="9">
        <v>0</v>
      </c>
      <c r="J2314" s="9">
        <v>65</v>
      </c>
      <c r="K2314" s="9">
        <f t="shared" si="2309"/>
        <v>67</v>
      </c>
      <c r="L2314" s="10">
        <v>0</v>
      </c>
      <c r="M2314" s="11">
        <v>0</v>
      </c>
      <c r="N2314" s="10">
        <f>O2314/50</f>
        <v>66</v>
      </c>
      <c r="O2314" s="11">
        <v>3300</v>
      </c>
      <c r="P2314" s="10">
        <v>0</v>
      </c>
      <c r="Q2314" s="11">
        <v>0</v>
      </c>
      <c r="R2314" s="10">
        <v>0</v>
      </c>
      <c r="S2314" s="11">
        <v>0</v>
      </c>
      <c r="T2314" s="10">
        <v>0</v>
      </c>
      <c r="U2314" s="11">
        <v>0</v>
      </c>
      <c r="V2314" s="10">
        <v>0</v>
      </c>
      <c r="W2314" s="11">
        <v>0</v>
      </c>
      <c r="X2314" s="10">
        <v>0</v>
      </c>
      <c r="Y2314" s="11">
        <v>0</v>
      </c>
      <c r="Z2314" s="10">
        <v>0</v>
      </c>
      <c r="AA2314" s="11">
        <v>0</v>
      </c>
      <c r="AB2314" s="10">
        <v>0</v>
      </c>
      <c r="AC2314" s="11">
        <v>0</v>
      </c>
      <c r="AD2314" s="10">
        <v>0</v>
      </c>
      <c r="AE2314" s="11">
        <v>0</v>
      </c>
      <c r="AF2314" s="10">
        <v>0</v>
      </c>
      <c r="AG2314" s="11">
        <v>0</v>
      </c>
      <c r="AH2314" s="10">
        <v>0</v>
      </c>
      <c r="AI2314" s="11">
        <v>0</v>
      </c>
      <c r="AJ2314" s="10">
        <v>0</v>
      </c>
      <c r="AK2314" s="13">
        <v>0</v>
      </c>
      <c r="AL2314" s="10">
        <v>0</v>
      </c>
      <c r="AM2314" s="13">
        <v>0</v>
      </c>
      <c r="AN2314" s="10">
        <v>0</v>
      </c>
      <c r="AO2314" s="11">
        <v>0</v>
      </c>
      <c r="AP2314" s="10">
        <f>AQ2314/80</f>
        <v>20</v>
      </c>
      <c r="AQ2314" s="11">
        <v>1600</v>
      </c>
      <c r="AR2314" s="10">
        <v>0</v>
      </c>
      <c r="AS2314" s="11">
        <v>0</v>
      </c>
      <c r="AT2314" s="10">
        <f>AU2314/55</f>
        <v>27.272727272727273</v>
      </c>
      <c r="AU2314" s="11">
        <v>1500</v>
      </c>
      <c r="BN2314" s="8">
        <f t="shared" si="2307"/>
        <v>0</v>
      </c>
      <c r="BO2314" s="8">
        <f t="shared" si="2308"/>
        <v>0</v>
      </c>
      <c r="BP2314" s="8">
        <f t="shared" si="2328"/>
        <v>113.27272727272728</v>
      </c>
      <c r="BQ2314" s="12">
        <f t="shared" si="2329"/>
        <v>6400</v>
      </c>
    </row>
    <row r="2315" spans="1:69">
      <c r="A2315" s="28">
        <v>2006</v>
      </c>
      <c r="B2315" s="27" t="s">
        <v>102</v>
      </c>
      <c r="C2315" s="24">
        <f t="shared" si="2288"/>
        <v>2264</v>
      </c>
      <c r="D2315" s="7" t="e">
        <f t="shared" ca="1" si="2349"/>
        <v>#N/A</v>
      </c>
      <c r="E2315" s="26">
        <f t="array" aca="1" ref="E2315" ca="1">AVERAGE(IF(INDIRECT(DatCol&amp;"$"&amp;TEXT(C2315,"###")):INDIRECT(DatCol&amp;"$"&amp;TEXT(C2315+57,"###"))&gt;0,INDIRECT(DatCol&amp;"$"&amp;TEXT(C2315,"###")):INDIRECT(DatCol&amp;"$"&amp;TEXT(C2315+57,"###"))))</f>
        <v>490.72727272727275</v>
      </c>
      <c r="F2315" s="26" t="str">
        <f t="shared" si="2330"/>
        <v>S</v>
      </c>
      <c r="H2315" s="9">
        <v>6</v>
      </c>
      <c r="I2315" s="9">
        <v>0</v>
      </c>
      <c r="J2315" s="9">
        <v>54</v>
      </c>
      <c r="K2315" s="9">
        <f t="shared" si="2309"/>
        <v>60</v>
      </c>
      <c r="L2315" s="10">
        <v>0</v>
      </c>
      <c r="M2315" s="11">
        <v>0</v>
      </c>
      <c r="N2315" s="10">
        <f>O2315/50</f>
        <v>60</v>
      </c>
      <c r="O2315" s="11">
        <v>3000</v>
      </c>
      <c r="P2315" s="10">
        <v>0</v>
      </c>
      <c r="Q2315" s="11">
        <v>0</v>
      </c>
      <c r="R2315" s="10">
        <v>0</v>
      </c>
      <c r="S2315" s="11">
        <v>0</v>
      </c>
      <c r="T2315" s="10">
        <v>0</v>
      </c>
      <c r="U2315" s="11">
        <v>0</v>
      </c>
      <c r="V2315" s="10">
        <v>0</v>
      </c>
      <c r="W2315" s="11">
        <v>0</v>
      </c>
      <c r="X2315" s="10">
        <v>0</v>
      </c>
      <c r="Y2315" s="11">
        <v>0</v>
      </c>
      <c r="Z2315" s="10">
        <v>0</v>
      </c>
      <c r="AA2315" s="11">
        <v>0</v>
      </c>
      <c r="AB2315" s="10">
        <v>0</v>
      </c>
      <c r="AC2315" s="11">
        <v>0</v>
      </c>
      <c r="AD2315" s="10">
        <v>0</v>
      </c>
      <c r="AE2315" s="11">
        <v>0</v>
      </c>
      <c r="AF2315" s="10">
        <v>0</v>
      </c>
      <c r="AG2315" s="11">
        <v>0</v>
      </c>
      <c r="AH2315" s="10">
        <v>0</v>
      </c>
      <c r="AI2315" s="11">
        <v>0</v>
      </c>
      <c r="AJ2315" s="10">
        <v>0</v>
      </c>
      <c r="AK2315" s="13">
        <v>0</v>
      </c>
      <c r="AL2315" s="10">
        <v>0</v>
      </c>
      <c r="AM2315" s="13">
        <v>0</v>
      </c>
      <c r="AN2315" s="10">
        <v>0</v>
      </c>
      <c r="AO2315" s="11">
        <v>0</v>
      </c>
      <c r="AP2315" s="10">
        <f>AQ2315/80</f>
        <v>9.375</v>
      </c>
      <c r="AQ2315" s="11">
        <v>750</v>
      </c>
      <c r="BN2315" s="8">
        <f t="shared" si="2307"/>
        <v>0</v>
      </c>
      <c r="BO2315" s="8">
        <f t="shared" si="2308"/>
        <v>0</v>
      </c>
      <c r="BP2315" s="8">
        <f t="shared" si="2328"/>
        <v>69.375</v>
      </c>
      <c r="BQ2315" s="12">
        <f t="shared" si="2329"/>
        <v>3750</v>
      </c>
    </row>
    <row r="2316" spans="1:69">
      <c r="A2316" s="28">
        <v>2007</v>
      </c>
      <c r="B2316" s="27" t="s">
        <v>102</v>
      </c>
      <c r="C2316" s="24">
        <f t="shared" si="2288"/>
        <v>2264</v>
      </c>
      <c r="D2316" s="7" t="e">
        <f t="shared" ca="1" si="2349"/>
        <v>#N/A</v>
      </c>
      <c r="E2316" s="26">
        <f t="array" aca="1" ref="E2316" ca="1">AVERAGE(IF(INDIRECT(DatCol&amp;"$"&amp;TEXT(C2316,"###")):INDIRECT(DatCol&amp;"$"&amp;TEXT(C2316+57,"###"))&gt;0,INDIRECT(DatCol&amp;"$"&amp;TEXT(C2316,"###")):INDIRECT(DatCol&amp;"$"&amp;TEXT(C2316+57,"###"))))</f>
        <v>490.72727272727275</v>
      </c>
      <c r="F2316" s="26" t="str">
        <f t="shared" si="2330"/>
        <v>S</v>
      </c>
      <c r="I2316" s="9">
        <v>0</v>
      </c>
      <c r="J2316" s="9">
        <f>14+80+36</f>
        <v>130</v>
      </c>
      <c r="K2316" s="9">
        <f t="shared" si="2309"/>
        <v>130</v>
      </c>
      <c r="L2316" s="10">
        <v>0</v>
      </c>
      <c r="M2316" s="11">
        <v>0</v>
      </c>
      <c r="N2316" s="10">
        <f>O2316/50</f>
        <v>166</v>
      </c>
      <c r="O2316" s="11">
        <v>8300</v>
      </c>
      <c r="P2316" s="10">
        <v>0</v>
      </c>
      <c r="Q2316" s="11">
        <v>0</v>
      </c>
      <c r="R2316" s="10">
        <v>0</v>
      </c>
      <c r="S2316" s="11">
        <v>0</v>
      </c>
      <c r="T2316" s="10">
        <v>0</v>
      </c>
      <c r="U2316" s="11">
        <v>0</v>
      </c>
      <c r="V2316" s="10">
        <v>0</v>
      </c>
      <c r="W2316" s="11">
        <v>0</v>
      </c>
      <c r="X2316" s="10">
        <v>0</v>
      </c>
      <c r="Y2316" s="11">
        <v>0</v>
      </c>
      <c r="Z2316" s="10">
        <v>0</v>
      </c>
      <c r="AA2316" s="11">
        <v>0</v>
      </c>
      <c r="AB2316" s="10">
        <v>0</v>
      </c>
      <c r="AC2316" s="11">
        <v>0</v>
      </c>
      <c r="AD2316" s="10">
        <v>0</v>
      </c>
      <c r="AE2316" s="11">
        <v>0</v>
      </c>
      <c r="AF2316" s="10">
        <v>0</v>
      </c>
      <c r="AG2316" s="11">
        <v>0</v>
      </c>
      <c r="AH2316" s="10">
        <v>0</v>
      </c>
      <c r="AI2316" s="11">
        <v>0</v>
      </c>
      <c r="AJ2316" s="10">
        <v>0</v>
      </c>
      <c r="AK2316" s="13">
        <v>0</v>
      </c>
      <c r="AL2316" s="10">
        <v>0</v>
      </c>
      <c r="AM2316" s="13">
        <v>0</v>
      </c>
      <c r="AN2316" s="10">
        <v>0</v>
      </c>
      <c r="AO2316" s="11">
        <v>0</v>
      </c>
      <c r="AP2316" s="10">
        <f>AQ2316/80</f>
        <v>7.5</v>
      </c>
      <c r="AQ2316" s="11">
        <v>600</v>
      </c>
      <c r="BN2316" s="8">
        <f t="shared" si="2307"/>
        <v>0</v>
      </c>
      <c r="BO2316" s="8">
        <f t="shared" si="2308"/>
        <v>0</v>
      </c>
      <c r="BP2316" s="8">
        <f t="shared" si="2328"/>
        <v>173.5</v>
      </c>
      <c r="BQ2316" s="12">
        <f t="shared" si="2329"/>
        <v>8900</v>
      </c>
    </row>
    <row r="2317" spans="1:69">
      <c r="A2317" s="28">
        <v>2008</v>
      </c>
      <c r="B2317" s="27" t="s">
        <v>102</v>
      </c>
      <c r="C2317" s="24">
        <f t="shared" si="2288"/>
        <v>2264</v>
      </c>
      <c r="D2317" s="7" t="e">
        <f t="shared" ca="1" si="2349"/>
        <v>#N/A</v>
      </c>
      <c r="E2317" s="26">
        <f t="array" aca="1" ref="E2317" ca="1">AVERAGE(IF(INDIRECT(DatCol&amp;"$"&amp;TEXT(C2317,"###")):INDIRECT(DatCol&amp;"$"&amp;TEXT(C2317+57,"###"))&gt;0,INDIRECT(DatCol&amp;"$"&amp;TEXT(C2317,"###")):INDIRECT(DatCol&amp;"$"&amp;TEXT(C2317+57,"###"))))</f>
        <v>490.72727272727275</v>
      </c>
      <c r="F2317" s="26" t="str">
        <f t="shared" si="2330"/>
        <v>S</v>
      </c>
      <c r="I2317" s="9">
        <v>0</v>
      </c>
      <c r="J2317" s="9">
        <f>82+2</f>
        <v>84</v>
      </c>
      <c r="K2317" s="9">
        <f t="shared" si="2309"/>
        <v>84</v>
      </c>
      <c r="L2317" s="10">
        <v>0</v>
      </c>
      <c r="M2317" s="11">
        <v>0</v>
      </c>
      <c r="N2317" s="10">
        <f>O2317/50</f>
        <v>128</v>
      </c>
      <c r="O2317" s="11">
        <v>6400</v>
      </c>
      <c r="AK2317" s="13"/>
      <c r="AM2317" s="13"/>
      <c r="AP2317" s="10">
        <f>AQ2317/80</f>
        <v>12.5</v>
      </c>
      <c r="AQ2317" s="11">
        <v>1000</v>
      </c>
      <c r="BN2317" s="8">
        <f t="shared" si="2307"/>
        <v>0</v>
      </c>
      <c r="BO2317" s="8">
        <f t="shared" si="2308"/>
        <v>0</v>
      </c>
      <c r="BP2317" s="8">
        <f t="shared" si="2328"/>
        <v>140.5</v>
      </c>
      <c r="BQ2317" s="12">
        <f t="shared" si="2329"/>
        <v>7400</v>
      </c>
    </row>
    <row r="2318" spans="1:69">
      <c r="A2318" s="28">
        <v>2009</v>
      </c>
      <c r="B2318" s="27" t="s">
        <v>102</v>
      </c>
      <c r="C2318" s="24">
        <f t="shared" si="2288"/>
        <v>2264</v>
      </c>
      <c r="D2318" s="7" t="e">
        <f t="shared" ca="1" si="2349"/>
        <v>#N/A</v>
      </c>
      <c r="E2318" s="26">
        <f t="array" aca="1" ref="E2318" ca="1">AVERAGE(IF(INDIRECT(DatCol&amp;"$"&amp;TEXT(C2318,"###")):INDIRECT(DatCol&amp;"$"&amp;TEXT(C2318+57,"###"))&gt;0,INDIRECT(DatCol&amp;"$"&amp;TEXT(C2318,"###")):INDIRECT(DatCol&amp;"$"&amp;TEXT(C2318+57,"###"))))</f>
        <v>490.72727272727275</v>
      </c>
      <c r="F2318" s="26" t="str">
        <f t="shared" si="2330"/>
        <v>S</v>
      </c>
      <c r="K2318" s="9">
        <f t="shared" si="2309"/>
        <v>0</v>
      </c>
      <c r="AK2318" s="13"/>
      <c r="AM2318" s="13"/>
      <c r="BN2318" s="8">
        <f t="shared" si="2307"/>
        <v>0</v>
      </c>
      <c r="BO2318" s="8">
        <f t="shared" si="2308"/>
        <v>0</v>
      </c>
      <c r="BP2318" s="8">
        <f t="shared" si="2328"/>
        <v>0</v>
      </c>
      <c r="BQ2318" s="12">
        <f t="shared" si="2329"/>
        <v>0</v>
      </c>
    </row>
    <row r="2319" spans="1:69">
      <c r="A2319" s="28">
        <v>2010</v>
      </c>
      <c r="B2319" s="27" t="s">
        <v>102</v>
      </c>
      <c r="C2319" s="24">
        <f t="shared" si="2288"/>
        <v>2264</v>
      </c>
      <c r="D2319" s="7" t="e">
        <f t="shared" ca="1" si="2349"/>
        <v>#N/A</v>
      </c>
      <c r="E2319" s="26">
        <f t="array" aca="1" ref="E2319" ca="1">AVERAGE(IF(INDIRECT(DatCol&amp;"$"&amp;TEXT(C2319,"###")):INDIRECT(DatCol&amp;"$"&amp;TEXT(C2319+57,"###"))&gt;0,INDIRECT(DatCol&amp;"$"&amp;TEXT(C2319,"###")):INDIRECT(DatCol&amp;"$"&amp;TEXT(C2319+57,"###"))))</f>
        <v>490.72727272727275</v>
      </c>
      <c r="F2319" s="26" t="str">
        <f t="shared" ref="F2319:F2321" si="2350">VLOOKUP(B2319,town_region,2,FALSE)</f>
        <v>S</v>
      </c>
      <c r="AK2319" s="13"/>
      <c r="AM2319" s="13"/>
      <c r="BN2319" s="8"/>
      <c r="BO2319" s="8"/>
      <c r="BP2319" s="8"/>
      <c r="BQ2319" s="12"/>
    </row>
    <row r="2320" spans="1:69">
      <c r="A2320" s="28">
        <v>2011</v>
      </c>
      <c r="B2320" s="27" t="s">
        <v>102</v>
      </c>
      <c r="C2320" s="24">
        <f t="shared" si="2288"/>
        <v>2264</v>
      </c>
      <c r="D2320" s="7" t="e">
        <f t="shared" ca="1" si="2349"/>
        <v>#N/A</v>
      </c>
      <c r="E2320" s="26">
        <f t="array" aca="1" ref="E2320" ca="1">AVERAGE(IF(INDIRECT(DatCol&amp;"$"&amp;TEXT(C2320,"###")):INDIRECT(DatCol&amp;"$"&amp;TEXT(C2320+57,"###"))&gt;0,INDIRECT(DatCol&amp;"$"&amp;TEXT(C2320,"###")):INDIRECT(DatCol&amp;"$"&amp;TEXT(C2320+57,"###"))))</f>
        <v>490.72727272727275</v>
      </c>
      <c r="F2320" s="26" t="str">
        <f t="shared" si="2350"/>
        <v>S</v>
      </c>
      <c r="AK2320" s="13"/>
      <c r="AM2320" s="13"/>
      <c r="BN2320" s="8"/>
      <c r="BO2320" s="8"/>
      <c r="BP2320" s="8"/>
      <c r="BQ2320" s="12"/>
    </row>
    <row r="2321" spans="1:69">
      <c r="A2321" s="28">
        <v>2012</v>
      </c>
      <c r="B2321" s="27" t="s">
        <v>102</v>
      </c>
      <c r="C2321" s="24">
        <f t="shared" si="2288"/>
        <v>2264</v>
      </c>
      <c r="D2321" s="7" t="e">
        <f t="shared" ca="1" si="2349"/>
        <v>#N/A</v>
      </c>
      <c r="E2321" s="26">
        <f t="array" aca="1" ref="E2321" ca="1">AVERAGE(IF(INDIRECT(DatCol&amp;"$"&amp;TEXT(C2321,"###")):INDIRECT(DatCol&amp;"$"&amp;TEXT(C2321+57,"###"))&gt;0,INDIRECT(DatCol&amp;"$"&amp;TEXT(C2321,"###")):INDIRECT(DatCol&amp;"$"&amp;TEXT(C2321+57,"###"))))</f>
        <v>490.72727272727275</v>
      </c>
      <c r="F2321" s="26" t="str">
        <f t="shared" si="2350"/>
        <v>S</v>
      </c>
      <c r="AK2321" s="13"/>
      <c r="AM2321" s="13"/>
      <c r="BN2321" s="8"/>
      <c r="BO2321" s="8"/>
      <c r="BP2321" s="8"/>
      <c r="BQ2321" s="12"/>
    </row>
    <row r="2322" spans="1:69">
      <c r="A2322" s="28">
        <v>1955</v>
      </c>
      <c r="B2322" s="27" t="s">
        <v>103</v>
      </c>
      <c r="C2322" s="24">
        <f>ROW()</f>
        <v>2322</v>
      </c>
      <c r="D2322" s="7" t="e">
        <f t="shared" ca="1" si="2349"/>
        <v>#N/A</v>
      </c>
      <c r="E2322" s="26">
        <f t="array" aca="1" ref="E2322" ca="1">AVERAGE(IF(INDIRECT(DatCol&amp;"$"&amp;TEXT(C2322,"###")):INDIRECT(DatCol&amp;"$"&amp;TEXT(C2322+57,"###"))&gt;0,INDIRECT(DatCol&amp;"$"&amp;TEXT(C2322,"###")):INDIRECT(DatCol&amp;"$"&amp;TEXT(C2322+57,"###"))))</f>
        <v>1298.7511999999999</v>
      </c>
      <c r="F2322" s="26" t="str">
        <f t="shared" si="2330"/>
        <v>O</v>
      </c>
      <c r="G2322" s="8"/>
      <c r="K2322" s="9">
        <f t="shared" si="2309"/>
        <v>0</v>
      </c>
      <c r="M2322" s="11">
        <f t="shared" si="2331"/>
        <v>0</v>
      </c>
      <c r="O2322" s="11">
        <f t="shared" si="2332"/>
        <v>0</v>
      </c>
      <c r="Q2322" s="11">
        <f t="shared" si="2333"/>
        <v>0</v>
      </c>
      <c r="Y2322" s="11">
        <f t="shared" si="2334"/>
        <v>0</v>
      </c>
      <c r="AG2322" s="11">
        <f t="shared" si="2335"/>
        <v>0</v>
      </c>
      <c r="AI2322" s="11">
        <f t="shared" si="2336"/>
        <v>0</v>
      </c>
      <c r="AK2322" s="13">
        <f t="shared" si="2337"/>
        <v>0</v>
      </c>
      <c r="AM2322" s="13">
        <f t="shared" si="2338"/>
        <v>0</v>
      </c>
      <c r="AO2322" s="11">
        <f t="shared" si="2339"/>
        <v>0</v>
      </c>
      <c r="AQ2322" s="11">
        <f t="shared" si="2340"/>
        <v>0</v>
      </c>
      <c r="AS2322" s="11">
        <f t="shared" si="2341"/>
        <v>0</v>
      </c>
      <c r="AU2322" s="11">
        <f t="shared" si="2342"/>
        <v>0</v>
      </c>
      <c r="AW2322" s="11">
        <f t="shared" si="2343"/>
        <v>0</v>
      </c>
      <c r="AY2322" s="11">
        <f t="shared" si="2344"/>
        <v>0</v>
      </c>
      <c r="BA2322" s="11">
        <f t="shared" si="2345"/>
        <v>0</v>
      </c>
      <c r="BC2322" s="11">
        <f t="shared" si="2346"/>
        <v>0</v>
      </c>
      <c r="BE2322" s="11">
        <f t="shared" si="2347"/>
        <v>0</v>
      </c>
      <c r="BG2322" s="11">
        <f t="shared" si="2348"/>
        <v>0</v>
      </c>
      <c r="BN2322" s="8">
        <f t="shared" si="2307"/>
        <v>0</v>
      </c>
      <c r="BO2322" s="8">
        <f t="shared" si="2308"/>
        <v>0</v>
      </c>
      <c r="BP2322" s="8">
        <f t="shared" si="2328"/>
        <v>0</v>
      </c>
      <c r="BQ2322" s="12">
        <f t="shared" si="2329"/>
        <v>0</v>
      </c>
    </row>
    <row r="2323" spans="1:69">
      <c r="A2323" s="28">
        <v>1956</v>
      </c>
      <c r="B2323" s="27" t="s">
        <v>103</v>
      </c>
      <c r="C2323" s="24">
        <f t="shared" ref="C2323:C2379" si="2351">C2322</f>
        <v>2322</v>
      </c>
      <c r="D2323" s="7" t="e">
        <f t="shared" ca="1" si="2349"/>
        <v>#N/A</v>
      </c>
      <c r="E2323" s="26">
        <f t="array" aca="1" ref="E2323" ca="1">AVERAGE(IF(INDIRECT(DatCol&amp;"$"&amp;TEXT(C2323,"###")):INDIRECT(DatCol&amp;"$"&amp;TEXT(C2323+57,"###"))&gt;0,INDIRECT(DatCol&amp;"$"&amp;TEXT(C2323,"###")):INDIRECT(DatCol&amp;"$"&amp;TEXT(C2323+57,"###"))))</f>
        <v>1298.7511999999999</v>
      </c>
      <c r="F2323" s="26" t="str">
        <f t="shared" si="2330"/>
        <v>O</v>
      </c>
      <c r="G2323" s="8"/>
      <c r="K2323" s="9">
        <f t="shared" si="2309"/>
        <v>0</v>
      </c>
      <c r="M2323" s="11">
        <f t="shared" si="2331"/>
        <v>0</v>
      </c>
      <c r="O2323" s="11">
        <f t="shared" si="2332"/>
        <v>0</v>
      </c>
      <c r="Q2323" s="11">
        <f t="shared" si="2333"/>
        <v>0</v>
      </c>
      <c r="Y2323" s="11">
        <f t="shared" si="2334"/>
        <v>0</v>
      </c>
      <c r="AG2323" s="11">
        <f t="shared" si="2335"/>
        <v>0</v>
      </c>
      <c r="AI2323" s="11">
        <f t="shared" si="2336"/>
        <v>0</v>
      </c>
      <c r="AK2323" s="13">
        <f t="shared" si="2337"/>
        <v>0</v>
      </c>
      <c r="AM2323" s="13">
        <f t="shared" si="2338"/>
        <v>0</v>
      </c>
      <c r="AO2323" s="11">
        <f t="shared" si="2339"/>
        <v>0</v>
      </c>
      <c r="AQ2323" s="11">
        <f t="shared" si="2340"/>
        <v>0</v>
      </c>
      <c r="AS2323" s="11">
        <f t="shared" si="2341"/>
        <v>0</v>
      </c>
      <c r="AU2323" s="11">
        <f t="shared" si="2342"/>
        <v>0</v>
      </c>
      <c r="AW2323" s="11">
        <f t="shared" si="2343"/>
        <v>0</v>
      </c>
      <c r="AY2323" s="11">
        <f t="shared" si="2344"/>
        <v>0</v>
      </c>
      <c r="BA2323" s="11">
        <f t="shared" si="2345"/>
        <v>0</v>
      </c>
      <c r="BC2323" s="11">
        <f t="shared" si="2346"/>
        <v>0</v>
      </c>
      <c r="BE2323" s="11">
        <f t="shared" si="2347"/>
        <v>0</v>
      </c>
      <c r="BG2323" s="11">
        <f t="shared" si="2348"/>
        <v>0</v>
      </c>
      <c r="BN2323" s="8">
        <f t="shared" si="2307"/>
        <v>0</v>
      </c>
      <c r="BO2323" s="8">
        <f t="shared" si="2308"/>
        <v>0</v>
      </c>
      <c r="BP2323" s="8">
        <f t="shared" si="2328"/>
        <v>0</v>
      </c>
      <c r="BQ2323" s="12">
        <f t="shared" si="2329"/>
        <v>0</v>
      </c>
    </row>
    <row r="2324" spans="1:69">
      <c r="A2324" s="28">
        <v>1957</v>
      </c>
      <c r="B2324" s="27" t="s">
        <v>103</v>
      </c>
      <c r="C2324" s="24">
        <f t="shared" si="2351"/>
        <v>2322</v>
      </c>
      <c r="D2324" s="7" t="e">
        <f t="shared" ca="1" si="2349"/>
        <v>#N/A</v>
      </c>
      <c r="E2324" s="26">
        <f t="array" aca="1" ref="E2324" ca="1">AVERAGE(IF(INDIRECT(DatCol&amp;"$"&amp;TEXT(C2324,"###")):INDIRECT(DatCol&amp;"$"&amp;TEXT(C2324+57,"###"))&gt;0,INDIRECT(DatCol&amp;"$"&amp;TEXT(C2324,"###")):INDIRECT(DatCol&amp;"$"&amp;TEXT(C2324+57,"###"))))</f>
        <v>1298.7511999999999</v>
      </c>
      <c r="F2324" s="26" t="str">
        <f t="shared" si="2330"/>
        <v>O</v>
      </c>
      <c r="G2324" s="8"/>
      <c r="H2324" s="8">
        <v>156</v>
      </c>
      <c r="I2324" s="8">
        <v>49</v>
      </c>
      <c r="J2324" s="8">
        <v>758</v>
      </c>
      <c r="K2324" s="9">
        <f t="shared" si="2309"/>
        <v>914</v>
      </c>
      <c r="M2324" s="11">
        <f t="shared" si="2331"/>
        <v>0</v>
      </c>
      <c r="O2324" s="11">
        <f t="shared" si="2332"/>
        <v>0</v>
      </c>
      <c r="Q2324" s="11">
        <f t="shared" si="2333"/>
        <v>0</v>
      </c>
      <c r="Y2324" s="11">
        <f t="shared" si="2334"/>
        <v>0</v>
      </c>
      <c r="AG2324" s="11">
        <f t="shared" si="2335"/>
        <v>0</v>
      </c>
      <c r="AI2324" s="11">
        <f t="shared" si="2336"/>
        <v>0</v>
      </c>
      <c r="AK2324" s="13">
        <f t="shared" si="2337"/>
        <v>0</v>
      </c>
      <c r="AM2324" s="13">
        <f t="shared" si="2338"/>
        <v>0</v>
      </c>
      <c r="AO2324" s="11">
        <f t="shared" si="2339"/>
        <v>0</v>
      </c>
      <c r="AQ2324" s="11">
        <f t="shared" si="2340"/>
        <v>0</v>
      </c>
      <c r="AS2324" s="11">
        <f t="shared" si="2341"/>
        <v>0</v>
      </c>
      <c r="AU2324" s="11">
        <f t="shared" si="2342"/>
        <v>0</v>
      </c>
      <c r="AW2324" s="11">
        <f t="shared" si="2343"/>
        <v>0</v>
      </c>
      <c r="AY2324" s="11">
        <f t="shared" si="2344"/>
        <v>0</v>
      </c>
      <c r="BA2324" s="11">
        <f t="shared" si="2345"/>
        <v>0</v>
      </c>
      <c r="BC2324" s="11">
        <f t="shared" si="2346"/>
        <v>0</v>
      </c>
      <c r="BE2324" s="11">
        <f t="shared" si="2347"/>
        <v>0</v>
      </c>
      <c r="BG2324" s="11">
        <f t="shared" si="2348"/>
        <v>0</v>
      </c>
      <c r="BN2324" s="8">
        <f t="shared" si="2307"/>
        <v>0</v>
      </c>
      <c r="BO2324" s="8">
        <f t="shared" si="2308"/>
        <v>0</v>
      </c>
      <c r="BP2324" s="8">
        <f t="shared" si="2328"/>
        <v>0</v>
      </c>
      <c r="BQ2324" s="12">
        <f t="shared" si="2329"/>
        <v>0</v>
      </c>
    </row>
    <row r="2325" spans="1:69">
      <c r="A2325" s="28">
        <v>1958</v>
      </c>
      <c r="B2325" s="27" t="s">
        <v>103</v>
      </c>
      <c r="C2325" s="24">
        <f t="shared" si="2351"/>
        <v>2322</v>
      </c>
      <c r="D2325" s="7" t="e">
        <f t="shared" ca="1" si="2349"/>
        <v>#N/A</v>
      </c>
      <c r="E2325" s="26">
        <f t="array" aca="1" ref="E2325" ca="1">AVERAGE(IF(INDIRECT(DatCol&amp;"$"&amp;TEXT(C2325,"###")):INDIRECT(DatCol&amp;"$"&amp;TEXT(C2325+57,"###"))&gt;0,INDIRECT(DatCol&amp;"$"&amp;TEXT(C2325,"###")):INDIRECT(DatCol&amp;"$"&amp;TEXT(C2325+57,"###"))))</f>
        <v>1298.7511999999999</v>
      </c>
      <c r="F2325" s="26" t="str">
        <f t="shared" si="2330"/>
        <v>O</v>
      </c>
      <c r="G2325" s="8"/>
      <c r="H2325" s="8">
        <v>227</v>
      </c>
      <c r="I2325" s="8">
        <v>56</v>
      </c>
      <c r="J2325" s="8">
        <v>726</v>
      </c>
      <c r="K2325" s="9">
        <f t="shared" si="2309"/>
        <v>953</v>
      </c>
      <c r="M2325" s="11">
        <f t="shared" si="2331"/>
        <v>0</v>
      </c>
      <c r="O2325" s="11">
        <f t="shared" si="2332"/>
        <v>0</v>
      </c>
      <c r="Q2325" s="11">
        <f t="shared" si="2333"/>
        <v>0</v>
      </c>
      <c r="Y2325" s="11">
        <f t="shared" si="2334"/>
        <v>0</v>
      </c>
      <c r="AG2325" s="11">
        <f t="shared" si="2335"/>
        <v>0</v>
      </c>
      <c r="AI2325" s="11">
        <f t="shared" si="2336"/>
        <v>0</v>
      </c>
      <c r="AK2325" s="13">
        <f t="shared" si="2337"/>
        <v>0</v>
      </c>
      <c r="AM2325" s="13">
        <f t="shared" si="2338"/>
        <v>0</v>
      </c>
      <c r="AO2325" s="11">
        <f t="shared" si="2339"/>
        <v>0</v>
      </c>
      <c r="AQ2325" s="11">
        <f t="shared" si="2340"/>
        <v>0</v>
      </c>
      <c r="AS2325" s="11">
        <f t="shared" si="2341"/>
        <v>0</v>
      </c>
      <c r="AU2325" s="11">
        <f t="shared" si="2342"/>
        <v>0</v>
      </c>
      <c r="AW2325" s="11">
        <f t="shared" si="2343"/>
        <v>0</v>
      </c>
      <c r="AY2325" s="11">
        <f t="shared" si="2344"/>
        <v>0</v>
      </c>
      <c r="BA2325" s="11">
        <f t="shared" si="2345"/>
        <v>0</v>
      </c>
      <c r="BC2325" s="11">
        <f t="shared" si="2346"/>
        <v>0</v>
      </c>
      <c r="BE2325" s="11">
        <f t="shared" si="2347"/>
        <v>0</v>
      </c>
      <c r="BG2325" s="11">
        <f t="shared" si="2348"/>
        <v>0</v>
      </c>
      <c r="BN2325" s="8">
        <f t="shared" si="2307"/>
        <v>0</v>
      </c>
      <c r="BO2325" s="8">
        <f t="shared" si="2308"/>
        <v>0</v>
      </c>
      <c r="BP2325" s="8">
        <f t="shared" si="2328"/>
        <v>0</v>
      </c>
      <c r="BQ2325" s="12">
        <f t="shared" si="2329"/>
        <v>0</v>
      </c>
    </row>
    <row r="2326" spans="1:69">
      <c r="A2326" s="28">
        <v>1959</v>
      </c>
      <c r="B2326" s="27" t="s">
        <v>103</v>
      </c>
      <c r="C2326" s="24">
        <f t="shared" si="2351"/>
        <v>2322</v>
      </c>
      <c r="D2326" s="7" t="e">
        <f t="shared" ca="1" si="2349"/>
        <v>#N/A</v>
      </c>
      <c r="E2326" s="26">
        <f t="array" aca="1" ref="E2326" ca="1">AVERAGE(IF(INDIRECT(DatCol&amp;"$"&amp;TEXT(C2326,"###")):INDIRECT(DatCol&amp;"$"&amp;TEXT(C2326+57,"###"))&gt;0,INDIRECT(DatCol&amp;"$"&amp;TEXT(C2326,"###")):INDIRECT(DatCol&amp;"$"&amp;TEXT(C2326+57,"###"))))</f>
        <v>1298.7511999999999</v>
      </c>
      <c r="F2326" s="26" t="str">
        <f t="shared" si="2330"/>
        <v>O</v>
      </c>
      <c r="G2326" s="8"/>
      <c r="H2326" s="8">
        <v>141</v>
      </c>
      <c r="I2326" s="8">
        <v>80</v>
      </c>
      <c r="J2326" s="8">
        <v>755</v>
      </c>
      <c r="K2326" s="9">
        <f t="shared" si="2309"/>
        <v>896</v>
      </c>
      <c r="M2326" s="11">
        <f t="shared" si="2331"/>
        <v>0</v>
      </c>
      <c r="N2326" s="12">
        <v>50</v>
      </c>
      <c r="O2326" s="11">
        <f t="shared" si="2332"/>
        <v>2500</v>
      </c>
      <c r="Q2326" s="11">
        <f t="shared" si="2333"/>
        <v>0</v>
      </c>
      <c r="X2326" s="12">
        <v>10354</v>
      </c>
      <c r="Y2326" s="11">
        <f t="shared" si="2334"/>
        <v>621240</v>
      </c>
      <c r="AG2326" s="11">
        <f t="shared" si="2335"/>
        <v>0</v>
      </c>
      <c r="AI2326" s="11">
        <f t="shared" si="2336"/>
        <v>0</v>
      </c>
      <c r="AK2326" s="13">
        <f t="shared" si="2337"/>
        <v>0</v>
      </c>
      <c r="AM2326" s="13">
        <f t="shared" si="2338"/>
        <v>0</v>
      </c>
      <c r="AO2326" s="11">
        <f t="shared" si="2339"/>
        <v>0</v>
      </c>
      <c r="AQ2326" s="11">
        <f t="shared" si="2340"/>
        <v>0</v>
      </c>
      <c r="AS2326" s="11">
        <f t="shared" si="2341"/>
        <v>0</v>
      </c>
      <c r="AU2326" s="11">
        <f t="shared" si="2342"/>
        <v>0</v>
      </c>
      <c r="AW2326" s="11">
        <f t="shared" si="2343"/>
        <v>0</v>
      </c>
      <c r="AY2326" s="11">
        <f t="shared" si="2344"/>
        <v>0</v>
      </c>
      <c r="BA2326" s="11">
        <f t="shared" si="2345"/>
        <v>0</v>
      </c>
      <c r="BC2326" s="11">
        <f t="shared" si="2346"/>
        <v>0</v>
      </c>
      <c r="BE2326" s="11">
        <f t="shared" si="2347"/>
        <v>0</v>
      </c>
      <c r="BG2326" s="11">
        <f t="shared" si="2348"/>
        <v>0</v>
      </c>
      <c r="BN2326" s="8">
        <f t="shared" si="2307"/>
        <v>10354</v>
      </c>
      <c r="BO2326" s="8">
        <f t="shared" si="2308"/>
        <v>621240</v>
      </c>
      <c r="BP2326" s="8">
        <f t="shared" si="2328"/>
        <v>10404</v>
      </c>
      <c r="BQ2326" s="12">
        <f t="shared" si="2329"/>
        <v>623740</v>
      </c>
    </row>
    <row r="2327" spans="1:69">
      <c r="A2327" s="28">
        <v>1960</v>
      </c>
      <c r="B2327" s="27" t="s">
        <v>103</v>
      </c>
      <c r="C2327" s="24">
        <f t="shared" si="2351"/>
        <v>2322</v>
      </c>
      <c r="D2327" s="7" t="e">
        <f t="shared" ca="1" si="2349"/>
        <v>#N/A</v>
      </c>
      <c r="E2327" s="26">
        <f t="array" aca="1" ref="E2327" ca="1">AVERAGE(IF(INDIRECT(DatCol&amp;"$"&amp;TEXT(C2327,"###")):INDIRECT(DatCol&amp;"$"&amp;TEXT(C2327+57,"###"))&gt;0,INDIRECT(DatCol&amp;"$"&amp;TEXT(C2327,"###")):INDIRECT(DatCol&amp;"$"&amp;TEXT(C2327+57,"###"))))</f>
        <v>1298.7511999999999</v>
      </c>
      <c r="F2327" s="26" t="str">
        <f t="shared" si="2330"/>
        <v>O</v>
      </c>
      <c r="G2327" s="8"/>
      <c r="H2327" s="8">
        <v>46</v>
      </c>
      <c r="I2327" s="8">
        <v>77</v>
      </c>
      <c r="J2327" s="8">
        <v>578</v>
      </c>
      <c r="K2327" s="9">
        <f t="shared" si="2309"/>
        <v>624</v>
      </c>
      <c r="M2327" s="11">
        <f t="shared" si="2331"/>
        <v>0</v>
      </c>
      <c r="N2327" s="12">
        <v>1229</v>
      </c>
      <c r="O2327" s="11">
        <f t="shared" si="2332"/>
        <v>61450</v>
      </c>
      <c r="Q2327" s="11">
        <f t="shared" si="2333"/>
        <v>0</v>
      </c>
      <c r="X2327" s="12">
        <v>7024</v>
      </c>
      <c r="Y2327" s="11">
        <f t="shared" si="2334"/>
        <v>421440</v>
      </c>
      <c r="AG2327" s="11">
        <f t="shared" si="2335"/>
        <v>0</v>
      </c>
      <c r="AI2327" s="11">
        <f t="shared" si="2336"/>
        <v>0</v>
      </c>
      <c r="AK2327" s="13">
        <f t="shared" si="2337"/>
        <v>0</v>
      </c>
      <c r="AM2327" s="13">
        <f t="shared" si="2338"/>
        <v>0</v>
      </c>
      <c r="AO2327" s="11">
        <f t="shared" si="2339"/>
        <v>0</v>
      </c>
      <c r="AQ2327" s="11">
        <f t="shared" si="2340"/>
        <v>0</v>
      </c>
      <c r="AS2327" s="11">
        <f t="shared" si="2341"/>
        <v>0</v>
      </c>
      <c r="AU2327" s="11">
        <f t="shared" si="2342"/>
        <v>0</v>
      </c>
      <c r="AW2327" s="11">
        <f t="shared" si="2343"/>
        <v>0</v>
      </c>
      <c r="AY2327" s="11">
        <f t="shared" si="2344"/>
        <v>0</v>
      </c>
      <c r="BA2327" s="11">
        <f t="shared" si="2345"/>
        <v>0</v>
      </c>
      <c r="BC2327" s="11">
        <f t="shared" si="2346"/>
        <v>0</v>
      </c>
      <c r="BE2327" s="11">
        <f t="shared" si="2347"/>
        <v>0</v>
      </c>
      <c r="BG2327" s="11">
        <f t="shared" si="2348"/>
        <v>0</v>
      </c>
      <c r="BN2327" s="8">
        <f t="shared" si="2307"/>
        <v>7024</v>
      </c>
      <c r="BO2327" s="8">
        <f t="shared" si="2308"/>
        <v>421440</v>
      </c>
      <c r="BP2327" s="8">
        <f t="shared" si="2328"/>
        <v>8253</v>
      </c>
      <c r="BQ2327" s="12">
        <f t="shared" si="2329"/>
        <v>482890</v>
      </c>
    </row>
    <row r="2328" spans="1:69">
      <c r="A2328" s="28">
        <v>1961</v>
      </c>
      <c r="B2328" s="27" t="s">
        <v>103</v>
      </c>
      <c r="C2328" s="24">
        <f t="shared" si="2351"/>
        <v>2322</v>
      </c>
      <c r="D2328" s="7" t="e">
        <f t="shared" ca="1" si="2349"/>
        <v>#N/A</v>
      </c>
      <c r="E2328" s="26">
        <f t="array" aca="1" ref="E2328" ca="1">AVERAGE(IF(INDIRECT(DatCol&amp;"$"&amp;TEXT(C2328,"###")):INDIRECT(DatCol&amp;"$"&amp;TEXT(C2328+57,"###"))&gt;0,INDIRECT(DatCol&amp;"$"&amp;TEXT(C2328,"###")):INDIRECT(DatCol&amp;"$"&amp;TEXT(C2328+57,"###"))))</f>
        <v>1298.7511999999999</v>
      </c>
      <c r="F2328" s="26" t="str">
        <f t="shared" si="2330"/>
        <v>O</v>
      </c>
      <c r="G2328" s="8"/>
      <c r="H2328" s="8">
        <v>52</v>
      </c>
      <c r="I2328" s="8">
        <v>55</v>
      </c>
      <c r="J2328" s="8">
        <v>572</v>
      </c>
      <c r="K2328" s="9">
        <f t="shared" si="2309"/>
        <v>624</v>
      </c>
      <c r="M2328" s="11">
        <f t="shared" si="2331"/>
        <v>0</v>
      </c>
      <c r="N2328" s="12">
        <v>2368</v>
      </c>
      <c r="O2328" s="11">
        <f t="shared" si="2332"/>
        <v>118400</v>
      </c>
      <c r="Q2328" s="11">
        <f t="shared" si="2333"/>
        <v>0</v>
      </c>
      <c r="X2328" s="12">
        <v>3260</v>
      </c>
      <c r="Y2328" s="11">
        <f t="shared" si="2334"/>
        <v>195600</v>
      </c>
      <c r="AG2328" s="11">
        <f t="shared" si="2335"/>
        <v>0</v>
      </c>
      <c r="AI2328" s="11">
        <f t="shared" si="2336"/>
        <v>0</v>
      </c>
      <c r="AK2328" s="13">
        <f t="shared" si="2337"/>
        <v>0</v>
      </c>
      <c r="AL2328" s="12">
        <v>100</v>
      </c>
      <c r="AM2328" s="13">
        <f t="shared" si="2338"/>
        <v>900</v>
      </c>
      <c r="AO2328" s="11">
        <f t="shared" si="2339"/>
        <v>0</v>
      </c>
      <c r="AQ2328" s="11">
        <f t="shared" si="2340"/>
        <v>0</v>
      </c>
      <c r="AS2328" s="11">
        <f t="shared" si="2341"/>
        <v>0</v>
      </c>
      <c r="AU2328" s="11">
        <f t="shared" si="2342"/>
        <v>0</v>
      </c>
      <c r="AW2328" s="11">
        <f t="shared" si="2343"/>
        <v>0</v>
      </c>
      <c r="AY2328" s="11">
        <f t="shared" si="2344"/>
        <v>0</v>
      </c>
      <c r="BA2328" s="11">
        <f t="shared" si="2345"/>
        <v>0</v>
      </c>
      <c r="BC2328" s="11">
        <f t="shared" si="2346"/>
        <v>0</v>
      </c>
      <c r="BE2328" s="11">
        <f t="shared" si="2347"/>
        <v>0</v>
      </c>
      <c r="BG2328" s="11">
        <f t="shared" si="2348"/>
        <v>0</v>
      </c>
      <c r="BN2328" s="8">
        <f t="shared" si="2307"/>
        <v>3260</v>
      </c>
      <c r="BO2328" s="8">
        <f t="shared" si="2308"/>
        <v>195600</v>
      </c>
      <c r="BP2328" s="8">
        <f t="shared" si="2328"/>
        <v>5728</v>
      </c>
      <c r="BQ2328" s="12">
        <f t="shared" si="2329"/>
        <v>314900</v>
      </c>
    </row>
    <row r="2329" spans="1:69">
      <c r="A2329" s="28">
        <v>1962</v>
      </c>
      <c r="B2329" s="27" t="s">
        <v>103</v>
      </c>
      <c r="C2329" s="24">
        <f t="shared" si="2351"/>
        <v>2322</v>
      </c>
      <c r="D2329" s="7" t="e">
        <f t="shared" ca="1" si="2349"/>
        <v>#N/A</v>
      </c>
      <c r="E2329" s="26">
        <f t="array" aca="1" ref="E2329" ca="1">AVERAGE(IF(INDIRECT(DatCol&amp;"$"&amp;TEXT(C2329,"###")):INDIRECT(DatCol&amp;"$"&amp;TEXT(C2329+57,"###"))&gt;0,INDIRECT(DatCol&amp;"$"&amp;TEXT(C2329,"###")):INDIRECT(DatCol&amp;"$"&amp;TEXT(C2329+57,"###"))))</f>
        <v>1298.7511999999999</v>
      </c>
      <c r="F2329" s="26" t="str">
        <f t="shared" si="2330"/>
        <v>O</v>
      </c>
      <c r="G2329" s="8"/>
      <c r="H2329" s="8">
        <v>44</v>
      </c>
      <c r="I2329" s="8">
        <v>56</v>
      </c>
      <c r="J2329" s="8">
        <v>542</v>
      </c>
      <c r="K2329" s="9">
        <f t="shared" si="2309"/>
        <v>586</v>
      </c>
      <c r="M2329" s="11">
        <f t="shared" si="2331"/>
        <v>0</v>
      </c>
      <c r="N2329" s="12">
        <v>510</v>
      </c>
      <c r="O2329" s="11">
        <f t="shared" si="2332"/>
        <v>25500</v>
      </c>
      <c r="Q2329" s="11">
        <f t="shared" si="2333"/>
        <v>0</v>
      </c>
      <c r="X2329" s="12">
        <v>4405</v>
      </c>
      <c r="Y2329" s="11">
        <f t="shared" si="2334"/>
        <v>264300</v>
      </c>
      <c r="AG2329" s="11">
        <f t="shared" si="2335"/>
        <v>0</v>
      </c>
      <c r="AI2329" s="11">
        <f t="shared" si="2336"/>
        <v>0</v>
      </c>
      <c r="AK2329" s="13">
        <f t="shared" si="2337"/>
        <v>0</v>
      </c>
      <c r="AL2329" s="12">
        <v>428</v>
      </c>
      <c r="AM2329" s="13">
        <f t="shared" si="2338"/>
        <v>3852</v>
      </c>
      <c r="AO2329" s="11">
        <f t="shared" si="2339"/>
        <v>0</v>
      </c>
      <c r="AQ2329" s="11">
        <f t="shared" si="2340"/>
        <v>0</v>
      </c>
      <c r="AS2329" s="11">
        <f t="shared" si="2341"/>
        <v>0</v>
      </c>
      <c r="AU2329" s="11">
        <f t="shared" si="2342"/>
        <v>0</v>
      </c>
      <c r="AW2329" s="11">
        <f t="shared" si="2343"/>
        <v>0</v>
      </c>
      <c r="AY2329" s="11">
        <f t="shared" si="2344"/>
        <v>0</v>
      </c>
      <c r="BA2329" s="11">
        <f t="shared" si="2345"/>
        <v>0</v>
      </c>
      <c r="BC2329" s="11">
        <f t="shared" si="2346"/>
        <v>0</v>
      </c>
      <c r="BE2329" s="11">
        <f t="shared" si="2347"/>
        <v>0</v>
      </c>
      <c r="BG2329" s="11">
        <f t="shared" si="2348"/>
        <v>0</v>
      </c>
      <c r="BN2329" s="8">
        <f t="shared" si="2307"/>
        <v>4405</v>
      </c>
      <c r="BO2329" s="8">
        <f t="shared" si="2308"/>
        <v>264300</v>
      </c>
      <c r="BP2329" s="8">
        <f t="shared" si="2328"/>
        <v>5343</v>
      </c>
      <c r="BQ2329" s="12">
        <f t="shared" si="2329"/>
        <v>293652</v>
      </c>
    </row>
    <row r="2330" spans="1:69">
      <c r="A2330" s="28">
        <v>1963</v>
      </c>
      <c r="B2330" s="27" t="s">
        <v>103</v>
      </c>
      <c r="C2330" s="24">
        <f t="shared" si="2351"/>
        <v>2322</v>
      </c>
      <c r="D2330" s="7" t="e">
        <f t="shared" ca="1" si="2349"/>
        <v>#N/A</v>
      </c>
      <c r="E2330" s="26">
        <f t="array" aca="1" ref="E2330" ca="1">AVERAGE(IF(INDIRECT(DatCol&amp;"$"&amp;TEXT(C2330,"###")):INDIRECT(DatCol&amp;"$"&amp;TEXT(C2330+57,"###"))&gt;0,INDIRECT(DatCol&amp;"$"&amp;TEXT(C2330,"###")):INDIRECT(DatCol&amp;"$"&amp;TEXT(C2330+57,"###"))))</f>
        <v>1298.7511999999999</v>
      </c>
      <c r="F2330" s="26" t="str">
        <f t="shared" si="2330"/>
        <v>O</v>
      </c>
      <c r="G2330" s="8"/>
      <c r="H2330" s="8">
        <v>31</v>
      </c>
      <c r="I2330" s="8">
        <v>83</v>
      </c>
      <c r="J2330" s="8">
        <v>570</v>
      </c>
      <c r="K2330" s="9">
        <f t="shared" si="2309"/>
        <v>601</v>
      </c>
      <c r="M2330" s="11">
        <f t="shared" si="2331"/>
        <v>0</v>
      </c>
      <c r="N2330" s="12">
        <v>220</v>
      </c>
      <c r="O2330" s="11">
        <f t="shared" si="2332"/>
        <v>11000</v>
      </c>
      <c r="Q2330" s="11">
        <f t="shared" si="2333"/>
        <v>0</v>
      </c>
      <c r="X2330" s="12">
        <v>5950</v>
      </c>
      <c r="Y2330" s="11">
        <f t="shared" si="2334"/>
        <v>357000</v>
      </c>
      <c r="AG2330" s="11">
        <f t="shared" si="2335"/>
        <v>0</v>
      </c>
      <c r="AI2330" s="11">
        <f t="shared" si="2336"/>
        <v>0</v>
      </c>
      <c r="AK2330" s="13">
        <f t="shared" si="2337"/>
        <v>0</v>
      </c>
      <c r="AM2330" s="13">
        <f t="shared" si="2338"/>
        <v>0</v>
      </c>
      <c r="AO2330" s="11">
        <f t="shared" si="2339"/>
        <v>0</v>
      </c>
      <c r="AQ2330" s="11">
        <f t="shared" si="2340"/>
        <v>0</v>
      </c>
      <c r="AS2330" s="11">
        <f t="shared" si="2341"/>
        <v>0</v>
      </c>
      <c r="AU2330" s="11">
        <f t="shared" si="2342"/>
        <v>0</v>
      </c>
      <c r="AW2330" s="11">
        <f t="shared" si="2343"/>
        <v>0</v>
      </c>
      <c r="AY2330" s="11">
        <f t="shared" si="2344"/>
        <v>0</v>
      </c>
      <c r="BA2330" s="11">
        <f t="shared" si="2345"/>
        <v>0</v>
      </c>
      <c r="BC2330" s="11">
        <f t="shared" si="2346"/>
        <v>0</v>
      </c>
      <c r="BE2330" s="11">
        <f t="shared" si="2347"/>
        <v>0</v>
      </c>
      <c r="BG2330" s="11">
        <f t="shared" si="2348"/>
        <v>0</v>
      </c>
      <c r="BN2330" s="8">
        <f t="shared" si="2307"/>
        <v>5950</v>
      </c>
      <c r="BO2330" s="8">
        <f t="shared" si="2308"/>
        <v>357000</v>
      </c>
      <c r="BP2330" s="8">
        <f t="shared" si="2328"/>
        <v>6170</v>
      </c>
      <c r="BQ2330" s="12">
        <f t="shared" si="2329"/>
        <v>368000</v>
      </c>
    </row>
    <row r="2331" spans="1:69">
      <c r="A2331" s="28">
        <v>1964</v>
      </c>
      <c r="B2331" s="27" t="s">
        <v>103</v>
      </c>
      <c r="C2331" s="24">
        <f t="shared" si="2351"/>
        <v>2322</v>
      </c>
      <c r="D2331" s="7" t="e">
        <f t="shared" ca="1" si="2349"/>
        <v>#N/A</v>
      </c>
      <c r="E2331" s="26">
        <f t="array" aca="1" ref="E2331" ca="1">AVERAGE(IF(INDIRECT(DatCol&amp;"$"&amp;TEXT(C2331,"###")):INDIRECT(DatCol&amp;"$"&amp;TEXT(C2331+57,"###"))&gt;0,INDIRECT(DatCol&amp;"$"&amp;TEXT(C2331,"###")):INDIRECT(DatCol&amp;"$"&amp;TEXT(C2331+57,"###"))))</f>
        <v>1298.7511999999999</v>
      </c>
      <c r="F2331" s="26" t="str">
        <f t="shared" si="2330"/>
        <v>O</v>
      </c>
      <c r="G2331" s="8"/>
      <c r="H2331" s="8">
        <v>48</v>
      </c>
      <c r="I2331" s="8">
        <v>80</v>
      </c>
      <c r="J2331" s="8">
        <v>621</v>
      </c>
      <c r="K2331" s="9">
        <f t="shared" si="2309"/>
        <v>669</v>
      </c>
      <c r="M2331" s="11">
        <f t="shared" ref="M2331:M2346" si="2352">(L2331*50)</f>
        <v>0</v>
      </c>
      <c r="N2331" s="12">
        <v>1200</v>
      </c>
      <c r="O2331" s="11">
        <f t="shared" ref="O2331:O2346" si="2353">(N2331*50)</f>
        <v>60000</v>
      </c>
      <c r="Q2331" s="11">
        <f t="shared" ref="Q2331:Q2346" si="2354">((P2331*330)/5.5)</f>
        <v>0</v>
      </c>
      <c r="X2331" s="12">
        <v>5000</v>
      </c>
      <c r="Y2331" s="11">
        <f t="shared" ref="Y2331:Y2346" si="2355">((X2331*330)/5.5)</f>
        <v>300000</v>
      </c>
      <c r="AG2331" s="11">
        <f t="shared" ref="AG2331:AG2346" si="2356">(AF2331*65)</f>
        <v>0</v>
      </c>
      <c r="AI2331" s="11">
        <f t="shared" ref="AI2331:AI2346" si="2357">(AH2331*65)</f>
        <v>0</v>
      </c>
      <c r="AK2331" s="13">
        <f t="shared" ref="AK2331:AK2346" si="2358">(AJ2331*9)</f>
        <v>0</v>
      </c>
      <c r="AM2331" s="13">
        <f t="shared" ref="AM2331:AM2346" si="2359">(AL2331*9)</f>
        <v>0</v>
      </c>
      <c r="AO2331" s="11">
        <f t="shared" ref="AO2331:AO2346" si="2360">(AN2331*80)</f>
        <v>0</v>
      </c>
      <c r="AQ2331" s="11">
        <f t="shared" ref="AQ2331:AQ2346" si="2361">(AP2331*80)</f>
        <v>0</v>
      </c>
      <c r="AS2331" s="11">
        <f t="shared" ref="AS2331:AS2346" si="2362">(AR2331*50)</f>
        <v>0</v>
      </c>
      <c r="AU2331" s="11">
        <f t="shared" ref="AU2331:AU2346" si="2363">(AT2331*50)</f>
        <v>0</v>
      </c>
      <c r="AW2331" s="11">
        <f t="shared" ref="AW2331:AW2346" si="2364">(AV2331*60)</f>
        <v>0</v>
      </c>
      <c r="AY2331" s="11">
        <f t="shared" ref="AY2331:AY2346" si="2365">(AX2331*60)</f>
        <v>0</v>
      </c>
      <c r="BA2331" s="11">
        <f t="shared" ref="BA2331:BA2346" si="2366">(AZ2331*40)</f>
        <v>0</v>
      </c>
      <c r="BC2331" s="11">
        <f t="shared" ref="BC2331:BC2346" si="2367">(BB2331*40)</f>
        <v>0</v>
      </c>
      <c r="BE2331" s="11">
        <f t="shared" ref="BE2331:BE2346" si="2368">(BD2331*95)</f>
        <v>0</v>
      </c>
      <c r="BG2331" s="11">
        <f t="shared" ref="BG2331:BG2346" si="2369">(BF2331*95)</f>
        <v>0</v>
      </c>
      <c r="BN2331" s="8">
        <f t="shared" si="2307"/>
        <v>5000</v>
      </c>
      <c r="BO2331" s="8">
        <f t="shared" si="2308"/>
        <v>300000</v>
      </c>
      <c r="BP2331" s="8">
        <f t="shared" si="2328"/>
        <v>6200</v>
      </c>
      <c r="BQ2331" s="12">
        <f t="shared" si="2329"/>
        <v>360000</v>
      </c>
    </row>
    <row r="2332" spans="1:69">
      <c r="A2332" s="28">
        <v>1965</v>
      </c>
      <c r="B2332" s="27" t="s">
        <v>103</v>
      </c>
      <c r="C2332" s="24">
        <f t="shared" si="2351"/>
        <v>2322</v>
      </c>
      <c r="D2332" s="7" t="e">
        <f t="shared" ca="1" si="2349"/>
        <v>#N/A</v>
      </c>
      <c r="E2332" s="26">
        <f t="array" aca="1" ref="E2332" ca="1">AVERAGE(IF(INDIRECT(DatCol&amp;"$"&amp;TEXT(C2332,"###")):INDIRECT(DatCol&amp;"$"&amp;TEXT(C2332+57,"###"))&gt;0,INDIRECT(DatCol&amp;"$"&amp;TEXT(C2332,"###")):INDIRECT(DatCol&amp;"$"&amp;TEXT(C2332+57,"###"))))</f>
        <v>1298.7511999999999</v>
      </c>
      <c r="F2332" s="26" t="str">
        <f t="shared" si="2330"/>
        <v>O</v>
      </c>
      <c r="G2332" s="8"/>
      <c r="H2332" s="8">
        <v>53</v>
      </c>
      <c r="I2332" s="8">
        <v>55</v>
      </c>
      <c r="J2332" s="8">
        <v>633</v>
      </c>
      <c r="K2332" s="9">
        <f t="shared" si="2309"/>
        <v>686</v>
      </c>
      <c r="M2332" s="11">
        <f t="shared" si="2352"/>
        <v>0</v>
      </c>
      <c r="N2332" s="12">
        <v>1500</v>
      </c>
      <c r="O2332" s="11">
        <f t="shared" si="2353"/>
        <v>75000</v>
      </c>
      <c r="Q2332" s="11">
        <f t="shared" si="2354"/>
        <v>0</v>
      </c>
      <c r="X2332" s="12">
        <v>4100</v>
      </c>
      <c r="Y2332" s="11">
        <f t="shared" si="2355"/>
        <v>246000</v>
      </c>
      <c r="AG2332" s="11">
        <f t="shared" si="2356"/>
        <v>0</v>
      </c>
      <c r="AI2332" s="11">
        <f t="shared" si="2357"/>
        <v>0</v>
      </c>
      <c r="AK2332" s="13">
        <f t="shared" si="2358"/>
        <v>0</v>
      </c>
      <c r="AM2332" s="13">
        <f t="shared" si="2359"/>
        <v>0</v>
      </c>
      <c r="AO2332" s="11">
        <f t="shared" si="2360"/>
        <v>0</v>
      </c>
      <c r="AQ2332" s="11">
        <f t="shared" si="2361"/>
        <v>0</v>
      </c>
      <c r="AS2332" s="11">
        <f t="shared" si="2362"/>
        <v>0</v>
      </c>
      <c r="AU2332" s="11">
        <f t="shared" si="2363"/>
        <v>0</v>
      </c>
      <c r="AW2332" s="11">
        <f t="shared" si="2364"/>
        <v>0</v>
      </c>
      <c r="AY2332" s="11">
        <f t="shared" si="2365"/>
        <v>0</v>
      </c>
      <c r="BA2332" s="11">
        <f t="shared" si="2366"/>
        <v>0</v>
      </c>
      <c r="BC2332" s="11">
        <f t="shared" si="2367"/>
        <v>0</v>
      </c>
      <c r="BE2332" s="11">
        <f t="shared" si="2368"/>
        <v>0</v>
      </c>
      <c r="BG2332" s="11">
        <f t="shared" si="2369"/>
        <v>0</v>
      </c>
      <c r="BN2332" s="8">
        <f t="shared" si="2307"/>
        <v>4100</v>
      </c>
      <c r="BO2332" s="8">
        <f t="shared" si="2308"/>
        <v>246000</v>
      </c>
      <c r="BP2332" s="8">
        <f t="shared" si="2328"/>
        <v>5600</v>
      </c>
      <c r="BQ2332" s="12">
        <f t="shared" si="2329"/>
        <v>321000</v>
      </c>
    </row>
    <row r="2333" spans="1:69">
      <c r="A2333" s="28">
        <v>1966</v>
      </c>
      <c r="B2333" s="27" t="s">
        <v>103</v>
      </c>
      <c r="C2333" s="24">
        <f t="shared" si="2351"/>
        <v>2322</v>
      </c>
      <c r="D2333" s="7" t="e">
        <f t="shared" ca="1" si="2349"/>
        <v>#N/A</v>
      </c>
      <c r="E2333" s="26">
        <f t="array" aca="1" ref="E2333" ca="1">AVERAGE(IF(INDIRECT(DatCol&amp;"$"&amp;TEXT(C2333,"###")):INDIRECT(DatCol&amp;"$"&amp;TEXT(C2333+57,"###"))&gt;0,INDIRECT(DatCol&amp;"$"&amp;TEXT(C2333,"###")):INDIRECT(DatCol&amp;"$"&amp;TEXT(C2333+57,"###"))))</f>
        <v>1298.7511999999999</v>
      </c>
      <c r="F2333" s="26" t="str">
        <f t="shared" si="2330"/>
        <v>O</v>
      </c>
      <c r="G2333" s="8"/>
      <c r="H2333" s="8">
        <v>61</v>
      </c>
      <c r="I2333" s="8">
        <v>37</v>
      </c>
      <c r="J2333" s="8">
        <v>614</v>
      </c>
      <c r="K2333" s="9">
        <f t="shared" si="2309"/>
        <v>675</v>
      </c>
      <c r="L2333" s="12">
        <v>1800</v>
      </c>
      <c r="M2333" s="11">
        <f t="shared" si="2352"/>
        <v>90000</v>
      </c>
      <c r="N2333" s="12">
        <v>500</v>
      </c>
      <c r="O2333" s="11">
        <f t="shared" si="2353"/>
        <v>25000</v>
      </c>
      <c r="P2333" s="12">
        <v>2800</v>
      </c>
      <c r="Q2333" s="11">
        <f t="shared" si="2354"/>
        <v>168000</v>
      </c>
      <c r="X2333" s="12">
        <v>300</v>
      </c>
      <c r="Y2333" s="11">
        <f t="shared" si="2355"/>
        <v>18000</v>
      </c>
      <c r="AG2333" s="11">
        <f t="shared" si="2356"/>
        <v>0</v>
      </c>
      <c r="AI2333" s="11">
        <f t="shared" si="2357"/>
        <v>0</v>
      </c>
      <c r="AK2333" s="13">
        <f t="shared" si="2358"/>
        <v>0</v>
      </c>
      <c r="AM2333" s="13">
        <f t="shared" si="2359"/>
        <v>0</v>
      </c>
      <c r="AO2333" s="11">
        <f t="shared" si="2360"/>
        <v>0</v>
      </c>
      <c r="AQ2333" s="11">
        <f t="shared" si="2361"/>
        <v>0</v>
      </c>
      <c r="AS2333" s="11">
        <f t="shared" si="2362"/>
        <v>0</v>
      </c>
      <c r="AU2333" s="11">
        <f t="shared" si="2363"/>
        <v>0</v>
      </c>
      <c r="AW2333" s="11">
        <f t="shared" si="2364"/>
        <v>0</v>
      </c>
      <c r="AY2333" s="11">
        <f t="shared" si="2365"/>
        <v>0</v>
      </c>
      <c r="BA2333" s="11">
        <f t="shared" si="2366"/>
        <v>0</v>
      </c>
      <c r="BC2333" s="11">
        <f t="shared" si="2367"/>
        <v>0</v>
      </c>
      <c r="BE2333" s="11">
        <f t="shared" si="2368"/>
        <v>0</v>
      </c>
      <c r="BG2333" s="11">
        <f t="shared" si="2369"/>
        <v>0</v>
      </c>
      <c r="BN2333" s="8">
        <f t="shared" si="2307"/>
        <v>4900</v>
      </c>
      <c r="BO2333" s="8">
        <f t="shared" si="2308"/>
        <v>276000</v>
      </c>
      <c r="BP2333" s="8">
        <f t="shared" si="2328"/>
        <v>800</v>
      </c>
      <c r="BQ2333" s="12">
        <f t="shared" si="2329"/>
        <v>43000</v>
      </c>
    </row>
    <row r="2334" spans="1:69">
      <c r="A2334" s="28">
        <v>1967</v>
      </c>
      <c r="B2334" s="27" t="s">
        <v>103</v>
      </c>
      <c r="C2334" s="24">
        <f t="shared" si="2351"/>
        <v>2322</v>
      </c>
      <c r="D2334" s="7" t="e">
        <f t="shared" ca="1" si="2349"/>
        <v>#N/A</v>
      </c>
      <c r="E2334" s="26">
        <f t="array" aca="1" ref="E2334" ca="1">AVERAGE(IF(INDIRECT(DatCol&amp;"$"&amp;TEXT(C2334,"###")):INDIRECT(DatCol&amp;"$"&amp;TEXT(C2334+57,"###"))&gt;0,INDIRECT(DatCol&amp;"$"&amp;TEXT(C2334,"###")):INDIRECT(DatCol&amp;"$"&amp;TEXT(C2334+57,"###"))))</f>
        <v>1298.7511999999999</v>
      </c>
      <c r="F2334" s="26" t="str">
        <f t="shared" si="2330"/>
        <v>O</v>
      </c>
      <c r="G2334" s="8"/>
      <c r="H2334" s="8">
        <v>62</v>
      </c>
      <c r="I2334" s="8">
        <v>25</v>
      </c>
      <c r="J2334" s="8">
        <v>598</v>
      </c>
      <c r="K2334" s="9">
        <f t="shared" si="2309"/>
        <v>660</v>
      </c>
      <c r="L2334" s="12">
        <v>2000</v>
      </c>
      <c r="M2334" s="11">
        <f t="shared" si="2352"/>
        <v>100000</v>
      </c>
      <c r="N2334" s="12">
        <v>2000</v>
      </c>
      <c r="O2334" s="11">
        <f t="shared" si="2353"/>
        <v>100000</v>
      </c>
      <c r="P2334" s="12">
        <v>4000</v>
      </c>
      <c r="Q2334" s="11">
        <f t="shared" si="2354"/>
        <v>240000</v>
      </c>
      <c r="X2334" s="12">
        <v>5500</v>
      </c>
      <c r="Y2334" s="11">
        <f t="shared" si="2355"/>
        <v>330000</v>
      </c>
      <c r="AG2334" s="11">
        <f t="shared" si="2356"/>
        <v>0</v>
      </c>
      <c r="AI2334" s="11">
        <f t="shared" si="2357"/>
        <v>0</v>
      </c>
      <c r="AK2334" s="13">
        <f t="shared" si="2358"/>
        <v>0</v>
      </c>
      <c r="AM2334" s="13">
        <f t="shared" si="2359"/>
        <v>0</v>
      </c>
      <c r="AO2334" s="11">
        <f t="shared" si="2360"/>
        <v>0</v>
      </c>
      <c r="AQ2334" s="11">
        <f t="shared" si="2361"/>
        <v>0</v>
      </c>
      <c r="AS2334" s="11">
        <f t="shared" si="2362"/>
        <v>0</v>
      </c>
      <c r="AU2334" s="11">
        <f t="shared" si="2363"/>
        <v>0</v>
      </c>
      <c r="AW2334" s="11">
        <f t="shared" si="2364"/>
        <v>0</v>
      </c>
      <c r="AY2334" s="11">
        <f t="shared" si="2365"/>
        <v>0</v>
      </c>
      <c r="BA2334" s="11">
        <f t="shared" si="2366"/>
        <v>0</v>
      </c>
      <c r="BC2334" s="11">
        <f t="shared" si="2367"/>
        <v>0</v>
      </c>
      <c r="BE2334" s="11">
        <f t="shared" si="2368"/>
        <v>0</v>
      </c>
      <c r="BG2334" s="11">
        <f t="shared" si="2369"/>
        <v>0</v>
      </c>
      <c r="BN2334" s="8">
        <f t="shared" si="2307"/>
        <v>11500</v>
      </c>
      <c r="BO2334" s="8">
        <f t="shared" si="2308"/>
        <v>670000</v>
      </c>
      <c r="BP2334" s="8">
        <f t="shared" si="2328"/>
        <v>7500</v>
      </c>
      <c r="BQ2334" s="12">
        <f t="shared" si="2329"/>
        <v>430000</v>
      </c>
    </row>
    <row r="2335" spans="1:69">
      <c r="A2335" s="28">
        <v>1968</v>
      </c>
      <c r="B2335" s="27" t="s">
        <v>103</v>
      </c>
      <c r="C2335" s="24">
        <f t="shared" si="2351"/>
        <v>2322</v>
      </c>
      <c r="D2335" s="7" t="e">
        <f t="shared" ca="1" si="2349"/>
        <v>#N/A</v>
      </c>
      <c r="E2335" s="26">
        <f t="array" aca="1" ref="E2335" ca="1">AVERAGE(IF(INDIRECT(DatCol&amp;"$"&amp;TEXT(C2335,"###")):INDIRECT(DatCol&amp;"$"&amp;TEXT(C2335+57,"###"))&gt;0,INDIRECT(DatCol&amp;"$"&amp;TEXT(C2335,"###")):INDIRECT(DatCol&amp;"$"&amp;TEXT(C2335+57,"###"))))</f>
        <v>1298.7511999999999</v>
      </c>
      <c r="F2335" s="26" t="str">
        <f t="shared" si="2330"/>
        <v>O</v>
      </c>
      <c r="G2335" s="8"/>
      <c r="H2335" s="8">
        <v>66</v>
      </c>
      <c r="I2335" s="8">
        <v>20</v>
      </c>
      <c r="J2335" s="8">
        <v>632</v>
      </c>
      <c r="K2335" s="9">
        <f t="shared" si="2309"/>
        <v>698</v>
      </c>
      <c r="L2335" s="12">
        <v>1500</v>
      </c>
      <c r="M2335" s="11">
        <f t="shared" si="2352"/>
        <v>75000</v>
      </c>
      <c r="N2335" s="12">
        <v>900</v>
      </c>
      <c r="O2335" s="11">
        <f t="shared" si="2353"/>
        <v>45000</v>
      </c>
      <c r="P2335" s="12">
        <v>1900</v>
      </c>
      <c r="Q2335" s="11">
        <f t="shared" si="2354"/>
        <v>114000</v>
      </c>
      <c r="X2335" s="12">
        <v>1200</v>
      </c>
      <c r="Y2335" s="11">
        <f t="shared" si="2355"/>
        <v>72000</v>
      </c>
      <c r="AG2335" s="11">
        <f t="shared" si="2356"/>
        <v>0</v>
      </c>
      <c r="AI2335" s="11">
        <f t="shared" si="2357"/>
        <v>0</v>
      </c>
      <c r="AK2335" s="13">
        <f t="shared" si="2358"/>
        <v>0</v>
      </c>
      <c r="AM2335" s="13">
        <f t="shared" si="2359"/>
        <v>0</v>
      </c>
      <c r="AO2335" s="11">
        <f t="shared" si="2360"/>
        <v>0</v>
      </c>
      <c r="AQ2335" s="11">
        <f t="shared" si="2361"/>
        <v>0</v>
      </c>
      <c r="AS2335" s="11">
        <f t="shared" si="2362"/>
        <v>0</v>
      </c>
      <c r="AU2335" s="11">
        <f t="shared" si="2363"/>
        <v>0</v>
      </c>
      <c r="AW2335" s="11">
        <f t="shared" si="2364"/>
        <v>0</v>
      </c>
      <c r="AY2335" s="11">
        <f t="shared" si="2365"/>
        <v>0</v>
      </c>
      <c r="BA2335" s="11">
        <f t="shared" si="2366"/>
        <v>0</v>
      </c>
      <c r="BC2335" s="11">
        <f t="shared" si="2367"/>
        <v>0</v>
      </c>
      <c r="BE2335" s="11">
        <f t="shared" si="2368"/>
        <v>0</v>
      </c>
      <c r="BG2335" s="11">
        <f t="shared" si="2369"/>
        <v>0</v>
      </c>
      <c r="BN2335" s="8">
        <f t="shared" si="2307"/>
        <v>4600</v>
      </c>
      <c r="BO2335" s="8">
        <f t="shared" si="2308"/>
        <v>261000</v>
      </c>
      <c r="BP2335" s="8">
        <f t="shared" si="2328"/>
        <v>2100</v>
      </c>
      <c r="BQ2335" s="12">
        <f t="shared" si="2329"/>
        <v>117000</v>
      </c>
    </row>
    <row r="2336" spans="1:69">
      <c r="A2336" s="28">
        <v>1969</v>
      </c>
      <c r="B2336" s="27" t="s">
        <v>103</v>
      </c>
      <c r="C2336" s="24">
        <f t="shared" si="2351"/>
        <v>2322</v>
      </c>
      <c r="D2336" s="7" t="e">
        <f t="shared" ca="1" si="2349"/>
        <v>#N/A</v>
      </c>
      <c r="E2336" s="26">
        <f t="array" aca="1" ref="E2336" ca="1">AVERAGE(IF(INDIRECT(DatCol&amp;"$"&amp;TEXT(C2336,"###")):INDIRECT(DatCol&amp;"$"&amp;TEXT(C2336+57,"###"))&gt;0,INDIRECT(DatCol&amp;"$"&amp;TEXT(C2336,"###")):INDIRECT(DatCol&amp;"$"&amp;TEXT(C2336+57,"###"))))</f>
        <v>1298.7511999999999</v>
      </c>
      <c r="F2336" s="26" t="str">
        <f t="shared" si="2330"/>
        <v>O</v>
      </c>
      <c r="G2336" s="8"/>
      <c r="H2336" s="8">
        <v>84</v>
      </c>
      <c r="I2336" s="8">
        <v>22</v>
      </c>
      <c r="J2336" s="8">
        <v>695</v>
      </c>
      <c r="K2336" s="9">
        <f t="shared" si="2309"/>
        <v>779</v>
      </c>
      <c r="L2336" s="12">
        <v>2000</v>
      </c>
      <c r="M2336" s="11">
        <f t="shared" si="2352"/>
        <v>100000</v>
      </c>
      <c r="N2336" s="12">
        <v>1500</v>
      </c>
      <c r="O2336" s="11">
        <f t="shared" si="2353"/>
        <v>75000</v>
      </c>
      <c r="P2336" s="12">
        <v>800</v>
      </c>
      <c r="Q2336" s="11">
        <f t="shared" si="2354"/>
        <v>48000</v>
      </c>
      <c r="X2336" s="12">
        <v>400</v>
      </c>
      <c r="Y2336" s="11">
        <f t="shared" si="2355"/>
        <v>24000</v>
      </c>
      <c r="AG2336" s="11">
        <f t="shared" si="2356"/>
        <v>0</v>
      </c>
      <c r="AI2336" s="11">
        <f t="shared" si="2357"/>
        <v>0</v>
      </c>
      <c r="AK2336" s="13">
        <f t="shared" si="2358"/>
        <v>0</v>
      </c>
      <c r="AM2336" s="13">
        <f t="shared" si="2359"/>
        <v>0</v>
      </c>
      <c r="AO2336" s="11">
        <f t="shared" si="2360"/>
        <v>0</v>
      </c>
      <c r="AQ2336" s="11">
        <f t="shared" si="2361"/>
        <v>0</v>
      </c>
      <c r="AS2336" s="11">
        <f t="shared" si="2362"/>
        <v>0</v>
      </c>
      <c r="AU2336" s="11">
        <f t="shared" si="2363"/>
        <v>0</v>
      </c>
      <c r="AW2336" s="11">
        <f t="shared" si="2364"/>
        <v>0</v>
      </c>
      <c r="AY2336" s="11">
        <f t="shared" si="2365"/>
        <v>0</v>
      </c>
      <c r="BA2336" s="11">
        <f t="shared" si="2366"/>
        <v>0</v>
      </c>
      <c r="BC2336" s="11">
        <f t="shared" si="2367"/>
        <v>0</v>
      </c>
      <c r="BE2336" s="11">
        <f t="shared" si="2368"/>
        <v>0</v>
      </c>
      <c r="BG2336" s="11">
        <f t="shared" si="2369"/>
        <v>0</v>
      </c>
      <c r="BN2336" s="8">
        <f t="shared" si="2307"/>
        <v>3200</v>
      </c>
      <c r="BO2336" s="8">
        <f t="shared" si="2308"/>
        <v>172000</v>
      </c>
      <c r="BP2336" s="8">
        <f t="shared" si="2328"/>
        <v>1900</v>
      </c>
      <c r="BQ2336" s="12">
        <f t="shared" si="2329"/>
        <v>99000</v>
      </c>
    </row>
    <row r="2337" spans="1:69">
      <c r="A2337" s="28">
        <v>1970</v>
      </c>
      <c r="B2337" s="27" t="s">
        <v>103</v>
      </c>
      <c r="C2337" s="24">
        <f t="shared" si="2351"/>
        <v>2322</v>
      </c>
      <c r="D2337" s="7" t="e">
        <f t="shared" ca="1" si="2349"/>
        <v>#N/A</v>
      </c>
      <c r="E2337" s="26">
        <f t="array" aca="1" ref="E2337" ca="1">AVERAGE(IF(INDIRECT(DatCol&amp;"$"&amp;TEXT(C2337,"###")):INDIRECT(DatCol&amp;"$"&amp;TEXT(C2337+57,"###"))&gt;0,INDIRECT(DatCol&amp;"$"&amp;TEXT(C2337,"###")):INDIRECT(DatCol&amp;"$"&amp;TEXT(C2337+57,"###"))))</f>
        <v>1298.7511999999999</v>
      </c>
      <c r="F2337" s="26" t="str">
        <f t="shared" si="2330"/>
        <v>O</v>
      </c>
      <c r="G2337" s="8"/>
      <c r="H2337" s="8">
        <v>130</v>
      </c>
      <c r="I2337" s="8">
        <v>20</v>
      </c>
      <c r="J2337" s="8">
        <v>799</v>
      </c>
      <c r="K2337" s="9">
        <f t="shared" si="2309"/>
        <v>929</v>
      </c>
      <c r="L2337" s="12">
        <v>2000</v>
      </c>
      <c r="M2337" s="11">
        <f t="shared" si="2352"/>
        <v>100000</v>
      </c>
      <c r="N2337" s="12">
        <v>900</v>
      </c>
      <c r="O2337" s="11">
        <f t="shared" si="2353"/>
        <v>45000</v>
      </c>
      <c r="P2337" s="12">
        <v>3000</v>
      </c>
      <c r="Q2337" s="11">
        <f t="shared" si="2354"/>
        <v>180000</v>
      </c>
      <c r="X2337" s="12">
        <v>500</v>
      </c>
      <c r="Y2337" s="11">
        <f t="shared" si="2355"/>
        <v>30000</v>
      </c>
      <c r="AG2337" s="11">
        <f t="shared" si="2356"/>
        <v>0</v>
      </c>
      <c r="AI2337" s="11">
        <f t="shared" si="2357"/>
        <v>0</v>
      </c>
      <c r="AK2337" s="13">
        <f t="shared" si="2358"/>
        <v>0</v>
      </c>
      <c r="AM2337" s="13">
        <f t="shared" si="2359"/>
        <v>0</v>
      </c>
      <c r="AO2337" s="11">
        <f t="shared" si="2360"/>
        <v>0</v>
      </c>
      <c r="AQ2337" s="11">
        <f t="shared" si="2361"/>
        <v>0</v>
      </c>
      <c r="AS2337" s="11">
        <f t="shared" si="2362"/>
        <v>0</v>
      </c>
      <c r="AU2337" s="11">
        <f t="shared" si="2363"/>
        <v>0</v>
      </c>
      <c r="AW2337" s="11">
        <f t="shared" si="2364"/>
        <v>0</v>
      </c>
      <c r="AY2337" s="11">
        <f t="shared" si="2365"/>
        <v>0</v>
      </c>
      <c r="BA2337" s="11">
        <f t="shared" si="2366"/>
        <v>0</v>
      </c>
      <c r="BC2337" s="11">
        <f t="shared" si="2367"/>
        <v>0</v>
      </c>
      <c r="BE2337" s="11">
        <f t="shared" si="2368"/>
        <v>0</v>
      </c>
      <c r="BG2337" s="11">
        <f t="shared" si="2369"/>
        <v>0</v>
      </c>
      <c r="BN2337" s="8">
        <f t="shared" si="2307"/>
        <v>5500</v>
      </c>
      <c r="BO2337" s="8">
        <f t="shared" si="2308"/>
        <v>310000</v>
      </c>
      <c r="BP2337" s="8">
        <f t="shared" si="2328"/>
        <v>1400</v>
      </c>
      <c r="BQ2337" s="12">
        <f t="shared" si="2329"/>
        <v>75000</v>
      </c>
    </row>
    <row r="2338" spans="1:69">
      <c r="A2338" s="28">
        <v>1971</v>
      </c>
      <c r="B2338" s="27" t="s">
        <v>103</v>
      </c>
      <c r="C2338" s="24">
        <f t="shared" si="2351"/>
        <v>2322</v>
      </c>
      <c r="D2338" s="7" t="e">
        <f t="shared" ca="1" si="2349"/>
        <v>#N/A</v>
      </c>
      <c r="E2338" s="26">
        <f t="array" aca="1" ref="E2338" ca="1">AVERAGE(IF(INDIRECT(DatCol&amp;"$"&amp;TEXT(C2338,"###")):INDIRECT(DatCol&amp;"$"&amp;TEXT(C2338+57,"###"))&gt;0,INDIRECT(DatCol&amp;"$"&amp;TEXT(C2338,"###")):INDIRECT(DatCol&amp;"$"&amp;TEXT(C2338+57,"###"))))</f>
        <v>1298.7511999999999</v>
      </c>
      <c r="F2338" s="26" t="str">
        <f t="shared" si="2330"/>
        <v>O</v>
      </c>
      <c r="G2338" s="8"/>
      <c r="H2338" s="8">
        <v>77</v>
      </c>
      <c r="I2338" s="8">
        <v>18</v>
      </c>
      <c r="J2338" s="8">
        <v>610</v>
      </c>
      <c r="K2338" s="9">
        <f t="shared" si="2309"/>
        <v>687</v>
      </c>
      <c r="M2338" s="11">
        <f t="shared" si="2352"/>
        <v>0</v>
      </c>
      <c r="N2338" s="12">
        <v>2600</v>
      </c>
      <c r="O2338" s="11">
        <f t="shared" si="2353"/>
        <v>130000</v>
      </c>
      <c r="Q2338" s="11">
        <f t="shared" si="2354"/>
        <v>0</v>
      </c>
      <c r="X2338" s="12">
        <v>4700</v>
      </c>
      <c r="Y2338" s="11">
        <f t="shared" si="2355"/>
        <v>282000</v>
      </c>
      <c r="AG2338" s="11">
        <f t="shared" si="2356"/>
        <v>0</v>
      </c>
      <c r="AI2338" s="11">
        <f t="shared" si="2357"/>
        <v>0</v>
      </c>
      <c r="AK2338" s="13">
        <f t="shared" si="2358"/>
        <v>0</v>
      </c>
      <c r="AM2338" s="13">
        <f t="shared" si="2359"/>
        <v>0</v>
      </c>
      <c r="AO2338" s="11">
        <f t="shared" si="2360"/>
        <v>0</v>
      </c>
      <c r="AQ2338" s="11">
        <f t="shared" si="2361"/>
        <v>0</v>
      </c>
      <c r="AS2338" s="11">
        <f t="shared" si="2362"/>
        <v>0</v>
      </c>
      <c r="AU2338" s="11">
        <f t="shared" si="2363"/>
        <v>0</v>
      </c>
      <c r="AW2338" s="11">
        <f t="shared" si="2364"/>
        <v>0</v>
      </c>
      <c r="AY2338" s="11">
        <f t="shared" si="2365"/>
        <v>0</v>
      </c>
      <c r="BA2338" s="11">
        <f t="shared" si="2366"/>
        <v>0</v>
      </c>
      <c r="BC2338" s="11">
        <f t="shared" si="2367"/>
        <v>0</v>
      </c>
      <c r="BE2338" s="11">
        <f t="shared" si="2368"/>
        <v>0</v>
      </c>
      <c r="BG2338" s="11">
        <f t="shared" si="2369"/>
        <v>0</v>
      </c>
      <c r="BN2338" s="8">
        <f t="shared" si="2307"/>
        <v>4700</v>
      </c>
      <c r="BO2338" s="8">
        <f t="shared" si="2308"/>
        <v>282000</v>
      </c>
      <c r="BP2338" s="8">
        <f t="shared" si="2328"/>
        <v>7300</v>
      </c>
      <c r="BQ2338" s="12">
        <f t="shared" si="2329"/>
        <v>412000</v>
      </c>
    </row>
    <row r="2339" spans="1:69">
      <c r="A2339" s="28">
        <v>1972</v>
      </c>
      <c r="B2339" s="27" t="s">
        <v>103</v>
      </c>
      <c r="C2339" s="24">
        <f t="shared" si="2351"/>
        <v>2322</v>
      </c>
      <c r="D2339" s="7" t="e">
        <f t="shared" ca="1" si="2349"/>
        <v>#N/A</v>
      </c>
      <c r="E2339" s="26">
        <f t="array" aca="1" ref="E2339" ca="1">AVERAGE(IF(INDIRECT(DatCol&amp;"$"&amp;TEXT(C2339,"###")):INDIRECT(DatCol&amp;"$"&amp;TEXT(C2339+57,"###"))&gt;0,INDIRECT(DatCol&amp;"$"&amp;TEXT(C2339,"###")):INDIRECT(DatCol&amp;"$"&amp;TEXT(C2339+57,"###"))))</f>
        <v>1298.7511999999999</v>
      </c>
      <c r="F2339" s="26" t="str">
        <f t="shared" si="2330"/>
        <v>O</v>
      </c>
      <c r="G2339" s="8"/>
      <c r="H2339" s="8">
        <v>81</v>
      </c>
      <c r="I2339" s="8">
        <v>39</v>
      </c>
      <c r="J2339" s="8">
        <v>652</v>
      </c>
      <c r="K2339" s="9">
        <f t="shared" si="2309"/>
        <v>733</v>
      </c>
      <c r="M2339" s="11">
        <f t="shared" si="2352"/>
        <v>0</v>
      </c>
      <c r="N2339" s="12">
        <v>3000</v>
      </c>
      <c r="O2339" s="11">
        <f t="shared" si="2353"/>
        <v>150000</v>
      </c>
      <c r="Q2339" s="11">
        <f t="shared" si="2354"/>
        <v>0</v>
      </c>
      <c r="X2339" s="12">
        <v>5000</v>
      </c>
      <c r="Y2339" s="11">
        <f t="shared" si="2355"/>
        <v>300000</v>
      </c>
      <c r="AG2339" s="11">
        <f t="shared" si="2356"/>
        <v>0</v>
      </c>
      <c r="AI2339" s="11">
        <f t="shared" si="2357"/>
        <v>0</v>
      </c>
      <c r="AK2339" s="13">
        <f t="shared" si="2358"/>
        <v>0</v>
      </c>
      <c r="AM2339" s="13">
        <f t="shared" si="2359"/>
        <v>0</v>
      </c>
      <c r="AO2339" s="11">
        <f t="shared" si="2360"/>
        <v>0</v>
      </c>
      <c r="AQ2339" s="11">
        <f t="shared" si="2361"/>
        <v>0</v>
      </c>
      <c r="AS2339" s="11">
        <f t="shared" si="2362"/>
        <v>0</v>
      </c>
      <c r="AU2339" s="11">
        <f t="shared" si="2363"/>
        <v>0</v>
      </c>
      <c r="AW2339" s="11">
        <f t="shared" si="2364"/>
        <v>0</v>
      </c>
      <c r="AY2339" s="11">
        <f t="shared" si="2365"/>
        <v>0</v>
      </c>
      <c r="BA2339" s="11">
        <f t="shared" si="2366"/>
        <v>0</v>
      </c>
      <c r="BC2339" s="11">
        <f t="shared" si="2367"/>
        <v>0</v>
      </c>
      <c r="BE2339" s="11">
        <f t="shared" si="2368"/>
        <v>0</v>
      </c>
      <c r="BG2339" s="11">
        <f t="shared" si="2369"/>
        <v>0</v>
      </c>
      <c r="BN2339" s="8">
        <f t="shared" si="2307"/>
        <v>5000</v>
      </c>
      <c r="BO2339" s="8">
        <f t="shared" si="2308"/>
        <v>300000</v>
      </c>
      <c r="BP2339" s="8">
        <f t="shared" si="2328"/>
        <v>8000</v>
      </c>
      <c r="BQ2339" s="12">
        <f t="shared" si="2329"/>
        <v>450000</v>
      </c>
    </row>
    <row r="2340" spans="1:69">
      <c r="A2340" s="28">
        <v>1973</v>
      </c>
      <c r="B2340" s="27" t="s">
        <v>103</v>
      </c>
      <c r="C2340" s="24">
        <f t="shared" si="2351"/>
        <v>2322</v>
      </c>
      <c r="D2340" s="7" t="e">
        <f t="shared" ca="1" si="2349"/>
        <v>#N/A</v>
      </c>
      <c r="E2340" s="26">
        <f t="array" aca="1" ref="E2340" ca="1">AVERAGE(IF(INDIRECT(DatCol&amp;"$"&amp;TEXT(C2340,"###")):INDIRECT(DatCol&amp;"$"&amp;TEXT(C2340+57,"###"))&gt;0,INDIRECT(DatCol&amp;"$"&amp;TEXT(C2340,"###")):INDIRECT(DatCol&amp;"$"&amp;TEXT(C2340+57,"###"))))</f>
        <v>1298.7511999999999</v>
      </c>
      <c r="F2340" s="26" t="str">
        <f t="shared" si="2330"/>
        <v>O</v>
      </c>
      <c r="G2340" s="8"/>
      <c r="H2340" s="8">
        <v>113</v>
      </c>
      <c r="I2340" s="8">
        <v>36</v>
      </c>
      <c r="J2340" s="8">
        <v>809</v>
      </c>
      <c r="K2340" s="9">
        <f t="shared" si="2309"/>
        <v>922</v>
      </c>
      <c r="M2340" s="11">
        <f t="shared" si="2352"/>
        <v>0</v>
      </c>
      <c r="N2340" s="12">
        <v>5840</v>
      </c>
      <c r="O2340" s="11">
        <f t="shared" si="2353"/>
        <v>292000</v>
      </c>
      <c r="Q2340" s="11">
        <f t="shared" si="2354"/>
        <v>0</v>
      </c>
      <c r="X2340" s="12">
        <v>5900</v>
      </c>
      <c r="Y2340" s="11">
        <f t="shared" si="2355"/>
        <v>354000</v>
      </c>
      <c r="AG2340" s="11">
        <f t="shared" si="2356"/>
        <v>0</v>
      </c>
      <c r="AI2340" s="11">
        <f t="shared" si="2357"/>
        <v>0</v>
      </c>
      <c r="AK2340" s="13">
        <f t="shared" si="2358"/>
        <v>0</v>
      </c>
      <c r="AM2340" s="13">
        <f t="shared" si="2359"/>
        <v>0</v>
      </c>
      <c r="AO2340" s="11">
        <f t="shared" si="2360"/>
        <v>0</v>
      </c>
      <c r="AQ2340" s="11">
        <f t="shared" si="2361"/>
        <v>0</v>
      </c>
      <c r="AS2340" s="11">
        <f t="shared" si="2362"/>
        <v>0</v>
      </c>
      <c r="AU2340" s="11">
        <f t="shared" si="2363"/>
        <v>0</v>
      </c>
      <c r="AW2340" s="11">
        <f t="shared" si="2364"/>
        <v>0</v>
      </c>
      <c r="AY2340" s="11">
        <f t="shared" si="2365"/>
        <v>0</v>
      </c>
      <c r="BA2340" s="11">
        <f t="shared" si="2366"/>
        <v>0</v>
      </c>
      <c r="BC2340" s="11">
        <f t="shared" si="2367"/>
        <v>0</v>
      </c>
      <c r="BE2340" s="11">
        <f t="shared" si="2368"/>
        <v>0</v>
      </c>
      <c r="BG2340" s="11">
        <f t="shared" si="2369"/>
        <v>0</v>
      </c>
      <c r="BN2340" s="8">
        <f t="shared" si="2307"/>
        <v>5900</v>
      </c>
      <c r="BO2340" s="8">
        <f t="shared" si="2308"/>
        <v>354000</v>
      </c>
      <c r="BP2340" s="8">
        <f t="shared" si="2328"/>
        <v>11740</v>
      </c>
      <c r="BQ2340" s="12">
        <f t="shared" si="2329"/>
        <v>646000</v>
      </c>
    </row>
    <row r="2341" spans="1:69">
      <c r="A2341" s="28">
        <v>1974</v>
      </c>
      <c r="B2341" s="27" t="s">
        <v>103</v>
      </c>
      <c r="C2341" s="24">
        <f t="shared" si="2351"/>
        <v>2322</v>
      </c>
      <c r="D2341" s="7" t="e">
        <f t="shared" ca="1" si="2349"/>
        <v>#N/A</v>
      </c>
      <c r="E2341" s="26">
        <f t="array" aca="1" ref="E2341" ca="1">AVERAGE(IF(INDIRECT(DatCol&amp;"$"&amp;TEXT(C2341,"###")):INDIRECT(DatCol&amp;"$"&amp;TEXT(C2341+57,"###"))&gt;0,INDIRECT(DatCol&amp;"$"&amp;TEXT(C2341,"###")):INDIRECT(DatCol&amp;"$"&amp;TEXT(C2341+57,"###"))))</f>
        <v>1298.7511999999999</v>
      </c>
      <c r="F2341" s="26" t="str">
        <f t="shared" si="2330"/>
        <v>O</v>
      </c>
      <c r="G2341" s="8"/>
      <c r="H2341" s="8">
        <v>114</v>
      </c>
      <c r="I2341" s="8">
        <v>54</v>
      </c>
      <c r="J2341" s="8">
        <v>1015</v>
      </c>
      <c r="K2341" s="9">
        <f t="shared" si="2309"/>
        <v>1129</v>
      </c>
      <c r="M2341" s="11">
        <f t="shared" si="2352"/>
        <v>0</v>
      </c>
      <c r="N2341" s="12">
        <v>4800</v>
      </c>
      <c r="O2341" s="11">
        <f t="shared" si="2353"/>
        <v>240000</v>
      </c>
      <c r="Q2341" s="11">
        <f t="shared" si="2354"/>
        <v>0</v>
      </c>
      <c r="X2341" s="12">
        <v>8300</v>
      </c>
      <c r="Y2341" s="11">
        <f t="shared" si="2355"/>
        <v>498000</v>
      </c>
      <c r="AG2341" s="11">
        <f t="shared" si="2356"/>
        <v>0</v>
      </c>
      <c r="AI2341" s="11">
        <f t="shared" si="2357"/>
        <v>0</v>
      </c>
      <c r="AK2341" s="13">
        <f t="shared" si="2358"/>
        <v>0</v>
      </c>
      <c r="AM2341" s="13">
        <f t="shared" si="2359"/>
        <v>0</v>
      </c>
      <c r="AO2341" s="11">
        <f t="shared" si="2360"/>
        <v>0</v>
      </c>
      <c r="AQ2341" s="11">
        <f t="shared" si="2361"/>
        <v>0</v>
      </c>
      <c r="AS2341" s="11">
        <f t="shared" si="2362"/>
        <v>0</v>
      </c>
      <c r="AU2341" s="11">
        <f t="shared" si="2363"/>
        <v>0</v>
      </c>
      <c r="AW2341" s="11">
        <f t="shared" si="2364"/>
        <v>0</v>
      </c>
      <c r="AY2341" s="11">
        <f t="shared" si="2365"/>
        <v>0</v>
      </c>
      <c r="BA2341" s="11">
        <f t="shared" si="2366"/>
        <v>0</v>
      </c>
      <c r="BC2341" s="11">
        <f t="shared" si="2367"/>
        <v>0</v>
      </c>
      <c r="BE2341" s="11">
        <f t="shared" si="2368"/>
        <v>0</v>
      </c>
      <c r="BG2341" s="11">
        <f t="shared" si="2369"/>
        <v>0</v>
      </c>
      <c r="BN2341" s="8">
        <f t="shared" si="2307"/>
        <v>8300</v>
      </c>
      <c r="BO2341" s="8">
        <f t="shared" si="2308"/>
        <v>498000</v>
      </c>
      <c r="BP2341" s="8">
        <f t="shared" si="2328"/>
        <v>13100</v>
      </c>
      <c r="BQ2341" s="12">
        <f t="shared" si="2329"/>
        <v>738000</v>
      </c>
    </row>
    <row r="2342" spans="1:69">
      <c r="A2342" s="28">
        <v>1975</v>
      </c>
      <c r="B2342" s="27" t="s">
        <v>103</v>
      </c>
      <c r="C2342" s="24">
        <f t="shared" si="2351"/>
        <v>2322</v>
      </c>
      <c r="D2342" s="7" t="e">
        <f t="shared" ca="1" si="2349"/>
        <v>#N/A</v>
      </c>
      <c r="E2342" s="26">
        <f t="array" aca="1" ref="E2342" ca="1">AVERAGE(IF(INDIRECT(DatCol&amp;"$"&amp;TEXT(C2342,"###")):INDIRECT(DatCol&amp;"$"&amp;TEXT(C2342+57,"###"))&gt;0,INDIRECT(DatCol&amp;"$"&amp;TEXT(C2342,"###")):INDIRECT(DatCol&amp;"$"&amp;TEXT(C2342+57,"###"))))</f>
        <v>1298.7511999999999</v>
      </c>
      <c r="F2342" s="26" t="str">
        <f t="shared" si="2330"/>
        <v>O</v>
      </c>
      <c r="G2342" s="8"/>
      <c r="H2342" s="8">
        <v>79</v>
      </c>
      <c r="I2342" s="8">
        <v>60</v>
      </c>
      <c r="J2342" s="8">
        <v>669</v>
      </c>
      <c r="K2342" s="9">
        <f t="shared" si="2309"/>
        <v>748</v>
      </c>
      <c r="M2342" s="11">
        <f t="shared" si="2352"/>
        <v>0</v>
      </c>
      <c r="O2342" s="11">
        <f t="shared" si="2353"/>
        <v>0</v>
      </c>
      <c r="Q2342" s="11">
        <f t="shared" si="2354"/>
        <v>0</v>
      </c>
      <c r="Y2342" s="11">
        <f t="shared" si="2355"/>
        <v>0</v>
      </c>
      <c r="AG2342" s="11">
        <f t="shared" si="2356"/>
        <v>0</v>
      </c>
      <c r="AI2342" s="11">
        <f t="shared" si="2357"/>
        <v>0</v>
      </c>
      <c r="AK2342" s="13">
        <f t="shared" si="2358"/>
        <v>0</v>
      </c>
      <c r="AM2342" s="13">
        <f t="shared" si="2359"/>
        <v>0</v>
      </c>
      <c r="AO2342" s="11">
        <f t="shared" si="2360"/>
        <v>0</v>
      </c>
      <c r="AQ2342" s="11">
        <f t="shared" si="2361"/>
        <v>0</v>
      </c>
      <c r="AS2342" s="11">
        <f t="shared" si="2362"/>
        <v>0</v>
      </c>
      <c r="AU2342" s="11">
        <f t="shared" si="2363"/>
        <v>0</v>
      </c>
      <c r="AW2342" s="11">
        <f t="shared" si="2364"/>
        <v>0</v>
      </c>
      <c r="AY2342" s="11">
        <f t="shared" si="2365"/>
        <v>0</v>
      </c>
      <c r="BA2342" s="11">
        <f t="shared" si="2366"/>
        <v>0</v>
      </c>
      <c r="BC2342" s="11">
        <f t="shared" si="2367"/>
        <v>0</v>
      </c>
      <c r="BE2342" s="11">
        <f t="shared" si="2368"/>
        <v>0</v>
      </c>
      <c r="BG2342" s="11">
        <f t="shared" si="2369"/>
        <v>0</v>
      </c>
      <c r="BN2342" s="8">
        <f t="shared" si="2307"/>
        <v>0</v>
      </c>
      <c r="BO2342" s="8">
        <f t="shared" si="2308"/>
        <v>0</v>
      </c>
      <c r="BP2342" s="8">
        <f t="shared" si="2328"/>
        <v>0</v>
      </c>
      <c r="BQ2342" s="12">
        <f t="shared" si="2329"/>
        <v>0</v>
      </c>
    </row>
    <row r="2343" spans="1:69">
      <c r="A2343" s="28">
        <v>1976</v>
      </c>
      <c r="B2343" s="27" t="s">
        <v>103</v>
      </c>
      <c r="C2343" s="24">
        <f t="shared" si="2351"/>
        <v>2322</v>
      </c>
      <c r="D2343" s="7" t="e">
        <f t="shared" ca="1" si="2349"/>
        <v>#N/A</v>
      </c>
      <c r="E2343" s="26">
        <f t="array" aca="1" ref="E2343" ca="1">AVERAGE(IF(INDIRECT(DatCol&amp;"$"&amp;TEXT(C2343,"###")):INDIRECT(DatCol&amp;"$"&amp;TEXT(C2343+57,"###"))&gt;0,INDIRECT(DatCol&amp;"$"&amp;TEXT(C2343,"###")):INDIRECT(DatCol&amp;"$"&amp;TEXT(C2343+57,"###"))))</f>
        <v>1298.7511999999999</v>
      </c>
      <c r="F2343" s="26" t="str">
        <f t="shared" si="2330"/>
        <v>O</v>
      </c>
      <c r="G2343" s="8"/>
      <c r="H2343" s="8">
        <v>43</v>
      </c>
      <c r="I2343" s="8">
        <v>47</v>
      </c>
      <c r="J2343" s="8">
        <v>501</v>
      </c>
      <c r="K2343" s="9">
        <f t="shared" si="2309"/>
        <v>544</v>
      </c>
      <c r="L2343" s="12">
        <v>0</v>
      </c>
      <c r="M2343" s="11">
        <f t="shared" si="2352"/>
        <v>0</v>
      </c>
      <c r="N2343" s="12" t="s">
        <v>51</v>
      </c>
      <c r="O2343" s="11">
        <f t="shared" si="2353"/>
        <v>0</v>
      </c>
      <c r="Q2343" s="11">
        <f t="shared" si="2354"/>
        <v>0</v>
      </c>
      <c r="X2343" s="12">
        <v>8000</v>
      </c>
      <c r="Y2343" s="11">
        <f t="shared" si="2355"/>
        <v>480000</v>
      </c>
      <c r="AG2343" s="11">
        <f t="shared" si="2356"/>
        <v>0</v>
      </c>
      <c r="AI2343" s="11">
        <f t="shared" si="2357"/>
        <v>0</v>
      </c>
      <c r="AK2343" s="13">
        <f t="shared" si="2358"/>
        <v>0</v>
      </c>
      <c r="AM2343" s="13">
        <f t="shared" si="2359"/>
        <v>0</v>
      </c>
      <c r="AO2343" s="11">
        <f t="shared" si="2360"/>
        <v>0</v>
      </c>
      <c r="AQ2343" s="11">
        <f t="shared" si="2361"/>
        <v>0</v>
      </c>
      <c r="AS2343" s="11">
        <f t="shared" si="2362"/>
        <v>0</v>
      </c>
      <c r="AU2343" s="11">
        <f t="shared" si="2363"/>
        <v>0</v>
      </c>
      <c r="AW2343" s="11">
        <f t="shared" si="2364"/>
        <v>0</v>
      </c>
      <c r="AY2343" s="11">
        <f t="shared" si="2365"/>
        <v>0</v>
      </c>
      <c r="BA2343" s="11">
        <f t="shared" si="2366"/>
        <v>0</v>
      </c>
      <c r="BC2343" s="11">
        <f t="shared" si="2367"/>
        <v>0</v>
      </c>
      <c r="BE2343" s="11">
        <f t="shared" si="2368"/>
        <v>0</v>
      </c>
      <c r="BG2343" s="11">
        <f t="shared" si="2369"/>
        <v>0</v>
      </c>
      <c r="BN2343" s="8">
        <f t="shared" si="2307"/>
        <v>8000</v>
      </c>
      <c r="BO2343" s="8">
        <f t="shared" si="2308"/>
        <v>480000</v>
      </c>
      <c r="BP2343" s="8">
        <f t="shared" si="2328"/>
        <v>8000</v>
      </c>
      <c r="BQ2343" s="12">
        <f t="shared" si="2329"/>
        <v>480000</v>
      </c>
    </row>
    <row r="2344" spans="1:69">
      <c r="A2344" s="28">
        <v>1977</v>
      </c>
      <c r="B2344" s="27" t="s">
        <v>103</v>
      </c>
      <c r="C2344" s="24">
        <f t="shared" si="2351"/>
        <v>2322</v>
      </c>
      <c r="D2344" s="7" t="e">
        <f t="shared" ca="1" si="2349"/>
        <v>#N/A</v>
      </c>
      <c r="E2344" s="26">
        <f t="array" aca="1" ref="E2344" ca="1">AVERAGE(IF(INDIRECT(DatCol&amp;"$"&amp;TEXT(C2344,"###")):INDIRECT(DatCol&amp;"$"&amp;TEXT(C2344+57,"###"))&gt;0,INDIRECT(DatCol&amp;"$"&amp;TEXT(C2344,"###")):INDIRECT(DatCol&amp;"$"&amp;TEXT(C2344+57,"###"))))</f>
        <v>1298.7511999999999</v>
      </c>
      <c r="F2344" s="26" t="str">
        <f t="shared" si="2330"/>
        <v>O</v>
      </c>
      <c r="G2344" s="8"/>
      <c r="H2344" s="8">
        <v>35</v>
      </c>
      <c r="I2344" s="8">
        <v>46</v>
      </c>
      <c r="J2344" s="8">
        <v>515</v>
      </c>
      <c r="K2344" s="9">
        <f t="shared" si="2309"/>
        <v>550</v>
      </c>
      <c r="M2344" s="11">
        <f t="shared" si="2352"/>
        <v>0</v>
      </c>
      <c r="O2344" s="11">
        <f t="shared" si="2353"/>
        <v>0</v>
      </c>
      <c r="Q2344" s="11">
        <f t="shared" si="2354"/>
        <v>0</v>
      </c>
      <c r="Y2344" s="11">
        <f t="shared" si="2355"/>
        <v>0</v>
      </c>
      <c r="AG2344" s="11">
        <f t="shared" si="2356"/>
        <v>0</v>
      </c>
      <c r="AI2344" s="11">
        <f t="shared" si="2357"/>
        <v>0</v>
      </c>
      <c r="AK2344" s="13">
        <f t="shared" si="2358"/>
        <v>0</v>
      </c>
      <c r="AM2344" s="13">
        <f t="shared" si="2359"/>
        <v>0</v>
      </c>
      <c r="AO2344" s="11">
        <f t="shared" si="2360"/>
        <v>0</v>
      </c>
      <c r="AQ2344" s="11">
        <f t="shared" si="2361"/>
        <v>0</v>
      </c>
      <c r="AS2344" s="11">
        <f t="shared" si="2362"/>
        <v>0</v>
      </c>
      <c r="AU2344" s="11">
        <f t="shared" si="2363"/>
        <v>0</v>
      </c>
      <c r="AW2344" s="11">
        <f t="shared" si="2364"/>
        <v>0</v>
      </c>
      <c r="AY2344" s="11">
        <f t="shared" si="2365"/>
        <v>0</v>
      </c>
      <c r="BA2344" s="11">
        <f t="shared" si="2366"/>
        <v>0</v>
      </c>
      <c r="BC2344" s="11">
        <f t="shared" si="2367"/>
        <v>0</v>
      </c>
      <c r="BE2344" s="11">
        <f t="shared" si="2368"/>
        <v>0</v>
      </c>
      <c r="BG2344" s="11">
        <f t="shared" si="2369"/>
        <v>0</v>
      </c>
      <c r="BN2344" s="8">
        <f t="shared" si="2307"/>
        <v>0</v>
      </c>
      <c r="BO2344" s="8">
        <f t="shared" si="2308"/>
        <v>0</v>
      </c>
      <c r="BP2344" s="8">
        <f t="shared" si="2328"/>
        <v>0</v>
      </c>
      <c r="BQ2344" s="12">
        <f t="shared" si="2329"/>
        <v>0</v>
      </c>
    </row>
    <row r="2345" spans="1:69">
      <c r="A2345" s="28">
        <v>1978</v>
      </c>
      <c r="B2345" s="27" t="s">
        <v>103</v>
      </c>
      <c r="C2345" s="24">
        <f t="shared" si="2351"/>
        <v>2322</v>
      </c>
      <c r="D2345" s="7" t="e">
        <f t="shared" ca="1" si="2349"/>
        <v>#N/A</v>
      </c>
      <c r="E2345" s="26">
        <f t="array" aca="1" ref="E2345" ca="1">AVERAGE(IF(INDIRECT(DatCol&amp;"$"&amp;TEXT(C2345,"###")):INDIRECT(DatCol&amp;"$"&amp;TEXT(C2345+57,"###"))&gt;0,INDIRECT(DatCol&amp;"$"&amp;TEXT(C2345,"###")):INDIRECT(DatCol&amp;"$"&amp;TEXT(C2345+57,"###"))))</f>
        <v>1298.7511999999999</v>
      </c>
      <c r="F2345" s="26" t="str">
        <f t="shared" si="2330"/>
        <v>O</v>
      </c>
      <c r="G2345" s="8"/>
      <c r="H2345" s="8">
        <v>11</v>
      </c>
      <c r="I2345" s="8">
        <v>29</v>
      </c>
      <c r="J2345" s="8">
        <v>157</v>
      </c>
      <c r="K2345" s="9">
        <f t="shared" si="2309"/>
        <v>168</v>
      </c>
      <c r="L2345" s="12">
        <v>500</v>
      </c>
      <c r="M2345" s="11">
        <f t="shared" si="2352"/>
        <v>25000</v>
      </c>
      <c r="N2345" s="12">
        <v>1500</v>
      </c>
      <c r="O2345" s="11">
        <f t="shared" si="2353"/>
        <v>75000</v>
      </c>
      <c r="P2345" s="12">
        <v>8000</v>
      </c>
      <c r="Q2345" s="11">
        <f t="shared" si="2354"/>
        <v>480000</v>
      </c>
      <c r="X2345" s="12">
        <v>1000</v>
      </c>
      <c r="Y2345" s="11">
        <f t="shared" si="2355"/>
        <v>60000</v>
      </c>
      <c r="AG2345" s="11">
        <f t="shared" si="2356"/>
        <v>0</v>
      </c>
      <c r="AI2345" s="11">
        <f t="shared" si="2357"/>
        <v>0</v>
      </c>
      <c r="AK2345" s="13">
        <f t="shared" si="2358"/>
        <v>0</v>
      </c>
      <c r="AM2345" s="13">
        <f t="shared" si="2359"/>
        <v>0</v>
      </c>
      <c r="AO2345" s="11">
        <f t="shared" si="2360"/>
        <v>0</v>
      </c>
      <c r="AQ2345" s="11">
        <f t="shared" si="2361"/>
        <v>0</v>
      </c>
      <c r="AS2345" s="11">
        <f t="shared" si="2362"/>
        <v>0</v>
      </c>
      <c r="AU2345" s="11">
        <f t="shared" si="2363"/>
        <v>0</v>
      </c>
      <c r="AW2345" s="11">
        <f t="shared" si="2364"/>
        <v>0</v>
      </c>
      <c r="AY2345" s="11">
        <f t="shared" si="2365"/>
        <v>0</v>
      </c>
      <c r="BA2345" s="11">
        <f t="shared" si="2366"/>
        <v>0</v>
      </c>
      <c r="BC2345" s="11">
        <f t="shared" si="2367"/>
        <v>0</v>
      </c>
      <c r="BE2345" s="11">
        <f t="shared" si="2368"/>
        <v>0</v>
      </c>
      <c r="BG2345" s="11">
        <f t="shared" si="2369"/>
        <v>0</v>
      </c>
      <c r="BN2345" s="8">
        <f t="shared" ref="BN2345:BN2409" si="2370">(L2345+P2345+R2345+T2345+V2345+X2345+Z2345+AB2345+AD2345+AF2345+AJ2345+AN2345+AR2345+AV2345+AZ2345+BD2345)</f>
        <v>9500</v>
      </c>
      <c r="BO2345" s="8">
        <f t="shared" si="2308"/>
        <v>565000</v>
      </c>
      <c r="BP2345" s="8">
        <f t="shared" si="2328"/>
        <v>2500</v>
      </c>
      <c r="BQ2345" s="12">
        <f t="shared" si="2329"/>
        <v>135000</v>
      </c>
    </row>
    <row r="2346" spans="1:69">
      <c r="A2346" s="28">
        <v>1979</v>
      </c>
      <c r="B2346" s="27" t="s">
        <v>103</v>
      </c>
      <c r="C2346" s="24">
        <f t="shared" si="2351"/>
        <v>2322</v>
      </c>
      <c r="D2346" s="7" t="e">
        <f t="shared" ca="1" si="2349"/>
        <v>#N/A</v>
      </c>
      <c r="E2346" s="26">
        <f t="array" aca="1" ref="E2346" ca="1">AVERAGE(IF(INDIRECT(DatCol&amp;"$"&amp;TEXT(C2346,"###")):INDIRECT(DatCol&amp;"$"&amp;TEXT(C2346+57,"###"))&gt;0,INDIRECT(DatCol&amp;"$"&amp;TEXT(C2346,"###")):INDIRECT(DatCol&amp;"$"&amp;TEXT(C2346+57,"###"))))</f>
        <v>1298.7511999999999</v>
      </c>
      <c r="F2346" s="26" t="str">
        <f t="shared" si="2330"/>
        <v>O</v>
      </c>
      <c r="G2346" s="8"/>
      <c r="H2346" s="8">
        <v>64</v>
      </c>
      <c r="I2346" s="8">
        <v>50</v>
      </c>
      <c r="J2346" s="8">
        <v>744</v>
      </c>
      <c r="K2346" s="9">
        <f t="shared" si="2309"/>
        <v>808</v>
      </c>
      <c r="L2346" s="12">
        <v>400</v>
      </c>
      <c r="M2346" s="11">
        <f t="shared" si="2352"/>
        <v>20000</v>
      </c>
      <c r="N2346" s="12">
        <v>600</v>
      </c>
      <c r="O2346" s="11">
        <f t="shared" si="2353"/>
        <v>30000</v>
      </c>
      <c r="P2346" s="12">
        <v>31000</v>
      </c>
      <c r="Q2346" s="11">
        <f t="shared" si="2354"/>
        <v>1860000</v>
      </c>
      <c r="X2346" s="12">
        <v>1200</v>
      </c>
      <c r="Y2346" s="11">
        <f t="shared" si="2355"/>
        <v>72000</v>
      </c>
      <c r="AG2346" s="11">
        <f t="shared" si="2356"/>
        <v>0</v>
      </c>
      <c r="AI2346" s="11">
        <f t="shared" si="2357"/>
        <v>0</v>
      </c>
      <c r="AK2346" s="13">
        <f t="shared" si="2358"/>
        <v>0</v>
      </c>
      <c r="AM2346" s="13">
        <f t="shared" si="2359"/>
        <v>0</v>
      </c>
      <c r="AO2346" s="11">
        <f t="shared" si="2360"/>
        <v>0</v>
      </c>
      <c r="AQ2346" s="11">
        <f t="shared" si="2361"/>
        <v>0</v>
      </c>
      <c r="AS2346" s="11">
        <f t="shared" si="2362"/>
        <v>0</v>
      </c>
      <c r="AU2346" s="11">
        <f t="shared" si="2363"/>
        <v>0</v>
      </c>
      <c r="AW2346" s="11">
        <f t="shared" si="2364"/>
        <v>0</v>
      </c>
      <c r="AY2346" s="11">
        <f t="shared" si="2365"/>
        <v>0</v>
      </c>
      <c r="BA2346" s="11">
        <f t="shared" si="2366"/>
        <v>0</v>
      </c>
      <c r="BC2346" s="11">
        <f t="shared" si="2367"/>
        <v>0</v>
      </c>
      <c r="BE2346" s="11">
        <f t="shared" si="2368"/>
        <v>0</v>
      </c>
      <c r="BG2346" s="11">
        <f t="shared" si="2369"/>
        <v>0</v>
      </c>
      <c r="BN2346" s="8">
        <f t="shared" si="2370"/>
        <v>32600</v>
      </c>
      <c r="BO2346" s="8">
        <f t="shared" ref="BO2346:BO2410" si="2371">(M2346+Q2346+S2346+U2346+W2346+Y2346+AA2346+AC2346+AG2346+AK2346+AO2346+AS2346+AW2346+BA2346+BE2346)</f>
        <v>1952000</v>
      </c>
      <c r="BP2346" s="8">
        <f t="shared" si="2328"/>
        <v>1800</v>
      </c>
      <c r="BQ2346" s="12">
        <f t="shared" si="2329"/>
        <v>102000</v>
      </c>
    </row>
    <row r="2347" spans="1:69">
      <c r="A2347" s="28">
        <v>1980</v>
      </c>
      <c r="B2347" s="27" t="s">
        <v>103</v>
      </c>
      <c r="C2347" s="24">
        <f t="shared" si="2351"/>
        <v>2322</v>
      </c>
      <c r="D2347" s="7" t="e">
        <f t="shared" ca="1" si="2349"/>
        <v>#N/A</v>
      </c>
      <c r="E2347" s="26">
        <f t="array" aca="1" ref="E2347" ca="1">AVERAGE(IF(INDIRECT(DatCol&amp;"$"&amp;TEXT(C2347,"###")):INDIRECT(DatCol&amp;"$"&amp;TEXT(C2347+57,"###"))&gt;0,INDIRECT(DatCol&amp;"$"&amp;TEXT(C2347,"###")):INDIRECT(DatCol&amp;"$"&amp;TEXT(C2347+57,"###"))))</f>
        <v>1298.7511999999999</v>
      </c>
      <c r="F2347" s="26" t="str">
        <f t="shared" si="2330"/>
        <v>O</v>
      </c>
      <c r="G2347" s="8"/>
      <c r="H2347" s="8">
        <v>37</v>
      </c>
      <c r="I2347" s="8">
        <v>59</v>
      </c>
      <c r="J2347" s="8">
        <v>528</v>
      </c>
      <c r="K2347" s="9">
        <f t="shared" ref="K2347:K2411" si="2372">G2347+H2347+J2347</f>
        <v>565</v>
      </c>
      <c r="M2347" s="11">
        <f t="shared" ref="M2347:M2362" si="2373">(L2347*50)</f>
        <v>0</v>
      </c>
      <c r="N2347" s="12">
        <v>200</v>
      </c>
      <c r="O2347" s="11">
        <f t="shared" ref="O2347:O2362" si="2374">(N2347*50)</f>
        <v>10000</v>
      </c>
      <c r="P2347" s="12">
        <v>16200</v>
      </c>
      <c r="Q2347" s="11">
        <f t="shared" ref="Q2347:Q2362" si="2375">((P2347*330)/5.5)</f>
        <v>972000</v>
      </c>
      <c r="X2347" s="12">
        <v>920</v>
      </c>
      <c r="Y2347" s="11">
        <f t="shared" ref="Y2347:Y2362" si="2376">((X2347*330)/5.5)</f>
        <v>55200</v>
      </c>
      <c r="AF2347" s="12">
        <v>400</v>
      </c>
      <c r="AG2347" s="11">
        <f t="shared" ref="AG2347:AG2362" si="2377">(AF2347*65)</f>
        <v>26000</v>
      </c>
      <c r="AH2347" s="12">
        <v>40</v>
      </c>
      <c r="AI2347" s="11">
        <f t="shared" ref="AI2347:AI2362" si="2378">(AH2347*65)</f>
        <v>2600</v>
      </c>
      <c r="AK2347" s="13">
        <f t="shared" ref="AK2347:AK2362" si="2379">(AJ2347*9)</f>
        <v>0</v>
      </c>
      <c r="AM2347" s="13">
        <f t="shared" ref="AM2347:AM2362" si="2380">(AL2347*9)</f>
        <v>0</v>
      </c>
      <c r="AO2347" s="11">
        <f t="shared" ref="AO2347:AO2362" si="2381">(AN2347*80)</f>
        <v>0</v>
      </c>
      <c r="AQ2347" s="11">
        <f t="shared" ref="AQ2347:AQ2362" si="2382">(AP2347*80)</f>
        <v>0</v>
      </c>
      <c r="AS2347" s="11">
        <f t="shared" ref="AS2347:AS2362" si="2383">(AR2347*50)</f>
        <v>0</v>
      </c>
      <c r="AU2347" s="11">
        <f t="shared" ref="AU2347:AU2362" si="2384">(AT2347*50)</f>
        <v>0</v>
      </c>
      <c r="AV2347" s="12">
        <v>150</v>
      </c>
      <c r="AW2347" s="11">
        <f t="shared" ref="AW2347:AW2362" si="2385">(AV2347*60)</f>
        <v>9000</v>
      </c>
      <c r="AY2347" s="11">
        <f t="shared" ref="AY2347:AY2362" si="2386">(AX2347*60)</f>
        <v>0</v>
      </c>
      <c r="BA2347" s="11">
        <f t="shared" ref="BA2347:BA2362" si="2387">(AZ2347*40)</f>
        <v>0</v>
      </c>
      <c r="BC2347" s="11">
        <f t="shared" ref="BC2347:BC2362" si="2388">(BB2347*40)</f>
        <v>0</v>
      </c>
      <c r="BE2347" s="11">
        <f t="shared" ref="BE2347:BE2362" si="2389">(BD2347*95)</f>
        <v>0</v>
      </c>
      <c r="BG2347" s="11">
        <f t="shared" ref="BG2347:BG2362" si="2390">(BF2347*95)</f>
        <v>0</v>
      </c>
      <c r="BN2347" s="8">
        <f t="shared" si="2370"/>
        <v>17670</v>
      </c>
      <c r="BO2347" s="8">
        <f t="shared" si="2371"/>
        <v>1062200</v>
      </c>
      <c r="BP2347" s="8">
        <f t="shared" si="2328"/>
        <v>1160</v>
      </c>
      <c r="BQ2347" s="12">
        <f t="shared" si="2329"/>
        <v>67800</v>
      </c>
    </row>
    <row r="2348" spans="1:69">
      <c r="A2348" s="28">
        <v>1981</v>
      </c>
      <c r="B2348" s="27" t="s">
        <v>103</v>
      </c>
      <c r="C2348" s="24">
        <f t="shared" si="2351"/>
        <v>2322</v>
      </c>
      <c r="D2348" s="7" t="e">
        <f t="shared" ca="1" si="2349"/>
        <v>#N/A</v>
      </c>
      <c r="E2348" s="26">
        <f t="array" aca="1" ref="E2348" ca="1">AVERAGE(IF(INDIRECT(DatCol&amp;"$"&amp;TEXT(C2348,"###")):INDIRECT(DatCol&amp;"$"&amp;TEXT(C2348+57,"###"))&gt;0,INDIRECT(DatCol&amp;"$"&amp;TEXT(C2348,"###")):INDIRECT(DatCol&amp;"$"&amp;TEXT(C2348+57,"###"))))</f>
        <v>1298.7511999999999</v>
      </c>
      <c r="F2348" s="26" t="str">
        <f t="shared" si="2330"/>
        <v>O</v>
      </c>
      <c r="G2348" s="8"/>
      <c r="H2348" s="8">
        <v>59</v>
      </c>
      <c r="I2348" s="8">
        <v>68</v>
      </c>
      <c r="J2348" s="8">
        <v>577</v>
      </c>
      <c r="K2348" s="9">
        <f t="shared" si="2372"/>
        <v>636</v>
      </c>
      <c r="M2348" s="11">
        <f t="shared" si="2373"/>
        <v>0</v>
      </c>
      <c r="N2348" s="12">
        <v>350</v>
      </c>
      <c r="O2348" s="11">
        <f t="shared" si="2374"/>
        <v>17500</v>
      </c>
      <c r="P2348" s="12">
        <v>7600</v>
      </c>
      <c r="Q2348" s="11">
        <f t="shared" si="2375"/>
        <v>456000</v>
      </c>
      <c r="X2348" s="12">
        <v>650</v>
      </c>
      <c r="Y2348" s="11">
        <f t="shared" si="2376"/>
        <v>39000</v>
      </c>
      <c r="AF2348" s="12">
        <v>1500</v>
      </c>
      <c r="AG2348" s="11">
        <f t="shared" si="2377"/>
        <v>97500</v>
      </c>
      <c r="AH2348" s="12">
        <v>75</v>
      </c>
      <c r="AI2348" s="11">
        <f t="shared" si="2378"/>
        <v>4875</v>
      </c>
      <c r="AK2348" s="13">
        <f t="shared" si="2379"/>
        <v>0</v>
      </c>
      <c r="AM2348" s="13">
        <f t="shared" si="2380"/>
        <v>0</v>
      </c>
      <c r="AO2348" s="11">
        <f t="shared" si="2381"/>
        <v>0</v>
      </c>
      <c r="AQ2348" s="11">
        <f t="shared" si="2382"/>
        <v>0</v>
      </c>
      <c r="AS2348" s="11">
        <f t="shared" si="2383"/>
        <v>0</v>
      </c>
      <c r="AU2348" s="11">
        <f t="shared" si="2384"/>
        <v>0</v>
      </c>
      <c r="AV2348" s="12">
        <v>75</v>
      </c>
      <c r="AW2348" s="11">
        <f t="shared" si="2385"/>
        <v>4500</v>
      </c>
      <c r="AY2348" s="11">
        <f t="shared" si="2386"/>
        <v>0</v>
      </c>
      <c r="BA2348" s="11">
        <f t="shared" si="2387"/>
        <v>0</v>
      </c>
      <c r="BC2348" s="11">
        <f t="shared" si="2388"/>
        <v>0</v>
      </c>
      <c r="BE2348" s="11">
        <f t="shared" si="2389"/>
        <v>0</v>
      </c>
      <c r="BG2348" s="11">
        <f t="shared" si="2390"/>
        <v>0</v>
      </c>
      <c r="BN2348" s="8">
        <f t="shared" si="2370"/>
        <v>9825</v>
      </c>
      <c r="BO2348" s="8">
        <f t="shared" si="2371"/>
        <v>597000</v>
      </c>
      <c r="BP2348" s="8">
        <f t="shared" si="2328"/>
        <v>1075</v>
      </c>
      <c r="BQ2348" s="12">
        <f t="shared" si="2329"/>
        <v>61375</v>
      </c>
    </row>
    <row r="2349" spans="1:69">
      <c r="A2349" s="28">
        <v>1982</v>
      </c>
      <c r="B2349" s="27" t="s">
        <v>103</v>
      </c>
      <c r="C2349" s="24">
        <f t="shared" si="2351"/>
        <v>2322</v>
      </c>
      <c r="D2349" s="7" t="e">
        <f t="shared" ca="1" si="2349"/>
        <v>#N/A</v>
      </c>
      <c r="E2349" s="26">
        <f t="array" aca="1" ref="E2349" ca="1">AVERAGE(IF(INDIRECT(DatCol&amp;"$"&amp;TEXT(C2349,"###")):INDIRECT(DatCol&amp;"$"&amp;TEXT(C2349+57,"###"))&gt;0,INDIRECT(DatCol&amp;"$"&amp;TEXT(C2349,"###")):INDIRECT(DatCol&amp;"$"&amp;TEXT(C2349+57,"###"))))</f>
        <v>1298.7511999999999</v>
      </c>
      <c r="F2349" s="26" t="str">
        <f t="shared" si="2330"/>
        <v>O</v>
      </c>
      <c r="G2349" s="8"/>
      <c r="H2349" s="8">
        <v>47</v>
      </c>
      <c r="I2349" s="8">
        <v>80</v>
      </c>
      <c r="J2349" s="8">
        <v>433</v>
      </c>
      <c r="K2349" s="9">
        <f t="shared" si="2372"/>
        <v>480</v>
      </c>
      <c r="L2349" s="12">
        <v>0</v>
      </c>
      <c r="M2349" s="11">
        <f t="shared" si="2373"/>
        <v>0</v>
      </c>
      <c r="N2349" s="12">
        <v>250</v>
      </c>
      <c r="O2349" s="11">
        <f t="shared" si="2374"/>
        <v>12500</v>
      </c>
      <c r="P2349" s="12">
        <v>16500</v>
      </c>
      <c r="Q2349" s="11">
        <f t="shared" si="2375"/>
        <v>990000</v>
      </c>
      <c r="X2349" s="12">
        <v>500</v>
      </c>
      <c r="Y2349" s="11">
        <f t="shared" si="2376"/>
        <v>30000</v>
      </c>
      <c r="AG2349" s="11">
        <f t="shared" si="2377"/>
        <v>0</v>
      </c>
      <c r="AH2349" s="12">
        <v>150</v>
      </c>
      <c r="AI2349" s="11">
        <f t="shared" si="2378"/>
        <v>9750</v>
      </c>
      <c r="AK2349" s="13">
        <f t="shared" si="2379"/>
        <v>0</v>
      </c>
      <c r="AM2349" s="13">
        <f t="shared" si="2380"/>
        <v>0</v>
      </c>
      <c r="AO2349" s="11">
        <f t="shared" si="2381"/>
        <v>0</v>
      </c>
      <c r="AQ2349" s="11">
        <f t="shared" si="2382"/>
        <v>0</v>
      </c>
      <c r="AS2349" s="11">
        <f t="shared" si="2383"/>
        <v>0</v>
      </c>
      <c r="AU2349" s="11">
        <f t="shared" si="2384"/>
        <v>0</v>
      </c>
      <c r="AW2349" s="11">
        <f t="shared" si="2385"/>
        <v>0</v>
      </c>
      <c r="AY2349" s="11">
        <f t="shared" si="2386"/>
        <v>0</v>
      </c>
      <c r="BA2349" s="11">
        <f t="shared" si="2387"/>
        <v>0</v>
      </c>
      <c r="BC2349" s="11">
        <f t="shared" si="2388"/>
        <v>0</v>
      </c>
      <c r="BE2349" s="11">
        <f t="shared" si="2389"/>
        <v>0</v>
      </c>
      <c r="BG2349" s="11">
        <f t="shared" si="2390"/>
        <v>0</v>
      </c>
      <c r="BH2349" s="13" t="s">
        <v>104</v>
      </c>
      <c r="BN2349" s="8">
        <f t="shared" si="2370"/>
        <v>17000</v>
      </c>
      <c r="BO2349" s="8">
        <f t="shared" si="2371"/>
        <v>1020000</v>
      </c>
      <c r="BP2349" s="8">
        <f t="shared" si="2328"/>
        <v>900</v>
      </c>
      <c r="BQ2349" s="12">
        <f t="shared" si="2329"/>
        <v>52250</v>
      </c>
    </row>
    <row r="2350" spans="1:69">
      <c r="A2350" s="28">
        <v>1983</v>
      </c>
      <c r="B2350" s="27" t="s">
        <v>103</v>
      </c>
      <c r="C2350" s="24">
        <f t="shared" si="2351"/>
        <v>2322</v>
      </c>
      <c r="D2350" s="7" t="e">
        <f t="shared" ca="1" si="2349"/>
        <v>#N/A</v>
      </c>
      <c r="E2350" s="26">
        <f t="array" aca="1" ref="E2350" ca="1">AVERAGE(IF(INDIRECT(DatCol&amp;"$"&amp;TEXT(C2350,"###")):INDIRECT(DatCol&amp;"$"&amp;TEXT(C2350+57,"###"))&gt;0,INDIRECT(DatCol&amp;"$"&amp;TEXT(C2350,"###")):INDIRECT(DatCol&amp;"$"&amp;TEXT(C2350+57,"###"))))</f>
        <v>1298.7511999999999</v>
      </c>
      <c r="F2350" s="26" t="str">
        <f t="shared" si="2330"/>
        <v>O</v>
      </c>
      <c r="G2350" s="8"/>
      <c r="H2350" s="8">
        <v>53</v>
      </c>
      <c r="I2350" s="8">
        <v>87</v>
      </c>
      <c r="J2350" s="8">
        <v>386</v>
      </c>
      <c r="K2350" s="9">
        <f t="shared" si="2372"/>
        <v>439</v>
      </c>
      <c r="L2350" s="12">
        <v>50</v>
      </c>
      <c r="M2350" s="11">
        <f t="shared" si="2373"/>
        <v>2500</v>
      </c>
      <c r="N2350" s="12">
        <v>50</v>
      </c>
      <c r="O2350" s="11">
        <f t="shared" si="2374"/>
        <v>2500</v>
      </c>
      <c r="P2350" s="12">
        <v>21532</v>
      </c>
      <c r="Q2350" s="11">
        <f t="shared" si="2375"/>
        <v>1291920</v>
      </c>
      <c r="X2350" s="12">
        <v>2400</v>
      </c>
      <c r="Y2350" s="11">
        <f t="shared" si="2376"/>
        <v>144000</v>
      </c>
      <c r="AF2350" s="12">
        <v>458</v>
      </c>
      <c r="AG2350" s="11">
        <f t="shared" si="2377"/>
        <v>29770</v>
      </c>
      <c r="AH2350" s="12">
        <v>20</v>
      </c>
      <c r="AI2350" s="11">
        <f t="shared" si="2378"/>
        <v>1300</v>
      </c>
      <c r="AK2350" s="13">
        <f t="shared" si="2379"/>
        <v>0</v>
      </c>
      <c r="AM2350" s="13">
        <f t="shared" si="2380"/>
        <v>0</v>
      </c>
      <c r="AO2350" s="11">
        <f t="shared" si="2381"/>
        <v>0</v>
      </c>
      <c r="AQ2350" s="11">
        <f t="shared" si="2382"/>
        <v>0</v>
      </c>
      <c r="AS2350" s="11">
        <f t="shared" si="2383"/>
        <v>0</v>
      </c>
      <c r="AU2350" s="11">
        <f t="shared" si="2384"/>
        <v>0</v>
      </c>
      <c r="AW2350" s="11">
        <f t="shared" si="2385"/>
        <v>0</v>
      </c>
      <c r="AY2350" s="11">
        <f t="shared" si="2386"/>
        <v>0</v>
      </c>
      <c r="BA2350" s="11">
        <f t="shared" si="2387"/>
        <v>0</v>
      </c>
      <c r="BC2350" s="11">
        <f t="shared" si="2388"/>
        <v>0</v>
      </c>
      <c r="BE2350" s="11">
        <f t="shared" si="2389"/>
        <v>0</v>
      </c>
      <c r="BG2350" s="11">
        <f t="shared" si="2390"/>
        <v>0</v>
      </c>
      <c r="BH2350" s="13">
        <v>2000</v>
      </c>
      <c r="BN2350" s="8">
        <f t="shared" si="2370"/>
        <v>24440</v>
      </c>
      <c r="BO2350" s="8">
        <f t="shared" si="2371"/>
        <v>1468190</v>
      </c>
      <c r="BP2350" s="8">
        <f t="shared" si="2328"/>
        <v>2470</v>
      </c>
      <c r="BQ2350" s="12">
        <f t="shared" si="2329"/>
        <v>147800</v>
      </c>
    </row>
    <row r="2351" spans="1:69">
      <c r="A2351" s="28">
        <v>1984</v>
      </c>
      <c r="B2351" s="27" t="s">
        <v>103</v>
      </c>
      <c r="C2351" s="24">
        <f t="shared" si="2351"/>
        <v>2322</v>
      </c>
      <c r="D2351" s="7" t="e">
        <f t="shared" ca="1" si="2349"/>
        <v>#N/A</v>
      </c>
      <c r="E2351" s="26">
        <f t="array" aca="1" ref="E2351" ca="1">AVERAGE(IF(INDIRECT(DatCol&amp;"$"&amp;TEXT(C2351,"###")):INDIRECT(DatCol&amp;"$"&amp;TEXT(C2351+57,"###"))&gt;0,INDIRECT(DatCol&amp;"$"&amp;TEXT(C2351,"###")):INDIRECT(DatCol&amp;"$"&amp;TEXT(C2351+57,"###"))))</f>
        <v>1298.7511999999999</v>
      </c>
      <c r="F2351" s="26" t="str">
        <f t="shared" si="2330"/>
        <v>O</v>
      </c>
      <c r="G2351" s="8"/>
      <c r="H2351" s="8">
        <v>47</v>
      </c>
      <c r="I2351" s="8">
        <v>52</v>
      </c>
      <c r="J2351" s="8">
        <v>224</v>
      </c>
      <c r="K2351" s="9">
        <f t="shared" si="2372"/>
        <v>271</v>
      </c>
      <c r="L2351" s="12">
        <v>850</v>
      </c>
      <c r="M2351" s="11">
        <f t="shared" si="2373"/>
        <v>42500</v>
      </c>
      <c r="N2351" s="12">
        <v>352</v>
      </c>
      <c r="O2351" s="11">
        <f t="shared" si="2374"/>
        <v>17600</v>
      </c>
      <c r="P2351" s="12">
        <v>17290</v>
      </c>
      <c r="Q2351" s="11">
        <f t="shared" si="2375"/>
        <v>1037400</v>
      </c>
      <c r="X2351" s="12">
        <v>1275</v>
      </c>
      <c r="Y2351" s="11">
        <f t="shared" si="2376"/>
        <v>76500</v>
      </c>
      <c r="AF2351" s="12">
        <v>900</v>
      </c>
      <c r="AG2351" s="11">
        <f t="shared" si="2377"/>
        <v>58500</v>
      </c>
      <c r="AH2351" s="12">
        <v>50</v>
      </c>
      <c r="AI2351" s="11">
        <f t="shared" si="2378"/>
        <v>3250</v>
      </c>
      <c r="AK2351" s="13">
        <f t="shared" si="2379"/>
        <v>0</v>
      </c>
      <c r="AM2351" s="13">
        <f t="shared" si="2380"/>
        <v>0</v>
      </c>
      <c r="AO2351" s="11">
        <f t="shared" si="2381"/>
        <v>0</v>
      </c>
      <c r="AQ2351" s="11">
        <f t="shared" si="2382"/>
        <v>0</v>
      </c>
      <c r="AR2351" s="12">
        <v>100</v>
      </c>
      <c r="AS2351" s="11">
        <f t="shared" si="2383"/>
        <v>5000</v>
      </c>
      <c r="AT2351" s="12">
        <v>10</v>
      </c>
      <c r="AU2351" s="11">
        <f t="shared" si="2384"/>
        <v>500</v>
      </c>
      <c r="AV2351" s="12">
        <v>1250</v>
      </c>
      <c r="AW2351" s="11">
        <f t="shared" si="2385"/>
        <v>75000</v>
      </c>
      <c r="AX2351" s="12">
        <v>50</v>
      </c>
      <c r="AY2351" s="11">
        <f t="shared" si="2386"/>
        <v>3000</v>
      </c>
      <c r="BA2351" s="11">
        <f t="shared" si="2387"/>
        <v>0</v>
      </c>
      <c r="BC2351" s="11">
        <f t="shared" si="2388"/>
        <v>0</v>
      </c>
      <c r="BE2351" s="11">
        <f t="shared" si="2389"/>
        <v>0</v>
      </c>
      <c r="BG2351" s="11">
        <f t="shared" si="2390"/>
        <v>0</v>
      </c>
      <c r="BH2351" s="13">
        <v>5000</v>
      </c>
      <c r="BN2351" s="8">
        <f t="shared" si="2370"/>
        <v>21665</v>
      </c>
      <c r="BO2351" s="8">
        <f t="shared" si="2371"/>
        <v>1294900</v>
      </c>
      <c r="BP2351" s="8">
        <f t="shared" si="2328"/>
        <v>1737</v>
      </c>
      <c r="BQ2351" s="12">
        <f t="shared" si="2329"/>
        <v>100850</v>
      </c>
    </row>
    <row r="2352" spans="1:69">
      <c r="A2352" s="28">
        <v>1985</v>
      </c>
      <c r="B2352" s="27" t="s">
        <v>103</v>
      </c>
      <c r="C2352" s="24">
        <f t="shared" si="2351"/>
        <v>2322</v>
      </c>
      <c r="D2352" s="7" t="e">
        <f t="shared" ca="1" si="2349"/>
        <v>#N/A</v>
      </c>
      <c r="E2352" s="26">
        <f t="array" aca="1" ref="E2352" ca="1">AVERAGE(IF(INDIRECT(DatCol&amp;"$"&amp;TEXT(C2352,"###")):INDIRECT(DatCol&amp;"$"&amp;TEXT(C2352+57,"###"))&gt;0,INDIRECT(DatCol&amp;"$"&amp;TEXT(C2352,"###")):INDIRECT(DatCol&amp;"$"&amp;TEXT(C2352+57,"###"))))</f>
        <v>1298.7511999999999</v>
      </c>
      <c r="F2352" s="26" t="str">
        <f t="shared" si="2330"/>
        <v>O</v>
      </c>
      <c r="G2352" s="8">
        <v>27</v>
      </c>
      <c r="H2352" s="8">
        <v>20</v>
      </c>
      <c r="I2352" s="8">
        <v>5</v>
      </c>
      <c r="J2352" s="8">
        <v>41</v>
      </c>
      <c r="K2352" s="9">
        <f t="shared" si="2372"/>
        <v>88</v>
      </c>
      <c r="L2352" s="12">
        <v>7</v>
      </c>
      <c r="M2352" s="11">
        <f t="shared" si="2373"/>
        <v>350</v>
      </c>
      <c r="N2352" s="12">
        <v>3</v>
      </c>
      <c r="O2352" s="11">
        <f t="shared" si="2374"/>
        <v>150</v>
      </c>
      <c r="P2352" s="12">
        <v>180</v>
      </c>
      <c r="Q2352" s="11">
        <f t="shared" si="2375"/>
        <v>10800</v>
      </c>
      <c r="X2352" s="12">
        <v>30</v>
      </c>
      <c r="Y2352" s="11">
        <f t="shared" si="2376"/>
        <v>1800</v>
      </c>
      <c r="AF2352" s="12">
        <v>100</v>
      </c>
      <c r="AG2352" s="11">
        <f t="shared" si="2377"/>
        <v>6500</v>
      </c>
      <c r="AI2352" s="11">
        <f t="shared" si="2378"/>
        <v>0</v>
      </c>
      <c r="AK2352" s="13">
        <f t="shared" si="2379"/>
        <v>0</v>
      </c>
      <c r="AM2352" s="13">
        <f t="shared" si="2380"/>
        <v>0</v>
      </c>
      <c r="AO2352" s="11">
        <f t="shared" si="2381"/>
        <v>0</v>
      </c>
      <c r="AQ2352" s="11">
        <f t="shared" si="2382"/>
        <v>0</v>
      </c>
      <c r="AR2352" s="12">
        <v>10</v>
      </c>
      <c r="AS2352" s="11">
        <f t="shared" si="2383"/>
        <v>500</v>
      </c>
      <c r="AU2352" s="11">
        <f t="shared" si="2384"/>
        <v>0</v>
      </c>
      <c r="AW2352" s="11">
        <f t="shared" si="2385"/>
        <v>0</v>
      </c>
      <c r="AY2352" s="11">
        <f t="shared" si="2386"/>
        <v>0</v>
      </c>
      <c r="BA2352" s="11">
        <f t="shared" si="2387"/>
        <v>0</v>
      </c>
      <c r="BC2352" s="11">
        <f t="shared" si="2388"/>
        <v>0</v>
      </c>
      <c r="BE2352" s="11">
        <f t="shared" si="2389"/>
        <v>0</v>
      </c>
      <c r="BG2352" s="11">
        <f t="shared" si="2390"/>
        <v>0</v>
      </c>
      <c r="BN2352" s="8">
        <f t="shared" si="2370"/>
        <v>327</v>
      </c>
      <c r="BO2352" s="8">
        <f t="shared" si="2371"/>
        <v>19950</v>
      </c>
      <c r="BP2352" s="8">
        <f t="shared" si="2328"/>
        <v>33</v>
      </c>
      <c r="BQ2352" s="12">
        <f t="shared" si="2329"/>
        <v>1950</v>
      </c>
    </row>
    <row r="2353" spans="1:69">
      <c r="A2353" s="28">
        <v>1986</v>
      </c>
      <c r="B2353" s="27" t="s">
        <v>103</v>
      </c>
      <c r="C2353" s="24">
        <f t="shared" si="2351"/>
        <v>2322</v>
      </c>
      <c r="D2353" s="7" t="e">
        <f t="shared" ca="1" si="2349"/>
        <v>#N/A</v>
      </c>
      <c r="E2353" s="26">
        <f t="array" aca="1" ref="E2353" ca="1">AVERAGE(IF(INDIRECT(DatCol&amp;"$"&amp;TEXT(C2353,"###")):INDIRECT(DatCol&amp;"$"&amp;TEXT(C2353+57,"###"))&gt;0,INDIRECT(DatCol&amp;"$"&amp;TEXT(C2353,"###")):INDIRECT(DatCol&amp;"$"&amp;TEXT(C2353+57,"###"))))</f>
        <v>1298.7511999999999</v>
      </c>
      <c r="F2353" s="26" t="str">
        <f t="shared" si="2330"/>
        <v>O</v>
      </c>
      <c r="G2353" s="8"/>
      <c r="H2353" s="8">
        <v>0</v>
      </c>
      <c r="I2353" s="8">
        <v>0</v>
      </c>
      <c r="J2353" s="8">
        <v>0</v>
      </c>
      <c r="K2353" s="9">
        <f t="shared" si="2372"/>
        <v>0</v>
      </c>
      <c r="L2353" s="12" t="s">
        <v>105</v>
      </c>
      <c r="M2353" s="11">
        <f t="shared" si="2373"/>
        <v>0</v>
      </c>
      <c r="N2353" s="12" t="s">
        <v>106</v>
      </c>
      <c r="O2353" s="11">
        <f t="shared" si="2374"/>
        <v>0</v>
      </c>
      <c r="Q2353" s="11">
        <f t="shared" si="2375"/>
        <v>0</v>
      </c>
      <c r="Y2353" s="11">
        <f t="shared" si="2376"/>
        <v>0</v>
      </c>
      <c r="AG2353" s="11">
        <f t="shared" si="2377"/>
        <v>0</v>
      </c>
      <c r="AI2353" s="11">
        <f t="shared" si="2378"/>
        <v>0</v>
      </c>
      <c r="AK2353" s="13">
        <f t="shared" si="2379"/>
        <v>0</v>
      </c>
      <c r="AM2353" s="13">
        <f t="shared" si="2380"/>
        <v>0</v>
      </c>
      <c r="AO2353" s="11">
        <f t="shared" si="2381"/>
        <v>0</v>
      </c>
      <c r="AQ2353" s="11">
        <f t="shared" si="2382"/>
        <v>0</v>
      </c>
      <c r="AS2353" s="11">
        <f t="shared" si="2383"/>
        <v>0</v>
      </c>
      <c r="AU2353" s="11">
        <f t="shared" si="2384"/>
        <v>0</v>
      </c>
      <c r="AW2353" s="11">
        <f t="shared" si="2385"/>
        <v>0</v>
      </c>
      <c r="AY2353" s="11">
        <f t="shared" si="2386"/>
        <v>0</v>
      </c>
      <c r="BA2353" s="11">
        <f t="shared" si="2387"/>
        <v>0</v>
      </c>
      <c r="BC2353" s="11">
        <f t="shared" si="2388"/>
        <v>0</v>
      </c>
      <c r="BE2353" s="11">
        <f t="shared" si="2389"/>
        <v>0</v>
      </c>
      <c r="BG2353" s="11">
        <f t="shared" si="2390"/>
        <v>0</v>
      </c>
      <c r="BN2353" s="8">
        <f t="shared" si="2370"/>
        <v>0</v>
      </c>
      <c r="BO2353" s="8">
        <f t="shared" si="2371"/>
        <v>0</v>
      </c>
      <c r="BP2353" s="8">
        <f t="shared" si="2328"/>
        <v>0</v>
      </c>
      <c r="BQ2353" s="12">
        <f t="shared" si="2329"/>
        <v>0</v>
      </c>
    </row>
    <row r="2354" spans="1:69">
      <c r="A2354" s="28">
        <v>1987</v>
      </c>
      <c r="B2354" s="27" t="s">
        <v>103</v>
      </c>
      <c r="C2354" s="24">
        <f t="shared" si="2351"/>
        <v>2322</v>
      </c>
      <c r="D2354" s="7" t="e">
        <f t="shared" ca="1" si="2349"/>
        <v>#N/A</v>
      </c>
      <c r="E2354" s="26">
        <f t="array" aca="1" ref="E2354" ca="1">AVERAGE(IF(INDIRECT(DatCol&amp;"$"&amp;TEXT(C2354,"###")):INDIRECT(DatCol&amp;"$"&amp;TEXT(C2354+57,"###"))&gt;0,INDIRECT(DatCol&amp;"$"&amp;TEXT(C2354,"###")):INDIRECT(DatCol&amp;"$"&amp;TEXT(C2354+57,"###"))))</f>
        <v>1298.7511999999999</v>
      </c>
      <c r="F2354" s="26" t="str">
        <f t="shared" si="2330"/>
        <v>O</v>
      </c>
      <c r="G2354" s="8"/>
      <c r="H2354" s="8">
        <v>0</v>
      </c>
      <c r="I2354" s="8">
        <v>0</v>
      </c>
      <c r="J2354" s="8">
        <v>0</v>
      </c>
      <c r="K2354" s="9">
        <f t="shared" si="2372"/>
        <v>0</v>
      </c>
      <c r="M2354" s="11">
        <f t="shared" si="2373"/>
        <v>0</v>
      </c>
      <c r="O2354" s="11">
        <f t="shared" si="2374"/>
        <v>0</v>
      </c>
      <c r="Q2354" s="11">
        <f t="shared" si="2375"/>
        <v>0</v>
      </c>
      <c r="Y2354" s="11">
        <f t="shared" si="2376"/>
        <v>0</v>
      </c>
      <c r="AG2354" s="11">
        <f t="shared" si="2377"/>
        <v>0</v>
      </c>
      <c r="AI2354" s="11">
        <f t="shared" si="2378"/>
        <v>0</v>
      </c>
      <c r="AK2354" s="13">
        <f t="shared" si="2379"/>
        <v>0</v>
      </c>
      <c r="AM2354" s="13">
        <f t="shared" si="2380"/>
        <v>0</v>
      </c>
      <c r="AO2354" s="11">
        <f t="shared" si="2381"/>
        <v>0</v>
      </c>
      <c r="AQ2354" s="11">
        <f t="shared" si="2382"/>
        <v>0</v>
      </c>
      <c r="AS2354" s="11">
        <f t="shared" si="2383"/>
        <v>0</v>
      </c>
      <c r="AU2354" s="11">
        <f t="shared" si="2384"/>
        <v>0</v>
      </c>
      <c r="AW2354" s="11">
        <f t="shared" si="2385"/>
        <v>0</v>
      </c>
      <c r="AY2354" s="11">
        <f t="shared" si="2386"/>
        <v>0</v>
      </c>
      <c r="BA2354" s="11">
        <f t="shared" si="2387"/>
        <v>0</v>
      </c>
      <c r="BC2354" s="11">
        <f t="shared" si="2388"/>
        <v>0</v>
      </c>
      <c r="BE2354" s="11">
        <f t="shared" si="2389"/>
        <v>0</v>
      </c>
      <c r="BG2354" s="11">
        <f t="shared" si="2390"/>
        <v>0</v>
      </c>
      <c r="BN2354" s="8">
        <f t="shared" si="2370"/>
        <v>0</v>
      </c>
      <c r="BO2354" s="8">
        <f t="shared" si="2371"/>
        <v>0</v>
      </c>
      <c r="BP2354" s="8">
        <f t="shared" si="2328"/>
        <v>0</v>
      </c>
      <c r="BQ2354" s="12">
        <f t="shared" si="2329"/>
        <v>0</v>
      </c>
    </row>
    <row r="2355" spans="1:69">
      <c r="A2355" s="28">
        <v>1988</v>
      </c>
      <c r="B2355" s="27" t="s">
        <v>103</v>
      </c>
      <c r="C2355" s="24">
        <f t="shared" si="2351"/>
        <v>2322</v>
      </c>
      <c r="D2355" s="7" t="e">
        <f t="shared" ca="1" si="2349"/>
        <v>#N/A</v>
      </c>
      <c r="E2355" s="26">
        <f t="array" aca="1" ref="E2355" ca="1">AVERAGE(IF(INDIRECT(DatCol&amp;"$"&amp;TEXT(C2355,"###")):INDIRECT(DatCol&amp;"$"&amp;TEXT(C2355+57,"###"))&gt;0,INDIRECT(DatCol&amp;"$"&amp;TEXT(C2355,"###")):INDIRECT(DatCol&amp;"$"&amp;TEXT(C2355+57,"###"))))</f>
        <v>1298.7511999999999</v>
      </c>
      <c r="F2355" s="26" t="str">
        <f t="shared" si="2330"/>
        <v>O</v>
      </c>
      <c r="G2355" s="8"/>
      <c r="H2355" s="8" t="s">
        <v>138</v>
      </c>
      <c r="I2355" s="8"/>
      <c r="K2355" s="9">
        <f t="shared" si="2372"/>
        <v>0</v>
      </c>
      <c r="M2355" s="11">
        <f t="shared" si="2373"/>
        <v>0</v>
      </c>
      <c r="O2355" s="11">
        <f t="shared" si="2374"/>
        <v>0</v>
      </c>
      <c r="Q2355" s="11">
        <f t="shared" si="2375"/>
        <v>0</v>
      </c>
      <c r="Y2355" s="11">
        <f t="shared" si="2376"/>
        <v>0</v>
      </c>
      <c r="AG2355" s="11">
        <f t="shared" si="2377"/>
        <v>0</v>
      </c>
      <c r="AI2355" s="11">
        <f t="shared" si="2378"/>
        <v>0</v>
      </c>
      <c r="AK2355" s="13">
        <f t="shared" si="2379"/>
        <v>0</v>
      </c>
      <c r="AM2355" s="13">
        <f t="shared" si="2380"/>
        <v>0</v>
      </c>
      <c r="AO2355" s="11">
        <f t="shared" si="2381"/>
        <v>0</v>
      </c>
      <c r="AQ2355" s="11">
        <f t="shared" si="2382"/>
        <v>0</v>
      </c>
      <c r="AS2355" s="11">
        <f t="shared" si="2383"/>
        <v>0</v>
      </c>
      <c r="AU2355" s="11">
        <f t="shared" si="2384"/>
        <v>0</v>
      </c>
      <c r="AW2355" s="11">
        <f t="shared" si="2385"/>
        <v>0</v>
      </c>
      <c r="AY2355" s="11">
        <f t="shared" si="2386"/>
        <v>0</v>
      </c>
      <c r="BA2355" s="11">
        <f t="shared" si="2387"/>
        <v>0</v>
      </c>
      <c r="BC2355" s="11">
        <f t="shared" si="2388"/>
        <v>0</v>
      </c>
      <c r="BE2355" s="11">
        <f t="shared" si="2389"/>
        <v>0</v>
      </c>
      <c r="BG2355" s="11">
        <f t="shared" si="2390"/>
        <v>0</v>
      </c>
      <c r="BN2355" s="8">
        <f t="shared" si="2370"/>
        <v>0</v>
      </c>
      <c r="BO2355" s="8">
        <f t="shared" si="2371"/>
        <v>0</v>
      </c>
      <c r="BP2355" s="8">
        <f t="shared" si="2328"/>
        <v>0</v>
      </c>
      <c r="BQ2355" s="12">
        <f t="shared" si="2329"/>
        <v>0</v>
      </c>
    </row>
    <row r="2356" spans="1:69">
      <c r="A2356" s="28">
        <v>1989</v>
      </c>
      <c r="B2356" s="27" t="s">
        <v>103</v>
      </c>
      <c r="C2356" s="24">
        <f t="shared" si="2351"/>
        <v>2322</v>
      </c>
      <c r="D2356" s="7" t="e">
        <f t="shared" ca="1" si="2349"/>
        <v>#N/A</v>
      </c>
      <c r="E2356" s="26">
        <f t="array" aca="1" ref="E2356" ca="1">AVERAGE(IF(INDIRECT(DatCol&amp;"$"&amp;TEXT(C2356,"###")):INDIRECT(DatCol&amp;"$"&amp;TEXT(C2356+57,"###"))&gt;0,INDIRECT(DatCol&amp;"$"&amp;TEXT(C2356,"###")):INDIRECT(DatCol&amp;"$"&amp;TEXT(C2356+57,"###"))))</f>
        <v>1298.7511999999999</v>
      </c>
      <c r="F2356" s="26" t="str">
        <f t="shared" si="2330"/>
        <v>O</v>
      </c>
      <c r="G2356" s="8"/>
      <c r="H2356" s="8" t="s">
        <v>138</v>
      </c>
      <c r="I2356" s="8"/>
      <c r="K2356" s="9">
        <f t="shared" si="2372"/>
        <v>0</v>
      </c>
      <c r="M2356" s="11">
        <f t="shared" si="2373"/>
        <v>0</v>
      </c>
      <c r="O2356" s="11">
        <f t="shared" si="2374"/>
        <v>0</v>
      </c>
      <c r="Q2356" s="11">
        <f t="shared" si="2375"/>
        <v>0</v>
      </c>
      <c r="Y2356" s="11">
        <f t="shared" si="2376"/>
        <v>0</v>
      </c>
      <c r="AG2356" s="11">
        <f t="shared" si="2377"/>
        <v>0</v>
      </c>
      <c r="AI2356" s="11">
        <f t="shared" si="2378"/>
        <v>0</v>
      </c>
      <c r="AK2356" s="13">
        <f t="shared" si="2379"/>
        <v>0</v>
      </c>
      <c r="AM2356" s="13">
        <f t="shared" si="2380"/>
        <v>0</v>
      </c>
      <c r="AO2356" s="11">
        <f t="shared" si="2381"/>
        <v>0</v>
      </c>
      <c r="AQ2356" s="11">
        <f t="shared" si="2382"/>
        <v>0</v>
      </c>
      <c r="AS2356" s="11">
        <f t="shared" si="2383"/>
        <v>0</v>
      </c>
      <c r="AU2356" s="11">
        <f t="shared" si="2384"/>
        <v>0</v>
      </c>
      <c r="AW2356" s="11">
        <f t="shared" si="2385"/>
        <v>0</v>
      </c>
      <c r="AY2356" s="11">
        <f t="shared" si="2386"/>
        <v>0</v>
      </c>
      <c r="BA2356" s="11">
        <f t="shared" si="2387"/>
        <v>0</v>
      </c>
      <c r="BC2356" s="11">
        <f t="shared" si="2388"/>
        <v>0</v>
      </c>
      <c r="BE2356" s="11">
        <f t="shared" si="2389"/>
        <v>0</v>
      </c>
      <c r="BG2356" s="11">
        <f t="shared" si="2390"/>
        <v>0</v>
      </c>
      <c r="BN2356" s="8">
        <f t="shared" si="2370"/>
        <v>0</v>
      </c>
      <c r="BO2356" s="8">
        <f t="shared" si="2371"/>
        <v>0</v>
      </c>
      <c r="BP2356" s="8">
        <f t="shared" ref="BP2356:BP2420" si="2391">(N2356+X2356+Z2356+AB2356+AD2356+AH2356+AL2356+AP2356+AT2356+AX2356+BB2356+BF2356)</f>
        <v>0</v>
      </c>
      <c r="BQ2356" s="12">
        <f t="shared" ref="BQ2356:BQ2420" si="2392">(O2356+Y2356+AA2356+AC2356+AE2356+AI2356+AM2356+AQ2356+AU2356+AY2356+BC2356+BG2356)</f>
        <v>0</v>
      </c>
    </row>
    <row r="2357" spans="1:69">
      <c r="A2357" s="28">
        <v>1990</v>
      </c>
      <c r="B2357" s="27" t="s">
        <v>103</v>
      </c>
      <c r="C2357" s="24">
        <f t="shared" si="2351"/>
        <v>2322</v>
      </c>
      <c r="D2357" s="7" t="e">
        <f t="shared" ca="1" si="2349"/>
        <v>#N/A</v>
      </c>
      <c r="E2357" s="26">
        <f t="array" aca="1" ref="E2357" ca="1">AVERAGE(IF(INDIRECT(DatCol&amp;"$"&amp;TEXT(C2357,"###")):INDIRECT(DatCol&amp;"$"&amp;TEXT(C2357+57,"###"))&gt;0,INDIRECT(DatCol&amp;"$"&amp;TEXT(C2357,"###")):INDIRECT(DatCol&amp;"$"&amp;TEXT(C2357+57,"###"))))</f>
        <v>1298.7511999999999</v>
      </c>
      <c r="F2357" s="26" t="str">
        <f t="shared" si="2330"/>
        <v>O</v>
      </c>
      <c r="G2357" s="8"/>
      <c r="H2357" s="8" t="s">
        <v>138</v>
      </c>
      <c r="I2357" s="8"/>
      <c r="K2357" s="9">
        <f t="shared" si="2372"/>
        <v>0</v>
      </c>
      <c r="M2357" s="11">
        <f t="shared" si="2373"/>
        <v>0</v>
      </c>
      <c r="O2357" s="11">
        <f t="shared" si="2374"/>
        <v>0</v>
      </c>
      <c r="Q2357" s="11">
        <f t="shared" si="2375"/>
        <v>0</v>
      </c>
      <c r="Y2357" s="11">
        <f t="shared" si="2376"/>
        <v>0</v>
      </c>
      <c r="AG2357" s="11">
        <f t="shared" si="2377"/>
        <v>0</v>
      </c>
      <c r="AI2357" s="11">
        <f t="shared" si="2378"/>
        <v>0</v>
      </c>
      <c r="AK2357" s="13">
        <f t="shared" si="2379"/>
        <v>0</v>
      </c>
      <c r="AM2357" s="13">
        <f t="shared" si="2380"/>
        <v>0</v>
      </c>
      <c r="AO2357" s="11">
        <f t="shared" si="2381"/>
        <v>0</v>
      </c>
      <c r="AQ2357" s="11">
        <f t="shared" si="2382"/>
        <v>0</v>
      </c>
      <c r="AS2357" s="11">
        <f t="shared" si="2383"/>
        <v>0</v>
      </c>
      <c r="AU2357" s="11">
        <f t="shared" si="2384"/>
        <v>0</v>
      </c>
      <c r="AW2357" s="11">
        <f t="shared" si="2385"/>
        <v>0</v>
      </c>
      <c r="AY2357" s="11">
        <f t="shared" si="2386"/>
        <v>0</v>
      </c>
      <c r="BA2357" s="11">
        <f t="shared" si="2387"/>
        <v>0</v>
      </c>
      <c r="BC2357" s="11">
        <f t="shared" si="2388"/>
        <v>0</v>
      </c>
      <c r="BE2357" s="11">
        <f t="shared" si="2389"/>
        <v>0</v>
      </c>
      <c r="BG2357" s="11">
        <f t="shared" si="2390"/>
        <v>0</v>
      </c>
      <c r="BN2357" s="8">
        <f t="shared" si="2370"/>
        <v>0</v>
      </c>
      <c r="BO2357" s="8">
        <f t="shared" si="2371"/>
        <v>0</v>
      </c>
      <c r="BP2357" s="8">
        <f t="shared" si="2391"/>
        <v>0</v>
      </c>
      <c r="BQ2357" s="12">
        <f t="shared" si="2392"/>
        <v>0</v>
      </c>
    </row>
    <row r="2358" spans="1:69">
      <c r="A2358" s="28">
        <v>1991</v>
      </c>
      <c r="B2358" s="27" t="s">
        <v>103</v>
      </c>
      <c r="C2358" s="24">
        <f t="shared" si="2351"/>
        <v>2322</v>
      </c>
      <c r="D2358" s="7" t="e">
        <f t="shared" ca="1" si="2349"/>
        <v>#N/A</v>
      </c>
      <c r="E2358" s="26">
        <f t="array" aca="1" ref="E2358" ca="1">AVERAGE(IF(INDIRECT(DatCol&amp;"$"&amp;TEXT(C2358,"###")):INDIRECT(DatCol&amp;"$"&amp;TEXT(C2358+57,"###"))&gt;0,INDIRECT(DatCol&amp;"$"&amp;TEXT(C2358,"###")):INDIRECT(DatCol&amp;"$"&amp;TEXT(C2358+57,"###"))))</f>
        <v>1298.7511999999999</v>
      </c>
      <c r="F2358" s="26" t="str">
        <f t="shared" si="2330"/>
        <v>O</v>
      </c>
      <c r="G2358" s="8"/>
      <c r="H2358" s="8" t="s">
        <v>138</v>
      </c>
      <c r="I2358" s="8"/>
      <c r="K2358" s="9">
        <f t="shared" si="2372"/>
        <v>0</v>
      </c>
      <c r="M2358" s="11">
        <f t="shared" si="2373"/>
        <v>0</v>
      </c>
      <c r="O2358" s="11">
        <f t="shared" si="2374"/>
        <v>0</v>
      </c>
      <c r="Q2358" s="11">
        <f t="shared" si="2375"/>
        <v>0</v>
      </c>
      <c r="Y2358" s="11">
        <f t="shared" si="2376"/>
        <v>0</v>
      </c>
      <c r="AG2358" s="11">
        <f t="shared" si="2377"/>
        <v>0</v>
      </c>
      <c r="AI2358" s="11">
        <f t="shared" si="2378"/>
        <v>0</v>
      </c>
      <c r="AK2358" s="13">
        <f t="shared" si="2379"/>
        <v>0</v>
      </c>
      <c r="AM2358" s="13">
        <f t="shared" si="2380"/>
        <v>0</v>
      </c>
      <c r="AO2358" s="11">
        <f t="shared" si="2381"/>
        <v>0</v>
      </c>
      <c r="AQ2358" s="11">
        <f t="shared" si="2382"/>
        <v>0</v>
      </c>
      <c r="AS2358" s="11">
        <f t="shared" si="2383"/>
        <v>0</v>
      </c>
      <c r="AU2358" s="11">
        <f t="shared" si="2384"/>
        <v>0</v>
      </c>
      <c r="AW2358" s="11">
        <f t="shared" si="2385"/>
        <v>0</v>
      </c>
      <c r="AY2358" s="11">
        <f t="shared" si="2386"/>
        <v>0</v>
      </c>
      <c r="BA2358" s="11">
        <f t="shared" si="2387"/>
        <v>0</v>
      </c>
      <c r="BC2358" s="11">
        <f t="shared" si="2388"/>
        <v>0</v>
      </c>
      <c r="BE2358" s="11">
        <f t="shared" si="2389"/>
        <v>0</v>
      </c>
      <c r="BG2358" s="11">
        <f t="shared" si="2390"/>
        <v>0</v>
      </c>
      <c r="BN2358" s="8">
        <f t="shared" si="2370"/>
        <v>0</v>
      </c>
      <c r="BO2358" s="8">
        <f t="shared" si="2371"/>
        <v>0</v>
      </c>
      <c r="BP2358" s="8">
        <f t="shared" si="2391"/>
        <v>0</v>
      </c>
      <c r="BQ2358" s="12">
        <f t="shared" si="2392"/>
        <v>0</v>
      </c>
    </row>
    <row r="2359" spans="1:69">
      <c r="A2359" s="28">
        <v>1992</v>
      </c>
      <c r="B2359" s="27" t="s">
        <v>103</v>
      </c>
      <c r="C2359" s="24">
        <f t="shared" si="2351"/>
        <v>2322</v>
      </c>
      <c r="D2359" s="7" t="e">
        <f t="shared" ca="1" si="2349"/>
        <v>#N/A</v>
      </c>
      <c r="E2359" s="26">
        <f t="array" aca="1" ref="E2359" ca="1">AVERAGE(IF(INDIRECT(DatCol&amp;"$"&amp;TEXT(C2359,"###")):INDIRECT(DatCol&amp;"$"&amp;TEXT(C2359+57,"###"))&gt;0,INDIRECT(DatCol&amp;"$"&amp;TEXT(C2359,"###")):INDIRECT(DatCol&amp;"$"&amp;TEXT(C2359+57,"###"))))</f>
        <v>1298.7511999999999</v>
      </c>
      <c r="F2359" s="26" t="str">
        <f t="shared" si="2330"/>
        <v>O</v>
      </c>
      <c r="G2359" s="8"/>
      <c r="H2359" s="8" t="s">
        <v>138</v>
      </c>
      <c r="I2359" s="8"/>
      <c r="K2359" s="9">
        <f t="shared" si="2372"/>
        <v>0</v>
      </c>
      <c r="M2359" s="11">
        <f t="shared" si="2373"/>
        <v>0</v>
      </c>
      <c r="O2359" s="11">
        <f t="shared" si="2374"/>
        <v>0</v>
      </c>
      <c r="Q2359" s="11">
        <f t="shared" si="2375"/>
        <v>0</v>
      </c>
      <c r="Y2359" s="11">
        <f t="shared" si="2376"/>
        <v>0</v>
      </c>
      <c r="AG2359" s="11">
        <f t="shared" si="2377"/>
        <v>0</v>
      </c>
      <c r="AI2359" s="11">
        <f t="shared" si="2378"/>
        <v>0</v>
      </c>
      <c r="AK2359" s="13">
        <f t="shared" si="2379"/>
        <v>0</v>
      </c>
      <c r="AM2359" s="13">
        <f t="shared" si="2380"/>
        <v>0</v>
      </c>
      <c r="AO2359" s="11">
        <f t="shared" si="2381"/>
        <v>0</v>
      </c>
      <c r="AQ2359" s="11">
        <f t="shared" si="2382"/>
        <v>0</v>
      </c>
      <c r="AS2359" s="11">
        <f t="shared" si="2383"/>
        <v>0</v>
      </c>
      <c r="AU2359" s="11">
        <f t="shared" si="2384"/>
        <v>0</v>
      </c>
      <c r="AW2359" s="11">
        <f t="shared" si="2385"/>
        <v>0</v>
      </c>
      <c r="AY2359" s="11">
        <f t="shared" si="2386"/>
        <v>0</v>
      </c>
      <c r="BA2359" s="11">
        <f t="shared" si="2387"/>
        <v>0</v>
      </c>
      <c r="BC2359" s="11">
        <f t="shared" si="2388"/>
        <v>0</v>
      </c>
      <c r="BE2359" s="11">
        <f t="shared" si="2389"/>
        <v>0</v>
      </c>
      <c r="BG2359" s="11">
        <f t="shared" si="2390"/>
        <v>0</v>
      </c>
      <c r="BN2359" s="8">
        <f t="shared" si="2370"/>
        <v>0</v>
      </c>
      <c r="BO2359" s="8">
        <f t="shared" si="2371"/>
        <v>0</v>
      </c>
      <c r="BP2359" s="8">
        <f t="shared" si="2391"/>
        <v>0</v>
      </c>
      <c r="BQ2359" s="12">
        <f t="shared" si="2392"/>
        <v>0</v>
      </c>
    </row>
    <row r="2360" spans="1:69">
      <c r="A2360" s="28">
        <v>1993</v>
      </c>
      <c r="B2360" s="27" t="s">
        <v>103</v>
      </c>
      <c r="C2360" s="24">
        <f t="shared" si="2351"/>
        <v>2322</v>
      </c>
      <c r="D2360" s="7" t="e">
        <f t="shared" ca="1" si="2349"/>
        <v>#N/A</v>
      </c>
      <c r="E2360" s="26">
        <f t="array" aca="1" ref="E2360" ca="1">AVERAGE(IF(INDIRECT(DatCol&amp;"$"&amp;TEXT(C2360,"###")):INDIRECT(DatCol&amp;"$"&amp;TEXT(C2360+57,"###"))&gt;0,INDIRECT(DatCol&amp;"$"&amp;TEXT(C2360,"###")):INDIRECT(DatCol&amp;"$"&amp;TEXT(C2360+57,"###"))))</f>
        <v>1298.7511999999999</v>
      </c>
      <c r="F2360" s="26" t="str">
        <f t="shared" si="2330"/>
        <v>O</v>
      </c>
      <c r="G2360" s="8"/>
      <c r="H2360" s="8" t="s">
        <v>138</v>
      </c>
      <c r="I2360" s="8"/>
      <c r="K2360" s="9">
        <f t="shared" si="2372"/>
        <v>0</v>
      </c>
      <c r="M2360" s="11">
        <f t="shared" si="2373"/>
        <v>0</v>
      </c>
      <c r="O2360" s="11">
        <f t="shared" si="2374"/>
        <v>0</v>
      </c>
      <c r="Q2360" s="11">
        <f t="shared" si="2375"/>
        <v>0</v>
      </c>
      <c r="Y2360" s="11">
        <f t="shared" si="2376"/>
        <v>0</v>
      </c>
      <c r="AG2360" s="11">
        <f t="shared" si="2377"/>
        <v>0</v>
      </c>
      <c r="AI2360" s="11">
        <f t="shared" si="2378"/>
        <v>0</v>
      </c>
      <c r="AK2360" s="13">
        <f t="shared" si="2379"/>
        <v>0</v>
      </c>
      <c r="AM2360" s="13">
        <f t="shared" si="2380"/>
        <v>0</v>
      </c>
      <c r="AO2360" s="11">
        <f t="shared" si="2381"/>
        <v>0</v>
      </c>
      <c r="AQ2360" s="11">
        <f t="shared" si="2382"/>
        <v>0</v>
      </c>
      <c r="AS2360" s="11">
        <f t="shared" si="2383"/>
        <v>0</v>
      </c>
      <c r="AU2360" s="11">
        <f t="shared" si="2384"/>
        <v>0</v>
      </c>
      <c r="AW2360" s="11">
        <f t="shared" si="2385"/>
        <v>0</v>
      </c>
      <c r="AY2360" s="11">
        <f t="shared" si="2386"/>
        <v>0</v>
      </c>
      <c r="BA2360" s="11">
        <f t="shared" si="2387"/>
        <v>0</v>
      </c>
      <c r="BC2360" s="11">
        <f t="shared" si="2388"/>
        <v>0</v>
      </c>
      <c r="BE2360" s="11">
        <f t="shared" si="2389"/>
        <v>0</v>
      </c>
      <c r="BG2360" s="11">
        <f t="shared" si="2390"/>
        <v>0</v>
      </c>
      <c r="BN2360" s="8">
        <f t="shared" si="2370"/>
        <v>0</v>
      </c>
      <c r="BO2360" s="8">
        <f t="shared" si="2371"/>
        <v>0</v>
      </c>
      <c r="BP2360" s="8">
        <f t="shared" si="2391"/>
        <v>0</v>
      </c>
      <c r="BQ2360" s="12">
        <f t="shared" si="2392"/>
        <v>0</v>
      </c>
    </row>
    <row r="2361" spans="1:69">
      <c r="A2361" s="28">
        <v>1994</v>
      </c>
      <c r="B2361" s="27" t="s">
        <v>103</v>
      </c>
      <c r="C2361" s="24">
        <f t="shared" si="2351"/>
        <v>2322</v>
      </c>
      <c r="D2361" s="7" t="e">
        <f t="shared" ca="1" si="2349"/>
        <v>#N/A</v>
      </c>
      <c r="E2361" s="26">
        <f t="array" aca="1" ref="E2361" ca="1">AVERAGE(IF(INDIRECT(DatCol&amp;"$"&amp;TEXT(C2361,"###")):INDIRECT(DatCol&amp;"$"&amp;TEXT(C2361+57,"###"))&gt;0,INDIRECT(DatCol&amp;"$"&amp;TEXT(C2361,"###")):INDIRECT(DatCol&amp;"$"&amp;TEXT(C2361+57,"###"))))</f>
        <v>1298.7511999999999</v>
      </c>
      <c r="F2361" s="26" t="str">
        <f t="shared" si="2330"/>
        <v>O</v>
      </c>
      <c r="G2361" s="8"/>
      <c r="H2361" s="8" t="s">
        <v>138</v>
      </c>
      <c r="I2361" s="8"/>
      <c r="K2361" s="9">
        <f t="shared" si="2372"/>
        <v>0</v>
      </c>
      <c r="M2361" s="11">
        <f t="shared" si="2373"/>
        <v>0</v>
      </c>
      <c r="O2361" s="11">
        <f t="shared" si="2374"/>
        <v>0</v>
      </c>
      <c r="Q2361" s="11">
        <f t="shared" si="2375"/>
        <v>0</v>
      </c>
      <c r="Y2361" s="11">
        <f t="shared" si="2376"/>
        <v>0</v>
      </c>
      <c r="AG2361" s="11">
        <f t="shared" si="2377"/>
        <v>0</v>
      </c>
      <c r="AI2361" s="11">
        <f t="shared" si="2378"/>
        <v>0</v>
      </c>
      <c r="AK2361" s="13">
        <f t="shared" si="2379"/>
        <v>0</v>
      </c>
      <c r="AM2361" s="13">
        <f t="shared" si="2380"/>
        <v>0</v>
      </c>
      <c r="AO2361" s="11">
        <f t="shared" si="2381"/>
        <v>0</v>
      </c>
      <c r="AQ2361" s="11">
        <f t="shared" si="2382"/>
        <v>0</v>
      </c>
      <c r="AS2361" s="11">
        <f t="shared" si="2383"/>
        <v>0</v>
      </c>
      <c r="AU2361" s="11">
        <f t="shared" si="2384"/>
        <v>0</v>
      </c>
      <c r="AW2361" s="11">
        <f t="shared" si="2385"/>
        <v>0</v>
      </c>
      <c r="AY2361" s="11">
        <f t="shared" si="2386"/>
        <v>0</v>
      </c>
      <c r="BA2361" s="11">
        <f t="shared" si="2387"/>
        <v>0</v>
      </c>
      <c r="BC2361" s="11">
        <f t="shared" si="2388"/>
        <v>0</v>
      </c>
      <c r="BE2361" s="11">
        <f t="shared" si="2389"/>
        <v>0</v>
      </c>
      <c r="BG2361" s="11">
        <f t="shared" si="2390"/>
        <v>0</v>
      </c>
      <c r="BN2361" s="8">
        <f t="shared" si="2370"/>
        <v>0</v>
      </c>
      <c r="BO2361" s="8">
        <f t="shared" si="2371"/>
        <v>0</v>
      </c>
      <c r="BP2361" s="8">
        <f t="shared" si="2391"/>
        <v>0</v>
      </c>
      <c r="BQ2361" s="12">
        <f t="shared" si="2392"/>
        <v>0</v>
      </c>
    </row>
    <row r="2362" spans="1:69">
      <c r="A2362" s="28">
        <v>1995</v>
      </c>
      <c r="B2362" s="27" t="s">
        <v>103</v>
      </c>
      <c r="C2362" s="24">
        <f t="shared" si="2351"/>
        <v>2322</v>
      </c>
      <c r="D2362" s="7" t="e">
        <f t="shared" ca="1" si="2349"/>
        <v>#N/A</v>
      </c>
      <c r="E2362" s="26">
        <f t="array" aca="1" ref="E2362" ca="1">AVERAGE(IF(INDIRECT(DatCol&amp;"$"&amp;TEXT(C2362,"###")):INDIRECT(DatCol&amp;"$"&amp;TEXT(C2362+57,"###"))&gt;0,INDIRECT(DatCol&amp;"$"&amp;TEXT(C2362,"###")):INDIRECT(DatCol&amp;"$"&amp;TEXT(C2362+57,"###"))))</f>
        <v>1298.7511999999999</v>
      </c>
      <c r="F2362" s="26" t="str">
        <f t="shared" ref="F2362:F2428" si="2393">VLOOKUP(B2362,town_region,2,FALSE)</f>
        <v>O</v>
      </c>
      <c r="H2362" s="8" t="s">
        <v>138</v>
      </c>
      <c r="I2362" s="8"/>
      <c r="K2362" s="9">
        <f t="shared" si="2372"/>
        <v>0</v>
      </c>
      <c r="M2362" s="11">
        <f t="shared" si="2373"/>
        <v>0</v>
      </c>
      <c r="O2362" s="11">
        <f t="shared" si="2374"/>
        <v>0</v>
      </c>
      <c r="Q2362" s="11">
        <f t="shared" si="2375"/>
        <v>0</v>
      </c>
      <c r="Y2362" s="11">
        <f t="shared" si="2376"/>
        <v>0</v>
      </c>
      <c r="AG2362" s="11">
        <f t="shared" si="2377"/>
        <v>0</v>
      </c>
      <c r="AI2362" s="11">
        <f t="shared" si="2378"/>
        <v>0</v>
      </c>
      <c r="AK2362" s="13">
        <f t="shared" si="2379"/>
        <v>0</v>
      </c>
      <c r="AM2362" s="13">
        <f t="shared" si="2380"/>
        <v>0</v>
      </c>
      <c r="AO2362" s="11">
        <f t="shared" si="2381"/>
        <v>0</v>
      </c>
      <c r="AQ2362" s="11">
        <f t="shared" si="2382"/>
        <v>0</v>
      </c>
      <c r="AS2362" s="11">
        <f t="shared" si="2383"/>
        <v>0</v>
      </c>
      <c r="AU2362" s="11">
        <f t="shared" si="2384"/>
        <v>0</v>
      </c>
      <c r="AW2362" s="11">
        <f t="shared" si="2385"/>
        <v>0</v>
      </c>
      <c r="AY2362" s="11">
        <f t="shared" si="2386"/>
        <v>0</v>
      </c>
      <c r="BA2362" s="11">
        <f t="shared" si="2387"/>
        <v>0</v>
      </c>
      <c r="BC2362" s="11">
        <f t="shared" si="2388"/>
        <v>0</v>
      </c>
      <c r="BE2362" s="11">
        <f t="shared" si="2389"/>
        <v>0</v>
      </c>
      <c r="BG2362" s="11">
        <f t="shared" si="2390"/>
        <v>0</v>
      </c>
      <c r="BN2362" s="8">
        <f t="shared" si="2370"/>
        <v>0</v>
      </c>
      <c r="BO2362" s="8">
        <f t="shared" si="2371"/>
        <v>0</v>
      </c>
      <c r="BP2362" s="8">
        <f t="shared" si="2391"/>
        <v>0</v>
      </c>
      <c r="BQ2362" s="12">
        <f t="shared" si="2392"/>
        <v>0</v>
      </c>
    </row>
    <row r="2363" spans="1:69">
      <c r="A2363" s="28">
        <v>1996</v>
      </c>
      <c r="B2363" s="27" t="s">
        <v>103</v>
      </c>
      <c r="C2363" s="24">
        <f t="shared" si="2351"/>
        <v>2322</v>
      </c>
      <c r="D2363" s="7" t="e">
        <f t="shared" ca="1" si="2349"/>
        <v>#N/A</v>
      </c>
      <c r="E2363" s="26">
        <f t="array" aca="1" ref="E2363" ca="1">AVERAGE(IF(INDIRECT(DatCol&amp;"$"&amp;TEXT(C2363,"###")):INDIRECT(DatCol&amp;"$"&amp;TEXT(C2363+57,"###"))&gt;0,INDIRECT(DatCol&amp;"$"&amp;TEXT(C2363,"###")):INDIRECT(DatCol&amp;"$"&amp;TEXT(C2363+57,"###"))))</f>
        <v>1298.7511999999999</v>
      </c>
      <c r="F2363" s="26" t="str">
        <f t="shared" si="2393"/>
        <v>O</v>
      </c>
      <c r="H2363" s="8" t="s">
        <v>138</v>
      </c>
      <c r="I2363" s="8"/>
      <c r="K2363" s="9">
        <f t="shared" si="2372"/>
        <v>0</v>
      </c>
      <c r="AK2363" s="13"/>
      <c r="AM2363" s="13"/>
      <c r="BN2363" s="8">
        <f t="shared" si="2370"/>
        <v>0</v>
      </c>
      <c r="BO2363" s="8">
        <f t="shared" si="2371"/>
        <v>0</v>
      </c>
      <c r="BP2363" s="8">
        <f t="shared" si="2391"/>
        <v>0</v>
      </c>
      <c r="BQ2363" s="12">
        <f t="shared" si="2392"/>
        <v>0</v>
      </c>
    </row>
    <row r="2364" spans="1:69">
      <c r="A2364" s="28">
        <v>1997</v>
      </c>
      <c r="B2364" s="27" t="s">
        <v>103</v>
      </c>
      <c r="C2364" s="24">
        <f t="shared" si="2351"/>
        <v>2322</v>
      </c>
      <c r="D2364" s="7" t="e">
        <f t="shared" ca="1" si="2349"/>
        <v>#N/A</v>
      </c>
      <c r="E2364" s="26">
        <f t="array" aca="1" ref="E2364" ca="1">AVERAGE(IF(INDIRECT(DatCol&amp;"$"&amp;TEXT(C2364,"###")):INDIRECT(DatCol&amp;"$"&amp;TEXT(C2364+57,"###"))&gt;0,INDIRECT(DatCol&amp;"$"&amp;TEXT(C2364,"###")):INDIRECT(DatCol&amp;"$"&amp;TEXT(C2364+57,"###"))))</f>
        <v>1298.7511999999999</v>
      </c>
      <c r="F2364" s="26" t="str">
        <f t="shared" si="2393"/>
        <v>O</v>
      </c>
      <c r="H2364" s="8" t="s">
        <v>138</v>
      </c>
      <c r="I2364" s="8"/>
      <c r="K2364" s="9">
        <f t="shared" si="2372"/>
        <v>0</v>
      </c>
      <c r="AK2364" s="13"/>
      <c r="AM2364" s="13"/>
      <c r="BN2364" s="8">
        <f t="shared" si="2370"/>
        <v>0</v>
      </c>
      <c r="BO2364" s="8">
        <f t="shared" si="2371"/>
        <v>0</v>
      </c>
      <c r="BP2364" s="8">
        <f t="shared" si="2391"/>
        <v>0</v>
      </c>
      <c r="BQ2364" s="12">
        <f t="shared" si="2392"/>
        <v>0</v>
      </c>
    </row>
    <row r="2365" spans="1:69">
      <c r="A2365" s="28">
        <v>1998</v>
      </c>
      <c r="B2365" s="27" t="s">
        <v>103</v>
      </c>
      <c r="C2365" s="24">
        <f t="shared" si="2351"/>
        <v>2322</v>
      </c>
      <c r="D2365" s="7" t="e">
        <f t="shared" ca="1" si="2349"/>
        <v>#N/A</v>
      </c>
      <c r="E2365" s="26">
        <f t="array" aca="1" ref="E2365" ca="1">AVERAGE(IF(INDIRECT(DatCol&amp;"$"&amp;TEXT(C2365,"###")):INDIRECT(DatCol&amp;"$"&amp;TEXT(C2365+57,"###"))&gt;0,INDIRECT(DatCol&amp;"$"&amp;TEXT(C2365,"###")):INDIRECT(DatCol&amp;"$"&amp;TEXT(C2365+57,"###"))))</f>
        <v>1298.7511999999999</v>
      </c>
      <c r="F2365" s="26" t="str">
        <f t="shared" si="2393"/>
        <v>O</v>
      </c>
      <c r="H2365" s="8" t="s">
        <v>138</v>
      </c>
      <c r="I2365" s="8"/>
      <c r="K2365" s="9">
        <f t="shared" si="2372"/>
        <v>0</v>
      </c>
      <c r="AK2365" s="13"/>
      <c r="AM2365" s="13"/>
      <c r="BN2365" s="8">
        <f t="shared" si="2370"/>
        <v>0</v>
      </c>
      <c r="BO2365" s="8">
        <f t="shared" si="2371"/>
        <v>0</v>
      </c>
      <c r="BP2365" s="8">
        <f t="shared" si="2391"/>
        <v>0</v>
      </c>
      <c r="BQ2365" s="12">
        <f t="shared" si="2392"/>
        <v>0</v>
      </c>
    </row>
    <row r="2366" spans="1:69">
      <c r="A2366" s="28">
        <v>1999</v>
      </c>
      <c r="B2366" s="27" t="s">
        <v>103</v>
      </c>
      <c r="C2366" s="24">
        <f t="shared" si="2351"/>
        <v>2322</v>
      </c>
      <c r="D2366" s="7" t="e">
        <f t="shared" ca="1" si="2349"/>
        <v>#N/A</v>
      </c>
      <c r="E2366" s="26">
        <f t="array" aca="1" ref="E2366" ca="1">AVERAGE(IF(INDIRECT(DatCol&amp;"$"&amp;TEXT(C2366,"###")):INDIRECT(DatCol&amp;"$"&amp;TEXT(C2366+57,"###"))&gt;0,INDIRECT(DatCol&amp;"$"&amp;TEXT(C2366,"###")):INDIRECT(DatCol&amp;"$"&amp;TEXT(C2366+57,"###"))))</f>
        <v>1298.7511999999999</v>
      </c>
      <c r="F2366" s="26" t="str">
        <f t="shared" si="2393"/>
        <v>O</v>
      </c>
      <c r="H2366" s="8" t="s">
        <v>138</v>
      </c>
      <c r="I2366" s="8"/>
      <c r="K2366" s="9">
        <f t="shared" si="2372"/>
        <v>0</v>
      </c>
      <c r="AK2366" s="13"/>
      <c r="AM2366" s="13"/>
      <c r="BN2366" s="8">
        <f t="shared" si="2370"/>
        <v>0</v>
      </c>
      <c r="BO2366" s="8">
        <f t="shared" si="2371"/>
        <v>0</v>
      </c>
      <c r="BP2366" s="8">
        <f t="shared" si="2391"/>
        <v>0</v>
      </c>
      <c r="BQ2366" s="12">
        <f t="shared" si="2392"/>
        <v>0</v>
      </c>
    </row>
    <row r="2367" spans="1:69">
      <c r="A2367" s="28">
        <v>2000</v>
      </c>
      <c r="B2367" s="27" t="s">
        <v>103</v>
      </c>
      <c r="C2367" s="24">
        <f t="shared" si="2351"/>
        <v>2322</v>
      </c>
      <c r="D2367" s="7" t="e">
        <f t="shared" ca="1" si="2349"/>
        <v>#N/A</v>
      </c>
      <c r="E2367" s="26">
        <f t="array" aca="1" ref="E2367" ca="1">AVERAGE(IF(INDIRECT(DatCol&amp;"$"&amp;TEXT(C2367,"###")):INDIRECT(DatCol&amp;"$"&amp;TEXT(C2367+57,"###"))&gt;0,INDIRECT(DatCol&amp;"$"&amp;TEXT(C2367,"###")):INDIRECT(DatCol&amp;"$"&amp;TEXT(C2367+57,"###"))))</f>
        <v>1298.7511999999999</v>
      </c>
      <c r="F2367" s="26" t="str">
        <f t="shared" si="2393"/>
        <v>O</v>
      </c>
      <c r="H2367" s="8" t="s">
        <v>138</v>
      </c>
      <c r="I2367" s="8"/>
      <c r="K2367" s="9">
        <f t="shared" si="2372"/>
        <v>0</v>
      </c>
      <c r="AK2367" s="13"/>
      <c r="AM2367" s="13"/>
      <c r="BN2367" s="8">
        <f t="shared" si="2370"/>
        <v>0</v>
      </c>
      <c r="BO2367" s="8">
        <f t="shared" si="2371"/>
        <v>0</v>
      </c>
      <c r="BP2367" s="8">
        <f t="shared" si="2391"/>
        <v>0</v>
      </c>
      <c r="BQ2367" s="12">
        <f t="shared" si="2392"/>
        <v>0</v>
      </c>
    </row>
    <row r="2368" spans="1:69">
      <c r="A2368" s="28">
        <v>2001</v>
      </c>
      <c r="B2368" s="27" t="s">
        <v>103</v>
      </c>
      <c r="C2368" s="24">
        <f t="shared" si="2351"/>
        <v>2322</v>
      </c>
      <c r="D2368" s="7" t="e">
        <f t="shared" ca="1" si="2349"/>
        <v>#N/A</v>
      </c>
      <c r="E2368" s="26">
        <f t="array" aca="1" ref="E2368" ca="1">AVERAGE(IF(INDIRECT(DatCol&amp;"$"&amp;TEXT(C2368,"###")):INDIRECT(DatCol&amp;"$"&amp;TEXT(C2368+57,"###"))&gt;0,INDIRECT(DatCol&amp;"$"&amp;TEXT(C2368,"###")):INDIRECT(DatCol&amp;"$"&amp;TEXT(C2368+57,"###"))))</f>
        <v>1298.7511999999999</v>
      </c>
      <c r="F2368" s="26" t="str">
        <f t="shared" si="2393"/>
        <v>O</v>
      </c>
      <c r="H2368" s="8" t="s">
        <v>138</v>
      </c>
      <c r="I2368" s="8"/>
      <c r="K2368" s="9">
        <f t="shared" si="2372"/>
        <v>0</v>
      </c>
      <c r="AK2368" s="13"/>
      <c r="AM2368" s="13"/>
      <c r="BN2368" s="8">
        <f t="shared" si="2370"/>
        <v>0</v>
      </c>
      <c r="BO2368" s="8">
        <f t="shared" si="2371"/>
        <v>0</v>
      </c>
      <c r="BP2368" s="8">
        <f t="shared" si="2391"/>
        <v>0</v>
      </c>
      <c r="BQ2368" s="12">
        <f t="shared" si="2392"/>
        <v>0</v>
      </c>
    </row>
    <row r="2369" spans="1:69">
      <c r="A2369" s="28">
        <v>2002</v>
      </c>
      <c r="B2369" s="27" t="s">
        <v>103</v>
      </c>
      <c r="C2369" s="24">
        <f t="shared" si="2351"/>
        <v>2322</v>
      </c>
      <c r="D2369" s="7" t="e">
        <f t="shared" ca="1" si="2349"/>
        <v>#N/A</v>
      </c>
      <c r="E2369" s="26">
        <f t="array" aca="1" ref="E2369" ca="1">AVERAGE(IF(INDIRECT(DatCol&amp;"$"&amp;TEXT(C2369,"###")):INDIRECT(DatCol&amp;"$"&amp;TEXT(C2369+57,"###"))&gt;0,INDIRECT(DatCol&amp;"$"&amp;TEXT(C2369,"###")):INDIRECT(DatCol&amp;"$"&amp;TEXT(C2369+57,"###"))))</f>
        <v>1298.7511999999999</v>
      </c>
      <c r="F2369" s="26" t="str">
        <f t="shared" si="2393"/>
        <v>O</v>
      </c>
      <c r="H2369" s="8" t="s">
        <v>138</v>
      </c>
      <c r="I2369" s="8"/>
      <c r="K2369" s="9">
        <f t="shared" si="2372"/>
        <v>0</v>
      </c>
      <c r="AK2369" s="13"/>
      <c r="AM2369" s="13"/>
      <c r="BN2369" s="8">
        <f t="shared" si="2370"/>
        <v>0</v>
      </c>
      <c r="BO2369" s="8">
        <f t="shared" si="2371"/>
        <v>0</v>
      </c>
      <c r="BP2369" s="8">
        <f t="shared" si="2391"/>
        <v>0</v>
      </c>
      <c r="BQ2369" s="12">
        <f t="shared" si="2392"/>
        <v>0</v>
      </c>
    </row>
    <row r="2370" spans="1:69">
      <c r="A2370" s="28">
        <v>2003</v>
      </c>
      <c r="B2370" s="27" t="s">
        <v>103</v>
      </c>
      <c r="C2370" s="24">
        <f t="shared" si="2351"/>
        <v>2322</v>
      </c>
      <c r="D2370" s="7" t="e">
        <f t="shared" ref="D2370:D2433" ca="1" si="2394">IF(AND((INDIRECT(DatCol&amp;TEXT(ROW(),"###"))&gt;0),((F2370=RegionSelect)+(RegionSelect="A"))),INDIRECT(DatCol&amp;TEXT(ROW(),"###"))/E2370,NA())</f>
        <v>#N/A</v>
      </c>
      <c r="E2370" s="26">
        <f t="array" aca="1" ref="E2370" ca="1">AVERAGE(IF(INDIRECT(DatCol&amp;"$"&amp;TEXT(C2370,"###")):INDIRECT(DatCol&amp;"$"&amp;TEXT(C2370+57,"###"))&gt;0,INDIRECT(DatCol&amp;"$"&amp;TEXT(C2370,"###")):INDIRECT(DatCol&amp;"$"&amp;TEXT(C2370+57,"###"))))</f>
        <v>1298.7511999999999</v>
      </c>
      <c r="F2370" s="26" t="str">
        <f t="shared" si="2393"/>
        <v>O</v>
      </c>
      <c r="H2370" s="8" t="s">
        <v>138</v>
      </c>
      <c r="I2370" s="8"/>
      <c r="K2370" s="9">
        <f t="shared" si="2372"/>
        <v>0</v>
      </c>
      <c r="AK2370" s="13"/>
      <c r="AM2370" s="13"/>
      <c r="BN2370" s="8">
        <f t="shared" si="2370"/>
        <v>0</v>
      </c>
      <c r="BO2370" s="8">
        <f t="shared" si="2371"/>
        <v>0</v>
      </c>
      <c r="BP2370" s="8">
        <f t="shared" si="2391"/>
        <v>0</v>
      </c>
      <c r="BQ2370" s="12">
        <f t="shared" si="2392"/>
        <v>0</v>
      </c>
    </row>
    <row r="2371" spans="1:69">
      <c r="A2371" s="28">
        <v>2004</v>
      </c>
      <c r="B2371" s="27" t="s">
        <v>103</v>
      </c>
      <c r="C2371" s="24">
        <f t="shared" si="2351"/>
        <v>2322</v>
      </c>
      <c r="D2371" s="7" t="e">
        <f t="shared" ca="1" si="2394"/>
        <v>#N/A</v>
      </c>
      <c r="E2371" s="26">
        <f t="array" aca="1" ref="E2371" ca="1">AVERAGE(IF(INDIRECT(DatCol&amp;"$"&amp;TEXT(C2371,"###")):INDIRECT(DatCol&amp;"$"&amp;TEXT(C2371+57,"###"))&gt;0,INDIRECT(DatCol&amp;"$"&amp;TEXT(C2371,"###")):INDIRECT(DatCol&amp;"$"&amp;TEXT(C2371+57,"###"))))</f>
        <v>1298.7511999999999</v>
      </c>
      <c r="F2371" s="26" t="str">
        <f t="shared" si="2393"/>
        <v>O</v>
      </c>
      <c r="H2371" s="8" t="s">
        <v>138</v>
      </c>
      <c r="I2371" s="8"/>
      <c r="K2371" s="9">
        <f t="shared" si="2372"/>
        <v>0</v>
      </c>
      <c r="AK2371" s="13"/>
      <c r="AM2371" s="13"/>
      <c r="BN2371" s="8">
        <f t="shared" si="2370"/>
        <v>0</v>
      </c>
      <c r="BO2371" s="8">
        <f t="shared" si="2371"/>
        <v>0</v>
      </c>
      <c r="BP2371" s="8">
        <f t="shared" si="2391"/>
        <v>0</v>
      </c>
      <c r="BQ2371" s="12">
        <f t="shared" si="2392"/>
        <v>0</v>
      </c>
    </row>
    <row r="2372" spans="1:69">
      <c r="A2372" s="28">
        <v>2005</v>
      </c>
      <c r="B2372" s="27" t="s">
        <v>103</v>
      </c>
      <c r="C2372" s="24">
        <f t="shared" si="2351"/>
        <v>2322</v>
      </c>
      <c r="D2372" s="7" t="e">
        <f t="shared" ca="1" si="2394"/>
        <v>#N/A</v>
      </c>
      <c r="E2372" s="26">
        <f t="array" aca="1" ref="E2372" ca="1">AVERAGE(IF(INDIRECT(DatCol&amp;"$"&amp;TEXT(C2372,"###")):INDIRECT(DatCol&amp;"$"&amp;TEXT(C2372+57,"###"))&gt;0,INDIRECT(DatCol&amp;"$"&amp;TEXT(C2372,"###")):INDIRECT(DatCol&amp;"$"&amp;TEXT(C2372+57,"###"))))</f>
        <v>1298.7511999999999</v>
      </c>
      <c r="F2372" s="26" t="str">
        <f t="shared" si="2393"/>
        <v>O</v>
      </c>
      <c r="H2372" s="8" t="s">
        <v>138</v>
      </c>
      <c r="I2372" s="8"/>
      <c r="K2372" s="9">
        <f t="shared" si="2372"/>
        <v>0</v>
      </c>
      <c r="AK2372" s="13"/>
      <c r="AM2372" s="13"/>
      <c r="BN2372" s="8">
        <f t="shared" si="2370"/>
        <v>0</v>
      </c>
      <c r="BO2372" s="8">
        <f t="shared" si="2371"/>
        <v>0</v>
      </c>
      <c r="BP2372" s="8">
        <f t="shared" si="2391"/>
        <v>0</v>
      </c>
      <c r="BQ2372" s="12">
        <f t="shared" si="2392"/>
        <v>0</v>
      </c>
    </row>
    <row r="2373" spans="1:69">
      <c r="A2373" s="28">
        <v>2006</v>
      </c>
      <c r="B2373" s="27" t="s">
        <v>103</v>
      </c>
      <c r="C2373" s="24">
        <f t="shared" si="2351"/>
        <v>2322</v>
      </c>
      <c r="D2373" s="7" t="e">
        <f t="shared" ca="1" si="2394"/>
        <v>#N/A</v>
      </c>
      <c r="E2373" s="26">
        <f t="array" aca="1" ref="E2373" ca="1">AVERAGE(IF(INDIRECT(DatCol&amp;"$"&amp;TEXT(C2373,"###")):INDIRECT(DatCol&amp;"$"&amp;TEXT(C2373+57,"###"))&gt;0,INDIRECT(DatCol&amp;"$"&amp;TEXT(C2373,"###")):INDIRECT(DatCol&amp;"$"&amp;TEXT(C2373+57,"###"))))</f>
        <v>1298.7511999999999</v>
      </c>
      <c r="F2373" s="26" t="str">
        <f t="shared" si="2393"/>
        <v>O</v>
      </c>
      <c r="H2373" s="8" t="s">
        <v>138</v>
      </c>
      <c r="I2373" s="8"/>
      <c r="K2373" s="9">
        <f t="shared" si="2372"/>
        <v>0</v>
      </c>
      <c r="AK2373" s="13"/>
      <c r="AM2373" s="13"/>
      <c r="BN2373" s="8">
        <f t="shared" si="2370"/>
        <v>0</v>
      </c>
      <c r="BO2373" s="8">
        <f t="shared" si="2371"/>
        <v>0</v>
      </c>
      <c r="BP2373" s="8">
        <f t="shared" si="2391"/>
        <v>0</v>
      </c>
      <c r="BQ2373" s="12">
        <f t="shared" si="2392"/>
        <v>0</v>
      </c>
    </row>
    <row r="2374" spans="1:69">
      <c r="A2374" s="28">
        <v>2007</v>
      </c>
      <c r="B2374" s="27" t="s">
        <v>103</v>
      </c>
      <c r="C2374" s="24">
        <f t="shared" si="2351"/>
        <v>2322</v>
      </c>
      <c r="D2374" s="7" t="e">
        <f t="shared" ca="1" si="2394"/>
        <v>#N/A</v>
      </c>
      <c r="E2374" s="26">
        <f t="array" aca="1" ref="E2374" ca="1">AVERAGE(IF(INDIRECT(DatCol&amp;"$"&amp;TEXT(C2374,"###")):INDIRECT(DatCol&amp;"$"&amp;TEXT(C2374+57,"###"))&gt;0,INDIRECT(DatCol&amp;"$"&amp;TEXT(C2374,"###")):INDIRECT(DatCol&amp;"$"&amp;TEXT(C2374+57,"###"))))</f>
        <v>1298.7511999999999</v>
      </c>
      <c r="F2374" s="26" t="str">
        <f t="shared" si="2393"/>
        <v>O</v>
      </c>
      <c r="H2374" s="8" t="s">
        <v>138</v>
      </c>
      <c r="I2374" s="8"/>
      <c r="K2374" s="9">
        <f t="shared" si="2372"/>
        <v>0</v>
      </c>
      <c r="AK2374" s="13"/>
      <c r="AM2374" s="13"/>
      <c r="BN2374" s="8">
        <f t="shared" si="2370"/>
        <v>0</v>
      </c>
      <c r="BO2374" s="8">
        <f t="shared" si="2371"/>
        <v>0</v>
      </c>
      <c r="BP2374" s="8">
        <f t="shared" si="2391"/>
        <v>0</v>
      </c>
      <c r="BQ2374" s="12">
        <f t="shared" si="2392"/>
        <v>0</v>
      </c>
    </row>
    <row r="2375" spans="1:69">
      <c r="A2375" s="28">
        <v>2008</v>
      </c>
      <c r="B2375" s="27" t="s">
        <v>103</v>
      </c>
      <c r="C2375" s="24">
        <f t="shared" si="2351"/>
        <v>2322</v>
      </c>
      <c r="D2375" s="7" t="e">
        <f t="shared" ca="1" si="2394"/>
        <v>#N/A</v>
      </c>
      <c r="E2375" s="26">
        <f t="array" aca="1" ref="E2375" ca="1">AVERAGE(IF(INDIRECT(DatCol&amp;"$"&amp;TEXT(C2375,"###")):INDIRECT(DatCol&amp;"$"&amp;TEXT(C2375+57,"###"))&gt;0,INDIRECT(DatCol&amp;"$"&amp;TEXT(C2375,"###")):INDIRECT(DatCol&amp;"$"&amp;TEXT(C2375+57,"###"))))</f>
        <v>1298.7511999999999</v>
      </c>
      <c r="F2375" s="26" t="str">
        <f t="shared" si="2393"/>
        <v>O</v>
      </c>
      <c r="H2375" s="8" t="s">
        <v>138</v>
      </c>
      <c r="I2375" s="8"/>
      <c r="K2375" s="9">
        <f t="shared" si="2372"/>
        <v>0</v>
      </c>
      <c r="AK2375" s="13"/>
      <c r="AM2375" s="13"/>
      <c r="BN2375" s="8">
        <f t="shared" si="2370"/>
        <v>0</v>
      </c>
      <c r="BO2375" s="8">
        <f t="shared" si="2371"/>
        <v>0</v>
      </c>
      <c r="BP2375" s="8">
        <f t="shared" si="2391"/>
        <v>0</v>
      </c>
      <c r="BQ2375" s="12">
        <f t="shared" si="2392"/>
        <v>0</v>
      </c>
    </row>
    <row r="2376" spans="1:69">
      <c r="A2376" s="28">
        <v>2009</v>
      </c>
      <c r="B2376" s="27" t="s">
        <v>103</v>
      </c>
      <c r="C2376" s="24">
        <f t="shared" si="2351"/>
        <v>2322</v>
      </c>
      <c r="D2376" s="7" t="e">
        <f t="shared" ca="1" si="2394"/>
        <v>#N/A</v>
      </c>
      <c r="E2376" s="26">
        <f t="array" aca="1" ref="E2376" ca="1">AVERAGE(IF(INDIRECT(DatCol&amp;"$"&amp;TEXT(C2376,"###")):INDIRECT(DatCol&amp;"$"&amp;TEXT(C2376+57,"###"))&gt;0,INDIRECT(DatCol&amp;"$"&amp;TEXT(C2376,"###")):INDIRECT(DatCol&amp;"$"&amp;TEXT(C2376+57,"###"))))</f>
        <v>1298.7511999999999</v>
      </c>
      <c r="F2376" s="26" t="str">
        <f t="shared" si="2393"/>
        <v>O</v>
      </c>
      <c r="H2376" s="8">
        <v>25</v>
      </c>
      <c r="I2376" s="8">
        <v>33</v>
      </c>
      <c r="J2376" s="9">
        <v>505</v>
      </c>
      <c r="K2376" s="9">
        <f t="shared" si="2372"/>
        <v>530</v>
      </c>
      <c r="L2376" s="10">
        <f>M2376/50</f>
        <v>21.14</v>
      </c>
      <c r="M2376" s="11">
        <v>1057</v>
      </c>
      <c r="N2376" s="10">
        <f>O2376/50</f>
        <v>46.78</v>
      </c>
      <c r="O2376" s="11">
        <v>2339</v>
      </c>
      <c r="P2376" s="10">
        <f>Q2376/75</f>
        <v>942.96</v>
      </c>
      <c r="Q2376" s="11">
        <v>70722</v>
      </c>
      <c r="R2376" s="10">
        <v>0</v>
      </c>
      <c r="S2376" s="11">
        <v>0</v>
      </c>
      <c r="T2376" s="10">
        <v>0</v>
      </c>
      <c r="U2376" s="11">
        <v>0</v>
      </c>
      <c r="V2376" s="10">
        <f>W2376/75</f>
        <v>1005.96</v>
      </c>
      <c r="W2376" s="11">
        <v>75447</v>
      </c>
      <c r="X2376" s="10">
        <f>Y2376/75</f>
        <v>69.333333333333329</v>
      </c>
      <c r="Y2376" s="11">
        <v>5200</v>
      </c>
      <c r="Z2376" s="10">
        <v>0</v>
      </c>
      <c r="AA2376" s="11">
        <v>0</v>
      </c>
      <c r="AB2376" s="10">
        <v>0</v>
      </c>
      <c r="AC2376" s="11">
        <v>0</v>
      </c>
      <c r="AD2376" s="10">
        <v>0</v>
      </c>
      <c r="AE2376" s="11">
        <v>0</v>
      </c>
      <c r="AF2376" s="10">
        <v>0</v>
      </c>
      <c r="AG2376" s="11">
        <v>0</v>
      </c>
      <c r="AH2376" s="10">
        <v>0</v>
      </c>
      <c r="AI2376" s="11">
        <v>0</v>
      </c>
      <c r="AJ2376" s="10">
        <v>0</v>
      </c>
      <c r="AK2376" s="13">
        <v>0</v>
      </c>
      <c r="AL2376" s="10">
        <v>0</v>
      </c>
      <c r="AM2376" s="13">
        <v>0</v>
      </c>
      <c r="AN2376" s="10">
        <v>0</v>
      </c>
      <c r="AO2376" s="11">
        <v>0</v>
      </c>
      <c r="AP2376" s="10">
        <v>0</v>
      </c>
      <c r="AQ2376" s="11">
        <v>0</v>
      </c>
      <c r="AR2376" s="10">
        <v>0</v>
      </c>
      <c r="AS2376" s="11">
        <v>0</v>
      </c>
      <c r="AT2376" s="10">
        <v>0</v>
      </c>
      <c r="AU2376" s="11">
        <v>0</v>
      </c>
      <c r="AV2376" s="10">
        <v>0</v>
      </c>
      <c r="AW2376" s="11">
        <v>0</v>
      </c>
      <c r="AX2376" s="10">
        <v>0</v>
      </c>
      <c r="AY2376" s="11">
        <v>0</v>
      </c>
      <c r="AZ2376" s="10">
        <v>0</v>
      </c>
      <c r="BA2376" s="11">
        <v>0</v>
      </c>
      <c r="BB2376" s="10">
        <v>0</v>
      </c>
      <c r="BC2376" s="11">
        <v>0</v>
      </c>
      <c r="BD2376" s="10">
        <v>0</v>
      </c>
      <c r="BE2376" s="11">
        <v>0</v>
      </c>
      <c r="BF2376" s="10">
        <v>0</v>
      </c>
      <c r="BG2376" s="11">
        <v>0</v>
      </c>
      <c r="BH2376" s="11">
        <v>0</v>
      </c>
      <c r="BI2376" s="11">
        <v>0</v>
      </c>
      <c r="BJ2376" s="10">
        <v>0</v>
      </c>
      <c r="BK2376" s="11">
        <v>0</v>
      </c>
      <c r="BL2376" s="10">
        <v>0</v>
      </c>
      <c r="BM2376" s="11">
        <v>0</v>
      </c>
      <c r="BN2376" s="8">
        <f t="shared" si="2370"/>
        <v>2039.3933333333332</v>
      </c>
      <c r="BO2376" s="8">
        <f t="shared" si="2371"/>
        <v>152426</v>
      </c>
      <c r="BP2376" s="8">
        <f t="shared" si="2391"/>
        <v>116.11333333333333</v>
      </c>
      <c r="BQ2376" s="12">
        <f t="shared" si="2392"/>
        <v>7539</v>
      </c>
    </row>
    <row r="2377" spans="1:69">
      <c r="A2377" s="28">
        <v>2010</v>
      </c>
      <c r="B2377" s="27" t="s">
        <v>103</v>
      </c>
      <c r="C2377" s="24">
        <f t="shared" si="2351"/>
        <v>2322</v>
      </c>
      <c r="D2377" s="7" t="e">
        <f t="shared" ca="1" si="2394"/>
        <v>#N/A</v>
      </c>
      <c r="E2377" s="26">
        <f t="array" aca="1" ref="E2377" ca="1">AVERAGE(IF(INDIRECT(DatCol&amp;"$"&amp;TEXT(C2377,"###")):INDIRECT(DatCol&amp;"$"&amp;TEXT(C2377+57,"###"))&gt;0,INDIRECT(DatCol&amp;"$"&amp;TEXT(C2377,"###")):INDIRECT(DatCol&amp;"$"&amp;TEXT(C2377+57,"###"))))</f>
        <v>1298.7511999999999</v>
      </c>
      <c r="F2377" s="26" t="str">
        <f t="shared" ref="F2377:F2379" si="2395">VLOOKUP(B2377,town_region,2,FALSE)</f>
        <v>O</v>
      </c>
      <c r="H2377" s="8"/>
      <c r="I2377" s="8"/>
      <c r="AK2377" s="13"/>
      <c r="AM2377" s="13"/>
      <c r="BN2377" s="8"/>
      <c r="BO2377" s="8"/>
      <c r="BP2377" s="8"/>
      <c r="BQ2377" s="12"/>
    </row>
    <row r="2378" spans="1:69">
      <c r="A2378" s="28">
        <v>2011</v>
      </c>
      <c r="B2378" s="27" t="s">
        <v>103</v>
      </c>
      <c r="C2378" s="24">
        <f t="shared" si="2351"/>
        <v>2322</v>
      </c>
      <c r="D2378" s="7" t="e">
        <f t="shared" ca="1" si="2394"/>
        <v>#N/A</v>
      </c>
      <c r="E2378" s="26">
        <f t="array" aca="1" ref="E2378" ca="1">AVERAGE(IF(INDIRECT(DatCol&amp;"$"&amp;TEXT(C2378,"###")):INDIRECT(DatCol&amp;"$"&amp;TEXT(C2378+57,"###"))&gt;0,INDIRECT(DatCol&amp;"$"&amp;TEXT(C2378,"###")):INDIRECT(DatCol&amp;"$"&amp;TEXT(C2378+57,"###"))))</f>
        <v>1298.7511999999999</v>
      </c>
      <c r="F2378" s="26" t="str">
        <f t="shared" si="2395"/>
        <v>O</v>
      </c>
      <c r="H2378" s="8"/>
      <c r="I2378" s="8"/>
      <c r="AK2378" s="13"/>
      <c r="AM2378" s="13"/>
      <c r="BN2378" s="8"/>
      <c r="BO2378" s="8"/>
      <c r="BP2378" s="8"/>
      <c r="BQ2378" s="12"/>
    </row>
    <row r="2379" spans="1:69">
      <c r="A2379" s="28">
        <v>2012</v>
      </c>
      <c r="B2379" s="27" t="s">
        <v>103</v>
      </c>
      <c r="C2379" s="24">
        <f t="shared" si="2351"/>
        <v>2322</v>
      </c>
      <c r="D2379" s="7" t="e">
        <f t="shared" ca="1" si="2394"/>
        <v>#N/A</v>
      </c>
      <c r="E2379" s="26">
        <f t="array" aca="1" ref="E2379" ca="1">AVERAGE(IF(INDIRECT(DatCol&amp;"$"&amp;TEXT(C2379,"###")):INDIRECT(DatCol&amp;"$"&amp;TEXT(C2379+57,"###"))&gt;0,INDIRECT(DatCol&amp;"$"&amp;TEXT(C2379,"###")):INDIRECT(DatCol&amp;"$"&amp;TEXT(C2379+57,"###"))))</f>
        <v>1298.7511999999999</v>
      </c>
      <c r="F2379" s="26" t="str">
        <f t="shared" si="2395"/>
        <v>O</v>
      </c>
      <c r="H2379" s="8"/>
      <c r="I2379" s="8"/>
      <c r="AK2379" s="13"/>
      <c r="AM2379" s="13"/>
      <c r="BN2379" s="8"/>
      <c r="BO2379" s="8"/>
      <c r="BP2379" s="8"/>
      <c r="BQ2379" s="12"/>
    </row>
    <row r="2380" spans="1:69">
      <c r="A2380" s="28">
        <v>1955</v>
      </c>
      <c r="B2380" s="27" t="s">
        <v>107</v>
      </c>
      <c r="C2380" s="24">
        <f>ROW()</f>
        <v>2380</v>
      </c>
      <c r="D2380" s="7" t="e">
        <f t="shared" ca="1" si="2394"/>
        <v>#N/A</v>
      </c>
      <c r="E2380" s="26">
        <f t="array" aca="1" ref="E2380" ca="1">AVERAGE(IF(INDIRECT(DatCol&amp;"$"&amp;TEXT(C2380,"###")):INDIRECT(DatCol&amp;"$"&amp;TEXT(C2380+57,"###"))&gt;0,INDIRECT(DatCol&amp;"$"&amp;TEXT(C2380,"###")):INDIRECT(DatCol&amp;"$"&amp;TEXT(C2380+57,"###"))))</f>
        <v>261.10121951219509</v>
      </c>
      <c r="F2380" s="26" t="str">
        <f t="shared" si="2393"/>
        <v>I</v>
      </c>
      <c r="G2380" s="8"/>
      <c r="K2380" s="9">
        <f t="shared" si="2372"/>
        <v>0</v>
      </c>
      <c r="M2380" s="11">
        <f t="shared" ref="M2380:M2393" si="2396">(L2380*50)</f>
        <v>0</v>
      </c>
      <c r="O2380" s="11">
        <f t="shared" ref="O2380:O2393" si="2397">(N2380*50)</f>
        <v>0</v>
      </c>
      <c r="Q2380" s="11">
        <f t="shared" ref="Q2380:Q2393" si="2398">((P2380*330)/5.5)</f>
        <v>0</v>
      </c>
      <c r="Y2380" s="11">
        <f t="shared" ref="Y2380:Y2393" si="2399">((X2380*330)/5.5)</f>
        <v>0</v>
      </c>
      <c r="AG2380" s="11">
        <f t="shared" ref="AG2380:AG2393" si="2400">(AF2380*65)</f>
        <v>0</v>
      </c>
      <c r="AI2380" s="11">
        <f t="shared" ref="AI2380:AI2393" si="2401">(AH2380*65)</f>
        <v>0</v>
      </c>
      <c r="AK2380" s="13">
        <f t="shared" ref="AK2380:AK2393" si="2402">(AJ2380*9)</f>
        <v>0</v>
      </c>
      <c r="AM2380" s="13">
        <f t="shared" ref="AM2380:AM2393" si="2403">(AL2380*9)</f>
        <v>0</v>
      </c>
      <c r="AO2380" s="11">
        <f t="shared" ref="AO2380:AO2393" si="2404">(AN2380*80)</f>
        <v>0</v>
      </c>
      <c r="AQ2380" s="11">
        <f t="shared" ref="AQ2380:AQ2393" si="2405">(AP2380*80)</f>
        <v>0</v>
      </c>
      <c r="AS2380" s="11">
        <f t="shared" ref="AS2380:AS2393" si="2406">(AR2380*50)</f>
        <v>0</v>
      </c>
      <c r="AU2380" s="11">
        <f t="shared" ref="AU2380:AU2393" si="2407">(AT2380*50)</f>
        <v>0</v>
      </c>
      <c r="AW2380" s="11">
        <f t="shared" ref="AW2380:AW2393" si="2408">(AV2380*60)</f>
        <v>0</v>
      </c>
      <c r="AY2380" s="11">
        <f t="shared" ref="AY2380:AY2393" si="2409">(AX2380*60)</f>
        <v>0</v>
      </c>
      <c r="BA2380" s="11">
        <f t="shared" ref="BA2380:BA2393" si="2410">(AZ2380*40)</f>
        <v>0</v>
      </c>
      <c r="BC2380" s="11">
        <f t="shared" ref="BC2380:BC2393" si="2411">(BB2380*40)</f>
        <v>0</v>
      </c>
      <c r="BE2380" s="11">
        <f t="shared" ref="BE2380:BE2393" si="2412">(BD2380*95)</f>
        <v>0</v>
      </c>
      <c r="BG2380" s="11">
        <f t="shared" ref="BG2380:BG2393" si="2413">(BF2380*95)</f>
        <v>0</v>
      </c>
      <c r="BN2380" s="8">
        <f t="shared" si="2370"/>
        <v>0</v>
      </c>
      <c r="BO2380" s="8">
        <f t="shared" si="2371"/>
        <v>0</v>
      </c>
      <c r="BP2380" s="8">
        <f t="shared" si="2391"/>
        <v>0</v>
      </c>
      <c r="BQ2380" s="12">
        <f t="shared" si="2392"/>
        <v>0</v>
      </c>
    </row>
    <row r="2381" spans="1:69">
      <c r="A2381" s="28">
        <v>1956</v>
      </c>
      <c r="B2381" s="27" t="s">
        <v>107</v>
      </c>
      <c r="C2381" s="24">
        <f t="shared" ref="C2381:C2437" si="2414">C2380</f>
        <v>2380</v>
      </c>
      <c r="D2381" s="7" t="e">
        <f t="shared" ca="1" si="2394"/>
        <v>#N/A</v>
      </c>
      <c r="E2381" s="26">
        <f t="array" aca="1" ref="E2381" ca="1">AVERAGE(IF(INDIRECT(DatCol&amp;"$"&amp;TEXT(C2381,"###")):INDIRECT(DatCol&amp;"$"&amp;TEXT(C2381+57,"###"))&gt;0,INDIRECT(DatCol&amp;"$"&amp;TEXT(C2381,"###")):INDIRECT(DatCol&amp;"$"&amp;TEXT(C2381+57,"###"))))</f>
        <v>261.10121951219509</v>
      </c>
      <c r="F2381" s="26" t="str">
        <f t="shared" si="2393"/>
        <v>I</v>
      </c>
      <c r="G2381" s="8"/>
      <c r="K2381" s="9">
        <f t="shared" si="2372"/>
        <v>0</v>
      </c>
      <c r="M2381" s="11">
        <f t="shared" si="2396"/>
        <v>0</v>
      </c>
      <c r="O2381" s="11">
        <f t="shared" si="2397"/>
        <v>0</v>
      </c>
      <c r="Q2381" s="11">
        <f t="shared" si="2398"/>
        <v>0</v>
      </c>
      <c r="Y2381" s="11">
        <f t="shared" si="2399"/>
        <v>0</v>
      </c>
      <c r="AG2381" s="11">
        <f t="shared" si="2400"/>
        <v>0</v>
      </c>
      <c r="AI2381" s="11">
        <f t="shared" si="2401"/>
        <v>0</v>
      </c>
      <c r="AK2381" s="13">
        <f t="shared" si="2402"/>
        <v>0</v>
      </c>
      <c r="AM2381" s="13">
        <f t="shared" si="2403"/>
        <v>0</v>
      </c>
      <c r="AO2381" s="11">
        <f t="shared" si="2404"/>
        <v>0</v>
      </c>
      <c r="AQ2381" s="11">
        <f t="shared" si="2405"/>
        <v>0</v>
      </c>
      <c r="AS2381" s="11">
        <f t="shared" si="2406"/>
        <v>0</v>
      </c>
      <c r="AU2381" s="11">
        <f t="shared" si="2407"/>
        <v>0</v>
      </c>
      <c r="AW2381" s="11">
        <f t="shared" si="2408"/>
        <v>0</v>
      </c>
      <c r="AY2381" s="11">
        <f t="shared" si="2409"/>
        <v>0</v>
      </c>
      <c r="BA2381" s="11">
        <f t="shared" si="2410"/>
        <v>0</v>
      </c>
      <c r="BC2381" s="11">
        <f t="shared" si="2411"/>
        <v>0</v>
      </c>
      <c r="BE2381" s="11">
        <f t="shared" si="2412"/>
        <v>0</v>
      </c>
      <c r="BG2381" s="11">
        <f t="shared" si="2413"/>
        <v>0</v>
      </c>
      <c r="BN2381" s="8">
        <f t="shared" si="2370"/>
        <v>0</v>
      </c>
      <c r="BO2381" s="8">
        <f t="shared" si="2371"/>
        <v>0</v>
      </c>
      <c r="BP2381" s="8">
        <f t="shared" si="2391"/>
        <v>0</v>
      </c>
      <c r="BQ2381" s="12">
        <f t="shared" si="2392"/>
        <v>0</v>
      </c>
    </row>
    <row r="2382" spans="1:69">
      <c r="A2382" s="28">
        <v>1957</v>
      </c>
      <c r="B2382" s="27" t="s">
        <v>107</v>
      </c>
      <c r="C2382" s="24">
        <f t="shared" si="2414"/>
        <v>2380</v>
      </c>
      <c r="D2382" s="7" t="e">
        <f t="shared" ca="1" si="2394"/>
        <v>#N/A</v>
      </c>
      <c r="E2382" s="26">
        <f t="array" aca="1" ref="E2382" ca="1">AVERAGE(IF(INDIRECT(DatCol&amp;"$"&amp;TEXT(C2382,"###")):INDIRECT(DatCol&amp;"$"&amp;TEXT(C2382+57,"###"))&gt;0,INDIRECT(DatCol&amp;"$"&amp;TEXT(C2382,"###")):INDIRECT(DatCol&amp;"$"&amp;TEXT(C2382+57,"###"))))</f>
        <v>261.10121951219509</v>
      </c>
      <c r="F2382" s="26" t="str">
        <f t="shared" si="2393"/>
        <v>I</v>
      </c>
      <c r="G2382" s="8"/>
      <c r="K2382" s="9">
        <f t="shared" si="2372"/>
        <v>0</v>
      </c>
      <c r="M2382" s="11">
        <f t="shared" si="2396"/>
        <v>0</v>
      </c>
      <c r="O2382" s="11">
        <f t="shared" si="2397"/>
        <v>0</v>
      </c>
      <c r="Q2382" s="11">
        <f t="shared" si="2398"/>
        <v>0</v>
      </c>
      <c r="Y2382" s="11">
        <f t="shared" si="2399"/>
        <v>0</v>
      </c>
      <c r="AG2382" s="11">
        <f t="shared" si="2400"/>
        <v>0</v>
      </c>
      <c r="AI2382" s="11">
        <f t="shared" si="2401"/>
        <v>0</v>
      </c>
      <c r="AK2382" s="13">
        <f t="shared" si="2402"/>
        <v>0</v>
      </c>
      <c r="AM2382" s="13">
        <f t="shared" si="2403"/>
        <v>0</v>
      </c>
      <c r="AO2382" s="11">
        <f t="shared" si="2404"/>
        <v>0</v>
      </c>
      <c r="AQ2382" s="11">
        <f t="shared" si="2405"/>
        <v>0</v>
      </c>
      <c r="AS2382" s="11">
        <f t="shared" si="2406"/>
        <v>0</v>
      </c>
      <c r="AU2382" s="11">
        <f t="shared" si="2407"/>
        <v>0</v>
      </c>
      <c r="AW2382" s="11">
        <f t="shared" si="2408"/>
        <v>0</v>
      </c>
      <c r="AY2382" s="11">
        <f t="shared" si="2409"/>
        <v>0</v>
      </c>
      <c r="BA2382" s="11">
        <f t="shared" si="2410"/>
        <v>0</v>
      </c>
      <c r="BC2382" s="11">
        <f t="shared" si="2411"/>
        <v>0</v>
      </c>
      <c r="BE2382" s="11">
        <f t="shared" si="2412"/>
        <v>0</v>
      </c>
      <c r="BG2382" s="11">
        <f t="shared" si="2413"/>
        <v>0</v>
      </c>
      <c r="BN2382" s="8">
        <f t="shared" si="2370"/>
        <v>0</v>
      </c>
      <c r="BO2382" s="8">
        <f t="shared" si="2371"/>
        <v>0</v>
      </c>
      <c r="BP2382" s="8">
        <f t="shared" si="2391"/>
        <v>0</v>
      </c>
      <c r="BQ2382" s="12">
        <f t="shared" si="2392"/>
        <v>0</v>
      </c>
    </row>
    <row r="2383" spans="1:69">
      <c r="A2383" s="28">
        <v>1958</v>
      </c>
      <c r="B2383" s="27" t="s">
        <v>107</v>
      </c>
      <c r="C2383" s="24">
        <f t="shared" si="2414"/>
        <v>2380</v>
      </c>
      <c r="D2383" s="7" t="e">
        <f t="shared" ca="1" si="2394"/>
        <v>#N/A</v>
      </c>
      <c r="E2383" s="26">
        <f t="array" aca="1" ref="E2383" ca="1">AVERAGE(IF(INDIRECT(DatCol&amp;"$"&amp;TEXT(C2383,"###")):INDIRECT(DatCol&amp;"$"&amp;TEXT(C2383+57,"###"))&gt;0,INDIRECT(DatCol&amp;"$"&amp;TEXT(C2383,"###")):INDIRECT(DatCol&amp;"$"&amp;TEXT(C2383+57,"###"))))</f>
        <v>261.10121951219509</v>
      </c>
      <c r="F2383" s="26" t="str">
        <f t="shared" si="2393"/>
        <v>I</v>
      </c>
      <c r="G2383" s="8"/>
      <c r="K2383" s="9">
        <f t="shared" si="2372"/>
        <v>0</v>
      </c>
      <c r="M2383" s="11">
        <f t="shared" si="2396"/>
        <v>0</v>
      </c>
      <c r="O2383" s="11">
        <f t="shared" si="2397"/>
        <v>0</v>
      </c>
      <c r="Q2383" s="11">
        <f t="shared" si="2398"/>
        <v>0</v>
      </c>
      <c r="Y2383" s="11">
        <f t="shared" si="2399"/>
        <v>0</v>
      </c>
      <c r="AG2383" s="11">
        <f t="shared" si="2400"/>
        <v>0</v>
      </c>
      <c r="AI2383" s="11">
        <f t="shared" si="2401"/>
        <v>0</v>
      </c>
      <c r="AK2383" s="13">
        <f t="shared" si="2402"/>
        <v>0</v>
      </c>
      <c r="AM2383" s="13">
        <f t="shared" si="2403"/>
        <v>0</v>
      </c>
      <c r="AO2383" s="11">
        <f t="shared" si="2404"/>
        <v>0</v>
      </c>
      <c r="AQ2383" s="11">
        <f t="shared" si="2405"/>
        <v>0</v>
      </c>
      <c r="AS2383" s="11">
        <f t="shared" si="2406"/>
        <v>0</v>
      </c>
      <c r="AU2383" s="11">
        <f t="shared" si="2407"/>
        <v>0</v>
      </c>
      <c r="AW2383" s="11">
        <f t="shared" si="2408"/>
        <v>0</v>
      </c>
      <c r="AY2383" s="11">
        <f t="shared" si="2409"/>
        <v>0</v>
      </c>
      <c r="BA2383" s="11">
        <f t="shared" si="2410"/>
        <v>0</v>
      </c>
      <c r="BC2383" s="11">
        <f t="shared" si="2411"/>
        <v>0</v>
      </c>
      <c r="BE2383" s="11">
        <f t="shared" si="2412"/>
        <v>0</v>
      </c>
      <c r="BG2383" s="11">
        <f t="shared" si="2413"/>
        <v>0</v>
      </c>
      <c r="BN2383" s="8">
        <f t="shared" si="2370"/>
        <v>0</v>
      </c>
      <c r="BO2383" s="8">
        <f t="shared" si="2371"/>
        <v>0</v>
      </c>
      <c r="BP2383" s="8">
        <f t="shared" si="2391"/>
        <v>0</v>
      </c>
      <c r="BQ2383" s="12">
        <f t="shared" si="2392"/>
        <v>0</v>
      </c>
    </row>
    <row r="2384" spans="1:69">
      <c r="A2384" s="28">
        <v>1959</v>
      </c>
      <c r="B2384" s="27" t="s">
        <v>107</v>
      </c>
      <c r="C2384" s="24">
        <f t="shared" si="2414"/>
        <v>2380</v>
      </c>
      <c r="D2384" s="7" t="e">
        <f t="shared" ca="1" si="2394"/>
        <v>#N/A</v>
      </c>
      <c r="E2384" s="26">
        <f t="array" aca="1" ref="E2384" ca="1">AVERAGE(IF(INDIRECT(DatCol&amp;"$"&amp;TEXT(C2384,"###")):INDIRECT(DatCol&amp;"$"&amp;TEXT(C2384+57,"###"))&gt;0,INDIRECT(DatCol&amp;"$"&amp;TEXT(C2384,"###")):INDIRECT(DatCol&amp;"$"&amp;TEXT(C2384+57,"###"))))</f>
        <v>261.10121951219509</v>
      </c>
      <c r="F2384" s="26" t="str">
        <f t="shared" si="2393"/>
        <v>I</v>
      </c>
      <c r="G2384" s="8"/>
      <c r="K2384" s="9">
        <f t="shared" si="2372"/>
        <v>0</v>
      </c>
      <c r="M2384" s="11">
        <f t="shared" si="2396"/>
        <v>0</v>
      </c>
      <c r="O2384" s="11">
        <f t="shared" si="2397"/>
        <v>0</v>
      </c>
      <c r="Q2384" s="11">
        <f t="shared" si="2398"/>
        <v>0</v>
      </c>
      <c r="Y2384" s="11">
        <f t="shared" si="2399"/>
        <v>0</v>
      </c>
      <c r="AG2384" s="11">
        <f t="shared" si="2400"/>
        <v>0</v>
      </c>
      <c r="AI2384" s="11">
        <f t="shared" si="2401"/>
        <v>0</v>
      </c>
      <c r="AK2384" s="13">
        <f t="shared" si="2402"/>
        <v>0</v>
      </c>
      <c r="AM2384" s="13">
        <f t="shared" si="2403"/>
        <v>0</v>
      </c>
      <c r="AO2384" s="11">
        <f t="shared" si="2404"/>
        <v>0</v>
      </c>
      <c r="AQ2384" s="11">
        <f t="shared" si="2405"/>
        <v>0</v>
      </c>
      <c r="AS2384" s="11">
        <f t="shared" si="2406"/>
        <v>0</v>
      </c>
      <c r="AU2384" s="11">
        <f t="shared" si="2407"/>
        <v>0</v>
      </c>
      <c r="AW2384" s="11">
        <f t="shared" si="2408"/>
        <v>0</v>
      </c>
      <c r="AY2384" s="11">
        <f t="shared" si="2409"/>
        <v>0</v>
      </c>
      <c r="BA2384" s="11">
        <f t="shared" si="2410"/>
        <v>0</v>
      </c>
      <c r="BC2384" s="11">
        <f t="shared" si="2411"/>
        <v>0</v>
      </c>
      <c r="BE2384" s="11">
        <f t="shared" si="2412"/>
        <v>0</v>
      </c>
      <c r="BG2384" s="11">
        <f t="shared" si="2413"/>
        <v>0</v>
      </c>
      <c r="BN2384" s="8">
        <f t="shared" si="2370"/>
        <v>0</v>
      </c>
      <c r="BO2384" s="8">
        <f t="shared" si="2371"/>
        <v>0</v>
      </c>
      <c r="BP2384" s="8">
        <f t="shared" si="2391"/>
        <v>0</v>
      </c>
      <c r="BQ2384" s="12">
        <f t="shared" si="2392"/>
        <v>0</v>
      </c>
    </row>
    <row r="2385" spans="1:69">
      <c r="A2385" s="28">
        <v>1960</v>
      </c>
      <c r="B2385" s="27" t="s">
        <v>107</v>
      </c>
      <c r="C2385" s="24">
        <f t="shared" si="2414"/>
        <v>2380</v>
      </c>
      <c r="D2385" s="7" t="e">
        <f t="shared" ca="1" si="2394"/>
        <v>#N/A</v>
      </c>
      <c r="E2385" s="26">
        <f t="array" aca="1" ref="E2385" ca="1">AVERAGE(IF(INDIRECT(DatCol&amp;"$"&amp;TEXT(C2385,"###")):INDIRECT(DatCol&amp;"$"&amp;TEXT(C2385+57,"###"))&gt;0,INDIRECT(DatCol&amp;"$"&amp;TEXT(C2385,"###")):INDIRECT(DatCol&amp;"$"&amp;TEXT(C2385+57,"###"))))</f>
        <v>261.10121951219509</v>
      </c>
      <c r="F2385" s="26" t="str">
        <f t="shared" si="2393"/>
        <v>I</v>
      </c>
      <c r="G2385" s="8"/>
      <c r="K2385" s="9">
        <f t="shared" si="2372"/>
        <v>0</v>
      </c>
      <c r="M2385" s="11">
        <f t="shared" si="2396"/>
        <v>0</v>
      </c>
      <c r="O2385" s="11">
        <f t="shared" si="2397"/>
        <v>0</v>
      </c>
      <c r="Q2385" s="11">
        <f t="shared" si="2398"/>
        <v>0</v>
      </c>
      <c r="Y2385" s="11">
        <f t="shared" si="2399"/>
        <v>0</v>
      </c>
      <c r="AG2385" s="11">
        <f t="shared" si="2400"/>
        <v>0</v>
      </c>
      <c r="AI2385" s="11">
        <f t="shared" si="2401"/>
        <v>0</v>
      </c>
      <c r="AK2385" s="13">
        <f t="shared" si="2402"/>
        <v>0</v>
      </c>
      <c r="AM2385" s="13">
        <f t="shared" si="2403"/>
        <v>0</v>
      </c>
      <c r="AO2385" s="11">
        <f t="shared" si="2404"/>
        <v>0</v>
      </c>
      <c r="AQ2385" s="11">
        <f t="shared" si="2405"/>
        <v>0</v>
      </c>
      <c r="AS2385" s="11">
        <f t="shared" si="2406"/>
        <v>0</v>
      </c>
      <c r="AU2385" s="11">
        <f t="shared" si="2407"/>
        <v>0</v>
      </c>
      <c r="AW2385" s="11">
        <f t="shared" si="2408"/>
        <v>0</v>
      </c>
      <c r="AY2385" s="11">
        <f t="shared" si="2409"/>
        <v>0</v>
      </c>
      <c r="BA2385" s="11">
        <f t="shared" si="2410"/>
        <v>0</v>
      </c>
      <c r="BC2385" s="11">
        <f t="shared" si="2411"/>
        <v>0</v>
      </c>
      <c r="BE2385" s="11">
        <f t="shared" si="2412"/>
        <v>0</v>
      </c>
      <c r="BG2385" s="11">
        <f t="shared" si="2413"/>
        <v>0</v>
      </c>
      <c r="BN2385" s="8">
        <f t="shared" si="2370"/>
        <v>0</v>
      </c>
      <c r="BO2385" s="8">
        <f t="shared" si="2371"/>
        <v>0</v>
      </c>
      <c r="BP2385" s="8">
        <f t="shared" si="2391"/>
        <v>0</v>
      </c>
      <c r="BQ2385" s="12">
        <f t="shared" si="2392"/>
        <v>0</v>
      </c>
    </row>
    <row r="2386" spans="1:69">
      <c r="A2386" s="28">
        <v>1961</v>
      </c>
      <c r="B2386" s="27" t="s">
        <v>107</v>
      </c>
      <c r="C2386" s="24">
        <f t="shared" si="2414"/>
        <v>2380</v>
      </c>
      <c r="D2386" s="7" t="e">
        <f t="shared" ca="1" si="2394"/>
        <v>#N/A</v>
      </c>
      <c r="E2386" s="26">
        <f t="array" aca="1" ref="E2386" ca="1">AVERAGE(IF(INDIRECT(DatCol&amp;"$"&amp;TEXT(C2386,"###")):INDIRECT(DatCol&amp;"$"&amp;TEXT(C2386+57,"###"))&gt;0,INDIRECT(DatCol&amp;"$"&amp;TEXT(C2386,"###")):INDIRECT(DatCol&amp;"$"&amp;TEXT(C2386+57,"###"))))</f>
        <v>261.10121951219509</v>
      </c>
      <c r="F2386" s="26" t="str">
        <f t="shared" si="2393"/>
        <v>I</v>
      </c>
      <c r="G2386" s="8"/>
      <c r="K2386" s="9">
        <f t="shared" si="2372"/>
        <v>0</v>
      </c>
      <c r="M2386" s="11">
        <f t="shared" si="2396"/>
        <v>0</v>
      </c>
      <c r="O2386" s="11">
        <f t="shared" si="2397"/>
        <v>0</v>
      </c>
      <c r="Q2386" s="11">
        <f t="shared" si="2398"/>
        <v>0</v>
      </c>
      <c r="Y2386" s="11">
        <f t="shared" si="2399"/>
        <v>0</v>
      </c>
      <c r="AG2386" s="11">
        <f t="shared" si="2400"/>
        <v>0</v>
      </c>
      <c r="AI2386" s="11">
        <f t="shared" si="2401"/>
        <v>0</v>
      </c>
      <c r="AK2386" s="13">
        <f t="shared" si="2402"/>
        <v>0</v>
      </c>
      <c r="AM2386" s="13">
        <f t="shared" si="2403"/>
        <v>0</v>
      </c>
      <c r="AO2386" s="11">
        <f t="shared" si="2404"/>
        <v>0</v>
      </c>
      <c r="AQ2386" s="11">
        <f t="shared" si="2405"/>
        <v>0</v>
      </c>
      <c r="AS2386" s="11">
        <f t="shared" si="2406"/>
        <v>0</v>
      </c>
      <c r="AU2386" s="11">
        <f t="shared" si="2407"/>
        <v>0</v>
      </c>
      <c r="AW2386" s="11">
        <f t="shared" si="2408"/>
        <v>0</v>
      </c>
      <c r="AY2386" s="11">
        <f t="shared" si="2409"/>
        <v>0</v>
      </c>
      <c r="BA2386" s="11">
        <f t="shared" si="2410"/>
        <v>0</v>
      </c>
      <c r="BC2386" s="11">
        <f t="shared" si="2411"/>
        <v>0</v>
      </c>
      <c r="BE2386" s="11">
        <f t="shared" si="2412"/>
        <v>0</v>
      </c>
      <c r="BG2386" s="11">
        <f t="shared" si="2413"/>
        <v>0</v>
      </c>
      <c r="BN2386" s="8">
        <f t="shared" si="2370"/>
        <v>0</v>
      </c>
      <c r="BO2386" s="8">
        <f t="shared" si="2371"/>
        <v>0</v>
      </c>
      <c r="BP2386" s="8">
        <f t="shared" si="2391"/>
        <v>0</v>
      </c>
      <c r="BQ2386" s="12">
        <f t="shared" si="2392"/>
        <v>0</v>
      </c>
    </row>
    <row r="2387" spans="1:69">
      <c r="A2387" s="28">
        <v>1962</v>
      </c>
      <c r="B2387" s="27" t="s">
        <v>107</v>
      </c>
      <c r="C2387" s="24">
        <f t="shared" si="2414"/>
        <v>2380</v>
      </c>
      <c r="D2387" s="7" t="e">
        <f t="shared" ca="1" si="2394"/>
        <v>#N/A</v>
      </c>
      <c r="E2387" s="26">
        <f t="array" aca="1" ref="E2387" ca="1">AVERAGE(IF(INDIRECT(DatCol&amp;"$"&amp;TEXT(C2387,"###")):INDIRECT(DatCol&amp;"$"&amp;TEXT(C2387+57,"###"))&gt;0,INDIRECT(DatCol&amp;"$"&amp;TEXT(C2387,"###")):INDIRECT(DatCol&amp;"$"&amp;TEXT(C2387+57,"###"))))</f>
        <v>261.10121951219509</v>
      </c>
      <c r="F2387" s="26" t="str">
        <f t="shared" si="2393"/>
        <v>I</v>
      </c>
      <c r="G2387" s="8"/>
      <c r="K2387" s="9">
        <f t="shared" si="2372"/>
        <v>0</v>
      </c>
      <c r="M2387" s="11">
        <f t="shared" si="2396"/>
        <v>0</v>
      </c>
      <c r="O2387" s="11">
        <f t="shared" si="2397"/>
        <v>0</v>
      </c>
      <c r="Q2387" s="11">
        <f t="shared" si="2398"/>
        <v>0</v>
      </c>
      <c r="Y2387" s="11">
        <f t="shared" si="2399"/>
        <v>0</v>
      </c>
      <c r="AG2387" s="11">
        <f t="shared" si="2400"/>
        <v>0</v>
      </c>
      <c r="AI2387" s="11">
        <f t="shared" si="2401"/>
        <v>0</v>
      </c>
      <c r="AK2387" s="13">
        <f t="shared" si="2402"/>
        <v>0</v>
      </c>
      <c r="AM2387" s="13">
        <f t="shared" si="2403"/>
        <v>0</v>
      </c>
      <c r="AO2387" s="11">
        <f t="shared" si="2404"/>
        <v>0</v>
      </c>
      <c r="AQ2387" s="11">
        <f t="shared" si="2405"/>
        <v>0</v>
      </c>
      <c r="AS2387" s="11">
        <f t="shared" si="2406"/>
        <v>0</v>
      </c>
      <c r="AU2387" s="11">
        <f t="shared" si="2407"/>
        <v>0</v>
      </c>
      <c r="AW2387" s="11">
        <f t="shared" si="2408"/>
        <v>0</v>
      </c>
      <c r="AY2387" s="11">
        <f t="shared" si="2409"/>
        <v>0</v>
      </c>
      <c r="BA2387" s="11">
        <f t="shared" si="2410"/>
        <v>0</v>
      </c>
      <c r="BC2387" s="11">
        <f t="shared" si="2411"/>
        <v>0</v>
      </c>
      <c r="BE2387" s="11">
        <f t="shared" si="2412"/>
        <v>0</v>
      </c>
      <c r="BG2387" s="11">
        <f t="shared" si="2413"/>
        <v>0</v>
      </c>
      <c r="BN2387" s="8">
        <f t="shared" si="2370"/>
        <v>0</v>
      </c>
      <c r="BO2387" s="8">
        <f t="shared" si="2371"/>
        <v>0</v>
      </c>
      <c r="BP2387" s="8">
        <f t="shared" si="2391"/>
        <v>0</v>
      </c>
      <c r="BQ2387" s="12">
        <f t="shared" si="2392"/>
        <v>0</v>
      </c>
    </row>
    <row r="2388" spans="1:69">
      <c r="A2388" s="28">
        <v>1963</v>
      </c>
      <c r="B2388" s="27" t="s">
        <v>107</v>
      </c>
      <c r="C2388" s="24">
        <f t="shared" si="2414"/>
        <v>2380</v>
      </c>
      <c r="D2388" s="7" t="e">
        <f t="shared" ca="1" si="2394"/>
        <v>#N/A</v>
      </c>
      <c r="E2388" s="26">
        <f t="array" aca="1" ref="E2388" ca="1">AVERAGE(IF(INDIRECT(DatCol&amp;"$"&amp;TEXT(C2388,"###")):INDIRECT(DatCol&amp;"$"&amp;TEXT(C2388+57,"###"))&gt;0,INDIRECT(DatCol&amp;"$"&amp;TEXT(C2388,"###")):INDIRECT(DatCol&amp;"$"&amp;TEXT(C2388+57,"###"))))</f>
        <v>261.10121951219509</v>
      </c>
      <c r="F2388" s="26" t="str">
        <f t="shared" si="2393"/>
        <v>I</v>
      </c>
      <c r="G2388" s="8"/>
      <c r="K2388" s="9">
        <f t="shared" si="2372"/>
        <v>0</v>
      </c>
      <c r="M2388" s="11">
        <f t="shared" si="2396"/>
        <v>0</v>
      </c>
      <c r="N2388" s="12">
        <v>26</v>
      </c>
      <c r="O2388" s="11">
        <f t="shared" si="2397"/>
        <v>1300</v>
      </c>
      <c r="P2388" s="12">
        <v>238</v>
      </c>
      <c r="Q2388" s="11">
        <f t="shared" si="2398"/>
        <v>14280</v>
      </c>
      <c r="Y2388" s="11">
        <f t="shared" si="2399"/>
        <v>0</v>
      </c>
      <c r="AG2388" s="11">
        <f t="shared" si="2400"/>
        <v>0</v>
      </c>
      <c r="AI2388" s="11">
        <f t="shared" si="2401"/>
        <v>0</v>
      </c>
      <c r="AJ2388" s="12">
        <v>1090</v>
      </c>
      <c r="AK2388" s="13">
        <f t="shared" si="2402"/>
        <v>9810</v>
      </c>
      <c r="AL2388" s="12">
        <v>125</v>
      </c>
      <c r="AM2388" s="13">
        <f t="shared" si="2403"/>
        <v>1125</v>
      </c>
      <c r="AO2388" s="11">
        <f t="shared" si="2404"/>
        <v>0</v>
      </c>
      <c r="AQ2388" s="11">
        <f t="shared" si="2405"/>
        <v>0</v>
      </c>
      <c r="AS2388" s="11">
        <f t="shared" si="2406"/>
        <v>0</v>
      </c>
      <c r="AU2388" s="11">
        <f t="shared" si="2407"/>
        <v>0</v>
      </c>
      <c r="AW2388" s="11">
        <f t="shared" si="2408"/>
        <v>0</v>
      </c>
      <c r="AY2388" s="11">
        <f t="shared" si="2409"/>
        <v>0</v>
      </c>
      <c r="BA2388" s="11">
        <f t="shared" si="2410"/>
        <v>0</v>
      </c>
      <c r="BC2388" s="11">
        <f t="shared" si="2411"/>
        <v>0</v>
      </c>
      <c r="BE2388" s="11">
        <f t="shared" si="2412"/>
        <v>0</v>
      </c>
      <c r="BG2388" s="11">
        <f t="shared" si="2413"/>
        <v>0</v>
      </c>
      <c r="BN2388" s="8">
        <f t="shared" si="2370"/>
        <v>1328</v>
      </c>
      <c r="BO2388" s="8">
        <f t="shared" si="2371"/>
        <v>24090</v>
      </c>
      <c r="BP2388" s="8">
        <f t="shared" si="2391"/>
        <v>151</v>
      </c>
      <c r="BQ2388" s="12">
        <f t="shared" si="2392"/>
        <v>2425</v>
      </c>
    </row>
    <row r="2389" spans="1:69">
      <c r="A2389" s="28">
        <v>1964</v>
      </c>
      <c r="B2389" s="27" t="s">
        <v>107</v>
      </c>
      <c r="C2389" s="24">
        <f t="shared" si="2414"/>
        <v>2380</v>
      </c>
      <c r="D2389" s="7" t="e">
        <f t="shared" ca="1" si="2394"/>
        <v>#N/A</v>
      </c>
      <c r="E2389" s="26">
        <f t="array" aca="1" ref="E2389" ca="1">AVERAGE(IF(INDIRECT(DatCol&amp;"$"&amp;TEXT(C2389,"###")):INDIRECT(DatCol&amp;"$"&amp;TEXT(C2389+57,"###"))&gt;0,INDIRECT(DatCol&amp;"$"&amp;TEXT(C2389,"###")):INDIRECT(DatCol&amp;"$"&amp;TEXT(C2389+57,"###"))))</f>
        <v>261.10121951219509</v>
      </c>
      <c r="F2389" s="26" t="str">
        <f t="shared" si="2393"/>
        <v>I</v>
      </c>
      <c r="G2389" s="8"/>
      <c r="H2389" s="8">
        <v>210</v>
      </c>
      <c r="I2389" s="8">
        <v>102</v>
      </c>
      <c r="J2389" s="8">
        <v>266</v>
      </c>
      <c r="K2389" s="9">
        <f t="shared" si="2372"/>
        <v>476</v>
      </c>
      <c r="L2389" s="12">
        <v>14</v>
      </c>
      <c r="M2389" s="11">
        <f t="shared" si="2396"/>
        <v>700</v>
      </c>
      <c r="N2389" s="12">
        <v>20</v>
      </c>
      <c r="O2389" s="11">
        <f t="shared" si="2397"/>
        <v>1000</v>
      </c>
      <c r="P2389" s="12">
        <v>766</v>
      </c>
      <c r="Q2389" s="11">
        <f t="shared" si="2398"/>
        <v>45960</v>
      </c>
      <c r="Y2389" s="11">
        <f t="shared" si="2399"/>
        <v>0</v>
      </c>
      <c r="AG2389" s="11">
        <f t="shared" si="2400"/>
        <v>0</v>
      </c>
      <c r="AI2389" s="11">
        <f t="shared" si="2401"/>
        <v>0</v>
      </c>
      <c r="AJ2389" s="12">
        <v>3045</v>
      </c>
      <c r="AK2389" s="13">
        <f t="shared" si="2402"/>
        <v>27405</v>
      </c>
      <c r="AL2389" s="12">
        <v>750</v>
      </c>
      <c r="AM2389" s="13">
        <f t="shared" si="2403"/>
        <v>6750</v>
      </c>
      <c r="AO2389" s="11">
        <f t="shared" si="2404"/>
        <v>0</v>
      </c>
      <c r="AQ2389" s="11">
        <f t="shared" si="2405"/>
        <v>0</v>
      </c>
      <c r="AS2389" s="11">
        <f t="shared" si="2406"/>
        <v>0</v>
      </c>
      <c r="AU2389" s="11">
        <f t="shared" si="2407"/>
        <v>0</v>
      </c>
      <c r="AW2389" s="11">
        <f t="shared" si="2408"/>
        <v>0</v>
      </c>
      <c r="AY2389" s="11">
        <f t="shared" si="2409"/>
        <v>0</v>
      </c>
      <c r="BA2389" s="11">
        <f t="shared" si="2410"/>
        <v>0</v>
      </c>
      <c r="BC2389" s="11">
        <f t="shared" si="2411"/>
        <v>0</v>
      </c>
      <c r="BE2389" s="11">
        <f t="shared" si="2412"/>
        <v>0</v>
      </c>
      <c r="BG2389" s="11">
        <f t="shared" si="2413"/>
        <v>0</v>
      </c>
      <c r="BN2389" s="8">
        <f t="shared" si="2370"/>
        <v>3825</v>
      </c>
      <c r="BO2389" s="8">
        <f t="shared" si="2371"/>
        <v>74065</v>
      </c>
      <c r="BP2389" s="8">
        <f t="shared" si="2391"/>
        <v>770</v>
      </c>
      <c r="BQ2389" s="12">
        <f t="shared" si="2392"/>
        <v>7750</v>
      </c>
    </row>
    <row r="2390" spans="1:69">
      <c r="A2390" s="28">
        <v>1965</v>
      </c>
      <c r="B2390" s="27" t="s">
        <v>107</v>
      </c>
      <c r="C2390" s="24">
        <f t="shared" si="2414"/>
        <v>2380</v>
      </c>
      <c r="D2390" s="7" t="e">
        <f t="shared" ca="1" si="2394"/>
        <v>#N/A</v>
      </c>
      <c r="E2390" s="26">
        <f t="array" aca="1" ref="E2390" ca="1">AVERAGE(IF(INDIRECT(DatCol&amp;"$"&amp;TEXT(C2390,"###")):INDIRECT(DatCol&amp;"$"&amp;TEXT(C2390+57,"###"))&gt;0,INDIRECT(DatCol&amp;"$"&amp;TEXT(C2390,"###")):INDIRECT(DatCol&amp;"$"&amp;TEXT(C2390+57,"###"))))</f>
        <v>261.10121951219509</v>
      </c>
      <c r="F2390" s="26" t="str">
        <f t="shared" si="2393"/>
        <v>I</v>
      </c>
      <c r="G2390" s="8"/>
      <c r="H2390" s="8">
        <v>0</v>
      </c>
      <c r="K2390" s="9">
        <f t="shared" si="2372"/>
        <v>0</v>
      </c>
      <c r="M2390" s="11">
        <f t="shared" si="2396"/>
        <v>0</v>
      </c>
      <c r="O2390" s="11">
        <f t="shared" si="2397"/>
        <v>0</v>
      </c>
      <c r="Q2390" s="11">
        <f t="shared" si="2398"/>
        <v>0</v>
      </c>
      <c r="Y2390" s="11">
        <f t="shared" si="2399"/>
        <v>0</v>
      </c>
      <c r="AG2390" s="11">
        <f t="shared" si="2400"/>
        <v>0</v>
      </c>
      <c r="AI2390" s="11">
        <f t="shared" si="2401"/>
        <v>0</v>
      </c>
      <c r="AK2390" s="13">
        <f t="shared" si="2402"/>
        <v>0</v>
      </c>
      <c r="AM2390" s="13">
        <f t="shared" si="2403"/>
        <v>0</v>
      </c>
      <c r="AO2390" s="11">
        <f t="shared" si="2404"/>
        <v>0</v>
      </c>
      <c r="AQ2390" s="11">
        <f t="shared" si="2405"/>
        <v>0</v>
      </c>
      <c r="AS2390" s="11">
        <f t="shared" si="2406"/>
        <v>0</v>
      </c>
      <c r="AU2390" s="11">
        <f t="shared" si="2407"/>
        <v>0</v>
      </c>
      <c r="AW2390" s="11">
        <f t="shared" si="2408"/>
        <v>0</v>
      </c>
      <c r="AY2390" s="11">
        <f t="shared" si="2409"/>
        <v>0</v>
      </c>
      <c r="BA2390" s="11">
        <f t="shared" si="2410"/>
        <v>0</v>
      </c>
      <c r="BC2390" s="11">
        <f t="shared" si="2411"/>
        <v>0</v>
      </c>
      <c r="BE2390" s="11">
        <f t="shared" si="2412"/>
        <v>0</v>
      </c>
      <c r="BG2390" s="11">
        <f t="shared" si="2413"/>
        <v>0</v>
      </c>
      <c r="BN2390" s="8">
        <f t="shared" si="2370"/>
        <v>0</v>
      </c>
      <c r="BO2390" s="8">
        <f t="shared" si="2371"/>
        <v>0</v>
      </c>
      <c r="BP2390" s="8">
        <f t="shared" si="2391"/>
        <v>0</v>
      </c>
      <c r="BQ2390" s="12">
        <f t="shared" si="2392"/>
        <v>0</v>
      </c>
    </row>
    <row r="2391" spans="1:69">
      <c r="A2391" s="28">
        <v>1966</v>
      </c>
      <c r="B2391" s="27" t="s">
        <v>107</v>
      </c>
      <c r="C2391" s="24">
        <f t="shared" si="2414"/>
        <v>2380</v>
      </c>
      <c r="D2391" s="7" t="e">
        <f t="shared" ca="1" si="2394"/>
        <v>#N/A</v>
      </c>
      <c r="E2391" s="26">
        <f t="array" aca="1" ref="E2391" ca="1">AVERAGE(IF(INDIRECT(DatCol&amp;"$"&amp;TEXT(C2391,"###")):INDIRECT(DatCol&amp;"$"&amp;TEXT(C2391+57,"###"))&gt;0,INDIRECT(DatCol&amp;"$"&amp;TEXT(C2391,"###")):INDIRECT(DatCol&amp;"$"&amp;TEXT(C2391+57,"###"))))</f>
        <v>261.10121951219509</v>
      </c>
      <c r="F2391" s="26" t="str">
        <f t="shared" si="2393"/>
        <v>I</v>
      </c>
      <c r="G2391" s="8"/>
      <c r="H2391" s="8">
        <v>140</v>
      </c>
      <c r="I2391" s="8">
        <v>59</v>
      </c>
      <c r="J2391" s="8">
        <v>227</v>
      </c>
      <c r="K2391" s="9">
        <f t="shared" si="2372"/>
        <v>367</v>
      </c>
      <c r="L2391" s="12">
        <v>400</v>
      </c>
      <c r="M2391" s="11">
        <f t="shared" si="2396"/>
        <v>20000</v>
      </c>
      <c r="N2391" s="12">
        <v>400</v>
      </c>
      <c r="O2391" s="11">
        <f t="shared" si="2397"/>
        <v>20000</v>
      </c>
      <c r="P2391" s="12">
        <v>150</v>
      </c>
      <c r="Q2391" s="11">
        <f t="shared" si="2398"/>
        <v>9000</v>
      </c>
      <c r="X2391" s="12">
        <v>350</v>
      </c>
      <c r="Y2391" s="11">
        <f t="shared" si="2399"/>
        <v>21000</v>
      </c>
      <c r="AG2391" s="11">
        <f t="shared" si="2400"/>
        <v>0</v>
      </c>
      <c r="AI2391" s="11">
        <f t="shared" si="2401"/>
        <v>0</v>
      </c>
      <c r="AJ2391" s="12">
        <v>750</v>
      </c>
      <c r="AK2391" s="13">
        <f t="shared" si="2402"/>
        <v>6750</v>
      </c>
      <c r="AL2391" s="12">
        <v>950</v>
      </c>
      <c r="AM2391" s="13">
        <f t="shared" si="2403"/>
        <v>8550</v>
      </c>
      <c r="AO2391" s="11">
        <f t="shared" si="2404"/>
        <v>0</v>
      </c>
      <c r="AQ2391" s="11">
        <f t="shared" si="2405"/>
        <v>0</v>
      </c>
      <c r="AS2391" s="11">
        <f t="shared" si="2406"/>
        <v>0</v>
      </c>
      <c r="AU2391" s="11">
        <f t="shared" si="2407"/>
        <v>0</v>
      </c>
      <c r="AW2391" s="11">
        <f t="shared" si="2408"/>
        <v>0</v>
      </c>
      <c r="AY2391" s="11">
        <f t="shared" si="2409"/>
        <v>0</v>
      </c>
      <c r="BA2391" s="11">
        <f t="shared" si="2410"/>
        <v>0</v>
      </c>
      <c r="BC2391" s="11">
        <f t="shared" si="2411"/>
        <v>0</v>
      </c>
      <c r="BE2391" s="11">
        <f t="shared" si="2412"/>
        <v>0</v>
      </c>
      <c r="BG2391" s="11">
        <f t="shared" si="2413"/>
        <v>0</v>
      </c>
      <c r="BN2391" s="8">
        <f t="shared" si="2370"/>
        <v>1650</v>
      </c>
      <c r="BO2391" s="8">
        <f t="shared" si="2371"/>
        <v>56750</v>
      </c>
      <c r="BP2391" s="8">
        <f t="shared" si="2391"/>
        <v>1700</v>
      </c>
      <c r="BQ2391" s="12">
        <f t="shared" si="2392"/>
        <v>49550</v>
      </c>
    </row>
    <row r="2392" spans="1:69">
      <c r="A2392" s="28">
        <v>1967</v>
      </c>
      <c r="B2392" s="27" t="s">
        <v>107</v>
      </c>
      <c r="C2392" s="24">
        <f t="shared" si="2414"/>
        <v>2380</v>
      </c>
      <c r="D2392" s="7" t="e">
        <f t="shared" ca="1" si="2394"/>
        <v>#N/A</v>
      </c>
      <c r="E2392" s="26">
        <f t="array" aca="1" ref="E2392" ca="1">AVERAGE(IF(INDIRECT(DatCol&amp;"$"&amp;TEXT(C2392,"###")):INDIRECT(DatCol&amp;"$"&amp;TEXT(C2392+57,"###"))&gt;0,INDIRECT(DatCol&amp;"$"&amp;TEXT(C2392,"###")):INDIRECT(DatCol&amp;"$"&amp;TEXT(C2392+57,"###"))))</f>
        <v>261.10121951219509</v>
      </c>
      <c r="F2392" s="26" t="str">
        <f t="shared" si="2393"/>
        <v>I</v>
      </c>
      <c r="G2392" s="8"/>
      <c r="H2392" s="8">
        <v>170</v>
      </c>
      <c r="I2392" s="8">
        <v>24</v>
      </c>
      <c r="J2392" s="8">
        <v>235</v>
      </c>
      <c r="K2392" s="9">
        <f t="shared" si="2372"/>
        <v>405</v>
      </c>
      <c r="L2392" s="12">
        <v>412</v>
      </c>
      <c r="M2392" s="11">
        <f t="shared" si="2396"/>
        <v>20600</v>
      </c>
      <c r="N2392" s="12">
        <v>412</v>
      </c>
      <c r="O2392" s="11">
        <f t="shared" si="2397"/>
        <v>20600</v>
      </c>
      <c r="P2392" s="12">
        <v>228</v>
      </c>
      <c r="Q2392" s="11">
        <f t="shared" si="2398"/>
        <v>13680</v>
      </c>
      <c r="X2392" s="12">
        <v>327</v>
      </c>
      <c r="Y2392" s="11">
        <f t="shared" si="2399"/>
        <v>19620</v>
      </c>
      <c r="AG2392" s="11">
        <f t="shared" si="2400"/>
        <v>0</v>
      </c>
      <c r="AI2392" s="11">
        <f t="shared" si="2401"/>
        <v>0</v>
      </c>
      <c r="AJ2392" s="12">
        <v>612</v>
      </c>
      <c r="AK2392" s="13">
        <f t="shared" si="2402"/>
        <v>5508</v>
      </c>
      <c r="AL2392" s="12">
        <v>196</v>
      </c>
      <c r="AM2392" s="13">
        <f t="shared" si="2403"/>
        <v>1764</v>
      </c>
      <c r="AO2392" s="11">
        <f t="shared" si="2404"/>
        <v>0</v>
      </c>
      <c r="AQ2392" s="11">
        <f t="shared" si="2405"/>
        <v>0</v>
      </c>
      <c r="AS2392" s="11">
        <f t="shared" si="2406"/>
        <v>0</v>
      </c>
      <c r="AU2392" s="11">
        <f t="shared" si="2407"/>
        <v>0</v>
      </c>
      <c r="AW2392" s="11">
        <f t="shared" si="2408"/>
        <v>0</v>
      </c>
      <c r="AY2392" s="11">
        <f t="shared" si="2409"/>
        <v>0</v>
      </c>
      <c r="BA2392" s="11">
        <f t="shared" si="2410"/>
        <v>0</v>
      </c>
      <c r="BC2392" s="11">
        <f t="shared" si="2411"/>
        <v>0</v>
      </c>
      <c r="BE2392" s="11">
        <f t="shared" si="2412"/>
        <v>0</v>
      </c>
      <c r="BG2392" s="11">
        <f t="shared" si="2413"/>
        <v>0</v>
      </c>
      <c r="BN2392" s="8">
        <f t="shared" si="2370"/>
        <v>1579</v>
      </c>
      <c r="BO2392" s="8">
        <f t="shared" si="2371"/>
        <v>59408</v>
      </c>
      <c r="BP2392" s="8">
        <f t="shared" si="2391"/>
        <v>935</v>
      </c>
      <c r="BQ2392" s="12">
        <f t="shared" si="2392"/>
        <v>41984</v>
      </c>
    </row>
    <row r="2393" spans="1:69">
      <c r="A2393" s="28">
        <v>1968</v>
      </c>
      <c r="B2393" s="27" t="s">
        <v>107</v>
      </c>
      <c r="C2393" s="24">
        <f t="shared" si="2414"/>
        <v>2380</v>
      </c>
      <c r="D2393" s="7" t="e">
        <f t="shared" ca="1" si="2394"/>
        <v>#N/A</v>
      </c>
      <c r="E2393" s="26">
        <f t="array" aca="1" ref="E2393" ca="1">AVERAGE(IF(INDIRECT(DatCol&amp;"$"&amp;TEXT(C2393,"###")):INDIRECT(DatCol&amp;"$"&amp;TEXT(C2393+57,"###"))&gt;0,INDIRECT(DatCol&amp;"$"&amp;TEXT(C2393,"###")):INDIRECT(DatCol&amp;"$"&amp;TEXT(C2393+57,"###"))))</f>
        <v>261.10121951219509</v>
      </c>
      <c r="F2393" s="26" t="str">
        <f t="shared" si="2393"/>
        <v>I</v>
      </c>
      <c r="G2393" s="8"/>
      <c r="H2393" s="8">
        <v>286</v>
      </c>
      <c r="I2393" s="8">
        <v>26</v>
      </c>
      <c r="J2393" s="8">
        <v>266</v>
      </c>
      <c r="K2393" s="9">
        <f t="shared" si="2372"/>
        <v>552</v>
      </c>
      <c r="L2393" s="12">
        <v>12</v>
      </c>
      <c r="M2393" s="11">
        <f t="shared" si="2396"/>
        <v>600</v>
      </c>
      <c r="N2393" s="12">
        <v>111</v>
      </c>
      <c r="O2393" s="11">
        <f t="shared" si="2397"/>
        <v>5550</v>
      </c>
      <c r="P2393" s="12">
        <v>64</v>
      </c>
      <c r="Q2393" s="11">
        <f t="shared" si="2398"/>
        <v>3840</v>
      </c>
      <c r="X2393" s="12">
        <v>248</v>
      </c>
      <c r="Y2393" s="11">
        <f t="shared" si="2399"/>
        <v>14880</v>
      </c>
      <c r="AG2393" s="11">
        <f t="shared" si="2400"/>
        <v>0</v>
      </c>
      <c r="AI2393" s="11">
        <f t="shared" si="2401"/>
        <v>0</v>
      </c>
      <c r="AJ2393" s="12">
        <v>100</v>
      </c>
      <c r="AK2393" s="13">
        <f t="shared" si="2402"/>
        <v>900</v>
      </c>
      <c r="AL2393" s="12">
        <v>50</v>
      </c>
      <c r="AM2393" s="13">
        <f t="shared" si="2403"/>
        <v>450</v>
      </c>
      <c r="AO2393" s="11">
        <f t="shared" si="2404"/>
        <v>0</v>
      </c>
      <c r="AQ2393" s="11">
        <f t="shared" si="2405"/>
        <v>0</v>
      </c>
      <c r="AS2393" s="11">
        <f t="shared" si="2406"/>
        <v>0</v>
      </c>
      <c r="AU2393" s="11">
        <f t="shared" si="2407"/>
        <v>0</v>
      </c>
      <c r="AW2393" s="11">
        <f t="shared" si="2408"/>
        <v>0</v>
      </c>
      <c r="AY2393" s="11">
        <f t="shared" si="2409"/>
        <v>0</v>
      </c>
      <c r="BA2393" s="11">
        <f t="shared" si="2410"/>
        <v>0</v>
      </c>
      <c r="BC2393" s="11">
        <f t="shared" si="2411"/>
        <v>0</v>
      </c>
      <c r="BE2393" s="11">
        <f t="shared" si="2412"/>
        <v>0</v>
      </c>
      <c r="BG2393" s="11">
        <f t="shared" si="2413"/>
        <v>0</v>
      </c>
      <c r="BN2393" s="8">
        <f t="shared" si="2370"/>
        <v>424</v>
      </c>
      <c r="BO2393" s="8">
        <f t="shared" si="2371"/>
        <v>20220</v>
      </c>
      <c r="BP2393" s="8">
        <f t="shared" si="2391"/>
        <v>409</v>
      </c>
      <c r="BQ2393" s="12">
        <f t="shared" si="2392"/>
        <v>20880</v>
      </c>
    </row>
    <row r="2394" spans="1:69">
      <c r="A2394" s="28">
        <v>1969</v>
      </c>
      <c r="B2394" s="27" t="s">
        <v>107</v>
      </c>
      <c r="C2394" s="24">
        <f t="shared" si="2414"/>
        <v>2380</v>
      </c>
      <c r="D2394" s="7" t="e">
        <f t="shared" ca="1" si="2394"/>
        <v>#N/A</v>
      </c>
      <c r="E2394" s="26">
        <f t="array" aca="1" ref="E2394" ca="1">AVERAGE(IF(INDIRECT(DatCol&amp;"$"&amp;TEXT(C2394,"###")):INDIRECT(DatCol&amp;"$"&amp;TEXT(C2394+57,"###"))&gt;0,INDIRECT(DatCol&amp;"$"&amp;TEXT(C2394,"###")):INDIRECT(DatCol&amp;"$"&amp;TEXT(C2394+57,"###"))))</f>
        <v>261.10121951219509</v>
      </c>
      <c r="F2394" s="26" t="str">
        <f t="shared" si="2393"/>
        <v>I</v>
      </c>
      <c r="G2394" s="8"/>
      <c r="H2394" s="8">
        <v>324</v>
      </c>
      <c r="I2394" s="8">
        <v>58</v>
      </c>
      <c r="J2394" s="8">
        <v>331</v>
      </c>
      <c r="K2394" s="9">
        <f t="shared" si="2372"/>
        <v>655</v>
      </c>
      <c r="L2394" s="12">
        <v>28</v>
      </c>
      <c r="M2394" s="11">
        <f t="shared" ref="M2394:M2409" si="2415">(L2394*50)</f>
        <v>1400</v>
      </c>
      <c r="N2394" s="12">
        <v>75</v>
      </c>
      <c r="O2394" s="11">
        <f t="shared" ref="O2394:O2409" si="2416">(N2394*50)</f>
        <v>3750</v>
      </c>
      <c r="P2394" s="12">
        <v>32</v>
      </c>
      <c r="Q2394" s="11">
        <f t="shared" ref="Q2394:Q2409" si="2417">((P2394*330)/5.5)</f>
        <v>1920</v>
      </c>
      <c r="X2394" s="12">
        <v>75</v>
      </c>
      <c r="Y2394" s="11">
        <f t="shared" ref="Y2394:Y2409" si="2418">((X2394*330)/5.5)</f>
        <v>4500</v>
      </c>
      <c r="AG2394" s="11">
        <f t="shared" ref="AG2394:AG2409" si="2419">(AF2394*65)</f>
        <v>0</v>
      </c>
      <c r="AI2394" s="11">
        <f t="shared" ref="AI2394:AI2409" si="2420">(AH2394*65)</f>
        <v>0</v>
      </c>
      <c r="AJ2394" s="12">
        <v>14920</v>
      </c>
      <c r="AK2394" s="13">
        <f t="shared" ref="AK2394:AK2409" si="2421">(AJ2394*9)</f>
        <v>134280</v>
      </c>
      <c r="AL2394" s="12">
        <v>2500</v>
      </c>
      <c r="AM2394" s="13">
        <f t="shared" ref="AM2394:AM2409" si="2422">(AL2394*9)</f>
        <v>22500</v>
      </c>
      <c r="AO2394" s="11">
        <f t="shared" ref="AO2394:AO2409" si="2423">(AN2394*80)</f>
        <v>0</v>
      </c>
      <c r="AQ2394" s="11">
        <f t="shared" ref="AQ2394:AQ2409" si="2424">(AP2394*80)</f>
        <v>0</v>
      </c>
      <c r="AS2394" s="11">
        <f t="shared" ref="AS2394:AS2409" si="2425">(AR2394*50)</f>
        <v>0</v>
      </c>
      <c r="AU2394" s="11">
        <f t="shared" ref="AU2394:AU2409" si="2426">(AT2394*50)</f>
        <v>0</v>
      </c>
      <c r="AW2394" s="11">
        <f t="shared" ref="AW2394:AW2409" si="2427">(AV2394*60)</f>
        <v>0</v>
      </c>
      <c r="AY2394" s="11">
        <f t="shared" ref="AY2394:AY2409" si="2428">(AX2394*60)</f>
        <v>0</v>
      </c>
      <c r="BA2394" s="11">
        <f t="shared" ref="BA2394:BA2409" si="2429">(AZ2394*40)</f>
        <v>0</v>
      </c>
      <c r="BC2394" s="11">
        <f t="shared" ref="BC2394:BC2409" si="2430">(BB2394*40)</f>
        <v>0</v>
      </c>
      <c r="BE2394" s="11">
        <f t="shared" ref="BE2394:BE2409" si="2431">(BD2394*95)</f>
        <v>0</v>
      </c>
      <c r="BG2394" s="11">
        <f t="shared" ref="BG2394:BG2409" si="2432">(BF2394*95)</f>
        <v>0</v>
      </c>
      <c r="BN2394" s="8">
        <f t="shared" si="2370"/>
        <v>15055</v>
      </c>
      <c r="BO2394" s="8">
        <f t="shared" si="2371"/>
        <v>142100</v>
      </c>
      <c r="BP2394" s="8">
        <f t="shared" si="2391"/>
        <v>2650</v>
      </c>
      <c r="BQ2394" s="12">
        <f t="shared" si="2392"/>
        <v>30750</v>
      </c>
    </row>
    <row r="2395" spans="1:69">
      <c r="A2395" s="28">
        <v>1970</v>
      </c>
      <c r="B2395" s="27" t="s">
        <v>107</v>
      </c>
      <c r="C2395" s="24">
        <f t="shared" si="2414"/>
        <v>2380</v>
      </c>
      <c r="D2395" s="7" t="e">
        <f t="shared" ca="1" si="2394"/>
        <v>#N/A</v>
      </c>
      <c r="E2395" s="26">
        <f t="array" aca="1" ref="E2395" ca="1">AVERAGE(IF(INDIRECT(DatCol&amp;"$"&amp;TEXT(C2395,"###")):INDIRECT(DatCol&amp;"$"&amp;TEXT(C2395+57,"###"))&gt;0,INDIRECT(DatCol&amp;"$"&amp;TEXT(C2395,"###")):INDIRECT(DatCol&amp;"$"&amp;TEXT(C2395+57,"###"))))</f>
        <v>261.10121951219509</v>
      </c>
      <c r="F2395" s="26" t="str">
        <f t="shared" si="2393"/>
        <v>I</v>
      </c>
      <c r="G2395" s="8"/>
      <c r="H2395" s="8">
        <v>450</v>
      </c>
      <c r="I2395" s="8">
        <v>73</v>
      </c>
      <c r="J2395" s="8">
        <v>360</v>
      </c>
      <c r="K2395" s="9">
        <f t="shared" si="2372"/>
        <v>810</v>
      </c>
      <c r="L2395" s="12">
        <v>30</v>
      </c>
      <c r="M2395" s="11">
        <f t="shared" si="2415"/>
        <v>1500</v>
      </c>
      <c r="N2395" s="12">
        <v>150</v>
      </c>
      <c r="O2395" s="11">
        <f t="shared" si="2416"/>
        <v>7500</v>
      </c>
      <c r="P2395" s="12">
        <v>100</v>
      </c>
      <c r="Q2395" s="11">
        <f t="shared" si="2417"/>
        <v>6000</v>
      </c>
      <c r="X2395" s="12">
        <v>85</v>
      </c>
      <c r="Y2395" s="11">
        <f t="shared" si="2418"/>
        <v>5100</v>
      </c>
      <c r="AG2395" s="11">
        <f t="shared" si="2419"/>
        <v>0</v>
      </c>
      <c r="AI2395" s="11">
        <f t="shared" si="2420"/>
        <v>0</v>
      </c>
      <c r="AJ2395" s="12">
        <v>1662</v>
      </c>
      <c r="AK2395" s="13">
        <f t="shared" si="2421"/>
        <v>14958</v>
      </c>
      <c r="AL2395" s="12">
        <v>423</v>
      </c>
      <c r="AM2395" s="13">
        <f t="shared" si="2422"/>
        <v>3807</v>
      </c>
      <c r="AO2395" s="11">
        <f t="shared" si="2423"/>
        <v>0</v>
      </c>
      <c r="AQ2395" s="11">
        <f t="shared" si="2424"/>
        <v>0</v>
      </c>
      <c r="AS2395" s="11">
        <f t="shared" si="2425"/>
        <v>0</v>
      </c>
      <c r="AU2395" s="11">
        <f t="shared" si="2426"/>
        <v>0</v>
      </c>
      <c r="AW2395" s="11">
        <f t="shared" si="2427"/>
        <v>0</v>
      </c>
      <c r="AY2395" s="11">
        <f t="shared" si="2428"/>
        <v>0</v>
      </c>
      <c r="BA2395" s="11">
        <f t="shared" si="2429"/>
        <v>0</v>
      </c>
      <c r="BC2395" s="11">
        <f t="shared" si="2430"/>
        <v>0</v>
      </c>
      <c r="BE2395" s="11">
        <f t="shared" si="2431"/>
        <v>0</v>
      </c>
      <c r="BG2395" s="11">
        <f t="shared" si="2432"/>
        <v>0</v>
      </c>
      <c r="BN2395" s="8">
        <f t="shared" si="2370"/>
        <v>1877</v>
      </c>
      <c r="BO2395" s="8">
        <f t="shared" si="2371"/>
        <v>27558</v>
      </c>
      <c r="BP2395" s="8">
        <f t="shared" si="2391"/>
        <v>658</v>
      </c>
      <c r="BQ2395" s="12">
        <f t="shared" si="2392"/>
        <v>16407</v>
      </c>
    </row>
    <row r="2396" spans="1:69">
      <c r="A2396" s="28">
        <v>1971</v>
      </c>
      <c r="B2396" s="27" t="s">
        <v>107</v>
      </c>
      <c r="C2396" s="24">
        <f t="shared" si="2414"/>
        <v>2380</v>
      </c>
      <c r="D2396" s="7" t="e">
        <f t="shared" ca="1" si="2394"/>
        <v>#N/A</v>
      </c>
      <c r="E2396" s="26">
        <f t="array" aca="1" ref="E2396" ca="1">AVERAGE(IF(INDIRECT(DatCol&amp;"$"&amp;TEXT(C2396,"###")):INDIRECT(DatCol&amp;"$"&amp;TEXT(C2396+57,"###"))&gt;0,INDIRECT(DatCol&amp;"$"&amp;TEXT(C2396,"###")):INDIRECT(DatCol&amp;"$"&amp;TEXT(C2396+57,"###"))))</f>
        <v>261.10121951219509</v>
      </c>
      <c r="F2396" s="26" t="str">
        <f t="shared" si="2393"/>
        <v>I</v>
      </c>
      <c r="G2396" s="8"/>
      <c r="H2396" s="8">
        <v>46</v>
      </c>
      <c r="I2396" s="8">
        <v>30</v>
      </c>
      <c r="J2396" s="8">
        <v>472</v>
      </c>
      <c r="K2396" s="9">
        <f t="shared" si="2372"/>
        <v>518</v>
      </c>
      <c r="L2396" s="12">
        <v>157</v>
      </c>
      <c r="M2396" s="11">
        <f t="shared" si="2415"/>
        <v>7850</v>
      </c>
      <c r="N2396" s="12">
        <v>339</v>
      </c>
      <c r="O2396" s="11">
        <f t="shared" si="2416"/>
        <v>16950</v>
      </c>
      <c r="P2396" s="12">
        <v>94</v>
      </c>
      <c r="Q2396" s="11">
        <f t="shared" si="2417"/>
        <v>5640</v>
      </c>
      <c r="X2396" s="12">
        <v>141</v>
      </c>
      <c r="Y2396" s="11">
        <f t="shared" si="2418"/>
        <v>8460</v>
      </c>
      <c r="AG2396" s="11">
        <f t="shared" si="2419"/>
        <v>0</v>
      </c>
      <c r="AI2396" s="11">
        <f t="shared" si="2420"/>
        <v>0</v>
      </c>
      <c r="AJ2396" s="12">
        <v>1769</v>
      </c>
      <c r="AK2396" s="13">
        <f t="shared" si="2421"/>
        <v>15921</v>
      </c>
      <c r="AL2396" s="12">
        <v>270</v>
      </c>
      <c r="AM2396" s="13">
        <f t="shared" si="2422"/>
        <v>2430</v>
      </c>
      <c r="AO2396" s="11">
        <f t="shared" si="2423"/>
        <v>0</v>
      </c>
      <c r="AQ2396" s="11">
        <f t="shared" si="2424"/>
        <v>0</v>
      </c>
      <c r="AS2396" s="11">
        <f t="shared" si="2425"/>
        <v>0</v>
      </c>
      <c r="AU2396" s="11">
        <f t="shared" si="2426"/>
        <v>0</v>
      </c>
      <c r="AW2396" s="11">
        <f t="shared" si="2427"/>
        <v>0</v>
      </c>
      <c r="AY2396" s="11">
        <f t="shared" si="2428"/>
        <v>0</v>
      </c>
      <c r="BA2396" s="11">
        <f t="shared" si="2429"/>
        <v>0</v>
      </c>
      <c r="BC2396" s="11">
        <f t="shared" si="2430"/>
        <v>0</v>
      </c>
      <c r="BE2396" s="11">
        <f t="shared" si="2431"/>
        <v>0</v>
      </c>
      <c r="BG2396" s="11">
        <f t="shared" si="2432"/>
        <v>0</v>
      </c>
      <c r="BN2396" s="8">
        <f t="shared" si="2370"/>
        <v>2161</v>
      </c>
      <c r="BO2396" s="8">
        <f t="shared" si="2371"/>
        <v>37871</v>
      </c>
      <c r="BP2396" s="8">
        <f t="shared" si="2391"/>
        <v>750</v>
      </c>
      <c r="BQ2396" s="12">
        <f t="shared" si="2392"/>
        <v>27840</v>
      </c>
    </row>
    <row r="2397" spans="1:69">
      <c r="A2397" s="28">
        <v>1972</v>
      </c>
      <c r="B2397" s="27" t="s">
        <v>107</v>
      </c>
      <c r="C2397" s="24">
        <f t="shared" si="2414"/>
        <v>2380</v>
      </c>
      <c r="D2397" s="7" t="e">
        <f t="shared" ca="1" si="2394"/>
        <v>#N/A</v>
      </c>
      <c r="E2397" s="26">
        <f t="array" aca="1" ref="E2397" ca="1">AVERAGE(IF(INDIRECT(DatCol&amp;"$"&amp;TEXT(C2397,"###")):INDIRECT(DatCol&amp;"$"&amp;TEXT(C2397+57,"###"))&gt;0,INDIRECT(DatCol&amp;"$"&amp;TEXT(C2397,"###")):INDIRECT(DatCol&amp;"$"&amp;TEXT(C2397+57,"###"))))</f>
        <v>261.10121951219509</v>
      </c>
      <c r="F2397" s="26" t="str">
        <f t="shared" si="2393"/>
        <v>I</v>
      </c>
      <c r="G2397" s="8"/>
      <c r="H2397" s="8">
        <v>24</v>
      </c>
      <c r="I2397" s="8">
        <v>65</v>
      </c>
      <c r="J2397" s="8">
        <v>498</v>
      </c>
      <c r="K2397" s="9">
        <f t="shared" si="2372"/>
        <v>522</v>
      </c>
      <c r="L2397" s="12">
        <v>291</v>
      </c>
      <c r="M2397" s="11">
        <f t="shared" si="2415"/>
        <v>14550</v>
      </c>
      <c r="N2397" s="12">
        <v>324</v>
      </c>
      <c r="O2397" s="11">
        <f t="shared" si="2416"/>
        <v>16200</v>
      </c>
      <c r="P2397" s="12">
        <v>85</v>
      </c>
      <c r="Q2397" s="11">
        <f t="shared" si="2417"/>
        <v>5100</v>
      </c>
      <c r="X2397" s="12">
        <v>194</v>
      </c>
      <c r="Y2397" s="11">
        <f t="shared" si="2418"/>
        <v>11640</v>
      </c>
      <c r="AG2397" s="11">
        <f t="shared" si="2419"/>
        <v>0</v>
      </c>
      <c r="AI2397" s="11">
        <f t="shared" si="2420"/>
        <v>0</v>
      </c>
      <c r="AJ2397" s="12">
        <v>3903</v>
      </c>
      <c r="AK2397" s="13">
        <f t="shared" si="2421"/>
        <v>35127</v>
      </c>
      <c r="AL2397" s="12">
        <v>383</v>
      </c>
      <c r="AM2397" s="13">
        <f t="shared" si="2422"/>
        <v>3447</v>
      </c>
      <c r="AO2397" s="11">
        <f t="shared" si="2423"/>
        <v>0</v>
      </c>
      <c r="AQ2397" s="11">
        <f t="shared" si="2424"/>
        <v>0</v>
      </c>
      <c r="AS2397" s="11">
        <f t="shared" si="2425"/>
        <v>0</v>
      </c>
      <c r="AU2397" s="11">
        <f t="shared" si="2426"/>
        <v>0</v>
      </c>
      <c r="AW2397" s="11">
        <f t="shared" si="2427"/>
        <v>0</v>
      </c>
      <c r="AY2397" s="11">
        <f t="shared" si="2428"/>
        <v>0</v>
      </c>
      <c r="BA2397" s="11">
        <f t="shared" si="2429"/>
        <v>0</v>
      </c>
      <c r="BC2397" s="11">
        <f t="shared" si="2430"/>
        <v>0</v>
      </c>
      <c r="BE2397" s="11">
        <f t="shared" si="2431"/>
        <v>0</v>
      </c>
      <c r="BG2397" s="11">
        <f t="shared" si="2432"/>
        <v>0</v>
      </c>
      <c r="BN2397" s="8">
        <f t="shared" si="2370"/>
        <v>4473</v>
      </c>
      <c r="BO2397" s="8">
        <f t="shared" si="2371"/>
        <v>66417</v>
      </c>
      <c r="BP2397" s="8">
        <f t="shared" si="2391"/>
        <v>901</v>
      </c>
      <c r="BQ2397" s="12">
        <f t="shared" si="2392"/>
        <v>31287</v>
      </c>
    </row>
    <row r="2398" spans="1:69">
      <c r="A2398" s="28">
        <v>1973</v>
      </c>
      <c r="B2398" s="27" t="s">
        <v>107</v>
      </c>
      <c r="C2398" s="24">
        <f t="shared" si="2414"/>
        <v>2380</v>
      </c>
      <c r="D2398" s="7" t="e">
        <f t="shared" ca="1" si="2394"/>
        <v>#N/A</v>
      </c>
      <c r="E2398" s="26">
        <f t="array" aca="1" ref="E2398" ca="1">AVERAGE(IF(INDIRECT(DatCol&amp;"$"&amp;TEXT(C2398,"###")):INDIRECT(DatCol&amp;"$"&amp;TEXT(C2398+57,"###"))&gt;0,INDIRECT(DatCol&amp;"$"&amp;TEXT(C2398,"###")):INDIRECT(DatCol&amp;"$"&amp;TEXT(C2398+57,"###"))))</f>
        <v>261.10121951219509</v>
      </c>
      <c r="F2398" s="26" t="str">
        <f t="shared" si="2393"/>
        <v>I</v>
      </c>
      <c r="G2398" s="8"/>
      <c r="H2398" s="8">
        <v>33</v>
      </c>
      <c r="I2398" s="8">
        <v>80</v>
      </c>
      <c r="J2398" s="8">
        <v>633</v>
      </c>
      <c r="K2398" s="9">
        <f t="shared" si="2372"/>
        <v>666</v>
      </c>
      <c r="L2398" s="12">
        <v>219</v>
      </c>
      <c r="M2398" s="11">
        <f t="shared" si="2415"/>
        <v>10950</v>
      </c>
      <c r="N2398" s="12">
        <v>318</v>
      </c>
      <c r="O2398" s="11">
        <f t="shared" si="2416"/>
        <v>15900</v>
      </c>
      <c r="P2398" s="12">
        <v>240</v>
      </c>
      <c r="Q2398" s="11">
        <f t="shared" si="2417"/>
        <v>14400</v>
      </c>
      <c r="X2398" s="12">
        <v>292</v>
      </c>
      <c r="Y2398" s="11">
        <f t="shared" si="2418"/>
        <v>17520</v>
      </c>
      <c r="AG2398" s="11">
        <f t="shared" si="2419"/>
        <v>0</v>
      </c>
      <c r="AI2398" s="11">
        <f t="shared" si="2420"/>
        <v>0</v>
      </c>
      <c r="AJ2398" s="12">
        <v>2691</v>
      </c>
      <c r="AK2398" s="13">
        <f t="shared" si="2421"/>
        <v>24219</v>
      </c>
      <c r="AL2398" s="12">
        <v>259</v>
      </c>
      <c r="AM2398" s="13">
        <f t="shared" si="2422"/>
        <v>2331</v>
      </c>
      <c r="AO2398" s="11">
        <f t="shared" si="2423"/>
        <v>0</v>
      </c>
      <c r="AQ2398" s="11">
        <f t="shared" si="2424"/>
        <v>0</v>
      </c>
      <c r="AS2398" s="11">
        <f t="shared" si="2425"/>
        <v>0</v>
      </c>
      <c r="AU2398" s="11">
        <f t="shared" si="2426"/>
        <v>0</v>
      </c>
      <c r="AW2398" s="11">
        <f t="shared" si="2427"/>
        <v>0</v>
      </c>
      <c r="AY2398" s="11">
        <f t="shared" si="2428"/>
        <v>0</v>
      </c>
      <c r="BA2398" s="11">
        <f t="shared" si="2429"/>
        <v>0</v>
      </c>
      <c r="BC2398" s="11">
        <f t="shared" si="2430"/>
        <v>0</v>
      </c>
      <c r="BE2398" s="11">
        <f t="shared" si="2431"/>
        <v>0</v>
      </c>
      <c r="BG2398" s="11">
        <f t="shared" si="2432"/>
        <v>0</v>
      </c>
      <c r="BN2398" s="8">
        <f t="shared" si="2370"/>
        <v>3442</v>
      </c>
      <c r="BO2398" s="8">
        <f t="shared" si="2371"/>
        <v>67089</v>
      </c>
      <c r="BP2398" s="8">
        <f t="shared" si="2391"/>
        <v>869</v>
      </c>
      <c r="BQ2398" s="12">
        <f t="shared" si="2392"/>
        <v>35751</v>
      </c>
    </row>
    <row r="2399" spans="1:69">
      <c r="A2399" s="28">
        <v>1974</v>
      </c>
      <c r="B2399" s="27" t="s">
        <v>107</v>
      </c>
      <c r="C2399" s="24">
        <f t="shared" si="2414"/>
        <v>2380</v>
      </c>
      <c r="D2399" s="7" t="e">
        <f t="shared" ca="1" si="2394"/>
        <v>#N/A</v>
      </c>
      <c r="E2399" s="26">
        <f t="array" aca="1" ref="E2399" ca="1">AVERAGE(IF(INDIRECT(DatCol&amp;"$"&amp;TEXT(C2399,"###")):INDIRECT(DatCol&amp;"$"&amp;TEXT(C2399+57,"###"))&gt;0,INDIRECT(DatCol&amp;"$"&amp;TEXT(C2399,"###")):INDIRECT(DatCol&amp;"$"&amp;TEXT(C2399+57,"###"))))</f>
        <v>261.10121951219509</v>
      </c>
      <c r="F2399" s="26" t="str">
        <f t="shared" si="2393"/>
        <v>I</v>
      </c>
      <c r="G2399" s="8"/>
      <c r="H2399" s="8">
        <v>35</v>
      </c>
      <c r="I2399" s="8">
        <v>86</v>
      </c>
      <c r="J2399" s="8">
        <v>590</v>
      </c>
      <c r="K2399" s="9">
        <f t="shared" si="2372"/>
        <v>625</v>
      </c>
      <c r="L2399" s="12">
        <v>115</v>
      </c>
      <c r="M2399" s="11">
        <f t="shared" si="2415"/>
        <v>5750</v>
      </c>
      <c r="N2399" s="12">
        <v>85</v>
      </c>
      <c r="O2399" s="11">
        <f t="shared" si="2416"/>
        <v>4250</v>
      </c>
      <c r="P2399" s="12">
        <v>515</v>
      </c>
      <c r="Q2399" s="11">
        <f t="shared" si="2417"/>
        <v>30900</v>
      </c>
      <c r="X2399" s="12">
        <v>765</v>
      </c>
      <c r="Y2399" s="11">
        <f t="shared" si="2418"/>
        <v>45900</v>
      </c>
      <c r="AG2399" s="11">
        <f t="shared" si="2419"/>
        <v>0</v>
      </c>
      <c r="AI2399" s="11">
        <f t="shared" si="2420"/>
        <v>0</v>
      </c>
      <c r="AJ2399" s="12">
        <v>5251</v>
      </c>
      <c r="AK2399" s="13">
        <f t="shared" si="2421"/>
        <v>47259</v>
      </c>
      <c r="AL2399" s="12">
        <v>1183</v>
      </c>
      <c r="AM2399" s="13">
        <f t="shared" si="2422"/>
        <v>10647</v>
      </c>
      <c r="AO2399" s="11">
        <f t="shared" si="2423"/>
        <v>0</v>
      </c>
      <c r="AQ2399" s="11">
        <f t="shared" si="2424"/>
        <v>0</v>
      </c>
      <c r="AS2399" s="11">
        <f t="shared" si="2425"/>
        <v>0</v>
      </c>
      <c r="AU2399" s="11">
        <f t="shared" si="2426"/>
        <v>0</v>
      </c>
      <c r="AW2399" s="11">
        <f t="shared" si="2427"/>
        <v>0</v>
      </c>
      <c r="AY2399" s="11">
        <f t="shared" si="2428"/>
        <v>0</v>
      </c>
      <c r="BA2399" s="11">
        <f t="shared" si="2429"/>
        <v>0</v>
      </c>
      <c r="BC2399" s="11">
        <f t="shared" si="2430"/>
        <v>0</v>
      </c>
      <c r="BE2399" s="11">
        <f t="shared" si="2431"/>
        <v>0</v>
      </c>
      <c r="BG2399" s="11">
        <f t="shared" si="2432"/>
        <v>0</v>
      </c>
      <c r="BN2399" s="8">
        <f t="shared" si="2370"/>
        <v>6646</v>
      </c>
      <c r="BO2399" s="8">
        <f t="shared" si="2371"/>
        <v>129809</v>
      </c>
      <c r="BP2399" s="8">
        <f t="shared" si="2391"/>
        <v>2033</v>
      </c>
      <c r="BQ2399" s="12">
        <f t="shared" si="2392"/>
        <v>60797</v>
      </c>
    </row>
    <row r="2400" spans="1:69">
      <c r="A2400" s="28">
        <v>1975</v>
      </c>
      <c r="B2400" s="27" t="s">
        <v>107</v>
      </c>
      <c r="C2400" s="24">
        <f t="shared" si="2414"/>
        <v>2380</v>
      </c>
      <c r="D2400" s="7" t="e">
        <f t="shared" ca="1" si="2394"/>
        <v>#N/A</v>
      </c>
      <c r="E2400" s="26">
        <f t="array" aca="1" ref="E2400" ca="1">AVERAGE(IF(INDIRECT(DatCol&amp;"$"&amp;TEXT(C2400,"###")):INDIRECT(DatCol&amp;"$"&amp;TEXT(C2400+57,"###"))&gt;0,INDIRECT(DatCol&amp;"$"&amp;TEXT(C2400,"###")):INDIRECT(DatCol&amp;"$"&amp;TEXT(C2400+57,"###"))))</f>
        <v>261.10121951219509</v>
      </c>
      <c r="F2400" s="26" t="str">
        <f t="shared" si="2393"/>
        <v>I</v>
      </c>
      <c r="G2400" s="8"/>
      <c r="H2400" s="8">
        <v>32</v>
      </c>
      <c r="I2400" s="8">
        <v>104</v>
      </c>
      <c r="J2400" s="8">
        <v>522</v>
      </c>
      <c r="K2400" s="9">
        <f t="shared" si="2372"/>
        <v>554</v>
      </c>
      <c r="L2400" s="12">
        <v>44</v>
      </c>
      <c r="M2400" s="11">
        <f t="shared" si="2415"/>
        <v>2200</v>
      </c>
      <c r="N2400" s="12">
        <v>63</v>
      </c>
      <c r="O2400" s="11">
        <f t="shared" si="2416"/>
        <v>3150</v>
      </c>
      <c r="P2400" s="12">
        <v>158</v>
      </c>
      <c r="Q2400" s="11">
        <f t="shared" si="2417"/>
        <v>9480</v>
      </c>
      <c r="X2400" s="12">
        <v>563</v>
      </c>
      <c r="Y2400" s="11">
        <f t="shared" si="2418"/>
        <v>33780</v>
      </c>
      <c r="AG2400" s="11">
        <f t="shared" si="2419"/>
        <v>0</v>
      </c>
      <c r="AI2400" s="11">
        <f t="shared" si="2420"/>
        <v>0</v>
      </c>
      <c r="AJ2400" s="12">
        <v>4928</v>
      </c>
      <c r="AK2400" s="13">
        <f t="shared" si="2421"/>
        <v>44352</v>
      </c>
      <c r="AL2400" s="12">
        <v>643</v>
      </c>
      <c r="AM2400" s="13">
        <f t="shared" si="2422"/>
        <v>5787</v>
      </c>
      <c r="AO2400" s="11">
        <f t="shared" si="2423"/>
        <v>0</v>
      </c>
      <c r="AQ2400" s="11">
        <f t="shared" si="2424"/>
        <v>0</v>
      </c>
      <c r="AS2400" s="11">
        <f t="shared" si="2425"/>
        <v>0</v>
      </c>
      <c r="AU2400" s="11">
        <f t="shared" si="2426"/>
        <v>0</v>
      </c>
      <c r="AW2400" s="11">
        <f t="shared" si="2427"/>
        <v>0</v>
      </c>
      <c r="AY2400" s="11">
        <f t="shared" si="2428"/>
        <v>0</v>
      </c>
      <c r="BA2400" s="11">
        <f t="shared" si="2429"/>
        <v>0</v>
      </c>
      <c r="BC2400" s="11">
        <f t="shared" si="2430"/>
        <v>0</v>
      </c>
      <c r="BE2400" s="11">
        <f t="shared" si="2431"/>
        <v>0</v>
      </c>
      <c r="BG2400" s="11">
        <f t="shared" si="2432"/>
        <v>0</v>
      </c>
      <c r="BN2400" s="8">
        <f t="shared" si="2370"/>
        <v>5693</v>
      </c>
      <c r="BO2400" s="8">
        <f t="shared" si="2371"/>
        <v>89812</v>
      </c>
      <c r="BP2400" s="8">
        <f t="shared" si="2391"/>
        <v>1269</v>
      </c>
      <c r="BQ2400" s="12">
        <f t="shared" si="2392"/>
        <v>42717</v>
      </c>
    </row>
    <row r="2401" spans="1:69">
      <c r="A2401" s="28">
        <v>1976</v>
      </c>
      <c r="B2401" s="27" t="s">
        <v>107</v>
      </c>
      <c r="C2401" s="24">
        <f t="shared" si="2414"/>
        <v>2380</v>
      </c>
      <c r="D2401" s="7" t="e">
        <f t="shared" ca="1" si="2394"/>
        <v>#N/A</v>
      </c>
      <c r="E2401" s="26">
        <f t="array" aca="1" ref="E2401" ca="1">AVERAGE(IF(INDIRECT(DatCol&amp;"$"&amp;TEXT(C2401,"###")):INDIRECT(DatCol&amp;"$"&amp;TEXT(C2401+57,"###"))&gt;0,INDIRECT(DatCol&amp;"$"&amp;TEXT(C2401,"###")):INDIRECT(DatCol&amp;"$"&amp;TEXT(C2401+57,"###"))))</f>
        <v>261.10121951219509</v>
      </c>
      <c r="F2401" s="26" t="str">
        <f t="shared" si="2393"/>
        <v>I</v>
      </c>
      <c r="G2401" s="8"/>
      <c r="H2401" s="8">
        <v>46</v>
      </c>
      <c r="I2401" s="8">
        <v>93</v>
      </c>
      <c r="J2401" s="8">
        <v>393</v>
      </c>
      <c r="K2401" s="9">
        <f t="shared" si="2372"/>
        <v>439</v>
      </c>
      <c r="L2401" s="12">
        <v>18</v>
      </c>
      <c r="M2401" s="11">
        <f t="shared" si="2415"/>
        <v>900</v>
      </c>
      <c r="N2401" s="12">
        <v>52</v>
      </c>
      <c r="O2401" s="11">
        <f t="shared" si="2416"/>
        <v>2600</v>
      </c>
      <c r="P2401" s="12">
        <v>1496</v>
      </c>
      <c r="Q2401" s="11">
        <f t="shared" si="2417"/>
        <v>89760</v>
      </c>
      <c r="X2401" s="12">
        <v>1173</v>
      </c>
      <c r="Y2401" s="11">
        <f t="shared" si="2418"/>
        <v>70380</v>
      </c>
      <c r="AG2401" s="11">
        <f t="shared" si="2419"/>
        <v>0</v>
      </c>
      <c r="AI2401" s="11">
        <f t="shared" si="2420"/>
        <v>0</v>
      </c>
      <c r="AJ2401" s="12">
        <v>2971</v>
      </c>
      <c r="AK2401" s="13">
        <f t="shared" si="2421"/>
        <v>26739</v>
      </c>
      <c r="AL2401" s="12">
        <v>393</v>
      </c>
      <c r="AM2401" s="13">
        <f t="shared" si="2422"/>
        <v>3537</v>
      </c>
      <c r="AO2401" s="11">
        <f t="shared" si="2423"/>
        <v>0</v>
      </c>
      <c r="AQ2401" s="11">
        <f t="shared" si="2424"/>
        <v>0</v>
      </c>
      <c r="AS2401" s="11">
        <f t="shared" si="2425"/>
        <v>0</v>
      </c>
      <c r="AU2401" s="11">
        <f t="shared" si="2426"/>
        <v>0</v>
      </c>
      <c r="AW2401" s="11">
        <f t="shared" si="2427"/>
        <v>0</v>
      </c>
      <c r="AY2401" s="11">
        <f t="shared" si="2428"/>
        <v>0</v>
      </c>
      <c r="BA2401" s="11">
        <f t="shared" si="2429"/>
        <v>0</v>
      </c>
      <c r="BC2401" s="11">
        <f t="shared" si="2430"/>
        <v>0</v>
      </c>
      <c r="BE2401" s="11">
        <f t="shared" si="2431"/>
        <v>0</v>
      </c>
      <c r="BG2401" s="11">
        <f t="shared" si="2432"/>
        <v>0</v>
      </c>
      <c r="BN2401" s="8">
        <f t="shared" si="2370"/>
        <v>5658</v>
      </c>
      <c r="BO2401" s="8">
        <f t="shared" si="2371"/>
        <v>187779</v>
      </c>
      <c r="BP2401" s="8">
        <f t="shared" si="2391"/>
        <v>1618</v>
      </c>
      <c r="BQ2401" s="12">
        <f t="shared" si="2392"/>
        <v>76517</v>
      </c>
    </row>
    <row r="2402" spans="1:69">
      <c r="A2402" s="28">
        <v>1977</v>
      </c>
      <c r="B2402" s="27" t="s">
        <v>107</v>
      </c>
      <c r="C2402" s="24">
        <f t="shared" si="2414"/>
        <v>2380</v>
      </c>
      <c r="D2402" s="7" t="e">
        <f t="shared" ca="1" si="2394"/>
        <v>#N/A</v>
      </c>
      <c r="E2402" s="26">
        <f t="array" aca="1" ref="E2402" ca="1">AVERAGE(IF(INDIRECT(DatCol&amp;"$"&amp;TEXT(C2402,"###")):INDIRECT(DatCol&amp;"$"&amp;TEXT(C2402+57,"###"))&gt;0,INDIRECT(DatCol&amp;"$"&amp;TEXT(C2402,"###")):INDIRECT(DatCol&amp;"$"&amp;TEXT(C2402+57,"###"))))</f>
        <v>261.10121951219509</v>
      </c>
      <c r="F2402" s="26" t="str">
        <f t="shared" si="2393"/>
        <v>I</v>
      </c>
      <c r="G2402" s="8"/>
      <c r="H2402" s="8">
        <v>39</v>
      </c>
      <c r="I2402" s="8">
        <v>34</v>
      </c>
      <c r="J2402" s="8">
        <v>475</v>
      </c>
      <c r="K2402" s="9">
        <f t="shared" si="2372"/>
        <v>514</v>
      </c>
      <c r="L2402" s="12">
        <v>24</v>
      </c>
      <c r="M2402" s="11">
        <f t="shared" si="2415"/>
        <v>1200</v>
      </c>
      <c r="N2402" s="12">
        <v>37</v>
      </c>
      <c r="O2402" s="11">
        <f t="shared" si="2416"/>
        <v>1850</v>
      </c>
      <c r="P2402" s="12">
        <v>865</v>
      </c>
      <c r="Q2402" s="11">
        <f t="shared" si="2417"/>
        <v>51900</v>
      </c>
      <c r="X2402" s="12">
        <v>987</v>
      </c>
      <c r="Y2402" s="11">
        <f t="shared" si="2418"/>
        <v>59220</v>
      </c>
      <c r="AG2402" s="11">
        <f t="shared" si="2419"/>
        <v>0</v>
      </c>
      <c r="AI2402" s="11">
        <f t="shared" si="2420"/>
        <v>0</v>
      </c>
      <c r="AJ2402" s="12">
        <v>407</v>
      </c>
      <c r="AK2402" s="13">
        <f t="shared" si="2421"/>
        <v>3663</v>
      </c>
      <c r="AL2402" s="12">
        <v>141</v>
      </c>
      <c r="AM2402" s="13">
        <f t="shared" si="2422"/>
        <v>1269</v>
      </c>
      <c r="AO2402" s="11">
        <f t="shared" si="2423"/>
        <v>0</v>
      </c>
      <c r="AQ2402" s="11">
        <f t="shared" si="2424"/>
        <v>0</v>
      </c>
      <c r="AS2402" s="11">
        <f t="shared" si="2425"/>
        <v>0</v>
      </c>
      <c r="AU2402" s="11">
        <f t="shared" si="2426"/>
        <v>0</v>
      </c>
      <c r="AW2402" s="11">
        <f t="shared" si="2427"/>
        <v>0</v>
      </c>
      <c r="AY2402" s="11">
        <f t="shared" si="2428"/>
        <v>0</v>
      </c>
      <c r="BA2402" s="11">
        <f t="shared" si="2429"/>
        <v>0</v>
      </c>
      <c r="BC2402" s="11">
        <f t="shared" si="2430"/>
        <v>0</v>
      </c>
      <c r="BE2402" s="11">
        <f t="shared" si="2431"/>
        <v>0</v>
      </c>
      <c r="BG2402" s="11">
        <f t="shared" si="2432"/>
        <v>0</v>
      </c>
      <c r="BN2402" s="8">
        <f t="shared" si="2370"/>
        <v>2283</v>
      </c>
      <c r="BO2402" s="8">
        <f t="shared" si="2371"/>
        <v>115983</v>
      </c>
      <c r="BP2402" s="8">
        <f t="shared" si="2391"/>
        <v>1165</v>
      </c>
      <c r="BQ2402" s="12">
        <f t="shared" si="2392"/>
        <v>62339</v>
      </c>
    </row>
    <row r="2403" spans="1:69">
      <c r="A2403" s="28">
        <v>1978</v>
      </c>
      <c r="B2403" s="27" t="s">
        <v>107</v>
      </c>
      <c r="C2403" s="24">
        <f t="shared" si="2414"/>
        <v>2380</v>
      </c>
      <c r="D2403" s="7" t="e">
        <f t="shared" ca="1" si="2394"/>
        <v>#N/A</v>
      </c>
      <c r="E2403" s="26">
        <f t="array" aca="1" ref="E2403" ca="1">AVERAGE(IF(INDIRECT(DatCol&amp;"$"&amp;TEXT(C2403,"###")):INDIRECT(DatCol&amp;"$"&amp;TEXT(C2403+57,"###"))&gt;0,INDIRECT(DatCol&amp;"$"&amp;TEXT(C2403,"###")):INDIRECT(DatCol&amp;"$"&amp;TEXT(C2403+57,"###"))))</f>
        <v>261.10121951219509</v>
      </c>
      <c r="F2403" s="26" t="str">
        <f t="shared" si="2393"/>
        <v>I</v>
      </c>
      <c r="G2403" s="8"/>
      <c r="H2403" s="8">
        <v>36</v>
      </c>
      <c r="I2403" s="8">
        <v>70</v>
      </c>
      <c r="J2403" s="8">
        <v>428</v>
      </c>
      <c r="K2403" s="9">
        <f t="shared" si="2372"/>
        <v>464</v>
      </c>
      <c r="L2403" s="12">
        <v>15</v>
      </c>
      <c r="M2403" s="11">
        <f t="shared" si="2415"/>
        <v>750</v>
      </c>
      <c r="N2403" s="12">
        <v>14</v>
      </c>
      <c r="O2403" s="11">
        <f t="shared" si="2416"/>
        <v>700</v>
      </c>
      <c r="P2403" s="12">
        <v>810</v>
      </c>
      <c r="Q2403" s="11">
        <f t="shared" si="2417"/>
        <v>48600</v>
      </c>
      <c r="X2403" s="12">
        <v>669</v>
      </c>
      <c r="Y2403" s="11">
        <f t="shared" si="2418"/>
        <v>40140</v>
      </c>
      <c r="AG2403" s="11">
        <f t="shared" si="2419"/>
        <v>0</v>
      </c>
      <c r="AI2403" s="11">
        <f t="shared" si="2420"/>
        <v>0</v>
      </c>
      <c r="AJ2403" s="12">
        <v>4094</v>
      </c>
      <c r="AK2403" s="13">
        <f t="shared" si="2421"/>
        <v>36846</v>
      </c>
      <c r="AL2403" s="12">
        <v>681</v>
      </c>
      <c r="AM2403" s="13">
        <f t="shared" si="2422"/>
        <v>6129</v>
      </c>
      <c r="AO2403" s="11">
        <f t="shared" si="2423"/>
        <v>0</v>
      </c>
      <c r="AQ2403" s="11">
        <f t="shared" si="2424"/>
        <v>0</v>
      </c>
      <c r="AS2403" s="11">
        <f t="shared" si="2425"/>
        <v>0</v>
      </c>
      <c r="AU2403" s="11">
        <f t="shared" si="2426"/>
        <v>0</v>
      </c>
      <c r="AW2403" s="11">
        <f t="shared" si="2427"/>
        <v>0</v>
      </c>
      <c r="AY2403" s="11">
        <f t="shared" si="2428"/>
        <v>0</v>
      </c>
      <c r="BA2403" s="11">
        <f t="shared" si="2429"/>
        <v>0</v>
      </c>
      <c r="BC2403" s="11">
        <f t="shared" si="2430"/>
        <v>0</v>
      </c>
      <c r="BE2403" s="11">
        <f t="shared" si="2431"/>
        <v>0</v>
      </c>
      <c r="BG2403" s="11">
        <f t="shared" si="2432"/>
        <v>0</v>
      </c>
      <c r="BN2403" s="8">
        <f t="shared" si="2370"/>
        <v>5588</v>
      </c>
      <c r="BO2403" s="8">
        <f t="shared" si="2371"/>
        <v>126336</v>
      </c>
      <c r="BP2403" s="8">
        <f t="shared" si="2391"/>
        <v>1364</v>
      </c>
      <c r="BQ2403" s="12">
        <f t="shared" si="2392"/>
        <v>46969</v>
      </c>
    </row>
    <row r="2404" spans="1:69">
      <c r="A2404" s="28">
        <v>1979</v>
      </c>
      <c r="B2404" s="27" t="s">
        <v>107</v>
      </c>
      <c r="C2404" s="24">
        <f t="shared" si="2414"/>
        <v>2380</v>
      </c>
      <c r="D2404" s="7" t="e">
        <f t="shared" ca="1" si="2394"/>
        <v>#N/A</v>
      </c>
      <c r="E2404" s="26">
        <f t="array" aca="1" ref="E2404" ca="1">AVERAGE(IF(INDIRECT(DatCol&amp;"$"&amp;TEXT(C2404,"###")):INDIRECT(DatCol&amp;"$"&amp;TEXT(C2404+57,"###"))&gt;0,INDIRECT(DatCol&amp;"$"&amp;TEXT(C2404,"###")):INDIRECT(DatCol&amp;"$"&amp;TEXT(C2404+57,"###"))))</f>
        <v>261.10121951219509</v>
      </c>
      <c r="F2404" s="26" t="str">
        <f t="shared" si="2393"/>
        <v>I</v>
      </c>
      <c r="G2404" s="8"/>
      <c r="H2404" s="8">
        <v>53</v>
      </c>
      <c r="I2404" s="8">
        <v>98</v>
      </c>
      <c r="J2404" s="8">
        <v>606</v>
      </c>
      <c r="K2404" s="9">
        <f t="shared" si="2372"/>
        <v>659</v>
      </c>
      <c r="L2404" s="12">
        <v>25</v>
      </c>
      <c r="M2404" s="11">
        <f t="shared" si="2415"/>
        <v>1250</v>
      </c>
      <c r="N2404" s="12">
        <v>17</v>
      </c>
      <c r="O2404" s="11">
        <f t="shared" si="2416"/>
        <v>850</v>
      </c>
      <c r="P2404" s="12">
        <v>563</v>
      </c>
      <c r="Q2404" s="11">
        <f t="shared" si="2417"/>
        <v>33780</v>
      </c>
      <c r="X2404" s="12">
        <v>751</v>
      </c>
      <c r="Y2404" s="11">
        <f t="shared" si="2418"/>
        <v>45060</v>
      </c>
      <c r="AG2404" s="11">
        <f t="shared" si="2419"/>
        <v>0</v>
      </c>
      <c r="AI2404" s="11">
        <f t="shared" si="2420"/>
        <v>0</v>
      </c>
      <c r="AJ2404" s="12">
        <v>4320</v>
      </c>
      <c r="AK2404" s="13">
        <f t="shared" si="2421"/>
        <v>38880</v>
      </c>
      <c r="AL2404" s="12">
        <v>793</v>
      </c>
      <c r="AM2404" s="13">
        <f t="shared" si="2422"/>
        <v>7137</v>
      </c>
      <c r="AO2404" s="11">
        <f t="shared" si="2423"/>
        <v>0</v>
      </c>
      <c r="AQ2404" s="11">
        <f t="shared" si="2424"/>
        <v>0</v>
      </c>
      <c r="AS2404" s="11">
        <f t="shared" si="2425"/>
        <v>0</v>
      </c>
      <c r="AU2404" s="11">
        <f t="shared" si="2426"/>
        <v>0</v>
      </c>
      <c r="AW2404" s="11">
        <f t="shared" si="2427"/>
        <v>0</v>
      </c>
      <c r="AY2404" s="11">
        <f t="shared" si="2428"/>
        <v>0</v>
      </c>
      <c r="BA2404" s="11">
        <f t="shared" si="2429"/>
        <v>0</v>
      </c>
      <c r="BC2404" s="11">
        <f t="shared" si="2430"/>
        <v>0</v>
      </c>
      <c r="BE2404" s="11">
        <f t="shared" si="2431"/>
        <v>0</v>
      </c>
      <c r="BG2404" s="11">
        <f t="shared" si="2432"/>
        <v>0</v>
      </c>
      <c r="BN2404" s="8">
        <f t="shared" si="2370"/>
        <v>5659</v>
      </c>
      <c r="BO2404" s="8">
        <f t="shared" si="2371"/>
        <v>118970</v>
      </c>
      <c r="BP2404" s="8">
        <f t="shared" si="2391"/>
        <v>1561</v>
      </c>
      <c r="BQ2404" s="12">
        <f t="shared" si="2392"/>
        <v>53047</v>
      </c>
    </row>
    <row r="2405" spans="1:69">
      <c r="A2405" s="28">
        <v>1980</v>
      </c>
      <c r="B2405" s="27" t="s">
        <v>107</v>
      </c>
      <c r="C2405" s="24">
        <f t="shared" si="2414"/>
        <v>2380</v>
      </c>
      <c r="D2405" s="7" t="e">
        <f t="shared" ca="1" si="2394"/>
        <v>#N/A</v>
      </c>
      <c r="E2405" s="26">
        <f t="array" aca="1" ref="E2405" ca="1">AVERAGE(IF(INDIRECT(DatCol&amp;"$"&amp;TEXT(C2405,"###")):INDIRECT(DatCol&amp;"$"&amp;TEXT(C2405+57,"###"))&gt;0,INDIRECT(DatCol&amp;"$"&amp;TEXT(C2405,"###")):INDIRECT(DatCol&amp;"$"&amp;TEXT(C2405+57,"###"))))</f>
        <v>261.10121951219509</v>
      </c>
      <c r="F2405" s="26" t="str">
        <f t="shared" si="2393"/>
        <v>I</v>
      </c>
      <c r="G2405" s="8"/>
      <c r="H2405" s="8">
        <v>77</v>
      </c>
      <c r="I2405" s="8">
        <v>125</v>
      </c>
      <c r="J2405" s="8">
        <v>664</v>
      </c>
      <c r="K2405" s="9">
        <f t="shared" si="2372"/>
        <v>741</v>
      </c>
      <c r="L2405" s="12">
        <v>95</v>
      </c>
      <c r="M2405" s="11">
        <f t="shared" si="2415"/>
        <v>4750</v>
      </c>
      <c r="N2405" s="12">
        <v>115</v>
      </c>
      <c r="O2405" s="11">
        <f t="shared" si="2416"/>
        <v>5750</v>
      </c>
      <c r="P2405" s="12">
        <v>590</v>
      </c>
      <c r="Q2405" s="11">
        <f t="shared" si="2417"/>
        <v>35400</v>
      </c>
      <c r="X2405" s="12">
        <v>493</v>
      </c>
      <c r="Y2405" s="11">
        <f t="shared" si="2418"/>
        <v>29580</v>
      </c>
      <c r="AG2405" s="11">
        <f t="shared" si="2419"/>
        <v>0</v>
      </c>
      <c r="AI2405" s="11">
        <f t="shared" si="2420"/>
        <v>0</v>
      </c>
      <c r="AJ2405" s="12">
        <v>3310</v>
      </c>
      <c r="AK2405" s="13">
        <f t="shared" si="2421"/>
        <v>29790</v>
      </c>
      <c r="AL2405" s="12">
        <v>703</v>
      </c>
      <c r="AM2405" s="13">
        <f t="shared" si="2422"/>
        <v>6327</v>
      </c>
      <c r="AO2405" s="11">
        <f t="shared" si="2423"/>
        <v>0</v>
      </c>
      <c r="AQ2405" s="11">
        <f t="shared" si="2424"/>
        <v>0</v>
      </c>
      <c r="AS2405" s="11">
        <f t="shared" si="2425"/>
        <v>0</v>
      </c>
      <c r="AU2405" s="11">
        <f t="shared" si="2426"/>
        <v>0</v>
      </c>
      <c r="AW2405" s="11">
        <f t="shared" si="2427"/>
        <v>0</v>
      </c>
      <c r="AY2405" s="11">
        <f t="shared" si="2428"/>
        <v>0</v>
      </c>
      <c r="BA2405" s="11">
        <f t="shared" si="2429"/>
        <v>0</v>
      </c>
      <c r="BC2405" s="11">
        <f t="shared" si="2430"/>
        <v>0</v>
      </c>
      <c r="BE2405" s="11">
        <f t="shared" si="2431"/>
        <v>0</v>
      </c>
      <c r="BG2405" s="11">
        <f t="shared" si="2432"/>
        <v>0</v>
      </c>
      <c r="BN2405" s="8">
        <f t="shared" si="2370"/>
        <v>4488</v>
      </c>
      <c r="BO2405" s="8">
        <f t="shared" si="2371"/>
        <v>99520</v>
      </c>
      <c r="BP2405" s="8">
        <f t="shared" si="2391"/>
        <v>1311</v>
      </c>
      <c r="BQ2405" s="12">
        <f t="shared" si="2392"/>
        <v>41657</v>
      </c>
    </row>
    <row r="2406" spans="1:69">
      <c r="A2406" s="28">
        <v>1981</v>
      </c>
      <c r="B2406" s="27" t="s">
        <v>107</v>
      </c>
      <c r="C2406" s="24">
        <f t="shared" si="2414"/>
        <v>2380</v>
      </c>
      <c r="D2406" s="7" t="e">
        <f t="shared" ca="1" si="2394"/>
        <v>#N/A</v>
      </c>
      <c r="E2406" s="26">
        <f t="array" aca="1" ref="E2406" ca="1">AVERAGE(IF(INDIRECT(DatCol&amp;"$"&amp;TEXT(C2406,"###")):INDIRECT(DatCol&amp;"$"&amp;TEXT(C2406+57,"###"))&gt;0,INDIRECT(DatCol&amp;"$"&amp;TEXT(C2406,"###")):INDIRECT(DatCol&amp;"$"&amp;TEXT(C2406+57,"###"))))</f>
        <v>261.10121951219509</v>
      </c>
      <c r="F2406" s="26" t="str">
        <f t="shared" si="2393"/>
        <v>I</v>
      </c>
      <c r="G2406" s="8"/>
      <c r="H2406" s="8">
        <v>64</v>
      </c>
      <c r="I2406" s="8">
        <v>61</v>
      </c>
      <c r="J2406" s="8">
        <v>573</v>
      </c>
      <c r="K2406" s="9">
        <f t="shared" si="2372"/>
        <v>637</v>
      </c>
      <c r="L2406" s="12">
        <v>146</v>
      </c>
      <c r="M2406" s="11">
        <f t="shared" si="2415"/>
        <v>7300</v>
      </c>
      <c r="N2406" s="12">
        <v>158</v>
      </c>
      <c r="O2406" s="11">
        <f t="shared" si="2416"/>
        <v>7900</v>
      </c>
      <c r="P2406" s="12">
        <v>263</v>
      </c>
      <c r="Q2406" s="11">
        <f t="shared" si="2417"/>
        <v>15780</v>
      </c>
      <c r="X2406" s="12">
        <v>250</v>
      </c>
      <c r="Y2406" s="11">
        <f t="shared" si="2418"/>
        <v>15000</v>
      </c>
      <c r="AG2406" s="11">
        <f t="shared" si="2419"/>
        <v>0</v>
      </c>
      <c r="AI2406" s="11">
        <f t="shared" si="2420"/>
        <v>0</v>
      </c>
      <c r="AJ2406" s="12">
        <v>3610</v>
      </c>
      <c r="AK2406" s="13">
        <f t="shared" si="2421"/>
        <v>32490</v>
      </c>
      <c r="AL2406" s="12">
        <v>937</v>
      </c>
      <c r="AM2406" s="13">
        <f t="shared" si="2422"/>
        <v>8433</v>
      </c>
      <c r="AO2406" s="11">
        <f t="shared" si="2423"/>
        <v>0</v>
      </c>
      <c r="AQ2406" s="11">
        <f t="shared" si="2424"/>
        <v>0</v>
      </c>
      <c r="AS2406" s="11">
        <f t="shared" si="2425"/>
        <v>0</v>
      </c>
      <c r="AU2406" s="11">
        <f t="shared" si="2426"/>
        <v>0</v>
      </c>
      <c r="AW2406" s="11">
        <f t="shared" si="2427"/>
        <v>0</v>
      </c>
      <c r="AY2406" s="11">
        <f t="shared" si="2428"/>
        <v>0</v>
      </c>
      <c r="BA2406" s="11">
        <f t="shared" si="2429"/>
        <v>0</v>
      </c>
      <c r="BC2406" s="11">
        <f t="shared" si="2430"/>
        <v>0</v>
      </c>
      <c r="BE2406" s="11">
        <f t="shared" si="2431"/>
        <v>0</v>
      </c>
      <c r="BG2406" s="11">
        <f t="shared" si="2432"/>
        <v>0</v>
      </c>
      <c r="BN2406" s="8">
        <f t="shared" si="2370"/>
        <v>4269</v>
      </c>
      <c r="BO2406" s="8">
        <f t="shared" si="2371"/>
        <v>70570</v>
      </c>
      <c r="BP2406" s="8">
        <f t="shared" si="2391"/>
        <v>1345</v>
      </c>
      <c r="BQ2406" s="12">
        <f t="shared" si="2392"/>
        <v>31333</v>
      </c>
    </row>
    <row r="2407" spans="1:69">
      <c r="A2407" s="28">
        <v>1982</v>
      </c>
      <c r="B2407" s="27" t="s">
        <v>107</v>
      </c>
      <c r="C2407" s="24">
        <f t="shared" si="2414"/>
        <v>2380</v>
      </c>
      <c r="D2407" s="7" t="e">
        <f t="shared" ca="1" si="2394"/>
        <v>#N/A</v>
      </c>
      <c r="E2407" s="26">
        <f t="array" aca="1" ref="E2407" ca="1">AVERAGE(IF(INDIRECT(DatCol&amp;"$"&amp;TEXT(C2407,"###")):INDIRECT(DatCol&amp;"$"&amp;TEXT(C2407+57,"###"))&gt;0,INDIRECT(DatCol&amp;"$"&amp;TEXT(C2407,"###")):INDIRECT(DatCol&amp;"$"&amp;TEXT(C2407+57,"###"))))</f>
        <v>261.10121951219509</v>
      </c>
      <c r="F2407" s="26" t="str">
        <f t="shared" si="2393"/>
        <v>I</v>
      </c>
      <c r="G2407" s="8"/>
      <c r="H2407" s="8">
        <v>58</v>
      </c>
      <c r="I2407" s="8">
        <v>45</v>
      </c>
      <c r="J2407" s="8">
        <v>577</v>
      </c>
      <c r="K2407" s="9">
        <f t="shared" si="2372"/>
        <v>635</v>
      </c>
      <c r="L2407" s="12">
        <v>148.5</v>
      </c>
      <c r="M2407" s="11">
        <f t="shared" si="2415"/>
        <v>7425</v>
      </c>
      <c r="N2407" s="12">
        <v>294.25</v>
      </c>
      <c r="O2407" s="11">
        <f t="shared" si="2416"/>
        <v>14712.5</v>
      </c>
      <c r="P2407" s="12">
        <v>294.5</v>
      </c>
      <c r="Q2407" s="11">
        <f t="shared" si="2417"/>
        <v>17670</v>
      </c>
      <c r="X2407" s="12">
        <v>260</v>
      </c>
      <c r="Y2407" s="11">
        <f t="shared" si="2418"/>
        <v>15600</v>
      </c>
      <c r="AG2407" s="11">
        <f t="shared" si="2419"/>
        <v>0</v>
      </c>
      <c r="AI2407" s="11">
        <f t="shared" si="2420"/>
        <v>0</v>
      </c>
      <c r="AJ2407" s="12">
        <v>2551</v>
      </c>
      <c r="AK2407" s="13">
        <f t="shared" si="2421"/>
        <v>22959</v>
      </c>
      <c r="AL2407" s="12">
        <v>888</v>
      </c>
      <c r="AM2407" s="13">
        <f t="shared" si="2422"/>
        <v>7992</v>
      </c>
      <c r="AO2407" s="11">
        <f t="shared" si="2423"/>
        <v>0</v>
      </c>
      <c r="AQ2407" s="11">
        <f t="shared" si="2424"/>
        <v>0</v>
      </c>
      <c r="AS2407" s="11">
        <f t="shared" si="2425"/>
        <v>0</v>
      </c>
      <c r="AU2407" s="11">
        <f t="shared" si="2426"/>
        <v>0</v>
      </c>
      <c r="AW2407" s="11">
        <f t="shared" si="2427"/>
        <v>0</v>
      </c>
      <c r="AY2407" s="11">
        <f t="shared" si="2428"/>
        <v>0</v>
      </c>
      <c r="BA2407" s="11">
        <f t="shared" si="2429"/>
        <v>0</v>
      </c>
      <c r="BC2407" s="11">
        <f t="shared" si="2430"/>
        <v>0</v>
      </c>
      <c r="BE2407" s="11">
        <f t="shared" si="2431"/>
        <v>0</v>
      </c>
      <c r="BG2407" s="11">
        <f t="shared" si="2432"/>
        <v>0</v>
      </c>
      <c r="BN2407" s="8">
        <f t="shared" si="2370"/>
        <v>3254</v>
      </c>
      <c r="BO2407" s="8">
        <f t="shared" si="2371"/>
        <v>63654</v>
      </c>
      <c r="BP2407" s="8">
        <f t="shared" si="2391"/>
        <v>1442.25</v>
      </c>
      <c r="BQ2407" s="12">
        <f t="shared" si="2392"/>
        <v>38304.5</v>
      </c>
    </row>
    <row r="2408" spans="1:69">
      <c r="A2408" s="28">
        <v>1983</v>
      </c>
      <c r="B2408" s="27" t="s">
        <v>107</v>
      </c>
      <c r="C2408" s="24">
        <f t="shared" si="2414"/>
        <v>2380</v>
      </c>
      <c r="D2408" s="7" t="e">
        <f t="shared" ca="1" si="2394"/>
        <v>#N/A</v>
      </c>
      <c r="E2408" s="26">
        <f t="array" aca="1" ref="E2408" ca="1">AVERAGE(IF(INDIRECT(DatCol&amp;"$"&amp;TEXT(C2408,"###")):INDIRECT(DatCol&amp;"$"&amp;TEXT(C2408+57,"###"))&gt;0,INDIRECT(DatCol&amp;"$"&amp;TEXT(C2408,"###")):INDIRECT(DatCol&amp;"$"&amp;TEXT(C2408+57,"###"))))</f>
        <v>261.10121951219509</v>
      </c>
      <c r="F2408" s="26" t="str">
        <f t="shared" si="2393"/>
        <v>I</v>
      </c>
      <c r="G2408" s="8"/>
      <c r="H2408" s="8">
        <v>46</v>
      </c>
      <c r="I2408" s="8">
        <v>44</v>
      </c>
      <c r="J2408" s="8">
        <v>607</v>
      </c>
      <c r="K2408" s="9">
        <f t="shared" si="2372"/>
        <v>653</v>
      </c>
      <c r="L2408" s="12">
        <v>250</v>
      </c>
      <c r="M2408" s="11">
        <f t="shared" si="2415"/>
        <v>12500</v>
      </c>
      <c r="N2408" s="12">
        <v>363</v>
      </c>
      <c r="O2408" s="11">
        <f t="shared" si="2416"/>
        <v>18150</v>
      </c>
      <c r="P2408" s="12">
        <v>58</v>
      </c>
      <c r="Q2408" s="11">
        <f t="shared" si="2417"/>
        <v>3480</v>
      </c>
      <c r="X2408" s="12">
        <v>124</v>
      </c>
      <c r="Y2408" s="11">
        <f t="shared" si="2418"/>
        <v>7440</v>
      </c>
      <c r="AG2408" s="11">
        <f t="shared" si="2419"/>
        <v>0</v>
      </c>
      <c r="AI2408" s="11">
        <f t="shared" si="2420"/>
        <v>0</v>
      </c>
      <c r="AJ2408" s="12">
        <v>2670</v>
      </c>
      <c r="AK2408" s="13">
        <f t="shared" si="2421"/>
        <v>24030</v>
      </c>
      <c r="AL2408" s="12">
        <v>907</v>
      </c>
      <c r="AM2408" s="13">
        <f t="shared" si="2422"/>
        <v>8163</v>
      </c>
      <c r="AO2408" s="11">
        <f t="shared" si="2423"/>
        <v>0</v>
      </c>
      <c r="AQ2408" s="11">
        <f t="shared" si="2424"/>
        <v>0</v>
      </c>
      <c r="AS2408" s="11">
        <f t="shared" si="2425"/>
        <v>0</v>
      </c>
      <c r="AU2408" s="11">
        <f t="shared" si="2426"/>
        <v>0</v>
      </c>
      <c r="AW2408" s="11">
        <f t="shared" si="2427"/>
        <v>0</v>
      </c>
      <c r="AY2408" s="11">
        <f t="shared" si="2428"/>
        <v>0</v>
      </c>
      <c r="BA2408" s="11">
        <f t="shared" si="2429"/>
        <v>0</v>
      </c>
      <c r="BC2408" s="11">
        <f t="shared" si="2430"/>
        <v>0</v>
      </c>
      <c r="BE2408" s="11">
        <f t="shared" si="2431"/>
        <v>0</v>
      </c>
      <c r="BG2408" s="11">
        <f t="shared" si="2432"/>
        <v>0</v>
      </c>
      <c r="BN2408" s="8">
        <f t="shared" si="2370"/>
        <v>3102</v>
      </c>
      <c r="BO2408" s="8">
        <f t="shared" si="2371"/>
        <v>47450</v>
      </c>
      <c r="BP2408" s="8">
        <f t="shared" si="2391"/>
        <v>1394</v>
      </c>
      <c r="BQ2408" s="12">
        <f t="shared" si="2392"/>
        <v>33753</v>
      </c>
    </row>
    <row r="2409" spans="1:69">
      <c r="A2409" s="28">
        <v>1984</v>
      </c>
      <c r="B2409" s="27" t="s">
        <v>107</v>
      </c>
      <c r="C2409" s="24">
        <f t="shared" si="2414"/>
        <v>2380</v>
      </c>
      <c r="D2409" s="7" t="e">
        <f t="shared" ca="1" si="2394"/>
        <v>#N/A</v>
      </c>
      <c r="E2409" s="26">
        <f t="array" aca="1" ref="E2409" ca="1">AVERAGE(IF(INDIRECT(DatCol&amp;"$"&amp;TEXT(C2409,"###")):INDIRECT(DatCol&amp;"$"&amp;TEXT(C2409+57,"###"))&gt;0,INDIRECT(DatCol&amp;"$"&amp;TEXT(C2409,"###")):INDIRECT(DatCol&amp;"$"&amp;TEXT(C2409+57,"###"))))</f>
        <v>261.10121951219509</v>
      </c>
      <c r="F2409" s="26" t="str">
        <f t="shared" si="2393"/>
        <v>I</v>
      </c>
      <c r="G2409" s="8"/>
      <c r="H2409" s="8">
        <v>52</v>
      </c>
      <c r="I2409" s="8">
        <v>81</v>
      </c>
      <c r="J2409" s="8">
        <v>336</v>
      </c>
      <c r="K2409" s="9">
        <f t="shared" si="2372"/>
        <v>388</v>
      </c>
      <c r="L2409" s="12">
        <v>194</v>
      </c>
      <c r="M2409" s="11">
        <f t="shared" si="2415"/>
        <v>9700</v>
      </c>
      <c r="N2409" s="12">
        <v>353</v>
      </c>
      <c r="O2409" s="11">
        <f t="shared" si="2416"/>
        <v>17650</v>
      </c>
      <c r="P2409" s="12">
        <v>471</v>
      </c>
      <c r="Q2409" s="11">
        <f t="shared" si="2417"/>
        <v>28260</v>
      </c>
      <c r="X2409" s="12">
        <v>248.5</v>
      </c>
      <c r="Y2409" s="11">
        <f t="shared" si="2418"/>
        <v>14910</v>
      </c>
      <c r="AG2409" s="11">
        <f t="shared" si="2419"/>
        <v>0</v>
      </c>
      <c r="AI2409" s="11">
        <f t="shared" si="2420"/>
        <v>0</v>
      </c>
      <c r="AJ2409" s="12">
        <v>3082.5</v>
      </c>
      <c r="AK2409" s="13">
        <f t="shared" si="2421"/>
        <v>27742.5</v>
      </c>
      <c r="AL2409" s="12">
        <v>8365</v>
      </c>
      <c r="AM2409" s="13">
        <f t="shared" si="2422"/>
        <v>75285</v>
      </c>
      <c r="AO2409" s="11">
        <f t="shared" si="2423"/>
        <v>0</v>
      </c>
      <c r="AQ2409" s="11">
        <f t="shared" si="2424"/>
        <v>0</v>
      </c>
      <c r="AS2409" s="11">
        <f t="shared" si="2425"/>
        <v>0</v>
      </c>
      <c r="AU2409" s="11">
        <f t="shared" si="2426"/>
        <v>0</v>
      </c>
      <c r="AW2409" s="11">
        <f t="shared" si="2427"/>
        <v>0</v>
      </c>
      <c r="AY2409" s="11">
        <f t="shared" si="2428"/>
        <v>0</v>
      </c>
      <c r="BA2409" s="11">
        <f t="shared" si="2429"/>
        <v>0</v>
      </c>
      <c r="BC2409" s="11">
        <f t="shared" si="2430"/>
        <v>0</v>
      </c>
      <c r="BE2409" s="11">
        <f t="shared" si="2431"/>
        <v>0</v>
      </c>
      <c r="BG2409" s="11">
        <f t="shared" si="2432"/>
        <v>0</v>
      </c>
      <c r="BN2409" s="8">
        <f t="shared" si="2370"/>
        <v>3996</v>
      </c>
      <c r="BO2409" s="8">
        <f t="shared" si="2371"/>
        <v>80612.5</v>
      </c>
      <c r="BP2409" s="8">
        <f t="shared" si="2391"/>
        <v>8966.5</v>
      </c>
      <c r="BQ2409" s="12">
        <f t="shared" si="2392"/>
        <v>107845</v>
      </c>
    </row>
    <row r="2410" spans="1:69">
      <c r="A2410" s="28">
        <v>1985</v>
      </c>
      <c r="B2410" s="27" t="s">
        <v>107</v>
      </c>
      <c r="C2410" s="24">
        <f t="shared" si="2414"/>
        <v>2380</v>
      </c>
      <c r="D2410" s="7" t="e">
        <f t="shared" ca="1" si="2394"/>
        <v>#N/A</v>
      </c>
      <c r="E2410" s="26">
        <f t="array" aca="1" ref="E2410" ca="1">AVERAGE(IF(INDIRECT(DatCol&amp;"$"&amp;TEXT(C2410,"###")):INDIRECT(DatCol&amp;"$"&amp;TEXT(C2410+57,"###"))&gt;0,INDIRECT(DatCol&amp;"$"&amp;TEXT(C2410,"###")):INDIRECT(DatCol&amp;"$"&amp;TEXT(C2410+57,"###"))))</f>
        <v>261.10121951219509</v>
      </c>
      <c r="F2410" s="26" t="str">
        <f t="shared" si="2393"/>
        <v>I</v>
      </c>
      <c r="G2410" s="8"/>
      <c r="H2410" s="8">
        <v>44</v>
      </c>
      <c r="I2410" s="8">
        <v>42</v>
      </c>
      <c r="J2410" s="8">
        <v>441</v>
      </c>
      <c r="K2410" s="9">
        <f t="shared" si="2372"/>
        <v>485</v>
      </c>
      <c r="L2410" s="12">
        <v>263</v>
      </c>
      <c r="M2410" s="11">
        <f t="shared" ref="M2410:M2440" si="2433">(L2410*50)</f>
        <v>13150</v>
      </c>
      <c r="N2410" s="12">
        <v>438</v>
      </c>
      <c r="O2410" s="11">
        <f t="shared" ref="O2410:O2440" si="2434">(N2410*50)</f>
        <v>21900</v>
      </c>
      <c r="P2410" s="12">
        <v>345</v>
      </c>
      <c r="Q2410" s="11">
        <f t="shared" ref="Q2410:Q2440" si="2435">((P2410*330)/5.5)</f>
        <v>20700</v>
      </c>
      <c r="X2410" s="12">
        <v>215</v>
      </c>
      <c r="Y2410" s="11">
        <f t="shared" ref="Y2410:Y2440" si="2436">((X2410*330)/5.5)</f>
        <v>12900</v>
      </c>
      <c r="AG2410" s="11">
        <f t="shared" ref="AG2410:AG2440" si="2437">(AF2410*65)</f>
        <v>0</v>
      </c>
      <c r="AI2410" s="11">
        <f t="shared" ref="AI2410:AI2440" si="2438">(AH2410*65)</f>
        <v>0</v>
      </c>
      <c r="AJ2410" s="12">
        <v>1425</v>
      </c>
      <c r="AK2410" s="13">
        <f t="shared" ref="AK2410:AK2440" si="2439">(AJ2410*9)</f>
        <v>12825</v>
      </c>
      <c r="AL2410" s="12">
        <v>339.5</v>
      </c>
      <c r="AM2410" s="13">
        <f t="shared" ref="AM2410:AM2440" si="2440">(AL2410*9)</f>
        <v>3055.5</v>
      </c>
      <c r="AO2410" s="11">
        <f t="shared" ref="AO2410:AO2440" si="2441">(AN2410*80)</f>
        <v>0</v>
      </c>
      <c r="AQ2410" s="11">
        <f t="shared" ref="AQ2410:AQ2440" si="2442">(AP2410*80)</f>
        <v>0</v>
      </c>
      <c r="AS2410" s="11">
        <f t="shared" ref="AS2410:AS2440" si="2443">(AR2410*50)</f>
        <v>0</v>
      </c>
      <c r="AU2410" s="11">
        <f t="shared" ref="AU2410:AU2440" si="2444">(AT2410*50)</f>
        <v>0</v>
      </c>
      <c r="AW2410" s="11">
        <f t="shared" ref="AW2410:AW2440" si="2445">(AV2410*60)</f>
        <v>0</v>
      </c>
      <c r="AY2410" s="11">
        <f t="shared" ref="AY2410:AY2440" si="2446">(AX2410*60)</f>
        <v>0</v>
      </c>
      <c r="BA2410" s="11">
        <f t="shared" ref="BA2410:BA2440" si="2447">(AZ2410*40)</f>
        <v>0</v>
      </c>
      <c r="BC2410" s="11">
        <f t="shared" ref="BC2410:BC2440" si="2448">(BB2410*40)</f>
        <v>0</v>
      </c>
      <c r="BE2410" s="11">
        <f t="shared" ref="BE2410:BE2440" si="2449">(BD2410*95)</f>
        <v>0</v>
      </c>
      <c r="BG2410" s="11">
        <f t="shared" ref="BG2410:BG2440" si="2450">(BF2410*95)</f>
        <v>0</v>
      </c>
      <c r="BN2410" s="8">
        <f t="shared" ref="BN2410:BN2474" si="2451">(L2410+P2410+R2410+T2410+V2410+X2410+Z2410+AB2410+AD2410+AF2410+AJ2410+AN2410+AR2410+AV2410+AZ2410+BD2410)</f>
        <v>2248</v>
      </c>
      <c r="BO2410" s="8">
        <f t="shared" si="2371"/>
        <v>59575</v>
      </c>
      <c r="BP2410" s="8">
        <f t="shared" si="2391"/>
        <v>992.5</v>
      </c>
      <c r="BQ2410" s="12">
        <f t="shared" si="2392"/>
        <v>37855.5</v>
      </c>
    </row>
    <row r="2411" spans="1:69">
      <c r="A2411" s="28">
        <v>1986</v>
      </c>
      <c r="B2411" s="27" t="s">
        <v>107</v>
      </c>
      <c r="C2411" s="24">
        <f t="shared" si="2414"/>
        <v>2380</v>
      </c>
      <c r="D2411" s="7" t="e">
        <f t="shared" ca="1" si="2394"/>
        <v>#N/A</v>
      </c>
      <c r="E2411" s="26">
        <f t="array" aca="1" ref="E2411" ca="1">AVERAGE(IF(INDIRECT(DatCol&amp;"$"&amp;TEXT(C2411,"###")):INDIRECT(DatCol&amp;"$"&amp;TEXT(C2411+57,"###"))&gt;0,INDIRECT(DatCol&amp;"$"&amp;TEXT(C2411,"###")):INDIRECT(DatCol&amp;"$"&amp;TEXT(C2411+57,"###"))))</f>
        <v>261.10121951219509</v>
      </c>
      <c r="F2411" s="26" t="str">
        <f t="shared" si="2393"/>
        <v>I</v>
      </c>
      <c r="G2411" s="8">
        <v>160</v>
      </c>
      <c r="H2411" s="8">
        <v>30</v>
      </c>
      <c r="I2411" s="8">
        <v>28</v>
      </c>
      <c r="J2411" s="8">
        <v>439</v>
      </c>
      <c r="K2411" s="9">
        <f t="shared" si="2372"/>
        <v>629</v>
      </c>
      <c r="L2411" s="12">
        <v>244</v>
      </c>
      <c r="M2411" s="11">
        <f t="shared" si="2433"/>
        <v>12200</v>
      </c>
      <c r="N2411" s="12">
        <v>626</v>
      </c>
      <c r="O2411" s="11">
        <f t="shared" si="2434"/>
        <v>31300</v>
      </c>
      <c r="P2411" s="12">
        <v>271</v>
      </c>
      <c r="Q2411" s="11">
        <f t="shared" si="2435"/>
        <v>16260</v>
      </c>
      <c r="X2411" s="12">
        <v>279</v>
      </c>
      <c r="Y2411" s="11">
        <f t="shared" si="2436"/>
        <v>16740</v>
      </c>
      <c r="AG2411" s="11">
        <f t="shared" si="2437"/>
        <v>0</v>
      </c>
      <c r="AI2411" s="11">
        <f t="shared" si="2438"/>
        <v>0</v>
      </c>
      <c r="AJ2411" s="12">
        <v>1055</v>
      </c>
      <c r="AK2411" s="13">
        <f t="shared" si="2439"/>
        <v>9495</v>
      </c>
      <c r="AL2411" s="12">
        <v>300</v>
      </c>
      <c r="AM2411" s="13">
        <f t="shared" si="2440"/>
        <v>2700</v>
      </c>
      <c r="AO2411" s="11">
        <f t="shared" si="2441"/>
        <v>0</v>
      </c>
      <c r="AQ2411" s="11">
        <f t="shared" si="2442"/>
        <v>0</v>
      </c>
      <c r="AS2411" s="11">
        <f t="shared" si="2443"/>
        <v>0</v>
      </c>
      <c r="AU2411" s="11">
        <f t="shared" si="2444"/>
        <v>0</v>
      </c>
      <c r="AW2411" s="11">
        <f t="shared" si="2445"/>
        <v>0</v>
      </c>
      <c r="AY2411" s="11">
        <f t="shared" si="2446"/>
        <v>0</v>
      </c>
      <c r="BA2411" s="11">
        <f t="shared" si="2447"/>
        <v>0</v>
      </c>
      <c r="BC2411" s="11">
        <f t="shared" si="2448"/>
        <v>0</v>
      </c>
      <c r="BE2411" s="11">
        <f t="shared" si="2449"/>
        <v>0</v>
      </c>
      <c r="BG2411" s="11">
        <f t="shared" si="2450"/>
        <v>0</v>
      </c>
      <c r="BN2411" s="8">
        <f t="shared" si="2451"/>
        <v>1849</v>
      </c>
      <c r="BO2411" s="8">
        <f t="shared" ref="BO2411:BO2475" si="2452">(M2411+Q2411+S2411+U2411+W2411+Y2411+AA2411+AC2411+AG2411+AK2411+AO2411+AS2411+AW2411+BA2411+BE2411)</f>
        <v>54695</v>
      </c>
      <c r="BP2411" s="8">
        <f t="shared" si="2391"/>
        <v>1205</v>
      </c>
      <c r="BQ2411" s="12">
        <f t="shared" si="2392"/>
        <v>50740</v>
      </c>
    </row>
    <row r="2412" spans="1:69">
      <c r="A2412" s="28">
        <v>1987</v>
      </c>
      <c r="B2412" s="27" t="s">
        <v>107</v>
      </c>
      <c r="C2412" s="24">
        <f t="shared" si="2414"/>
        <v>2380</v>
      </c>
      <c r="D2412" s="7" t="e">
        <f t="shared" ca="1" si="2394"/>
        <v>#N/A</v>
      </c>
      <c r="E2412" s="26">
        <f t="array" aca="1" ref="E2412" ca="1">AVERAGE(IF(INDIRECT(DatCol&amp;"$"&amp;TEXT(C2412,"###")):INDIRECT(DatCol&amp;"$"&amp;TEXT(C2412+57,"###"))&gt;0,INDIRECT(DatCol&amp;"$"&amp;TEXT(C2412,"###")):INDIRECT(DatCol&amp;"$"&amp;TEXT(C2412+57,"###"))))</f>
        <v>261.10121951219509</v>
      </c>
      <c r="F2412" s="26" t="str">
        <f t="shared" si="2393"/>
        <v>I</v>
      </c>
      <c r="G2412" s="8">
        <v>164</v>
      </c>
      <c r="H2412" s="8">
        <v>36</v>
      </c>
      <c r="I2412" s="8">
        <v>34</v>
      </c>
      <c r="J2412" s="8">
        <v>311</v>
      </c>
      <c r="K2412" s="9">
        <f t="shared" ref="K2412:K2476" si="2453">G2412+H2412+J2412</f>
        <v>511</v>
      </c>
      <c r="L2412" s="12">
        <v>513</v>
      </c>
      <c r="M2412" s="11">
        <f t="shared" si="2433"/>
        <v>25650</v>
      </c>
      <c r="N2412" s="12">
        <v>902</v>
      </c>
      <c r="O2412" s="11">
        <f t="shared" si="2434"/>
        <v>45100</v>
      </c>
      <c r="P2412" s="12">
        <v>206</v>
      </c>
      <c r="Q2412" s="11">
        <f t="shared" si="2435"/>
        <v>12360</v>
      </c>
      <c r="X2412" s="12">
        <v>254.5</v>
      </c>
      <c r="Y2412" s="11">
        <f t="shared" si="2436"/>
        <v>15270</v>
      </c>
      <c r="AG2412" s="11">
        <f t="shared" si="2437"/>
        <v>0</v>
      </c>
      <c r="AI2412" s="11">
        <f t="shared" si="2438"/>
        <v>0</v>
      </c>
      <c r="AJ2412" s="12">
        <v>2356.5</v>
      </c>
      <c r="AK2412" s="13">
        <f t="shared" si="2439"/>
        <v>21208.5</v>
      </c>
      <c r="AL2412" s="12">
        <v>604.5</v>
      </c>
      <c r="AM2412" s="13">
        <f t="shared" si="2440"/>
        <v>5440.5</v>
      </c>
      <c r="AO2412" s="11">
        <f t="shared" si="2441"/>
        <v>0</v>
      </c>
      <c r="AQ2412" s="11">
        <f t="shared" si="2442"/>
        <v>0</v>
      </c>
      <c r="AS2412" s="11">
        <f t="shared" si="2443"/>
        <v>0</v>
      </c>
      <c r="AU2412" s="11">
        <f t="shared" si="2444"/>
        <v>0</v>
      </c>
      <c r="AW2412" s="11">
        <f t="shared" si="2445"/>
        <v>0</v>
      </c>
      <c r="AY2412" s="11">
        <f t="shared" si="2446"/>
        <v>0</v>
      </c>
      <c r="BA2412" s="11">
        <f t="shared" si="2447"/>
        <v>0</v>
      </c>
      <c r="BC2412" s="11">
        <f t="shared" si="2448"/>
        <v>0</v>
      </c>
      <c r="BE2412" s="11">
        <f t="shared" si="2449"/>
        <v>0</v>
      </c>
      <c r="BG2412" s="11">
        <f t="shared" si="2450"/>
        <v>0</v>
      </c>
      <c r="BN2412" s="8">
        <f t="shared" si="2451"/>
        <v>3330</v>
      </c>
      <c r="BO2412" s="8">
        <f t="shared" si="2452"/>
        <v>74488.5</v>
      </c>
      <c r="BP2412" s="8">
        <f t="shared" si="2391"/>
        <v>1761</v>
      </c>
      <c r="BQ2412" s="12">
        <f t="shared" si="2392"/>
        <v>65810.5</v>
      </c>
    </row>
    <row r="2413" spans="1:69">
      <c r="A2413" s="28">
        <v>1988</v>
      </c>
      <c r="B2413" s="27" t="s">
        <v>107</v>
      </c>
      <c r="C2413" s="24">
        <f t="shared" si="2414"/>
        <v>2380</v>
      </c>
      <c r="D2413" s="7" t="e">
        <f t="shared" ca="1" si="2394"/>
        <v>#N/A</v>
      </c>
      <c r="E2413" s="26">
        <f t="array" aca="1" ref="E2413" ca="1">AVERAGE(IF(INDIRECT(DatCol&amp;"$"&amp;TEXT(C2413,"###")):INDIRECT(DatCol&amp;"$"&amp;TEXT(C2413+57,"###"))&gt;0,INDIRECT(DatCol&amp;"$"&amp;TEXT(C2413,"###")):INDIRECT(DatCol&amp;"$"&amp;TEXT(C2413+57,"###"))))</f>
        <v>261.10121951219509</v>
      </c>
      <c r="F2413" s="26" t="str">
        <f t="shared" si="2393"/>
        <v>I</v>
      </c>
      <c r="G2413" s="8">
        <v>132</v>
      </c>
      <c r="H2413" s="8">
        <v>48</v>
      </c>
      <c r="I2413" s="8">
        <v>25</v>
      </c>
      <c r="J2413" s="8">
        <v>246</v>
      </c>
      <c r="K2413" s="9">
        <f t="shared" si="2453"/>
        <v>426</v>
      </c>
      <c r="L2413" s="12">
        <v>445</v>
      </c>
      <c r="M2413" s="11">
        <f t="shared" si="2433"/>
        <v>22250</v>
      </c>
      <c r="N2413" s="12">
        <v>981</v>
      </c>
      <c r="O2413" s="11">
        <f t="shared" si="2434"/>
        <v>49050</v>
      </c>
      <c r="P2413" s="12">
        <v>132</v>
      </c>
      <c r="Q2413" s="11">
        <f t="shared" si="2435"/>
        <v>7920</v>
      </c>
      <c r="X2413" s="12">
        <v>308</v>
      </c>
      <c r="Y2413" s="11">
        <f t="shared" si="2436"/>
        <v>18480</v>
      </c>
      <c r="AG2413" s="11">
        <f t="shared" si="2437"/>
        <v>0</v>
      </c>
      <c r="AI2413" s="11">
        <f t="shared" si="2438"/>
        <v>0</v>
      </c>
      <c r="AJ2413" s="12">
        <v>308</v>
      </c>
      <c r="AK2413" s="13">
        <f t="shared" si="2439"/>
        <v>2772</v>
      </c>
      <c r="AL2413" s="12">
        <v>49</v>
      </c>
      <c r="AM2413" s="13">
        <f t="shared" si="2440"/>
        <v>441</v>
      </c>
      <c r="AO2413" s="11">
        <f t="shared" si="2441"/>
        <v>0</v>
      </c>
      <c r="AQ2413" s="11">
        <f t="shared" si="2442"/>
        <v>0</v>
      </c>
      <c r="AS2413" s="11">
        <f t="shared" si="2443"/>
        <v>0</v>
      </c>
      <c r="AU2413" s="11">
        <f t="shared" si="2444"/>
        <v>0</v>
      </c>
      <c r="AW2413" s="11">
        <f t="shared" si="2445"/>
        <v>0</v>
      </c>
      <c r="AY2413" s="11">
        <f t="shared" si="2446"/>
        <v>0</v>
      </c>
      <c r="BA2413" s="11">
        <f t="shared" si="2447"/>
        <v>0</v>
      </c>
      <c r="BC2413" s="11">
        <f t="shared" si="2448"/>
        <v>0</v>
      </c>
      <c r="BE2413" s="11">
        <f t="shared" si="2449"/>
        <v>0</v>
      </c>
      <c r="BG2413" s="11">
        <f t="shared" si="2450"/>
        <v>0</v>
      </c>
      <c r="BN2413" s="8">
        <f t="shared" si="2451"/>
        <v>1193</v>
      </c>
      <c r="BO2413" s="8">
        <f t="shared" si="2452"/>
        <v>51422</v>
      </c>
      <c r="BP2413" s="8">
        <f t="shared" si="2391"/>
        <v>1338</v>
      </c>
      <c r="BQ2413" s="12">
        <f t="shared" si="2392"/>
        <v>67971</v>
      </c>
    </row>
    <row r="2414" spans="1:69">
      <c r="A2414" s="28">
        <v>1989</v>
      </c>
      <c r="B2414" s="27" t="s">
        <v>107</v>
      </c>
      <c r="C2414" s="24">
        <f t="shared" si="2414"/>
        <v>2380</v>
      </c>
      <c r="D2414" s="7" t="e">
        <f t="shared" ca="1" si="2394"/>
        <v>#N/A</v>
      </c>
      <c r="E2414" s="26">
        <f t="array" aca="1" ref="E2414" ca="1">AVERAGE(IF(INDIRECT(DatCol&amp;"$"&amp;TEXT(C2414,"###")):INDIRECT(DatCol&amp;"$"&amp;TEXT(C2414+57,"###"))&gt;0,INDIRECT(DatCol&amp;"$"&amp;TEXT(C2414,"###")):INDIRECT(DatCol&amp;"$"&amp;TEXT(C2414+57,"###"))))</f>
        <v>261.10121951219509</v>
      </c>
      <c r="F2414" s="26" t="str">
        <f t="shared" si="2393"/>
        <v>I</v>
      </c>
      <c r="G2414" s="8">
        <v>129</v>
      </c>
      <c r="H2414" s="8">
        <v>5</v>
      </c>
      <c r="I2414" s="8">
        <v>20</v>
      </c>
      <c r="J2414" s="8">
        <v>289</v>
      </c>
      <c r="K2414" s="9">
        <f t="shared" si="2453"/>
        <v>423</v>
      </c>
      <c r="L2414" s="12">
        <v>233</v>
      </c>
      <c r="M2414" s="11">
        <f t="shared" si="2433"/>
        <v>11650</v>
      </c>
      <c r="N2414" s="12">
        <v>508</v>
      </c>
      <c r="O2414" s="11">
        <f t="shared" si="2434"/>
        <v>25400</v>
      </c>
      <c r="P2414" s="12">
        <v>22</v>
      </c>
      <c r="Q2414" s="11">
        <f t="shared" si="2435"/>
        <v>1320</v>
      </c>
      <c r="X2414" s="12">
        <v>69</v>
      </c>
      <c r="Y2414" s="11">
        <f t="shared" si="2436"/>
        <v>4140</v>
      </c>
      <c r="AG2414" s="11">
        <f t="shared" si="2437"/>
        <v>0</v>
      </c>
      <c r="AI2414" s="11">
        <f t="shared" si="2438"/>
        <v>0</v>
      </c>
      <c r="AJ2414" s="12">
        <v>383</v>
      </c>
      <c r="AK2414" s="13">
        <f t="shared" si="2439"/>
        <v>3447</v>
      </c>
      <c r="AL2414" s="12">
        <v>205.5</v>
      </c>
      <c r="AM2414" s="13">
        <f t="shared" si="2440"/>
        <v>1849.5</v>
      </c>
      <c r="AO2414" s="11">
        <f t="shared" si="2441"/>
        <v>0</v>
      </c>
      <c r="AQ2414" s="11">
        <f t="shared" si="2442"/>
        <v>0</v>
      </c>
      <c r="AS2414" s="11">
        <f t="shared" si="2443"/>
        <v>0</v>
      </c>
      <c r="AU2414" s="11">
        <f t="shared" si="2444"/>
        <v>0</v>
      </c>
      <c r="AV2414" s="12">
        <v>528</v>
      </c>
      <c r="AW2414" s="11">
        <f t="shared" si="2445"/>
        <v>31680</v>
      </c>
      <c r="AY2414" s="11">
        <f t="shared" si="2446"/>
        <v>0</v>
      </c>
      <c r="BA2414" s="11">
        <f t="shared" si="2447"/>
        <v>0</v>
      </c>
      <c r="BC2414" s="11">
        <f t="shared" si="2448"/>
        <v>0</v>
      </c>
      <c r="BE2414" s="11">
        <f t="shared" si="2449"/>
        <v>0</v>
      </c>
      <c r="BG2414" s="11">
        <f t="shared" si="2450"/>
        <v>0</v>
      </c>
      <c r="BN2414" s="8">
        <f t="shared" si="2451"/>
        <v>1235</v>
      </c>
      <c r="BO2414" s="8">
        <f t="shared" si="2452"/>
        <v>52237</v>
      </c>
      <c r="BP2414" s="8">
        <f t="shared" si="2391"/>
        <v>782.5</v>
      </c>
      <c r="BQ2414" s="12">
        <f t="shared" si="2392"/>
        <v>31389.5</v>
      </c>
    </row>
    <row r="2415" spans="1:69">
      <c r="A2415" s="28">
        <v>1990</v>
      </c>
      <c r="B2415" s="27" t="s">
        <v>107</v>
      </c>
      <c r="C2415" s="24">
        <f t="shared" si="2414"/>
        <v>2380</v>
      </c>
      <c r="D2415" s="7" t="e">
        <f t="shared" ca="1" si="2394"/>
        <v>#N/A</v>
      </c>
      <c r="E2415" s="26">
        <f t="array" aca="1" ref="E2415" ca="1">AVERAGE(IF(INDIRECT(DatCol&amp;"$"&amp;TEXT(C2415,"###")):INDIRECT(DatCol&amp;"$"&amp;TEXT(C2415+57,"###"))&gt;0,INDIRECT(DatCol&amp;"$"&amp;TEXT(C2415,"###")):INDIRECT(DatCol&amp;"$"&amp;TEXT(C2415+57,"###"))))</f>
        <v>261.10121951219509</v>
      </c>
      <c r="F2415" s="26" t="str">
        <f t="shared" si="2393"/>
        <v>I</v>
      </c>
      <c r="G2415" s="8">
        <v>123</v>
      </c>
      <c r="H2415" s="8">
        <v>25</v>
      </c>
      <c r="I2415" s="8">
        <v>16</v>
      </c>
      <c r="J2415" s="8">
        <v>225</v>
      </c>
      <c r="K2415" s="9">
        <f t="shared" si="2453"/>
        <v>373</v>
      </c>
      <c r="L2415" s="12">
        <v>363</v>
      </c>
      <c r="M2415" s="11">
        <f t="shared" si="2433"/>
        <v>18150</v>
      </c>
      <c r="N2415" s="12">
        <v>493</v>
      </c>
      <c r="O2415" s="11">
        <f t="shared" si="2434"/>
        <v>24650</v>
      </c>
      <c r="P2415" s="12">
        <v>227</v>
      </c>
      <c r="Q2415" s="11">
        <f t="shared" si="2435"/>
        <v>13620</v>
      </c>
      <c r="X2415" s="12">
        <v>156</v>
      </c>
      <c r="Y2415" s="11">
        <f t="shared" si="2436"/>
        <v>9360</v>
      </c>
      <c r="AG2415" s="11">
        <f t="shared" si="2437"/>
        <v>0</v>
      </c>
      <c r="AI2415" s="11">
        <f t="shared" si="2438"/>
        <v>0</v>
      </c>
      <c r="AJ2415" s="12">
        <v>376</v>
      </c>
      <c r="AK2415" s="13">
        <f t="shared" si="2439"/>
        <v>3384</v>
      </c>
      <c r="AL2415" s="12">
        <v>154</v>
      </c>
      <c r="AM2415" s="13">
        <f t="shared" si="2440"/>
        <v>1386</v>
      </c>
      <c r="AO2415" s="11">
        <f t="shared" si="2441"/>
        <v>0</v>
      </c>
      <c r="AQ2415" s="11">
        <f t="shared" si="2442"/>
        <v>0</v>
      </c>
      <c r="AS2415" s="11">
        <f t="shared" si="2443"/>
        <v>0</v>
      </c>
      <c r="AU2415" s="11">
        <f t="shared" si="2444"/>
        <v>0</v>
      </c>
      <c r="AV2415" s="12">
        <v>225</v>
      </c>
      <c r="AW2415" s="11">
        <f t="shared" si="2445"/>
        <v>13500</v>
      </c>
      <c r="AY2415" s="11">
        <f t="shared" si="2446"/>
        <v>0</v>
      </c>
      <c r="BA2415" s="11">
        <f t="shared" si="2447"/>
        <v>0</v>
      </c>
      <c r="BC2415" s="11">
        <f t="shared" si="2448"/>
        <v>0</v>
      </c>
      <c r="BE2415" s="11">
        <f t="shared" si="2449"/>
        <v>0</v>
      </c>
      <c r="BG2415" s="11">
        <f t="shared" si="2450"/>
        <v>0</v>
      </c>
      <c r="BN2415" s="8">
        <f t="shared" si="2451"/>
        <v>1347</v>
      </c>
      <c r="BO2415" s="8">
        <f t="shared" si="2452"/>
        <v>58014</v>
      </c>
      <c r="BP2415" s="8">
        <f t="shared" si="2391"/>
        <v>803</v>
      </c>
      <c r="BQ2415" s="12">
        <f t="shared" si="2392"/>
        <v>35396</v>
      </c>
    </row>
    <row r="2416" spans="1:69">
      <c r="A2416" s="28">
        <v>1991</v>
      </c>
      <c r="B2416" s="27" t="s">
        <v>107</v>
      </c>
      <c r="C2416" s="24">
        <f t="shared" si="2414"/>
        <v>2380</v>
      </c>
      <c r="D2416" s="7" t="e">
        <f t="shared" ca="1" si="2394"/>
        <v>#N/A</v>
      </c>
      <c r="E2416" s="26">
        <f t="array" aca="1" ref="E2416" ca="1">AVERAGE(IF(INDIRECT(DatCol&amp;"$"&amp;TEXT(C2416,"###")):INDIRECT(DatCol&amp;"$"&amp;TEXT(C2416+57,"###"))&gt;0,INDIRECT(DatCol&amp;"$"&amp;TEXT(C2416,"###")):INDIRECT(DatCol&amp;"$"&amp;TEXT(C2416+57,"###"))))</f>
        <v>261.10121951219509</v>
      </c>
      <c r="F2416" s="26" t="str">
        <f t="shared" si="2393"/>
        <v>I</v>
      </c>
      <c r="G2416" s="8">
        <v>140</v>
      </c>
      <c r="H2416" s="8">
        <v>31</v>
      </c>
      <c r="I2416" s="8">
        <v>10</v>
      </c>
      <c r="J2416" s="8">
        <v>187</v>
      </c>
      <c r="K2416" s="9">
        <f t="shared" si="2453"/>
        <v>358</v>
      </c>
      <c r="L2416" s="12">
        <v>66</v>
      </c>
      <c r="M2416" s="11">
        <f t="shared" si="2433"/>
        <v>3300</v>
      </c>
      <c r="N2416" s="12">
        <v>248</v>
      </c>
      <c r="O2416" s="11">
        <f t="shared" si="2434"/>
        <v>12400</v>
      </c>
      <c r="P2416" s="12">
        <v>274</v>
      </c>
      <c r="Q2416" s="11">
        <f t="shared" si="2435"/>
        <v>16440</v>
      </c>
      <c r="X2416" s="12">
        <v>348</v>
      </c>
      <c r="Y2416" s="11">
        <f t="shared" si="2436"/>
        <v>20880</v>
      </c>
      <c r="AG2416" s="11">
        <f t="shared" si="2437"/>
        <v>0</v>
      </c>
      <c r="AI2416" s="11">
        <f t="shared" si="2438"/>
        <v>0</v>
      </c>
      <c r="AJ2416" s="12">
        <v>103</v>
      </c>
      <c r="AK2416" s="13">
        <f t="shared" si="2439"/>
        <v>927</v>
      </c>
      <c r="AL2416" s="12">
        <v>132</v>
      </c>
      <c r="AM2416" s="13">
        <f t="shared" si="2440"/>
        <v>1188</v>
      </c>
      <c r="AO2416" s="11">
        <f t="shared" si="2441"/>
        <v>0</v>
      </c>
      <c r="AQ2416" s="11">
        <f t="shared" si="2442"/>
        <v>0</v>
      </c>
      <c r="AS2416" s="11">
        <f t="shared" si="2443"/>
        <v>0</v>
      </c>
      <c r="AU2416" s="11">
        <f t="shared" si="2444"/>
        <v>0</v>
      </c>
      <c r="AW2416" s="11">
        <f t="shared" si="2445"/>
        <v>0</v>
      </c>
      <c r="AY2416" s="11">
        <f t="shared" si="2446"/>
        <v>0</v>
      </c>
      <c r="BA2416" s="11">
        <f t="shared" si="2447"/>
        <v>0</v>
      </c>
      <c r="BC2416" s="11">
        <f t="shared" si="2448"/>
        <v>0</v>
      </c>
      <c r="BE2416" s="11">
        <f t="shared" si="2449"/>
        <v>0</v>
      </c>
      <c r="BG2416" s="11">
        <f t="shared" si="2450"/>
        <v>0</v>
      </c>
      <c r="BN2416" s="8">
        <f t="shared" si="2451"/>
        <v>791</v>
      </c>
      <c r="BO2416" s="8">
        <f t="shared" si="2452"/>
        <v>41547</v>
      </c>
      <c r="BP2416" s="8">
        <f t="shared" si="2391"/>
        <v>728</v>
      </c>
      <c r="BQ2416" s="12">
        <f t="shared" si="2392"/>
        <v>34468</v>
      </c>
    </row>
    <row r="2417" spans="1:69">
      <c r="A2417" s="28">
        <v>1992</v>
      </c>
      <c r="B2417" s="27" t="s">
        <v>107</v>
      </c>
      <c r="C2417" s="24">
        <f t="shared" si="2414"/>
        <v>2380</v>
      </c>
      <c r="D2417" s="7" t="e">
        <f t="shared" ca="1" si="2394"/>
        <v>#N/A</v>
      </c>
      <c r="E2417" s="26">
        <f t="array" aca="1" ref="E2417" ca="1">AVERAGE(IF(INDIRECT(DatCol&amp;"$"&amp;TEXT(C2417,"###")):INDIRECT(DatCol&amp;"$"&amp;TEXT(C2417+57,"###"))&gt;0,INDIRECT(DatCol&amp;"$"&amp;TEXT(C2417,"###")):INDIRECT(DatCol&amp;"$"&amp;TEXT(C2417+57,"###"))))</f>
        <v>261.10121951219509</v>
      </c>
      <c r="F2417" s="26" t="str">
        <f t="shared" si="2393"/>
        <v>I</v>
      </c>
      <c r="G2417" s="8">
        <v>151</v>
      </c>
      <c r="H2417" s="8">
        <v>38</v>
      </c>
      <c r="I2417" s="8">
        <v>26</v>
      </c>
      <c r="J2417" s="8">
        <v>206</v>
      </c>
      <c r="K2417" s="9">
        <f t="shared" si="2453"/>
        <v>395</v>
      </c>
      <c r="L2417" s="12">
        <v>331</v>
      </c>
      <c r="M2417" s="11">
        <f t="shared" si="2433"/>
        <v>16550</v>
      </c>
      <c r="N2417" s="12">
        <v>134</v>
      </c>
      <c r="O2417" s="11">
        <f t="shared" si="2434"/>
        <v>6700</v>
      </c>
      <c r="P2417" s="12">
        <v>337</v>
      </c>
      <c r="Q2417" s="11">
        <f t="shared" si="2435"/>
        <v>20220</v>
      </c>
      <c r="X2417" s="12">
        <v>326</v>
      </c>
      <c r="Y2417" s="11">
        <f t="shared" si="2436"/>
        <v>19560</v>
      </c>
      <c r="AF2417" s="12">
        <v>0</v>
      </c>
      <c r="AG2417" s="11">
        <f t="shared" si="2437"/>
        <v>0</v>
      </c>
      <c r="AH2417" s="12">
        <v>0</v>
      </c>
      <c r="AI2417" s="11">
        <f t="shared" si="2438"/>
        <v>0</v>
      </c>
      <c r="AJ2417" s="12">
        <v>1435</v>
      </c>
      <c r="AK2417" s="13">
        <f t="shared" si="2439"/>
        <v>12915</v>
      </c>
      <c r="AL2417" s="12">
        <v>458</v>
      </c>
      <c r="AM2417" s="13">
        <f t="shared" si="2440"/>
        <v>4122</v>
      </c>
      <c r="AO2417" s="11">
        <f t="shared" si="2441"/>
        <v>0</v>
      </c>
      <c r="AQ2417" s="11">
        <f t="shared" si="2442"/>
        <v>0</v>
      </c>
      <c r="AS2417" s="11">
        <f t="shared" si="2443"/>
        <v>0</v>
      </c>
      <c r="AU2417" s="11">
        <f t="shared" si="2444"/>
        <v>0</v>
      </c>
      <c r="AW2417" s="11">
        <f t="shared" si="2445"/>
        <v>0</v>
      </c>
      <c r="AY2417" s="11">
        <f t="shared" si="2446"/>
        <v>0</v>
      </c>
      <c r="BA2417" s="11">
        <f t="shared" si="2447"/>
        <v>0</v>
      </c>
      <c r="BC2417" s="11">
        <f t="shared" si="2448"/>
        <v>0</v>
      </c>
      <c r="BE2417" s="11">
        <f t="shared" si="2449"/>
        <v>0</v>
      </c>
      <c r="BG2417" s="11">
        <f t="shared" si="2450"/>
        <v>0</v>
      </c>
      <c r="BN2417" s="8">
        <f t="shared" si="2451"/>
        <v>2429</v>
      </c>
      <c r="BO2417" s="8">
        <f t="shared" si="2452"/>
        <v>69245</v>
      </c>
      <c r="BP2417" s="8">
        <f t="shared" si="2391"/>
        <v>918</v>
      </c>
      <c r="BQ2417" s="12">
        <f t="shared" si="2392"/>
        <v>30382</v>
      </c>
    </row>
    <row r="2418" spans="1:69">
      <c r="A2418" s="28">
        <v>1993</v>
      </c>
      <c r="B2418" s="27" t="s">
        <v>107</v>
      </c>
      <c r="C2418" s="24">
        <f t="shared" si="2414"/>
        <v>2380</v>
      </c>
      <c r="D2418" s="7" t="e">
        <f t="shared" ca="1" si="2394"/>
        <v>#N/A</v>
      </c>
      <c r="E2418" s="26">
        <f t="array" aca="1" ref="E2418" ca="1">AVERAGE(IF(INDIRECT(DatCol&amp;"$"&amp;TEXT(C2418,"###")):INDIRECT(DatCol&amp;"$"&amp;TEXT(C2418+57,"###"))&gt;0,INDIRECT(DatCol&amp;"$"&amp;TEXT(C2418,"###")):INDIRECT(DatCol&amp;"$"&amp;TEXT(C2418+57,"###"))))</f>
        <v>261.10121951219509</v>
      </c>
      <c r="F2418" s="26" t="str">
        <f t="shared" si="2393"/>
        <v>I</v>
      </c>
      <c r="G2418" s="8">
        <v>155</v>
      </c>
      <c r="H2418" s="8">
        <v>48</v>
      </c>
      <c r="I2418" s="8">
        <v>36</v>
      </c>
      <c r="J2418" s="8">
        <v>232</v>
      </c>
      <c r="K2418" s="9">
        <f t="shared" si="2453"/>
        <v>435</v>
      </c>
      <c r="L2418" s="12">
        <v>47</v>
      </c>
      <c r="M2418" s="11">
        <f t="shared" si="2433"/>
        <v>2350</v>
      </c>
      <c r="N2418" s="12">
        <v>235.5</v>
      </c>
      <c r="O2418" s="11">
        <f t="shared" si="2434"/>
        <v>11775</v>
      </c>
      <c r="P2418" s="12">
        <v>464</v>
      </c>
      <c r="Q2418" s="11">
        <f t="shared" si="2435"/>
        <v>27840</v>
      </c>
      <c r="X2418" s="12">
        <v>281.5</v>
      </c>
      <c r="Y2418" s="11">
        <f t="shared" si="2436"/>
        <v>16890</v>
      </c>
      <c r="AF2418" s="12">
        <v>0</v>
      </c>
      <c r="AG2418" s="11">
        <f t="shared" si="2437"/>
        <v>0</v>
      </c>
      <c r="AH2418" s="12">
        <v>0</v>
      </c>
      <c r="AI2418" s="11">
        <f t="shared" si="2438"/>
        <v>0</v>
      </c>
      <c r="AJ2418" s="12">
        <v>587</v>
      </c>
      <c r="AK2418" s="13">
        <f t="shared" si="2439"/>
        <v>5283</v>
      </c>
      <c r="AL2418" s="12">
        <v>116</v>
      </c>
      <c r="AM2418" s="13">
        <f t="shared" si="2440"/>
        <v>1044</v>
      </c>
      <c r="AO2418" s="11">
        <f t="shared" si="2441"/>
        <v>0</v>
      </c>
      <c r="AQ2418" s="11">
        <f t="shared" si="2442"/>
        <v>0</v>
      </c>
      <c r="AS2418" s="11">
        <f t="shared" si="2443"/>
        <v>0</v>
      </c>
      <c r="AU2418" s="11">
        <f t="shared" si="2444"/>
        <v>0</v>
      </c>
      <c r="AW2418" s="11">
        <f t="shared" si="2445"/>
        <v>0</v>
      </c>
      <c r="AY2418" s="11">
        <f t="shared" si="2446"/>
        <v>0</v>
      </c>
      <c r="BA2418" s="11">
        <f t="shared" si="2447"/>
        <v>0</v>
      </c>
      <c r="BC2418" s="11">
        <f t="shared" si="2448"/>
        <v>0</v>
      </c>
      <c r="BE2418" s="11">
        <f t="shared" si="2449"/>
        <v>0</v>
      </c>
      <c r="BG2418" s="11">
        <f t="shared" si="2450"/>
        <v>0</v>
      </c>
      <c r="BN2418" s="8">
        <f t="shared" si="2451"/>
        <v>1379.5</v>
      </c>
      <c r="BO2418" s="8">
        <f t="shared" si="2452"/>
        <v>52363</v>
      </c>
      <c r="BP2418" s="8">
        <f t="shared" si="2391"/>
        <v>633</v>
      </c>
      <c r="BQ2418" s="12">
        <f t="shared" si="2392"/>
        <v>29709</v>
      </c>
    </row>
    <row r="2419" spans="1:69">
      <c r="A2419" s="28">
        <v>1994</v>
      </c>
      <c r="B2419" s="27" t="s">
        <v>107</v>
      </c>
      <c r="C2419" s="24">
        <f t="shared" si="2414"/>
        <v>2380</v>
      </c>
      <c r="D2419" s="7" t="e">
        <f t="shared" ca="1" si="2394"/>
        <v>#N/A</v>
      </c>
      <c r="E2419" s="26">
        <f t="array" aca="1" ref="E2419" ca="1">AVERAGE(IF(INDIRECT(DatCol&amp;"$"&amp;TEXT(C2419,"###")):INDIRECT(DatCol&amp;"$"&amp;TEXT(C2419+57,"###"))&gt;0,INDIRECT(DatCol&amp;"$"&amp;TEXT(C2419,"###")):INDIRECT(DatCol&amp;"$"&amp;TEXT(C2419+57,"###"))))</f>
        <v>261.10121951219509</v>
      </c>
      <c r="F2419" s="26" t="str">
        <f t="shared" si="2393"/>
        <v>I</v>
      </c>
      <c r="G2419" s="8">
        <v>130</v>
      </c>
      <c r="H2419" s="8">
        <v>45</v>
      </c>
      <c r="I2419" s="8">
        <v>14</v>
      </c>
      <c r="J2419" s="8">
        <v>214</v>
      </c>
      <c r="K2419" s="9">
        <f t="shared" si="2453"/>
        <v>389</v>
      </c>
      <c r="L2419" s="12">
        <v>89</v>
      </c>
      <c r="M2419" s="11">
        <f t="shared" si="2433"/>
        <v>4450</v>
      </c>
      <c r="N2419" s="12">
        <v>231</v>
      </c>
      <c r="O2419" s="11">
        <f t="shared" si="2434"/>
        <v>11550</v>
      </c>
      <c r="P2419" s="12">
        <f>200+401</f>
        <v>601</v>
      </c>
      <c r="Q2419" s="11">
        <f t="shared" si="2435"/>
        <v>36060</v>
      </c>
      <c r="X2419" s="12">
        <v>507</v>
      </c>
      <c r="Y2419" s="11">
        <f t="shared" si="2436"/>
        <v>30420</v>
      </c>
      <c r="AF2419" s="12">
        <v>0</v>
      </c>
      <c r="AG2419" s="11">
        <f t="shared" si="2437"/>
        <v>0</v>
      </c>
      <c r="AH2419" s="12">
        <v>0</v>
      </c>
      <c r="AI2419" s="11">
        <f t="shared" si="2438"/>
        <v>0</v>
      </c>
      <c r="AJ2419" s="12">
        <v>315</v>
      </c>
      <c r="AK2419" s="13">
        <f t="shared" si="2439"/>
        <v>2835</v>
      </c>
      <c r="AL2419" s="12">
        <v>162</v>
      </c>
      <c r="AM2419" s="13">
        <f t="shared" si="2440"/>
        <v>1458</v>
      </c>
      <c r="AO2419" s="11">
        <f t="shared" si="2441"/>
        <v>0</v>
      </c>
      <c r="AQ2419" s="11">
        <f t="shared" si="2442"/>
        <v>0</v>
      </c>
      <c r="AS2419" s="11">
        <f t="shared" si="2443"/>
        <v>0</v>
      </c>
      <c r="AU2419" s="11">
        <f t="shared" si="2444"/>
        <v>0</v>
      </c>
      <c r="AW2419" s="11">
        <f t="shared" si="2445"/>
        <v>0</v>
      </c>
      <c r="AY2419" s="11">
        <f t="shared" si="2446"/>
        <v>0</v>
      </c>
      <c r="BA2419" s="11">
        <f t="shared" si="2447"/>
        <v>0</v>
      </c>
      <c r="BC2419" s="11">
        <f t="shared" si="2448"/>
        <v>0</v>
      </c>
      <c r="BE2419" s="11">
        <f t="shared" si="2449"/>
        <v>0</v>
      </c>
      <c r="BG2419" s="11">
        <f t="shared" si="2450"/>
        <v>0</v>
      </c>
      <c r="BN2419" s="8">
        <f t="shared" si="2451"/>
        <v>1512</v>
      </c>
      <c r="BO2419" s="8">
        <f t="shared" si="2452"/>
        <v>73765</v>
      </c>
      <c r="BP2419" s="8">
        <f t="shared" si="2391"/>
        <v>900</v>
      </c>
      <c r="BQ2419" s="12">
        <f t="shared" si="2392"/>
        <v>43428</v>
      </c>
    </row>
    <row r="2420" spans="1:69">
      <c r="A2420" s="28">
        <v>1995</v>
      </c>
      <c r="B2420" s="27" t="s">
        <v>107</v>
      </c>
      <c r="C2420" s="24">
        <f t="shared" si="2414"/>
        <v>2380</v>
      </c>
      <c r="D2420" s="7" t="e">
        <f t="shared" ca="1" si="2394"/>
        <v>#N/A</v>
      </c>
      <c r="E2420" s="26">
        <f t="array" aca="1" ref="E2420" ca="1">AVERAGE(IF(INDIRECT(DatCol&amp;"$"&amp;TEXT(C2420,"###")):INDIRECT(DatCol&amp;"$"&amp;TEXT(C2420+57,"###"))&gt;0,INDIRECT(DatCol&amp;"$"&amp;TEXT(C2420,"###")):INDIRECT(DatCol&amp;"$"&amp;TEXT(C2420+57,"###"))))</f>
        <v>261.10121951219509</v>
      </c>
      <c r="F2420" s="26" t="str">
        <f t="shared" si="2393"/>
        <v>I</v>
      </c>
      <c r="G2420" s="9">
        <v>144</v>
      </c>
      <c r="H2420" s="9">
        <v>66</v>
      </c>
      <c r="I2420" s="9">
        <v>17</v>
      </c>
      <c r="J2420" s="9">
        <v>216</v>
      </c>
      <c r="K2420" s="9">
        <f t="shared" si="2453"/>
        <v>426</v>
      </c>
      <c r="L2420" s="10">
        <v>290</v>
      </c>
      <c r="M2420" s="11">
        <f t="shared" si="2433"/>
        <v>14500</v>
      </c>
      <c r="N2420" s="10">
        <v>12.5</v>
      </c>
      <c r="O2420" s="11">
        <f t="shared" si="2434"/>
        <v>625</v>
      </c>
      <c r="P2420" s="10">
        <v>906</v>
      </c>
      <c r="Q2420" s="11">
        <f t="shared" si="2435"/>
        <v>54360</v>
      </c>
      <c r="X2420" s="10">
        <f>139+200</f>
        <v>339</v>
      </c>
      <c r="Y2420" s="11">
        <f t="shared" si="2436"/>
        <v>20340</v>
      </c>
      <c r="AF2420" s="10">
        <v>0</v>
      </c>
      <c r="AG2420" s="11">
        <f t="shared" si="2437"/>
        <v>0</v>
      </c>
      <c r="AH2420" s="10">
        <v>0</v>
      </c>
      <c r="AI2420" s="11">
        <f t="shared" si="2438"/>
        <v>0</v>
      </c>
      <c r="AJ2420" s="10">
        <v>1116.5</v>
      </c>
      <c r="AK2420" s="13">
        <f t="shared" si="2439"/>
        <v>10048.5</v>
      </c>
      <c r="AL2420" s="10">
        <v>346</v>
      </c>
      <c r="AM2420" s="13">
        <f t="shared" si="2440"/>
        <v>3114</v>
      </c>
      <c r="AO2420" s="11">
        <f t="shared" si="2441"/>
        <v>0</v>
      </c>
      <c r="AQ2420" s="11">
        <f t="shared" si="2442"/>
        <v>0</v>
      </c>
      <c r="AS2420" s="11">
        <f t="shared" si="2443"/>
        <v>0</v>
      </c>
      <c r="AU2420" s="11">
        <f t="shared" si="2444"/>
        <v>0</v>
      </c>
      <c r="AW2420" s="11">
        <f t="shared" si="2445"/>
        <v>0</v>
      </c>
      <c r="AY2420" s="11">
        <f t="shared" si="2446"/>
        <v>0</v>
      </c>
      <c r="BA2420" s="11">
        <f t="shared" si="2447"/>
        <v>0</v>
      </c>
      <c r="BC2420" s="11">
        <f t="shared" si="2448"/>
        <v>0</v>
      </c>
      <c r="BE2420" s="11">
        <f t="shared" si="2449"/>
        <v>0</v>
      </c>
      <c r="BG2420" s="11">
        <f t="shared" si="2450"/>
        <v>0</v>
      </c>
      <c r="BN2420" s="8">
        <f t="shared" si="2451"/>
        <v>2651.5</v>
      </c>
      <c r="BO2420" s="8">
        <f t="shared" si="2452"/>
        <v>99248.5</v>
      </c>
      <c r="BP2420" s="8">
        <f t="shared" si="2391"/>
        <v>697.5</v>
      </c>
      <c r="BQ2420" s="12">
        <f t="shared" si="2392"/>
        <v>24079</v>
      </c>
    </row>
    <row r="2421" spans="1:69">
      <c r="A2421" s="28">
        <v>1996</v>
      </c>
      <c r="B2421" s="27" t="s">
        <v>107</v>
      </c>
      <c r="C2421" s="24">
        <f t="shared" si="2414"/>
        <v>2380</v>
      </c>
      <c r="D2421" s="7" t="e">
        <f t="shared" ca="1" si="2394"/>
        <v>#N/A</v>
      </c>
      <c r="E2421" s="26">
        <f t="array" aca="1" ref="E2421" ca="1">AVERAGE(IF(INDIRECT(DatCol&amp;"$"&amp;TEXT(C2421,"###")):INDIRECT(DatCol&amp;"$"&amp;TEXT(C2421+57,"###"))&gt;0,INDIRECT(DatCol&amp;"$"&amp;TEXT(C2421,"###")):INDIRECT(DatCol&amp;"$"&amp;TEXT(C2421+57,"###"))))</f>
        <v>261.10121951219509</v>
      </c>
      <c r="F2421" s="26" t="str">
        <f t="shared" si="2393"/>
        <v>I</v>
      </c>
      <c r="G2421" s="9">
        <v>178</v>
      </c>
      <c r="H2421" s="9">
        <v>110</v>
      </c>
      <c r="I2421" s="9">
        <v>45</v>
      </c>
      <c r="J2421" s="9">
        <v>329</v>
      </c>
      <c r="K2421" s="9">
        <f t="shared" si="2453"/>
        <v>617</v>
      </c>
      <c r="L2421" s="10">
        <v>57</v>
      </c>
      <c r="M2421" s="11">
        <f t="shared" si="2433"/>
        <v>2850</v>
      </c>
      <c r="N2421" s="10">
        <v>325.5</v>
      </c>
      <c r="O2421" s="11">
        <f t="shared" si="2434"/>
        <v>16275</v>
      </c>
      <c r="P2421" s="10">
        <f>506+110+30</f>
        <v>646</v>
      </c>
      <c r="Q2421" s="11">
        <f t="shared" si="2435"/>
        <v>38760</v>
      </c>
      <c r="X2421" s="10">
        <v>354.5</v>
      </c>
      <c r="Y2421" s="11">
        <f t="shared" si="2436"/>
        <v>21270</v>
      </c>
      <c r="AF2421" s="10">
        <v>0</v>
      </c>
      <c r="AG2421" s="11">
        <f t="shared" si="2437"/>
        <v>0</v>
      </c>
      <c r="AH2421" s="10">
        <v>0</v>
      </c>
      <c r="AI2421" s="11">
        <f t="shared" si="2438"/>
        <v>0</v>
      </c>
      <c r="AJ2421" s="10">
        <v>3027</v>
      </c>
      <c r="AK2421" s="13">
        <f t="shared" si="2439"/>
        <v>27243</v>
      </c>
      <c r="AL2421" s="10">
        <v>1430</v>
      </c>
      <c r="AM2421" s="13">
        <f t="shared" si="2440"/>
        <v>12870</v>
      </c>
      <c r="AO2421" s="11">
        <f t="shared" si="2441"/>
        <v>0</v>
      </c>
      <c r="AQ2421" s="11">
        <f t="shared" si="2442"/>
        <v>0</v>
      </c>
      <c r="AS2421" s="11">
        <f t="shared" si="2443"/>
        <v>0</v>
      </c>
      <c r="AU2421" s="11">
        <f t="shared" si="2444"/>
        <v>0</v>
      </c>
      <c r="AW2421" s="11">
        <f t="shared" si="2445"/>
        <v>0</v>
      </c>
      <c r="AY2421" s="11">
        <f t="shared" si="2446"/>
        <v>0</v>
      </c>
      <c r="BA2421" s="11">
        <f t="shared" si="2447"/>
        <v>0</v>
      </c>
      <c r="BC2421" s="11">
        <f t="shared" si="2448"/>
        <v>0</v>
      </c>
      <c r="BE2421" s="11">
        <f t="shared" si="2449"/>
        <v>0</v>
      </c>
      <c r="BG2421" s="11">
        <f t="shared" si="2450"/>
        <v>0</v>
      </c>
      <c r="BN2421" s="8">
        <f t="shared" si="2451"/>
        <v>4084.5</v>
      </c>
      <c r="BO2421" s="8">
        <f t="shared" si="2452"/>
        <v>90123</v>
      </c>
      <c r="BP2421" s="8">
        <f t="shared" ref="BP2421:BP2485" si="2454">(N2421+X2421+Z2421+AB2421+AD2421+AH2421+AL2421+AP2421+AT2421+AX2421+BB2421+BF2421)</f>
        <v>2110</v>
      </c>
      <c r="BQ2421" s="12">
        <f t="shared" ref="BQ2421:BQ2485" si="2455">(O2421+Y2421+AA2421+AC2421+AE2421+AI2421+AM2421+AQ2421+AU2421+AY2421+BC2421+BG2421)</f>
        <v>50415</v>
      </c>
    </row>
    <row r="2422" spans="1:69">
      <c r="A2422" s="28">
        <v>1997</v>
      </c>
      <c r="B2422" s="27" t="s">
        <v>107</v>
      </c>
      <c r="C2422" s="24">
        <f t="shared" si="2414"/>
        <v>2380</v>
      </c>
      <c r="D2422" s="7" t="e">
        <f t="shared" ca="1" si="2394"/>
        <v>#N/A</v>
      </c>
      <c r="E2422" s="26">
        <f t="array" aca="1" ref="E2422" ca="1">AVERAGE(IF(INDIRECT(DatCol&amp;"$"&amp;TEXT(C2422,"###")):INDIRECT(DatCol&amp;"$"&amp;TEXT(C2422+57,"###"))&gt;0,INDIRECT(DatCol&amp;"$"&amp;TEXT(C2422,"###")):INDIRECT(DatCol&amp;"$"&amp;TEXT(C2422+57,"###"))))</f>
        <v>261.10121951219509</v>
      </c>
      <c r="F2422" s="26" t="str">
        <f t="shared" si="2393"/>
        <v>I</v>
      </c>
      <c r="G2422" s="9">
        <v>167</v>
      </c>
      <c r="H2422" s="9">
        <v>128</v>
      </c>
      <c r="I2422" s="9">
        <v>41</v>
      </c>
      <c r="J2422" s="9">
        <v>519</v>
      </c>
      <c r="K2422" s="9">
        <f t="shared" si="2453"/>
        <v>814</v>
      </c>
      <c r="L2422" s="10">
        <v>175</v>
      </c>
      <c r="M2422" s="11">
        <f t="shared" si="2433"/>
        <v>8750</v>
      </c>
      <c r="N2422" s="10">
        <v>927</v>
      </c>
      <c r="O2422" s="11">
        <f t="shared" si="2434"/>
        <v>46350</v>
      </c>
      <c r="P2422" s="10">
        <f>1000+100+51</f>
        <v>1151</v>
      </c>
      <c r="Q2422" s="11">
        <f t="shared" si="2435"/>
        <v>69060</v>
      </c>
      <c r="X2422" s="10">
        <v>773</v>
      </c>
      <c r="Y2422" s="11">
        <f t="shared" si="2436"/>
        <v>46380</v>
      </c>
      <c r="AF2422" s="10">
        <v>0</v>
      </c>
      <c r="AG2422" s="11">
        <f t="shared" si="2437"/>
        <v>0</v>
      </c>
      <c r="AH2422" s="10">
        <v>0</v>
      </c>
      <c r="AI2422" s="11">
        <f t="shared" si="2438"/>
        <v>0</v>
      </c>
      <c r="AJ2422" s="10">
        <v>2608</v>
      </c>
      <c r="AK2422" s="13">
        <f t="shared" si="2439"/>
        <v>23472</v>
      </c>
      <c r="AL2422" s="10">
        <v>1024</v>
      </c>
      <c r="AM2422" s="13">
        <f>AL2422*9</f>
        <v>9216</v>
      </c>
      <c r="AO2422" s="11">
        <f t="shared" si="2441"/>
        <v>0</v>
      </c>
      <c r="AQ2422" s="11">
        <f t="shared" si="2442"/>
        <v>0</v>
      </c>
      <c r="AS2422" s="11">
        <f t="shared" si="2443"/>
        <v>0</v>
      </c>
      <c r="AT2422" s="10">
        <v>20</v>
      </c>
      <c r="AU2422" s="11">
        <f t="shared" si="2444"/>
        <v>1000</v>
      </c>
      <c r="AW2422" s="11">
        <f t="shared" si="2445"/>
        <v>0</v>
      </c>
      <c r="AY2422" s="11">
        <f t="shared" si="2446"/>
        <v>0</v>
      </c>
      <c r="BA2422" s="11">
        <f t="shared" si="2447"/>
        <v>0</v>
      </c>
      <c r="BB2422" s="10">
        <v>10</v>
      </c>
      <c r="BC2422" s="11">
        <f t="shared" si="2448"/>
        <v>400</v>
      </c>
      <c r="BE2422" s="11">
        <f t="shared" si="2449"/>
        <v>0</v>
      </c>
      <c r="BG2422" s="11">
        <f t="shared" si="2450"/>
        <v>0</v>
      </c>
      <c r="BN2422" s="8">
        <f t="shared" si="2451"/>
        <v>4707</v>
      </c>
      <c r="BO2422" s="8">
        <f t="shared" si="2452"/>
        <v>147662</v>
      </c>
      <c r="BP2422" s="8">
        <f t="shared" si="2454"/>
        <v>2754</v>
      </c>
      <c r="BQ2422" s="12">
        <f t="shared" si="2455"/>
        <v>103346</v>
      </c>
    </row>
    <row r="2423" spans="1:69">
      <c r="A2423" s="28">
        <v>1998</v>
      </c>
      <c r="B2423" s="27" t="s">
        <v>107</v>
      </c>
      <c r="C2423" s="24">
        <f t="shared" si="2414"/>
        <v>2380</v>
      </c>
      <c r="D2423" s="7" t="e">
        <f t="shared" ca="1" si="2394"/>
        <v>#N/A</v>
      </c>
      <c r="E2423" s="26">
        <f t="array" aca="1" ref="E2423" ca="1">AVERAGE(IF(INDIRECT(DatCol&amp;"$"&amp;TEXT(C2423,"###")):INDIRECT(DatCol&amp;"$"&amp;TEXT(C2423+57,"###"))&gt;0,INDIRECT(DatCol&amp;"$"&amp;TEXT(C2423,"###")):INDIRECT(DatCol&amp;"$"&amp;TEXT(C2423+57,"###"))))</f>
        <v>261.10121951219509</v>
      </c>
      <c r="F2423" s="26" t="str">
        <f t="shared" si="2393"/>
        <v>I</v>
      </c>
      <c r="G2423" s="9">
        <v>201</v>
      </c>
      <c r="H2423" s="9">
        <v>129</v>
      </c>
      <c r="I2423" s="9">
        <v>44</v>
      </c>
      <c r="J2423" s="9">
        <v>359</v>
      </c>
      <c r="K2423" s="9">
        <f t="shared" si="2453"/>
        <v>689</v>
      </c>
      <c r="L2423" s="10">
        <v>65</v>
      </c>
      <c r="M2423" s="11">
        <f>L2423*50</f>
        <v>3250</v>
      </c>
      <c r="N2423" s="10">
        <v>392</v>
      </c>
      <c r="O2423" s="11">
        <f>N2423*50</f>
        <v>19600</v>
      </c>
      <c r="P2423" s="10">
        <v>1139</v>
      </c>
      <c r="Q2423" s="11">
        <f>P2423*60</f>
        <v>68340</v>
      </c>
      <c r="R2423" s="10">
        <v>0</v>
      </c>
      <c r="S2423" s="11">
        <v>0</v>
      </c>
      <c r="T2423" s="10">
        <v>0</v>
      </c>
      <c r="U2423" s="11">
        <v>0</v>
      </c>
      <c r="V2423" s="10">
        <v>0</v>
      </c>
      <c r="W2423" s="11">
        <v>0</v>
      </c>
      <c r="X2423" s="10">
        <v>624</v>
      </c>
      <c r="Y2423" s="11">
        <f>X2423*60</f>
        <v>37440</v>
      </c>
      <c r="Z2423" s="10">
        <v>0</v>
      </c>
      <c r="AA2423" s="11">
        <v>0</v>
      </c>
      <c r="AB2423" s="10">
        <v>0</v>
      </c>
      <c r="AC2423" s="11">
        <v>0</v>
      </c>
      <c r="AD2423" s="10">
        <v>0</v>
      </c>
      <c r="AE2423" s="11">
        <v>0</v>
      </c>
      <c r="AF2423" s="10">
        <v>0</v>
      </c>
      <c r="AG2423" s="11">
        <v>0</v>
      </c>
      <c r="AH2423" s="10">
        <v>0</v>
      </c>
      <c r="AI2423" s="11">
        <v>0</v>
      </c>
      <c r="AJ2423" s="10">
        <v>3311</v>
      </c>
      <c r="AK2423" s="13">
        <f>AJ2423*9</f>
        <v>29799</v>
      </c>
      <c r="AL2423" s="10">
        <v>1786</v>
      </c>
      <c r="AM2423" s="13">
        <f>AL2423*9</f>
        <v>16074</v>
      </c>
      <c r="AN2423" s="10">
        <v>0</v>
      </c>
      <c r="AO2423" s="11">
        <v>0</v>
      </c>
      <c r="AP2423" s="10">
        <v>0</v>
      </c>
      <c r="AQ2423" s="11">
        <v>0</v>
      </c>
      <c r="AR2423" s="10">
        <v>0</v>
      </c>
      <c r="AS2423" s="11">
        <v>0</v>
      </c>
      <c r="AT2423" s="10">
        <v>0</v>
      </c>
      <c r="AU2423" s="11">
        <v>0</v>
      </c>
      <c r="AV2423" s="10">
        <v>0</v>
      </c>
      <c r="AW2423" s="11">
        <v>0</v>
      </c>
      <c r="AX2423" s="10">
        <v>0</v>
      </c>
      <c r="AY2423" s="11">
        <v>0</v>
      </c>
      <c r="AZ2423" s="10">
        <v>0</v>
      </c>
      <c r="BA2423" s="11">
        <v>0</v>
      </c>
      <c r="BB2423" s="10">
        <v>0</v>
      </c>
      <c r="BC2423" s="11">
        <v>0</v>
      </c>
      <c r="BD2423" s="10">
        <v>0</v>
      </c>
      <c r="BE2423" s="11">
        <v>0</v>
      </c>
      <c r="BF2423" s="10">
        <v>0</v>
      </c>
      <c r="BG2423" s="11">
        <v>0</v>
      </c>
      <c r="BN2423" s="8">
        <f t="shared" si="2451"/>
        <v>5139</v>
      </c>
      <c r="BO2423" s="8">
        <f t="shared" si="2452"/>
        <v>138829</v>
      </c>
      <c r="BP2423" s="8">
        <f t="shared" si="2454"/>
        <v>2802</v>
      </c>
      <c r="BQ2423" s="12">
        <f t="shared" si="2455"/>
        <v>73114</v>
      </c>
    </row>
    <row r="2424" spans="1:69">
      <c r="A2424" s="28">
        <v>1999</v>
      </c>
      <c r="B2424" s="27" t="s">
        <v>107</v>
      </c>
      <c r="C2424" s="24">
        <f t="shared" si="2414"/>
        <v>2380</v>
      </c>
      <c r="D2424" s="7" t="e">
        <f t="shared" ca="1" si="2394"/>
        <v>#N/A</v>
      </c>
      <c r="E2424" s="26">
        <f t="array" aca="1" ref="E2424" ca="1">AVERAGE(IF(INDIRECT(DatCol&amp;"$"&amp;TEXT(C2424,"###")):INDIRECT(DatCol&amp;"$"&amp;TEXT(C2424+57,"###"))&gt;0,INDIRECT(DatCol&amp;"$"&amp;TEXT(C2424,"###")):INDIRECT(DatCol&amp;"$"&amp;TEXT(C2424+57,"###"))))</f>
        <v>261.10121951219509</v>
      </c>
      <c r="F2424" s="26" t="str">
        <f t="shared" si="2393"/>
        <v>I</v>
      </c>
      <c r="G2424" s="9">
        <v>165</v>
      </c>
      <c r="H2424" s="9">
        <v>84</v>
      </c>
      <c r="I2424" s="9">
        <v>18</v>
      </c>
      <c r="J2424" s="9">
        <v>289</v>
      </c>
      <c r="K2424" s="9">
        <f t="shared" si="2453"/>
        <v>538</v>
      </c>
      <c r="L2424" s="10">
        <f>M2424/50</f>
        <v>15.6</v>
      </c>
      <c r="M2424" s="11">
        <v>780</v>
      </c>
      <c r="N2424" s="10">
        <f>O2424/50</f>
        <v>102</v>
      </c>
      <c r="O2424" s="11">
        <v>5100</v>
      </c>
      <c r="P2424" s="10">
        <f>Q2424/60</f>
        <v>1300</v>
      </c>
      <c r="Q2424" s="11">
        <v>78000</v>
      </c>
      <c r="R2424" s="10">
        <v>0</v>
      </c>
      <c r="S2424" s="11">
        <v>0</v>
      </c>
      <c r="T2424" s="10">
        <v>0</v>
      </c>
      <c r="U2424" s="11">
        <v>0</v>
      </c>
      <c r="V2424" s="10">
        <v>0</v>
      </c>
      <c r="W2424" s="11">
        <v>0</v>
      </c>
      <c r="X2424" s="10">
        <f>Y2424/60</f>
        <v>443</v>
      </c>
      <c r="Y2424" s="11">
        <v>26580</v>
      </c>
      <c r="Z2424" s="10">
        <v>0</v>
      </c>
      <c r="AA2424" s="11">
        <v>0</v>
      </c>
      <c r="AB2424" s="10">
        <v>0</v>
      </c>
      <c r="AC2424" s="11">
        <v>0</v>
      </c>
      <c r="AD2424" s="10">
        <v>0</v>
      </c>
      <c r="AE2424" s="11">
        <v>0</v>
      </c>
      <c r="AF2424" s="10">
        <v>0</v>
      </c>
      <c r="AG2424" s="11">
        <v>0</v>
      </c>
      <c r="AH2424" s="10">
        <v>0</v>
      </c>
      <c r="AI2424" s="11">
        <v>0</v>
      </c>
      <c r="AJ2424" s="10">
        <f>AK2424/9</f>
        <v>3320</v>
      </c>
      <c r="AK2424" s="13">
        <v>29880</v>
      </c>
      <c r="AL2424" s="10">
        <f>AM2424/9</f>
        <v>3800</v>
      </c>
      <c r="AM2424" s="13">
        <v>34200</v>
      </c>
      <c r="AN2424" s="10">
        <v>0</v>
      </c>
      <c r="AO2424" s="11">
        <v>0</v>
      </c>
      <c r="AP2424" s="10">
        <v>0</v>
      </c>
      <c r="AQ2424" s="11">
        <v>0</v>
      </c>
      <c r="AR2424" s="10">
        <v>0</v>
      </c>
      <c r="AS2424" s="11">
        <v>0</v>
      </c>
      <c r="AT2424" s="10">
        <v>0</v>
      </c>
      <c r="AU2424" s="11">
        <v>0</v>
      </c>
      <c r="AV2424" s="10">
        <v>0</v>
      </c>
      <c r="BN2424" s="8">
        <f t="shared" si="2451"/>
        <v>5078.6000000000004</v>
      </c>
      <c r="BO2424" s="8">
        <f t="shared" si="2452"/>
        <v>135240</v>
      </c>
      <c r="BP2424" s="8">
        <f t="shared" si="2454"/>
        <v>4345</v>
      </c>
      <c r="BQ2424" s="12">
        <f t="shared" si="2455"/>
        <v>65880</v>
      </c>
    </row>
    <row r="2425" spans="1:69">
      <c r="A2425" s="28">
        <v>2000</v>
      </c>
      <c r="B2425" s="27" t="s">
        <v>107</v>
      </c>
      <c r="C2425" s="24">
        <f t="shared" si="2414"/>
        <v>2380</v>
      </c>
      <c r="D2425" s="7" t="e">
        <f t="shared" ca="1" si="2394"/>
        <v>#N/A</v>
      </c>
      <c r="E2425" s="26">
        <f t="array" aca="1" ref="E2425" ca="1">AVERAGE(IF(INDIRECT(DatCol&amp;"$"&amp;TEXT(C2425,"###")):INDIRECT(DatCol&amp;"$"&amp;TEXT(C2425+57,"###"))&gt;0,INDIRECT(DatCol&amp;"$"&amp;TEXT(C2425,"###")):INDIRECT(DatCol&amp;"$"&amp;TEXT(C2425+57,"###"))))</f>
        <v>261.10121951219509</v>
      </c>
      <c r="F2425" s="26" t="str">
        <f t="shared" si="2393"/>
        <v>I</v>
      </c>
      <c r="G2425" s="9">
        <v>152</v>
      </c>
      <c r="H2425" s="9">
        <v>31</v>
      </c>
      <c r="I2425" s="9">
        <v>18</v>
      </c>
      <c r="J2425" s="9">
        <f>283+81</f>
        <v>364</v>
      </c>
      <c r="K2425" s="9">
        <f t="shared" si="2453"/>
        <v>547</v>
      </c>
      <c r="L2425" s="10">
        <v>38</v>
      </c>
      <c r="M2425" s="11">
        <f>L2425*50</f>
        <v>1900</v>
      </c>
      <c r="N2425" s="10">
        <v>80</v>
      </c>
      <c r="O2425" s="11">
        <f>N2425*50</f>
        <v>4000</v>
      </c>
      <c r="P2425" s="10">
        <v>2036</v>
      </c>
      <c r="Q2425" s="11">
        <f>P2425*75</f>
        <v>152700</v>
      </c>
      <c r="R2425" s="10">
        <v>0</v>
      </c>
      <c r="S2425" s="11">
        <v>0</v>
      </c>
      <c r="T2425" s="10">
        <v>0</v>
      </c>
      <c r="U2425" s="11">
        <v>0</v>
      </c>
      <c r="V2425" s="10">
        <v>0</v>
      </c>
      <c r="W2425" s="11">
        <v>0</v>
      </c>
      <c r="X2425" s="10">
        <v>723</v>
      </c>
      <c r="Y2425" s="11">
        <f>X2425*75</f>
        <v>54225</v>
      </c>
      <c r="Z2425" s="10">
        <v>0</v>
      </c>
      <c r="AA2425" s="11">
        <v>0</v>
      </c>
      <c r="AB2425" s="10">
        <v>0</v>
      </c>
      <c r="AC2425" s="11">
        <v>0</v>
      </c>
      <c r="AD2425" s="10">
        <v>0</v>
      </c>
      <c r="AE2425" s="11">
        <v>0</v>
      </c>
      <c r="AF2425" s="10">
        <v>0</v>
      </c>
      <c r="AG2425" s="11">
        <v>0</v>
      </c>
      <c r="AH2425" s="10">
        <v>0</v>
      </c>
      <c r="AI2425" s="11">
        <v>0</v>
      </c>
      <c r="AJ2425" s="10">
        <v>667</v>
      </c>
      <c r="AK2425" s="13">
        <f>AJ2425*9</f>
        <v>6003</v>
      </c>
      <c r="AL2425" s="10">
        <v>1121</v>
      </c>
      <c r="AM2425" s="13">
        <f>AL2425*9</f>
        <v>10089</v>
      </c>
      <c r="AN2425" s="10">
        <v>0</v>
      </c>
      <c r="AO2425" s="11">
        <v>0</v>
      </c>
      <c r="AP2425" s="10">
        <v>0</v>
      </c>
      <c r="AQ2425" s="11">
        <v>0</v>
      </c>
      <c r="AR2425" s="10">
        <v>0</v>
      </c>
      <c r="AS2425" s="11">
        <v>0</v>
      </c>
      <c r="AT2425" s="10">
        <v>0</v>
      </c>
      <c r="AU2425" s="11">
        <v>0</v>
      </c>
      <c r="AV2425" s="10">
        <v>0</v>
      </c>
      <c r="AW2425" s="11">
        <v>0</v>
      </c>
      <c r="AX2425" s="10">
        <v>0</v>
      </c>
      <c r="AY2425" s="11">
        <v>0</v>
      </c>
      <c r="AZ2425" s="10">
        <v>0</v>
      </c>
      <c r="BA2425" s="11">
        <v>0</v>
      </c>
      <c r="BB2425" s="10">
        <v>0</v>
      </c>
      <c r="BN2425" s="8">
        <f t="shared" si="2451"/>
        <v>3464</v>
      </c>
      <c r="BO2425" s="8">
        <f t="shared" si="2452"/>
        <v>214828</v>
      </c>
      <c r="BP2425" s="8">
        <f t="shared" si="2454"/>
        <v>1924</v>
      </c>
      <c r="BQ2425" s="12">
        <f t="shared" si="2455"/>
        <v>68314</v>
      </c>
    </row>
    <row r="2426" spans="1:69">
      <c r="A2426" s="28">
        <v>2001</v>
      </c>
      <c r="B2426" s="27" t="s">
        <v>107</v>
      </c>
      <c r="C2426" s="24">
        <f t="shared" si="2414"/>
        <v>2380</v>
      </c>
      <c r="D2426" s="7" t="e">
        <f t="shared" ca="1" si="2394"/>
        <v>#N/A</v>
      </c>
      <c r="E2426" s="26">
        <f t="array" aca="1" ref="E2426" ca="1">AVERAGE(IF(INDIRECT(DatCol&amp;"$"&amp;TEXT(C2426,"###")):INDIRECT(DatCol&amp;"$"&amp;TEXT(C2426+57,"###"))&gt;0,INDIRECT(DatCol&amp;"$"&amp;TEXT(C2426,"###")):INDIRECT(DatCol&amp;"$"&amp;TEXT(C2426+57,"###"))))</f>
        <v>261.10121951219509</v>
      </c>
      <c r="F2426" s="26" t="str">
        <f t="shared" si="2393"/>
        <v>I</v>
      </c>
      <c r="H2426" s="9">
        <v>87</v>
      </c>
      <c r="I2426" s="9">
        <v>19</v>
      </c>
      <c r="J2426" s="9">
        <v>437</v>
      </c>
      <c r="K2426" s="9">
        <f t="shared" si="2453"/>
        <v>524</v>
      </c>
      <c r="L2426" s="10">
        <f>M2426/50</f>
        <v>8.4</v>
      </c>
      <c r="M2426" s="11">
        <v>420</v>
      </c>
      <c r="N2426" s="10">
        <f>O2426/50</f>
        <v>134.4</v>
      </c>
      <c r="O2426" s="11">
        <v>6720</v>
      </c>
      <c r="P2426" s="10">
        <f>Q2426/75</f>
        <v>2429.8666666666668</v>
      </c>
      <c r="Q2426" s="11">
        <v>182240</v>
      </c>
      <c r="R2426" s="10">
        <v>0</v>
      </c>
      <c r="S2426" s="11">
        <v>0</v>
      </c>
      <c r="T2426" s="10">
        <v>0</v>
      </c>
      <c r="U2426" s="11">
        <v>0</v>
      </c>
      <c r="V2426" s="10">
        <v>0</v>
      </c>
      <c r="W2426" s="11">
        <v>0</v>
      </c>
      <c r="X2426" s="10">
        <f>Y2426/75</f>
        <v>656</v>
      </c>
      <c r="Y2426" s="11">
        <v>49200</v>
      </c>
      <c r="Z2426" s="10">
        <v>0</v>
      </c>
      <c r="AA2426" s="11">
        <v>0</v>
      </c>
      <c r="AB2426" s="10">
        <v>0</v>
      </c>
      <c r="AC2426" s="11">
        <v>0</v>
      </c>
      <c r="AD2426" s="10">
        <v>0</v>
      </c>
      <c r="AE2426" s="11">
        <v>0</v>
      </c>
      <c r="AF2426" s="10">
        <v>0</v>
      </c>
      <c r="AG2426" s="11">
        <v>0</v>
      </c>
      <c r="AH2426" s="10">
        <v>0</v>
      </c>
      <c r="AI2426" s="11">
        <v>0</v>
      </c>
      <c r="AJ2426" s="10">
        <v>729</v>
      </c>
      <c r="AK2426" s="13">
        <f>AJ2426*9</f>
        <v>6561</v>
      </c>
      <c r="AL2426" s="10">
        <v>1080</v>
      </c>
      <c r="AM2426" s="13">
        <f>AL2426*9</f>
        <v>9720</v>
      </c>
      <c r="AN2426" s="10">
        <v>0</v>
      </c>
      <c r="AO2426" s="11">
        <v>0</v>
      </c>
      <c r="AP2426" s="10">
        <v>0</v>
      </c>
      <c r="AQ2426" s="11">
        <v>0</v>
      </c>
      <c r="AR2426" s="10">
        <v>0</v>
      </c>
      <c r="AS2426" s="11">
        <v>0</v>
      </c>
      <c r="AT2426" s="10">
        <v>0</v>
      </c>
      <c r="AU2426" s="11">
        <v>0</v>
      </c>
      <c r="AV2426" s="10">
        <v>0</v>
      </c>
      <c r="AW2426" s="11">
        <v>0</v>
      </c>
      <c r="AX2426" s="10">
        <v>0</v>
      </c>
      <c r="AY2426" s="11">
        <v>0</v>
      </c>
      <c r="AZ2426" s="10">
        <v>0</v>
      </c>
      <c r="BA2426" s="11">
        <v>0</v>
      </c>
      <c r="BB2426" s="10">
        <v>0</v>
      </c>
      <c r="BC2426" s="11">
        <v>0</v>
      </c>
      <c r="BD2426" s="10">
        <v>0</v>
      </c>
      <c r="BE2426" s="11">
        <v>0</v>
      </c>
      <c r="BF2426" s="10">
        <v>0</v>
      </c>
      <c r="BG2426" s="11">
        <v>0</v>
      </c>
      <c r="BN2426" s="8">
        <f t="shared" si="2451"/>
        <v>3823.2666666666669</v>
      </c>
      <c r="BO2426" s="8">
        <f t="shared" si="2452"/>
        <v>238421</v>
      </c>
      <c r="BP2426" s="8">
        <f t="shared" si="2454"/>
        <v>1870.4</v>
      </c>
      <c r="BQ2426" s="12">
        <f t="shared" si="2455"/>
        <v>65640</v>
      </c>
    </row>
    <row r="2427" spans="1:69">
      <c r="A2427" s="28">
        <v>2002</v>
      </c>
      <c r="B2427" s="27" t="s">
        <v>107</v>
      </c>
      <c r="C2427" s="24">
        <f t="shared" si="2414"/>
        <v>2380</v>
      </c>
      <c r="D2427" s="7" t="e">
        <f t="shared" ca="1" si="2394"/>
        <v>#N/A</v>
      </c>
      <c r="E2427" s="26">
        <f t="array" aca="1" ref="E2427" ca="1">AVERAGE(IF(INDIRECT(DatCol&amp;"$"&amp;TEXT(C2427,"###")):INDIRECT(DatCol&amp;"$"&amp;TEXT(C2427+57,"###"))&gt;0,INDIRECT(DatCol&amp;"$"&amp;TEXT(C2427,"###")):INDIRECT(DatCol&amp;"$"&amp;TEXT(C2427+57,"###"))))</f>
        <v>261.10121951219509</v>
      </c>
      <c r="F2427" s="26" t="str">
        <f t="shared" si="2393"/>
        <v>I</v>
      </c>
      <c r="H2427" s="9">
        <v>103</v>
      </c>
      <c r="I2427" s="9">
        <v>13</v>
      </c>
      <c r="J2427" s="9">
        <v>391</v>
      </c>
      <c r="K2427" s="9">
        <f t="shared" si="2453"/>
        <v>494</v>
      </c>
      <c r="L2427" s="10">
        <v>130</v>
      </c>
      <c r="M2427" s="11">
        <f>L2427*50</f>
        <v>6500</v>
      </c>
      <c r="N2427" s="10">
        <v>107</v>
      </c>
      <c r="O2427" s="11">
        <f>N2427*50</f>
        <v>5350</v>
      </c>
      <c r="P2427" s="10">
        <v>2284</v>
      </c>
      <c r="Q2427" s="11">
        <f>P2427*75</f>
        <v>171300</v>
      </c>
      <c r="R2427" s="10">
        <v>0</v>
      </c>
      <c r="S2427" s="11">
        <v>0</v>
      </c>
      <c r="T2427" s="10">
        <v>0</v>
      </c>
      <c r="U2427" s="11">
        <v>0</v>
      </c>
      <c r="V2427" s="10">
        <v>0</v>
      </c>
      <c r="W2427" s="11">
        <v>0</v>
      </c>
      <c r="X2427" s="10">
        <v>910</v>
      </c>
      <c r="Y2427" s="11">
        <f>X2427*75</f>
        <v>68250</v>
      </c>
      <c r="Z2427" s="10">
        <v>0</v>
      </c>
      <c r="AA2427" s="11">
        <v>0</v>
      </c>
      <c r="AB2427" s="10">
        <v>0</v>
      </c>
      <c r="AC2427" s="11">
        <v>0</v>
      </c>
      <c r="AD2427" s="10">
        <v>0</v>
      </c>
      <c r="AE2427" s="11">
        <v>0</v>
      </c>
      <c r="AF2427" s="10">
        <v>0</v>
      </c>
      <c r="AG2427" s="11">
        <v>0</v>
      </c>
      <c r="AH2427" s="10">
        <v>0</v>
      </c>
      <c r="AI2427" s="11">
        <v>0</v>
      </c>
      <c r="AJ2427" s="10">
        <v>634.5</v>
      </c>
      <c r="AK2427" s="13">
        <f>AJ2427*9</f>
        <v>5710.5</v>
      </c>
      <c r="AL2427" s="10">
        <v>481</v>
      </c>
      <c r="AM2427" s="13">
        <f>AL2427*9</f>
        <v>4329</v>
      </c>
      <c r="AN2427" s="10">
        <v>0</v>
      </c>
      <c r="AO2427" s="11">
        <v>0</v>
      </c>
      <c r="AP2427" s="10">
        <v>0</v>
      </c>
      <c r="AQ2427" s="11">
        <v>0</v>
      </c>
      <c r="AR2427" s="10">
        <v>0</v>
      </c>
      <c r="AS2427" s="11">
        <v>0</v>
      </c>
      <c r="AT2427" s="10">
        <v>0</v>
      </c>
      <c r="AU2427" s="11">
        <v>0</v>
      </c>
      <c r="AV2427" s="10">
        <v>0</v>
      </c>
      <c r="AW2427" s="11">
        <v>0</v>
      </c>
      <c r="AX2427" s="10">
        <v>0</v>
      </c>
      <c r="AY2427" s="11">
        <v>0</v>
      </c>
      <c r="AZ2427" s="10">
        <v>0</v>
      </c>
      <c r="BA2427" s="11">
        <v>0</v>
      </c>
      <c r="BB2427" s="10">
        <v>0</v>
      </c>
      <c r="BC2427" s="11">
        <v>0</v>
      </c>
      <c r="BD2427" s="10">
        <v>0</v>
      </c>
      <c r="BE2427" s="11">
        <v>0</v>
      </c>
      <c r="BF2427" s="10">
        <v>0</v>
      </c>
      <c r="BG2427" s="11">
        <v>0</v>
      </c>
      <c r="BN2427" s="8">
        <f t="shared" si="2451"/>
        <v>3958.5</v>
      </c>
      <c r="BO2427" s="8">
        <f t="shared" si="2452"/>
        <v>251760.5</v>
      </c>
      <c r="BP2427" s="8">
        <f t="shared" si="2454"/>
        <v>1498</v>
      </c>
      <c r="BQ2427" s="12">
        <f t="shared" si="2455"/>
        <v>77929</v>
      </c>
    </row>
    <row r="2428" spans="1:69">
      <c r="A2428" s="28">
        <v>2003</v>
      </c>
      <c r="B2428" s="27" t="s">
        <v>107</v>
      </c>
      <c r="C2428" s="24">
        <f t="shared" si="2414"/>
        <v>2380</v>
      </c>
      <c r="D2428" s="7" t="e">
        <f t="shared" ca="1" si="2394"/>
        <v>#N/A</v>
      </c>
      <c r="E2428" s="26">
        <f t="array" aca="1" ref="E2428" ca="1">AVERAGE(IF(INDIRECT(DatCol&amp;"$"&amp;TEXT(C2428,"###")):INDIRECT(DatCol&amp;"$"&amp;TEXT(C2428+57,"###"))&gt;0,INDIRECT(DatCol&amp;"$"&amp;TEXT(C2428,"###")):INDIRECT(DatCol&amp;"$"&amp;TEXT(C2428+57,"###"))))</f>
        <v>261.10121951219509</v>
      </c>
      <c r="F2428" s="26" t="str">
        <f t="shared" si="2393"/>
        <v>I</v>
      </c>
      <c r="H2428" s="9">
        <v>29</v>
      </c>
      <c r="I2428" s="9">
        <v>19</v>
      </c>
      <c r="J2428" s="9">
        <f>261+69+165</f>
        <v>495</v>
      </c>
      <c r="K2428" s="9">
        <f t="shared" si="2453"/>
        <v>524</v>
      </c>
      <c r="L2428" s="10">
        <v>78</v>
      </c>
      <c r="M2428" s="11">
        <f>L2428*50</f>
        <v>3900</v>
      </c>
      <c r="N2428" s="10">
        <v>30</v>
      </c>
      <c r="O2428" s="11">
        <f>N2428*50</f>
        <v>1500</v>
      </c>
      <c r="P2428" s="10">
        <v>1888</v>
      </c>
      <c r="Q2428" s="11">
        <f>P2428*75</f>
        <v>141600</v>
      </c>
      <c r="R2428" s="10">
        <v>0</v>
      </c>
      <c r="S2428" s="11">
        <v>0</v>
      </c>
      <c r="T2428" s="10">
        <v>0</v>
      </c>
      <c r="U2428" s="11">
        <v>0</v>
      </c>
      <c r="V2428" s="10">
        <v>0</v>
      </c>
      <c r="W2428" s="11">
        <v>0</v>
      </c>
      <c r="X2428" s="10">
        <v>667</v>
      </c>
      <c r="Y2428" s="11">
        <f>X2428*75</f>
        <v>50025</v>
      </c>
      <c r="Z2428" s="10">
        <v>0</v>
      </c>
      <c r="AA2428" s="11">
        <v>0</v>
      </c>
      <c r="AB2428" s="10">
        <v>0</v>
      </c>
      <c r="AC2428" s="11">
        <v>0</v>
      </c>
      <c r="AD2428" s="10">
        <v>0</v>
      </c>
      <c r="AE2428" s="11">
        <v>0</v>
      </c>
      <c r="AF2428" s="10">
        <v>0</v>
      </c>
      <c r="AG2428" s="11">
        <v>0</v>
      </c>
      <c r="AH2428" s="10">
        <v>0</v>
      </c>
      <c r="AI2428" s="11">
        <v>0</v>
      </c>
      <c r="AJ2428" s="10">
        <v>1800</v>
      </c>
      <c r="AK2428" s="13">
        <f>AJ2428*9</f>
        <v>16200</v>
      </c>
      <c r="AL2428" s="10">
        <v>1469</v>
      </c>
      <c r="AM2428" s="13">
        <f>AL2428*9</f>
        <v>13221</v>
      </c>
      <c r="BN2428" s="8">
        <f t="shared" si="2451"/>
        <v>4433</v>
      </c>
      <c r="BO2428" s="8">
        <f t="shared" si="2452"/>
        <v>211725</v>
      </c>
      <c r="BP2428" s="8">
        <f t="shared" si="2454"/>
        <v>2166</v>
      </c>
      <c r="BQ2428" s="12">
        <f t="shared" si="2455"/>
        <v>64746</v>
      </c>
    </row>
    <row r="2429" spans="1:69">
      <c r="A2429" s="28">
        <v>2004</v>
      </c>
      <c r="B2429" s="27" t="s">
        <v>107</v>
      </c>
      <c r="C2429" s="24">
        <f t="shared" si="2414"/>
        <v>2380</v>
      </c>
      <c r="D2429" s="7" t="e">
        <f t="shared" ca="1" si="2394"/>
        <v>#N/A</v>
      </c>
      <c r="E2429" s="26">
        <f t="array" aca="1" ref="E2429" ca="1">AVERAGE(IF(INDIRECT(DatCol&amp;"$"&amp;TEXT(C2429,"###")):INDIRECT(DatCol&amp;"$"&amp;TEXT(C2429+57,"###"))&gt;0,INDIRECT(DatCol&amp;"$"&amp;TEXT(C2429,"###")):INDIRECT(DatCol&amp;"$"&amp;TEXT(C2429+57,"###"))))</f>
        <v>261.10121951219509</v>
      </c>
      <c r="F2429" s="26" t="str">
        <f t="shared" ref="F2429:F2498" si="2456">VLOOKUP(B2429,town_region,2,FALSE)</f>
        <v>I</v>
      </c>
      <c r="H2429" s="9">
        <v>26</v>
      </c>
      <c r="I2429" s="9">
        <v>12</v>
      </c>
      <c r="J2429" s="9">
        <f>69+224+160</f>
        <v>453</v>
      </c>
      <c r="K2429" s="9">
        <f t="shared" si="2453"/>
        <v>479</v>
      </c>
      <c r="L2429" s="10">
        <v>40</v>
      </c>
      <c r="M2429" s="11">
        <f>L2429*50</f>
        <v>2000</v>
      </c>
      <c r="N2429" s="10">
        <v>72</v>
      </c>
      <c r="O2429" s="11">
        <f>N2429*50</f>
        <v>3600</v>
      </c>
      <c r="P2429" s="10">
        <v>1342</v>
      </c>
      <c r="Q2429" s="11">
        <f>P2429*75</f>
        <v>100650</v>
      </c>
      <c r="R2429" s="10">
        <v>0</v>
      </c>
      <c r="S2429" s="11">
        <v>0</v>
      </c>
      <c r="T2429" s="10">
        <v>0</v>
      </c>
      <c r="U2429" s="11">
        <v>0</v>
      </c>
      <c r="V2429" s="10">
        <v>0</v>
      </c>
      <c r="W2429" s="11">
        <v>0</v>
      </c>
      <c r="X2429" s="10">
        <v>785</v>
      </c>
      <c r="Y2429" s="11">
        <f>X2429*75</f>
        <v>58875</v>
      </c>
      <c r="Z2429" s="10">
        <v>0</v>
      </c>
      <c r="AA2429" s="11">
        <v>0</v>
      </c>
      <c r="AB2429" s="10">
        <v>0</v>
      </c>
      <c r="AC2429" s="11">
        <v>0</v>
      </c>
      <c r="AD2429" s="10">
        <v>0</v>
      </c>
      <c r="AE2429" s="11">
        <v>0</v>
      </c>
      <c r="AF2429" s="10">
        <v>0</v>
      </c>
      <c r="AG2429" s="11">
        <v>0</v>
      </c>
      <c r="AH2429" s="10">
        <v>0</v>
      </c>
      <c r="AI2429" s="11">
        <v>0</v>
      </c>
      <c r="AJ2429" s="10">
        <v>775</v>
      </c>
      <c r="AK2429" s="13">
        <f>AJ2429*9</f>
        <v>6975</v>
      </c>
      <c r="AL2429" s="10">
        <v>856</v>
      </c>
      <c r="AM2429" s="13">
        <f>AL2429*9</f>
        <v>7704</v>
      </c>
      <c r="BN2429" s="8">
        <f t="shared" si="2451"/>
        <v>2942</v>
      </c>
      <c r="BO2429" s="8">
        <f t="shared" si="2452"/>
        <v>168500</v>
      </c>
      <c r="BP2429" s="8">
        <f t="shared" si="2454"/>
        <v>1713</v>
      </c>
      <c r="BQ2429" s="12">
        <f t="shared" si="2455"/>
        <v>70179</v>
      </c>
    </row>
    <row r="2430" spans="1:69">
      <c r="A2430" s="28">
        <v>2005</v>
      </c>
      <c r="B2430" s="27" t="s">
        <v>107</v>
      </c>
      <c r="C2430" s="24">
        <f t="shared" si="2414"/>
        <v>2380</v>
      </c>
      <c r="D2430" s="7" t="e">
        <f t="shared" ca="1" si="2394"/>
        <v>#N/A</v>
      </c>
      <c r="E2430" s="26">
        <f t="array" aca="1" ref="E2430" ca="1">AVERAGE(IF(INDIRECT(DatCol&amp;"$"&amp;TEXT(C2430,"###")):INDIRECT(DatCol&amp;"$"&amp;TEXT(C2430+57,"###"))&gt;0,INDIRECT(DatCol&amp;"$"&amp;TEXT(C2430,"###")):INDIRECT(DatCol&amp;"$"&amp;TEXT(C2430+57,"###"))))</f>
        <v>261.10121951219509</v>
      </c>
      <c r="F2430" s="26" t="str">
        <f t="shared" si="2456"/>
        <v>I</v>
      </c>
      <c r="K2430" s="9">
        <f t="shared" si="2453"/>
        <v>0</v>
      </c>
      <c r="AK2430" s="13"/>
      <c r="AM2430" s="13"/>
      <c r="BN2430" s="8">
        <f t="shared" si="2451"/>
        <v>0</v>
      </c>
      <c r="BO2430" s="8">
        <f t="shared" si="2452"/>
        <v>0</v>
      </c>
      <c r="BP2430" s="8">
        <f t="shared" si="2454"/>
        <v>0</v>
      </c>
      <c r="BQ2430" s="12">
        <f t="shared" si="2455"/>
        <v>0</v>
      </c>
    </row>
    <row r="2431" spans="1:69">
      <c r="A2431" s="28">
        <v>2006</v>
      </c>
      <c r="B2431" s="27" t="s">
        <v>107</v>
      </c>
      <c r="C2431" s="24">
        <f t="shared" si="2414"/>
        <v>2380</v>
      </c>
      <c r="D2431" s="7" t="e">
        <f t="shared" ca="1" si="2394"/>
        <v>#N/A</v>
      </c>
      <c r="E2431" s="26">
        <f t="array" aca="1" ref="E2431" ca="1">AVERAGE(IF(INDIRECT(DatCol&amp;"$"&amp;TEXT(C2431,"###")):INDIRECT(DatCol&amp;"$"&amp;TEXT(C2431+57,"###"))&gt;0,INDIRECT(DatCol&amp;"$"&amp;TEXT(C2431,"###")):INDIRECT(DatCol&amp;"$"&amp;TEXT(C2431+57,"###"))))</f>
        <v>261.10121951219509</v>
      </c>
      <c r="F2431" s="26" t="str">
        <f t="shared" si="2456"/>
        <v>I</v>
      </c>
      <c r="K2431" s="9">
        <f t="shared" si="2453"/>
        <v>0</v>
      </c>
      <c r="AK2431" s="13"/>
      <c r="AM2431" s="13"/>
      <c r="BN2431" s="8">
        <f t="shared" si="2451"/>
        <v>0</v>
      </c>
      <c r="BO2431" s="8">
        <f t="shared" si="2452"/>
        <v>0</v>
      </c>
      <c r="BP2431" s="8">
        <f t="shared" si="2454"/>
        <v>0</v>
      </c>
      <c r="BQ2431" s="12">
        <f t="shared" si="2455"/>
        <v>0</v>
      </c>
    </row>
    <row r="2432" spans="1:69">
      <c r="A2432" s="28">
        <v>2007</v>
      </c>
      <c r="B2432" s="27" t="s">
        <v>107</v>
      </c>
      <c r="C2432" s="24">
        <f t="shared" si="2414"/>
        <v>2380</v>
      </c>
      <c r="D2432" s="7" t="e">
        <f t="shared" ca="1" si="2394"/>
        <v>#N/A</v>
      </c>
      <c r="E2432" s="26">
        <f t="array" aca="1" ref="E2432" ca="1">AVERAGE(IF(INDIRECT(DatCol&amp;"$"&amp;TEXT(C2432,"###")):INDIRECT(DatCol&amp;"$"&amp;TEXT(C2432+57,"###"))&gt;0,INDIRECT(DatCol&amp;"$"&amp;TEXT(C2432,"###")):INDIRECT(DatCol&amp;"$"&amp;TEXT(C2432+57,"###"))))</f>
        <v>261.10121951219509</v>
      </c>
      <c r="F2432" s="26" t="str">
        <f t="shared" si="2456"/>
        <v>I</v>
      </c>
      <c r="K2432" s="9">
        <f t="shared" si="2453"/>
        <v>0</v>
      </c>
      <c r="AK2432" s="13"/>
      <c r="AM2432" s="13"/>
      <c r="BN2432" s="8">
        <f t="shared" si="2451"/>
        <v>0</v>
      </c>
      <c r="BO2432" s="8">
        <f t="shared" si="2452"/>
        <v>0</v>
      </c>
      <c r="BP2432" s="8">
        <f t="shared" si="2454"/>
        <v>0</v>
      </c>
      <c r="BQ2432" s="12">
        <f t="shared" si="2455"/>
        <v>0</v>
      </c>
    </row>
    <row r="2433" spans="1:69">
      <c r="A2433" s="28">
        <v>2008</v>
      </c>
      <c r="B2433" s="27" t="s">
        <v>107</v>
      </c>
      <c r="C2433" s="24">
        <f t="shared" si="2414"/>
        <v>2380</v>
      </c>
      <c r="D2433" s="7" t="e">
        <f t="shared" ca="1" si="2394"/>
        <v>#N/A</v>
      </c>
      <c r="E2433" s="26">
        <f t="array" aca="1" ref="E2433" ca="1">AVERAGE(IF(INDIRECT(DatCol&amp;"$"&amp;TEXT(C2433,"###")):INDIRECT(DatCol&amp;"$"&amp;TEXT(C2433+57,"###"))&gt;0,INDIRECT(DatCol&amp;"$"&amp;TEXT(C2433,"###")):INDIRECT(DatCol&amp;"$"&amp;TEXT(C2433+57,"###"))))</f>
        <v>261.10121951219509</v>
      </c>
      <c r="F2433" s="26" t="str">
        <f t="shared" si="2456"/>
        <v>I</v>
      </c>
      <c r="K2433" s="9">
        <f t="shared" si="2453"/>
        <v>0</v>
      </c>
      <c r="AK2433" s="13"/>
      <c r="AM2433" s="13"/>
      <c r="BN2433" s="8">
        <f t="shared" si="2451"/>
        <v>0</v>
      </c>
      <c r="BO2433" s="8">
        <f t="shared" si="2452"/>
        <v>0</v>
      </c>
      <c r="BP2433" s="8">
        <f t="shared" si="2454"/>
        <v>0</v>
      </c>
      <c r="BQ2433" s="12">
        <f t="shared" si="2455"/>
        <v>0</v>
      </c>
    </row>
    <row r="2434" spans="1:69">
      <c r="A2434" s="28">
        <v>2009</v>
      </c>
      <c r="B2434" s="27" t="s">
        <v>107</v>
      </c>
      <c r="C2434" s="24">
        <f t="shared" si="2414"/>
        <v>2380</v>
      </c>
      <c r="D2434" s="7" t="e">
        <f t="shared" ref="D2434:D2497" ca="1" si="2457">IF(AND((INDIRECT(DatCol&amp;TEXT(ROW(),"###"))&gt;0),((F2434=RegionSelect)+(RegionSelect="A"))),INDIRECT(DatCol&amp;TEXT(ROW(),"###"))/E2434,NA())</f>
        <v>#N/A</v>
      </c>
      <c r="E2434" s="26">
        <f t="array" aca="1" ref="E2434" ca="1">AVERAGE(IF(INDIRECT(DatCol&amp;"$"&amp;TEXT(C2434,"###")):INDIRECT(DatCol&amp;"$"&amp;TEXT(C2434+57,"###"))&gt;0,INDIRECT(DatCol&amp;"$"&amp;TEXT(C2434,"###")):INDIRECT(DatCol&amp;"$"&amp;TEXT(C2434+57,"###"))))</f>
        <v>261.10121951219509</v>
      </c>
      <c r="F2434" s="26" t="str">
        <f t="shared" si="2456"/>
        <v>I</v>
      </c>
      <c r="H2434" s="9">
        <v>168</v>
      </c>
      <c r="I2434" s="9">
        <v>24</v>
      </c>
      <c r="J2434" s="9">
        <v>487</v>
      </c>
      <c r="K2434" s="9">
        <f t="shared" si="2453"/>
        <v>655</v>
      </c>
      <c r="AJ2434" s="10">
        <f>AK2434/9</f>
        <v>5541.666666666667</v>
      </c>
      <c r="AK2434" s="13">
        <v>49875</v>
      </c>
      <c r="AL2434" s="10">
        <f>AM2434/9</f>
        <v>3616.6666666666665</v>
      </c>
      <c r="AM2434" s="13">
        <v>32550</v>
      </c>
      <c r="BN2434" s="8">
        <f t="shared" si="2451"/>
        <v>5541.666666666667</v>
      </c>
      <c r="BO2434" s="8">
        <f t="shared" si="2452"/>
        <v>49875</v>
      </c>
      <c r="BP2434" s="8">
        <f t="shared" si="2454"/>
        <v>3616.6666666666665</v>
      </c>
      <c r="BQ2434" s="12">
        <f t="shared" si="2455"/>
        <v>32550</v>
      </c>
    </row>
    <row r="2435" spans="1:69">
      <c r="A2435" s="28">
        <v>2010</v>
      </c>
      <c r="B2435" s="27" t="s">
        <v>107</v>
      </c>
      <c r="C2435" s="24">
        <f t="shared" si="2414"/>
        <v>2380</v>
      </c>
      <c r="D2435" s="7" t="e">
        <f t="shared" ca="1" si="2457"/>
        <v>#N/A</v>
      </c>
      <c r="E2435" s="26">
        <f t="array" aca="1" ref="E2435" ca="1">AVERAGE(IF(INDIRECT(DatCol&amp;"$"&amp;TEXT(C2435,"###")):INDIRECT(DatCol&amp;"$"&amp;TEXT(C2435+57,"###"))&gt;0,INDIRECT(DatCol&amp;"$"&amp;TEXT(C2435,"###")):INDIRECT(DatCol&amp;"$"&amp;TEXT(C2435+57,"###"))))</f>
        <v>261.10121951219509</v>
      </c>
      <c r="F2435" s="26" t="str">
        <f t="shared" ref="F2435:F2437" si="2458">VLOOKUP(B2435,town_region,2,FALSE)</f>
        <v>I</v>
      </c>
      <c r="AK2435" s="13"/>
      <c r="AM2435" s="13"/>
      <c r="BN2435" s="8"/>
      <c r="BO2435" s="8"/>
      <c r="BP2435" s="8"/>
      <c r="BQ2435" s="12"/>
    </row>
    <row r="2436" spans="1:69">
      <c r="A2436" s="28">
        <v>2011</v>
      </c>
      <c r="B2436" s="27" t="s">
        <v>107</v>
      </c>
      <c r="C2436" s="24">
        <f t="shared" si="2414"/>
        <v>2380</v>
      </c>
      <c r="D2436" s="7" t="e">
        <f t="shared" ca="1" si="2457"/>
        <v>#N/A</v>
      </c>
      <c r="E2436" s="26">
        <f t="array" aca="1" ref="E2436" ca="1">AVERAGE(IF(INDIRECT(DatCol&amp;"$"&amp;TEXT(C2436,"###")):INDIRECT(DatCol&amp;"$"&amp;TEXT(C2436+57,"###"))&gt;0,INDIRECT(DatCol&amp;"$"&amp;TEXT(C2436,"###")):INDIRECT(DatCol&amp;"$"&amp;TEXT(C2436+57,"###"))))</f>
        <v>261.10121951219509</v>
      </c>
      <c r="F2436" s="26" t="str">
        <f t="shared" si="2458"/>
        <v>I</v>
      </c>
      <c r="AK2436" s="13"/>
      <c r="AM2436" s="13"/>
      <c r="BN2436" s="8"/>
      <c r="BO2436" s="8"/>
      <c r="BP2436" s="8"/>
      <c r="BQ2436" s="12"/>
    </row>
    <row r="2437" spans="1:69">
      <c r="A2437" s="28">
        <v>2012</v>
      </c>
      <c r="B2437" s="27" t="s">
        <v>107</v>
      </c>
      <c r="C2437" s="24">
        <f t="shared" si="2414"/>
        <v>2380</v>
      </c>
      <c r="D2437" s="7" t="e">
        <f t="shared" ca="1" si="2457"/>
        <v>#N/A</v>
      </c>
      <c r="E2437" s="26">
        <f t="array" aca="1" ref="E2437" ca="1">AVERAGE(IF(INDIRECT(DatCol&amp;"$"&amp;TEXT(C2437,"###")):INDIRECT(DatCol&amp;"$"&amp;TEXT(C2437+57,"###"))&gt;0,INDIRECT(DatCol&amp;"$"&amp;TEXT(C2437,"###")):INDIRECT(DatCol&amp;"$"&amp;TEXT(C2437+57,"###"))))</f>
        <v>261.10121951219509</v>
      </c>
      <c r="F2437" s="26" t="str">
        <f t="shared" si="2458"/>
        <v>I</v>
      </c>
      <c r="AK2437" s="13"/>
      <c r="AM2437" s="13"/>
      <c r="BN2437" s="8"/>
      <c r="BO2437" s="8"/>
      <c r="BP2437" s="8"/>
      <c r="BQ2437" s="12"/>
    </row>
    <row r="2438" spans="1:69">
      <c r="A2438" s="28">
        <v>1955</v>
      </c>
      <c r="B2438" s="27" t="s">
        <v>108</v>
      </c>
      <c r="C2438" s="24">
        <f>ROW()</f>
        <v>2438</v>
      </c>
      <c r="D2438" s="7" t="e">
        <f t="shared" ca="1" si="2457"/>
        <v>#N/A</v>
      </c>
      <c r="E2438" s="26">
        <f t="array" aca="1" ref="E2438" ca="1">AVERAGE(IF(INDIRECT(DatCol&amp;"$"&amp;TEXT(C2438,"###")):INDIRECT(DatCol&amp;"$"&amp;TEXT(C2438+57,"###"))&gt;0,INDIRECT(DatCol&amp;"$"&amp;TEXT(C2438,"###")):INDIRECT(DatCol&amp;"$"&amp;TEXT(C2438+57,"###"))))</f>
        <v>105.96370370370369</v>
      </c>
      <c r="F2438" s="26" t="str">
        <f t="shared" si="2456"/>
        <v>C</v>
      </c>
      <c r="G2438" s="8"/>
      <c r="K2438" s="9">
        <f t="shared" si="2453"/>
        <v>0</v>
      </c>
      <c r="M2438" s="11">
        <f t="shared" si="2433"/>
        <v>0</v>
      </c>
      <c r="O2438" s="11">
        <f t="shared" si="2434"/>
        <v>0</v>
      </c>
      <c r="Q2438" s="11">
        <f t="shared" si="2435"/>
        <v>0</v>
      </c>
      <c r="Y2438" s="11">
        <f t="shared" si="2436"/>
        <v>0</v>
      </c>
      <c r="AG2438" s="11">
        <f t="shared" si="2437"/>
        <v>0</v>
      </c>
      <c r="AI2438" s="11">
        <f t="shared" si="2438"/>
        <v>0</v>
      </c>
      <c r="AK2438" s="13">
        <f t="shared" si="2439"/>
        <v>0</v>
      </c>
      <c r="AM2438" s="13">
        <f t="shared" si="2440"/>
        <v>0</v>
      </c>
      <c r="AO2438" s="11">
        <f t="shared" si="2441"/>
        <v>0</v>
      </c>
      <c r="AQ2438" s="11">
        <f t="shared" si="2442"/>
        <v>0</v>
      </c>
      <c r="AS2438" s="11">
        <f t="shared" si="2443"/>
        <v>0</v>
      </c>
      <c r="AU2438" s="11">
        <f t="shared" si="2444"/>
        <v>0</v>
      </c>
      <c r="AW2438" s="11">
        <f t="shared" si="2445"/>
        <v>0</v>
      </c>
      <c r="AY2438" s="11">
        <f t="shared" si="2446"/>
        <v>0</v>
      </c>
      <c r="BA2438" s="11">
        <f t="shared" si="2447"/>
        <v>0</v>
      </c>
      <c r="BC2438" s="11">
        <f t="shared" si="2448"/>
        <v>0</v>
      </c>
      <c r="BE2438" s="11">
        <f t="shared" si="2449"/>
        <v>0</v>
      </c>
      <c r="BG2438" s="11">
        <f t="shared" si="2450"/>
        <v>0</v>
      </c>
      <c r="BN2438" s="8">
        <f t="shared" si="2451"/>
        <v>0</v>
      </c>
      <c r="BO2438" s="8">
        <f t="shared" si="2452"/>
        <v>0</v>
      </c>
      <c r="BP2438" s="8">
        <f t="shared" si="2454"/>
        <v>0</v>
      </c>
      <c r="BQ2438" s="12">
        <f t="shared" si="2455"/>
        <v>0</v>
      </c>
    </row>
    <row r="2439" spans="1:69">
      <c r="A2439" s="28">
        <v>1956</v>
      </c>
      <c r="B2439" s="27" t="s">
        <v>108</v>
      </c>
      <c r="C2439" s="24">
        <f t="shared" ref="C2439:C2495" si="2459">C2438</f>
        <v>2438</v>
      </c>
      <c r="D2439" s="7" t="e">
        <f t="shared" ca="1" si="2457"/>
        <v>#N/A</v>
      </c>
      <c r="E2439" s="26">
        <f t="array" aca="1" ref="E2439" ca="1">AVERAGE(IF(INDIRECT(DatCol&amp;"$"&amp;TEXT(C2439,"###")):INDIRECT(DatCol&amp;"$"&amp;TEXT(C2439+57,"###"))&gt;0,INDIRECT(DatCol&amp;"$"&amp;TEXT(C2439,"###")):INDIRECT(DatCol&amp;"$"&amp;TEXT(C2439+57,"###"))))</f>
        <v>105.96370370370369</v>
      </c>
      <c r="F2439" s="26" t="str">
        <f t="shared" si="2456"/>
        <v>C</v>
      </c>
      <c r="G2439" s="8"/>
      <c r="K2439" s="9">
        <f t="shared" si="2453"/>
        <v>0</v>
      </c>
      <c r="M2439" s="11">
        <f t="shared" si="2433"/>
        <v>0</v>
      </c>
      <c r="O2439" s="11">
        <f t="shared" si="2434"/>
        <v>0</v>
      </c>
      <c r="Q2439" s="11">
        <f t="shared" si="2435"/>
        <v>0</v>
      </c>
      <c r="Y2439" s="11">
        <f t="shared" si="2436"/>
        <v>0</v>
      </c>
      <c r="AG2439" s="11">
        <f t="shared" si="2437"/>
        <v>0</v>
      </c>
      <c r="AI2439" s="11">
        <f t="shared" si="2438"/>
        <v>0</v>
      </c>
      <c r="AK2439" s="13">
        <f t="shared" si="2439"/>
        <v>0</v>
      </c>
      <c r="AM2439" s="13">
        <f t="shared" si="2440"/>
        <v>0</v>
      </c>
      <c r="AO2439" s="11">
        <f t="shared" si="2441"/>
        <v>0</v>
      </c>
      <c r="AQ2439" s="11">
        <f t="shared" si="2442"/>
        <v>0</v>
      </c>
      <c r="AS2439" s="11">
        <f t="shared" si="2443"/>
        <v>0</v>
      </c>
      <c r="AU2439" s="11">
        <f t="shared" si="2444"/>
        <v>0</v>
      </c>
      <c r="AW2439" s="11">
        <f t="shared" si="2445"/>
        <v>0</v>
      </c>
      <c r="AY2439" s="11">
        <f t="shared" si="2446"/>
        <v>0</v>
      </c>
      <c r="BA2439" s="11">
        <f t="shared" si="2447"/>
        <v>0</v>
      </c>
      <c r="BC2439" s="11">
        <f t="shared" si="2448"/>
        <v>0</v>
      </c>
      <c r="BE2439" s="11">
        <f t="shared" si="2449"/>
        <v>0</v>
      </c>
      <c r="BG2439" s="11">
        <f t="shared" si="2450"/>
        <v>0</v>
      </c>
      <c r="BN2439" s="8">
        <f t="shared" si="2451"/>
        <v>0</v>
      </c>
      <c r="BO2439" s="8">
        <f t="shared" si="2452"/>
        <v>0</v>
      </c>
      <c r="BP2439" s="8">
        <f t="shared" si="2454"/>
        <v>0</v>
      </c>
      <c r="BQ2439" s="12">
        <f t="shared" si="2455"/>
        <v>0</v>
      </c>
    </row>
    <row r="2440" spans="1:69">
      <c r="A2440" s="28">
        <v>1957</v>
      </c>
      <c r="B2440" s="27" t="s">
        <v>108</v>
      </c>
      <c r="C2440" s="24">
        <f t="shared" si="2459"/>
        <v>2438</v>
      </c>
      <c r="D2440" s="7" t="e">
        <f t="shared" ca="1" si="2457"/>
        <v>#N/A</v>
      </c>
      <c r="E2440" s="26">
        <f t="array" aca="1" ref="E2440" ca="1">AVERAGE(IF(INDIRECT(DatCol&amp;"$"&amp;TEXT(C2440,"###")):INDIRECT(DatCol&amp;"$"&amp;TEXT(C2440+57,"###"))&gt;0,INDIRECT(DatCol&amp;"$"&amp;TEXT(C2440,"###")):INDIRECT(DatCol&amp;"$"&amp;TEXT(C2440+57,"###"))))</f>
        <v>105.96370370370369</v>
      </c>
      <c r="F2440" s="26" t="str">
        <f t="shared" si="2456"/>
        <v>C</v>
      </c>
      <c r="G2440" s="8"/>
      <c r="K2440" s="9">
        <f t="shared" si="2453"/>
        <v>0</v>
      </c>
      <c r="M2440" s="11">
        <f t="shared" si="2433"/>
        <v>0</v>
      </c>
      <c r="O2440" s="11">
        <f t="shared" si="2434"/>
        <v>0</v>
      </c>
      <c r="Q2440" s="11">
        <f t="shared" si="2435"/>
        <v>0</v>
      </c>
      <c r="Y2440" s="11">
        <f t="shared" si="2436"/>
        <v>0</v>
      </c>
      <c r="AG2440" s="11">
        <f t="shared" si="2437"/>
        <v>0</v>
      </c>
      <c r="AI2440" s="11">
        <f t="shared" si="2438"/>
        <v>0</v>
      </c>
      <c r="AK2440" s="13">
        <f t="shared" si="2439"/>
        <v>0</v>
      </c>
      <c r="AM2440" s="13">
        <f t="shared" si="2440"/>
        <v>0</v>
      </c>
      <c r="AO2440" s="11">
        <f t="shared" si="2441"/>
        <v>0</v>
      </c>
      <c r="AQ2440" s="11">
        <f t="shared" si="2442"/>
        <v>0</v>
      </c>
      <c r="AS2440" s="11">
        <f t="shared" si="2443"/>
        <v>0</v>
      </c>
      <c r="AU2440" s="11">
        <f t="shared" si="2444"/>
        <v>0</v>
      </c>
      <c r="AW2440" s="11">
        <f t="shared" si="2445"/>
        <v>0</v>
      </c>
      <c r="AY2440" s="11">
        <f t="shared" si="2446"/>
        <v>0</v>
      </c>
      <c r="BA2440" s="11">
        <f t="shared" si="2447"/>
        <v>0</v>
      </c>
      <c r="BC2440" s="11">
        <f t="shared" si="2448"/>
        <v>0</v>
      </c>
      <c r="BE2440" s="11">
        <f t="shared" si="2449"/>
        <v>0</v>
      </c>
      <c r="BG2440" s="11">
        <f t="shared" si="2450"/>
        <v>0</v>
      </c>
      <c r="BN2440" s="8">
        <f t="shared" si="2451"/>
        <v>0</v>
      </c>
      <c r="BO2440" s="8">
        <f t="shared" si="2452"/>
        <v>0</v>
      </c>
      <c r="BP2440" s="8">
        <f t="shared" si="2454"/>
        <v>0</v>
      </c>
      <c r="BQ2440" s="12">
        <f t="shared" si="2455"/>
        <v>0</v>
      </c>
    </row>
    <row r="2441" spans="1:69">
      <c r="A2441" s="28">
        <v>1958</v>
      </c>
      <c r="B2441" s="27" t="s">
        <v>108</v>
      </c>
      <c r="C2441" s="24">
        <f t="shared" si="2459"/>
        <v>2438</v>
      </c>
      <c r="D2441" s="7" t="e">
        <f t="shared" ca="1" si="2457"/>
        <v>#N/A</v>
      </c>
      <c r="E2441" s="26">
        <f t="array" aca="1" ref="E2441" ca="1">AVERAGE(IF(INDIRECT(DatCol&amp;"$"&amp;TEXT(C2441,"###")):INDIRECT(DatCol&amp;"$"&amp;TEXT(C2441+57,"###"))&gt;0,INDIRECT(DatCol&amp;"$"&amp;TEXT(C2441,"###")):INDIRECT(DatCol&amp;"$"&amp;TEXT(C2441+57,"###"))))</f>
        <v>105.96370370370369</v>
      </c>
      <c r="F2441" s="26" t="str">
        <f t="shared" si="2456"/>
        <v>C</v>
      </c>
      <c r="G2441" s="8"/>
      <c r="K2441" s="9">
        <f t="shared" si="2453"/>
        <v>0</v>
      </c>
      <c r="M2441" s="11">
        <f t="shared" ref="M2441:M2456" si="2460">(L2441*50)</f>
        <v>0</v>
      </c>
      <c r="O2441" s="11">
        <f t="shared" ref="O2441:O2456" si="2461">(N2441*50)</f>
        <v>0</v>
      </c>
      <c r="Q2441" s="11">
        <f t="shared" ref="Q2441:Q2456" si="2462">((P2441*330)/5.5)</f>
        <v>0</v>
      </c>
      <c r="Y2441" s="11">
        <f t="shared" ref="Y2441:Y2456" si="2463">((X2441*330)/5.5)</f>
        <v>0</v>
      </c>
      <c r="AG2441" s="11">
        <f t="shared" ref="AG2441:AG2456" si="2464">(AF2441*65)</f>
        <v>0</v>
      </c>
      <c r="AI2441" s="11">
        <f t="shared" ref="AI2441:AI2456" si="2465">(AH2441*65)</f>
        <v>0</v>
      </c>
      <c r="AK2441" s="13">
        <f t="shared" ref="AK2441:AK2456" si="2466">(AJ2441*9)</f>
        <v>0</v>
      </c>
      <c r="AM2441" s="13">
        <f t="shared" ref="AM2441:AM2456" si="2467">(AL2441*9)</f>
        <v>0</v>
      </c>
      <c r="AO2441" s="11">
        <f t="shared" ref="AO2441:AO2456" si="2468">(AN2441*80)</f>
        <v>0</v>
      </c>
      <c r="AQ2441" s="11">
        <f t="shared" ref="AQ2441:AQ2456" si="2469">(AP2441*80)</f>
        <v>0</v>
      </c>
      <c r="AS2441" s="11">
        <f t="shared" ref="AS2441:AS2456" si="2470">(AR2441*50)</f>
        <v>0</v>
      </c>
      <c r="AU2441" s="11">
        <f t="shared" ref="AU2441:AU2456" si="2471">(AT2441*50)</f>
        <v>0</v>
      </c>
      <c r="AW2441" s="11">
        <f t="shared" ref="AW2441:AW2456" si="2472">(AV2441*60)</f>
        <v>0</v>
      </c>
      <c r="AY2441" s="11">
        <f t="shared" ref="AY2441:AY2456" si="2473">(AX2441*60)</f>
        <v>0</v>
      </c>
      <c r="BA2441" s="11">
        <f t="shared" ref="BA2441:BA2456" si="2474">(AZ2441*40)</f>
        <v>0</v>
      </c>
      <c r="BC2441" s="11">
        <f t="shared" ref="BC2441:BC2456" si="2475">(BB2441*40)</f>
        <v>0</v>
      </c>
      <c r="BE2441" s="11">
        <f t="shared" ref="BE2441:BE2456" si="2476">(BD2441*95)</f>
        <v>0</v>
      </c>
      <c r="BG2441" s="11">
        <f t="shared" ref="BG2441:BG2456" si="2477">(BF2441*95)</f>
        <v>0</v>
      </c>
      <c r="BN2441" s="8">
        <f t="shared" si="2451"/>
        <v>0</v>
      </c>
      <c r="BO2441" s="8">
        <f t="shared" si="2452"/>
        <v>0</v>
      </c>
      <c r="BP2441" s="8">
        <f t="shared" si="2454"/>
        <v>0</v>
      </c>
      <c r="BQ2441" s="12">
        <f t="shared" si="2455"/>
        <v>0</v>
      </c>
    </row>
    <row r="2442" spans="1:69">
      <c r="A2442" s="28">
        <v>1959</v>
      </c>
      <c r="B2442" s="27" t="s">
        <v>108</v>
      </c>
      <c r="C2442" s="24">
        <f t="shared" si="2459"/>
        <v>2438</v>
      </c>
      <c r="D2442" s="7" t="e">
        <f t="shared" ca="1" si="2457"/>
        <v>#N/A</v>
      </c>
      <c r="E2442" s="26">
        <f t="array" aca="1" ref="E2442" ca="1">AVERAGE(IF(INDIRECT(DatCol&amp;"$"&amp;TEXT(C2442,"###")):INDIRECT(DatCol&amp;"$"&amp;TEXT(C2442+57,"###"))&gt;0,INDIRECT(DatCol&amp;"$"&amp;TEXT(C2442,"###")):INDIRECT(DatCol&amp;"$"&amp;TEXT(C2442+57,"###"))))</f>
        <v>105.96370370370369</v>
      </c>
      <c r="F2442" s="26" t="str">
        <f t="shared" si="2456"/>
        <v>C</v>
      </c>
      <c r="G2442" s="8"/>
      <c r="K2442" s="9">
        <f t="shared" si="2453"/>
        <v>0</v>
      </c>
      <c r="M2442" s="11">
        <f t="shared" si="2460"/>
        <v>0</v>
      </c>
      <c r="O2442" s="11">
        <f t="shared" si="2461"/>
        <v>0</v>
      </c>
      <c r="Q2442" s="11">
        <f t="shared" si="2462"/>
        <v>0</v>
      </c>
      <c r="Y2442" s="11">
        <f t="shared" si="2463"/>
        <v>0</v>
      </c>
      <c r="AG2442" s="11">
        <f t="shared" si="2464"/>
        <v>0</v>
      </c>
      <c r="AI2442" s="11">
        <f t="shared" si="2465"/>
        <v>0</v>
      </c>
      <c r="AK2442" s="13">
        <f t="shared" si="2466"/>
        <v>0</v>
      </c>
      <c r="AM2442" s="13">
        <f t="shared" si="2467"/>
        <v>0</v>
      </c>
      <c r="AO2442" s="11">
        <f t="shared" si="2468"/>
        <v>0</v>
      </c>
      <c r="AQ2442" s="11">
        <f t="shared" si="2469"/>
        <v>0</v>
      </c>
      <c r="AS2442" s="11">
        <f t="shared" si="2470"/>
        <v>0</v>
      </c>
      <c r="AU2442" s="11">
        <f t="shared" si="2471"/>
        <v>0</v>
      </c>
      <c r="AW2442" s="11">
        <f t="shared" si="2472"/>
        <v>0</v>
      </c>
      <c r="AY2442" s="11">
        <f t="shared" si="2473"/>
        <v>0</v>
      </c>
      <c r="BA2442" s="11">
        <f t="shared" si="2474"/>
        <v>0</v>
      </c>
      <c r="BC2442" s="11">
        <f t="shared" si="2475"/>
        <v>0</v>
      </c>
      <c r="BE2442" s="11">
        <f t="shared" si="2476"/>
        <v>0</v>
      </c>
      <c r="BG2442" s="11">
        <f t="shared" si="2477"/>
        <v>0</v>
      </c>
      <c r="BN2442" s="8">
        <f t="shared" si="2451"/>
        <v>0</v>
      </c>
      <c r="BO2442" s="8">
        <f t="shared" si="2452"/>
        <v>0</v>
      </c>
      <c r="BP2442" s="8">
        <f t="shared" si="2454"/>
        <v>0</v>
      </c>
      <c r="BQ2442" s="12">
        <f t="shared" si="2455"/>
        <v>0</v>
      </c>
    </row>
    <row r="2443" spans="1:69">
      <c r="A2443" s="28">
        <v>1960</v>
      </c>
      <c r="B2443" s="27" t="s">
        <v>108</v>
      </c>
      <c r="C2443" s="24">
        <f t="shared" si="2459"/>
        <v>2438</v>
      </c>
      <c r="D2443" s="7" t="e">
        <f t="shared" ca="1" si="2457"/>
        <v>#N/A</v>
      </c>
      <c r="E2443" s="26">
        <f t="array" aca="1" ref="E2443" ca="1">AVERAGE(IF(INDIRECT(DatCol&amp;"$"&amp;TEXT(C2443,"###")):INDIRECT(DatCol&amp;"$"&amp;TEXT(C2443+57,"###"))&gt;0,INDIRECT(DatCol&amp;"$"&amp;TEXT(C2443,"###")):INDIRECT(DatCol&amp;"$"&amp;TEXT(C2443+57,"###"))))</f>
        <v>105.96370370370369</v>
      </c>
      <c r="F2443" s="26" t="str">
        <f t="shared" si="2456"/>
        <v>C</v>
      </c>
      <c r="G2443" s="8"/>
      <c r="K2443" s="9">
        <f t="shared" si="2453"/>
        <v>0</v>
      </c>
      <c r="M2443" s="11">
        <f t="shared" si="2460"/>
        <v>0</v>
      </c>
      <c r="O2443" s="11">
        <f t="shared" si="2461"/>
        <v>0</v>
      </c>
      <c r="Q2443" s="11">
        <f t="shared" si="2462"/>
        <v>0</v>
      </c>
      <c r="Y2443" s="11">
        <f t="shared" si="2463"/>
        <v>0</v>
      </c>
      <c r="AG2443" s="11">
        <f t="shared" si="2464"/>
        <v>0</v>
      </c>
      <c r="AI2443" s="11">
        <f t="shared" si="2465"/>
        <v>0</v>
      </c>
      <c r="AK2443" s="13">
        <f t="shared" si="2466"/>
        <v>0</v>
      </c>
      <c r="AM2443" s="13">
        <f t="shared" si="2467"/>
        <v>0</v>
      </c>
      <c r="AO2443" s="11">
        <f t="shared" si="2468"/>
        <v>0</v>
      </c>
      <c r="AQ2443" s="11">
        <f t="shared" si="2469"/>
        <v>0</v>
      </c>
      <c r="AS2443" s="11">
        <f t="shared" si="2470"/>
        <v>0</v>
      </c>
      <c r="AU2443" s="11">
        <f t="shared" si="2471"/>
        <v>0</v>
      </c>
      <c r="AW2443" s="11">
        <f t="shared" si="2472"/>
        <v>0</v>
      </c>
      <c r="AY2443" s="11">
        <f t="shared" si="2473"/>
        <v>0</v>
      </c>
      <c r="BA2443" s="11">
        <f t="shared" si="2474"/>
        <v>0</v>
      </c>
      <c r="BC2443" s="11">
        <f t="shared" si="2475"/>
        <v>0</v>
      </c>
      <c r="BE2443" s="11">
        <f t="shared" si="2476"/>
        <v>0</v>
      </c>
      <c r="BG2443" s="11">
        <f t="shared" si="2477"/>
        <v>0</v>
      </c>
      <c r="BN2443" s="8">
        <f t="shared" si="2451"/>
        <v>0</v>
      </c>
      <c r="BO2443" s="8">
        <f t="shared" si="2452"/>
        <v>0</v>
      </c>
      <c r="BP2443" s="8">
        <f t="shared" si="2454"/>
        <v>0</v>
      </c>
      <c r="BQ2443" s="12">
        <f t="shared" si="2455"/>
        <v>0</v>
      </c>
    </row>
    <row r="2444" spans="1:69">
      <c r="A2444" s="28">
        <v>1961</v>
      </c>
      <c r="B2444" s="27" t="s">
        <v>108</v>
      </c>
      <c r="C2444" s="24">
        <f t="shared" si="2459"/>
        <v>2438</v>
      </c>
      <c r="D2444" s="7" t="e">
        <f t="shared" ca="1" si="2457"/>
        <v>#N/A</v>
      </c>
      <c r="E2444" s="26">
        <f t="array" aca="1" ref="E2444" ca="1">AVERAGE(IF(INDIRECT(DatCol&amp;"$"&amp;TEXT(C2444,"###")):INDIRECT(DatCol&amp;"$"&amp;TEXT(C2444+57,"###"))&gt;0,INDIRECT(DatCol&amp;"$"&amp;TEXT(C2444,"###")):INDIRECT(DatCol&amp;"$"&amp;TEXT(C2444+57,"###"))))</f>
        <v>105.96370370370369</v>
      </c>
      <c r="F2444" s="26" t="str">
        <f t="shared" si="2456"/>
        <v>C</v>
      </c>
      <c r="G2444" s="8"/>
      <c r="K2444" s="9">
        <f t="shared" si="2453"/>
        <v>0</v>
      </c>
      <c r="M2444" s="11">
        <f t="shared" si="2460"/>
        <v>0</v>
      </c>
      <c r="O2444" s="11">
        <f t="shared" si="2461"/>
        <v>0</v>
      </c>
      <c r="Q2444" s="11">
        <f t="shared" si="2462"/>
        <v>0</v>
      </c>
      <c r="Y2444" s="11">
        <f t="shared" si="2463"/>
        <v>0</v>
      </c>
      <c r="AG2444" s="11">
        <f t="shared" si="2464"/>
        <v>0</v>
      </c>
      <c r="AI2444" s="11">
        <f t="shared" si="2465"/>
        <v>0</v>
      </c>
      <c r="AK2444" s="13">
        <f t="shared" si="2466"/>
        <v>0</v>
      </c>
      <c r="AM2444" s="13">
        <f t="shared" si="2467"/>
        <v>0</v>
      </c>
      <c r="AO2444" s="11">
        <f t="shared" si="2468"/>
        <v>0</v>
      </c>
      <c r="AQ2444" s="11">
        <f t="shared" si="2469"/>
        <v>0</v>
      </c>
      <c r="AS2444" s="11">
        <f t="shared" si="2470"/>
        <v>0</v>
      </c>
      <c r="AU2444" s="11">
        <f t="shared" si="2471"/>
        <v>0</v>
      </c>
      <c r="AW2444" s="11">
        <f t="shared" si="2472"/>
        <v>0</v>
      </c>
      <c r="AY2444" s="11">
        <f t="shared" si="2473"/>
        <v>0</v>
      </c>
      <c r="BA2444" s="11">
        <f t="shared" si="2474"/>
        <v>0</v>
      </c>
      <c r="BC2444" s="11">
        <f t="shared" si="2475"/>
        <v>0</v>
      </c>
      <c r="BE2444" s="11">
        <f t="shared" si="2476"/>
        <v>0</v>
      </c>
      <c r="BG2444" s="11">
        <f t="shared" si="2477"/>
        <v>0</v>
      </c>
      <c r="BN2444" s="8">
        <f t="shared" si="2451"/>
        <v>0</v>
      </c>
      <c r="BO2444" s="8">
        <f t="shared" si="2452"/>
        <v>0</v>
      </c>
      <c r="BP2444" s="8">
        <f t="shared" si="2454"/>
        <v>0</v>
      </c>
      <c r="BQ2444" s="12">
        <f t="shared" si="2455"/>
        <v>0</v>
      </c>
    </row>
    <row r="2445" spans="1:69">
      <c r="A2445" s="28">
        <v>1962</v>
      </c>
      <c r="B2445" s="27" t="s">
        <v>108</v>
      </c>
      <c r="C2445" s="24">
        <f t="shared" si="2459"/>
        <v>2438</v>
      </c>
      <c r="D2445" s="7" t="e">
        <f t="shared" ca="1" si="2457"/>
        <v>#N/A</v>
      </c>
      <c r="E2445" s="26">
        <f t="array" aca="1" ref="E2445" ca="1">AVERAGE(IF(INDIRECT(DatCol&amp;"$"&amp;TEXT(C2445,"###")):INDIRECT(DatCol&amp;"$"&amp;TEXT(C2445+57,"###"))&gt;0,INDIRECT(DatCol&amp;"$"&amp;TEXT(C2445,"###")):INDIRECT(DatCol&amp;"$"&amp;TEXT(C2445+57,"###"))))</f>
        <v>105.96370370370369</v>
      </c>
      <c r="F2445" s="26" t="str">
        <f t="shared" si="2456"/>
        <v>C</v>
      </c>
      <c r="G2445" s="8"/>
      <c r="J2445" s="8">
        <v>1125</v>
      </c>
      <c r="K2445" s="9">
        <f t="shared" si="2453"/>
        <v>1125</v>
      </c>
      <c r="M2445" s="11">
        <f t="shared" si="2460"/>
        <v>0</v>
      </c>
      <c r="N2445" s="12">
        <v>500</v>
      </c>
      <c r="O2445" s="11">
        <f t="shared" si="2461"/>
        <v>25000</v>
      </c>
      <c r="Q2445" s="11">
        <f t="shared" si="2462"/>
        <v>0</v>
      </c>
      <c r="X2445" s="12">
        <v>500</v>
      </c>
      <c r="Y2445" s="11">
        <f t="shared" si="2463"/>
        <v>30000</v>
      </c>
      <c r="AG2445" s="11">
        <f t="shared" si="2464"/>
        <v>0</v>
      </c>
      <c r="AI2445" s="11">
        <f t="shared" si="2465"/>
        <v>0</v>
      </c>
      <c r="AK2445" s="13">
        <f t="shared" si="2466"/>
        <v>0</v>
      </c>
      <c r="AM2445" s="13">
        <f t="shared" si="2467"/>
        <v>0</v>
      </c>
      <c r="AO2445" s="11">
        <f t="shared" si="2468"/>
        <v>0</v>
      </c>
      <c r="AQ2445" s="11">
        <f t="shared" si="2469"/>
        <v>0</v>
      </c>
      <c r="AS2445" s="11">
        <f t="shared" si="2470"/>
        <v>0</v>
      </c>
      <c r="AU2445" s="11">
        <f t="shared" si="2471"/>
        <v>0</v>
      </c>
      <c r="AW2445" s="11">
        <f t="shared" si="2472"/>
        <v>0</v>
      </c>
      <c r="AY2445" s="11">
        <f t="shared" si="2473"/>
        <v>0</v>
      </c>
      <c r="BA2445" s="11">
        <f t="shared" si="2474"/>
        <v>0</v>
      </c>
      <c r="BC2445" s="11">
        <f t="shared" si="2475"/>
        <v>0</v>
      </c>
      <c r="BE2445" s="11">
        <f t="shared" si="2476"/>
        <v>0</v>
      </c>
      <c r="BG2445" s="11">
        <f t="shared" si="2477"/>
        <v>0</v>
      </c>
      <c r="BN2445" s="8">
        <f t="shared" si="2451"/>
        <v>500</v>
      </c>
      <c r="BO2445" s="8">
        <f t="shared" si="2452"/>
        <v>30000</v>
      </c>
      <c r="BP2445" s="8">
        <f t="shared" si="2454"/>
        <v>1000</v>
      </c>
      <c r="BQ2445" s="12">
        <f t="shared" si="2455"/>
        <v>55000</v>
      </c>
    </row>
    <row r="2446" spans="1:69">
      <c r="A2446" s="28">
        <v>1963</v>
      </c>
      <c r="B2446" s="27" t="s">
        <v>108</v>
      </c>
      <c r="C2446" s="24">
        <f t="shared" si="2459"/>
        <v>2438</v>
      </c>
      <c r="D2446" s="7" t="e">
        <f t="shared" ca="1" si="2457"/>
        <v>#N/A</v>
      </c>
      <c r="E2446" s="26">
        <f t="array" aca="1" ref="E2446" ca="1">AVERAGE(IF(INDIRECT(DatCol&amp;"$"&amp;TEXT(C2446,"###")):INDIRECT(DatCol&amp;"$"&amp;TEXT(C2446+57,"###"))&gt;0,INDIRECT(DatCol&amp;"$"&amp;TEXT(C2446,"###")):INDIRECT(DatCol&amp;"$"&amp;TEXT(C2446+57,"###"))))</f>
        <v>105.96370370370369</v>
      </c>
      <c r="F2446" s="26" t="str">
        <f t="shared" si="2456"/>
        <v>C</v>
      </c>
      <c r="G2446" s="8"/>
      <c r="K2446" s="9">
        <f t="shared" si="2453"/>
        <v>0</v>
      </c>
      <c r="M2446" s="11">
        <f t="shared" si="2460"/>
        <v>0</v>
      </c>
      <c r="O2446" s="11">
        <f t="shared" si="2461"/>
        <v>0</v>
      </c>
      <c r="Q2446" s="11">
        <f t="shared" si="2462"/>
        <v>0</v>
      </c>
      <c r="Y2446" s="11">
        <f t="shared" si="2463"/>
        <v>0</v>
      </c>
      <c r="AG2446" s="11">
        <f t="shared" si="2464"/>
        <v>0</v>
      </c>
      <c r="AI2446" s="11">
        <f t="shared" si="2465"/>
        <v>0</v>
      </c>
      <c r="AK2446" s="13">
        <f t="shared" si="2466"/>
        <v>0</v>
      </c>
      <c r="AM2446" s="13">
        <f t="shared" si="2467"/>
        <v>0</v>
      </c>
      <c r="AO2446" s="11">
        <f t="shared" si="2468"/>
        <v>0</v>
      </c>
      <c r="AQ2446" s="11">
        <f t="shared" si="2469"/>
        <v>0</v>
      </c>
      <c r="AS2446" s="11">
        <f t="shared" si="2470"/>
        <v>0</v>
      </c>
      <c r="AU2446" s="11">
        <f t="shared" si="2471"/>
        <v>0</v>
      </c>
      <c r="AW2446" s="11">
        <f t="shared" si="2472"/>
        <v>0</v>
      </c>
      <c r="AY2446" s="11">
        <f t="shared" si="2473"/>
        <v>0</v>
      </c>
      <c r="BA2446" s="11">
        <f t="shared" si="2474"/>
        <v>0</v>
      </c>
      <c r="BC2446" s="11">
        <f t="shared" si="2475"/>
        <v>0</v>
      </c>
      <c r="BE2446" s="11">
        <f t="shared" si="2476"/>
        <v>0</v>
      </c>
      <c r="BG2446" s="11">
        <f t="shared" si="2477"/>
        <v>0</v>
      </c>
      <c r="BN2446" s="8">
        <f t="shared" si="2451"/>
        <v>0</v>
      </c>
      <c r="BO2446" s="8">
        <f t="shared" si="2452"/>
        <v>0</v>
      </c>
      <c r="BP2446" s="8">
        <f t="shared" si="2454"/>
        <v>0</v>
      </c>
      <c r="BQ2446" s="12">
        <f t="shared" si="2455"/>
        <v>0</v>
      </c>
    </row>
    <row r="2447" spans="1:69">
      <c r="A2447" s="28">
        <v>1964</v>
      </c>
      <c r="B2447" s="27" t="s">
        <v>108</v>
      </c>
      <c r="C2447" s="24">
        <f t="shared" si="2459"/>
        <v>2438</v>
      </c>
      <c r="D2447" s="7" t="e">
        <f t="shared" ca="1" si="2457"/>
        <v>#N/A</v>
      </c>
      <c r="E2447" s="26">
        <f t="array" aca="1" ref="E2447" ca="1">AVERAGE(IF(INDIRECT(DatCol&amp;"$"&amp;TEXT(C2447,"###")):INDIRECT(DatCol&amp;"$"&amp;TEXT(C2447+57,"###"))&gt;0,INDIRECT(DatCol&amp;"$"&amp;TEXT(C2447,"###")):INDIRECT(DatCol&amp;"$"&amp;TEXT(C2447+57,"###"))))</f>
        <v>105.96370370370369</v>
      </c>
      <c r="F2447" s="26" t="str">
        <f t="shared" si="2456"/>
        <v>C</v>
      </c>
      <c r="G2447" s="8"/>
      <c r="H2447" s="8">
        <v>543</v>
      </c>
      <c r="J2447" s="8">
        <v>396</v>
      </c>
      <c r="K2447" s="9">
        <f t="shared" si="2453"/>
        <v>939</v>
      </c>
      <c r="M2447" s="11">
        <f t="shared" si="2460"/>
        <v>0</v>
      </c>
      <c r="O2447" s="11">
        <f t="shared" si="2461"/>
        <v>0</v>
      </c>
      <c r="Q2447" s="11">
        <f t="shared" si="2462"/>
        <v>0</v>
      </c>
      <c r="Y2447" s="11">
        <f t="shared" si="2463"/>
        <v>0</v>
      </c>
      <c r="AG2447" s="11">
        <f t="shared" si="2464"/>
        <v>0</v>
      </c>
      <c r="AI2447" s="11">
        <f t="shared" si="2465"/>
        <v>0</v>
      </c>
      <c r="AK2447" s="13">
        <f t="shared" si="2466"/>
        <v>0</v>
      </c>
      <c r="AM2447" s="13">
        <f t="shared" si="2467"/>
        <v>0</v>
      </c>
      <c r="AO2447" s="11">
        <f t="shared" si="2468"/>
        <v>0</v>
      </c>
      <c r="AQ2447" s="11">
        <f t="shared" si="2469"/>
        <v>0</v>
      </c>
      <c r="AS2447" s="11">
        <f t="shared" si="2470"/>
        <v>0</v>
      </c>
      <c r="AU2447" s="11">
        <f t="shared" si="2471"/>
        <v>0</v>
      </c>
      <c r="AW2447" s="11">
        <f t="shared" si="2472"/>
        <v>0</v>
      </c>
      <c r="AY2447" s="11">
        <f t="shared" si="2473"/>
        <v>0</v>
      </c>
      <c r="BA2447" s="11">
        <f t="shared" si="2474"/>
        <v>0</v>
      </c>
      <c r="BC2447" s="11">
        <f t="shared" si="2475"/>
        <v>0</v>
      </c>
      <c r="BE2447" s="11">
        <f t="shared" si="2476"/>
        <v>0</v>
      </c>
      <c r="BG2447" s="11">
        <f t="shared" si="2477"/>
        <v>0</v>
      </c>
      <c r="BN2447" s="8">
        <f t="shared" si="2451"/>
        <v>0</v>
      </c>
      <c r="BO2447" s="8">
        <f t="shared" si="2452"/>
        <v>0</v>
      </c>
      <c r="BP2447" s="8">
        <f t="shared" si="2454"/>
        <v>0</v>
      </c>
      <c r="BQ2447" s="12">
        <f t="shared" si="2455"/>
        <v>0</v>
      </c>
    </row>
    <row r="2448" spans="1:69">
      <c r="A2448" s="28">
        <v>1965</v>
      </c>
      <c r="B2448" s="27" t="s">
        <v>108</v>
      </c>
      <c r="C2448" s="24">
        <f t="shared" si="2459"/>
        <v>2438</v>
      </c>
      <c r="D2448" s="7" t="e">
        <f t="shared" ca="1" si="2457"/>
        <v>#N/A</v>
      </c>
      <c r="E2448" s="26">
        <f t="array" aca="1" ref="E2448" ca="1">AVERAGE(IF(INDIRECT(DatCol&amp;"$"&amp;TEXT(C2448,"###")):INDIRECT(DatCol&amp;"$"&amp;TEXT(C2448+57,"###"))&gt;0,INDIRECT(DatCol&amp;"$"&amp;TEXT(C2448,"###")):INDIRECT(DatCol&amp;"$"&amp;TEXT(C2448+57,"###"))))</f>
        <v>105.96370370370369</v>
      </c>
      <c r="F2448" s="26" t="str">
        <f t="shared" si="2456"/>
        <v>C</v>
      </c>
      <c r="G2448" s="8"/>
      <c r="K2448" s="9">
        <f t="shared" si="2453"/>
        <v>0</v>
      </c>
      <c r="M2448" s="11">
        <f t="shared" si="2460"/>
        <v>0</v>
      </c>
      <c r="O2448" s="11">
        <f t="shared" si="2461"/>
        <v>0</v>
      </c>
      <c r="Q2448" s="11">
        <f t="shared" si="2462"/>
        <v>0</v>
      </c>
      <c r="Y2448" s="11">
        <f t="shared" si="2463"/>
        <v>0</v>
      </c>
      <c r="AG2448" s="11">
        <f t="shared" si="2464"/>
        <v>0</v>
      </c>
      <c r="AI2448" s="11">
        <f t="shared" si="2465"/>
        <v>0</v>
      </c>
      <c r="AK2448" s="13">
        <f t="shared" si="2466"/>
        <v>0</v>
      </c>
      <c r="AM2448" s="13">
        <f t="shared" si="2467"/>
        <v>0</v>
      </c>
      <c r="AO2448" s="11">
        <f t="shared" si="2468"/>
        <v>0</v>
      </c>
      <c r="AQ2448" s="11">
        <f t="shared" si="2469"/>
        <v>0</v>
      </c>
      <c r="AS2448" s="11">
        <f t="shared" si="2470"/>
        <v>0</v>
      </c>
      <c r="AU2448" s="11">
        <f t="shared" si="2471"/>
        <v>0</v>
      </c>
      <c r="AW2448" s="11">
        <f t="shared" si="2472"/>
        <v>0</v>
      </c>
      <c r="AY2448" s="11">
        <f t="shared" si="2473"/>
        <v>0</v>
      </c>
      <c r="BA2448" s="11">
        <f t="shared" si="2474"/>
        <v>0</v>
      </c>
      <c r="BC2448" s="11">
        <f t="shared" si="2475"/>
        <v>0</v>
      </c>
      <c r="BE2448" s="11">
        <f t="shared" si="2476"/>
        <v>0</v>
      </c>
      <c r="BG2448" s="11">
        <f t="shared" si="2477"/>
        <v>0</v>
      </c>
      <c r="BN2448" s="8">
        <f t="shared" si="2451"/>
        <v>0</v>
      </c>
      <c r="BO2448" s="8">
        <f t="shared" si="2452"/>
        <v>0</v>
      </c>
      <c r="BP2448" s="8">
        <f t="shared" si="2454"/>
        <v>0</v>
      </c>
      <c r="BQ2448" s="12">
        <f t="shared" si="2455"/>
        <v>0</v>
      </c>
    </row>
    <row r="2449" spans="1:69">
      <c r="A2449" s="28">
        <v>1966</v>
      </c>
      <c r="B2449" s="27" t="s">
        <v>108</v>
      </c>
      <c r="C2449" s="24">
        <f t="shared" si="2459"/>
        <v>2438</v>
      </c>
      <c r="D2449" s="7" t="e">
        <f t="shared" ca="1" si="2457"/>
        <v>#N/A</v>
      </c>
      <c r="E2449" s="26">
        <f t="array" aca="1" ref="E2449" ca="1">AVERAGE(IF(INDIRECT(DatCol&amp;"$"&amp;TEXT(C2449,"###")):INDIRECT(DatCol&amp;"$"&amp;TEXT(C2449+57,"###"))&gt;0,INDIRECT(DatCol&amp;"$"&amp;TEXT(C2449,"###")):INDIRECT(DatCol&amp;"$"&amp;TEXT(C2449+57,"###"))))</f>
        <v>105.96370370370369</v>
      </c>
      <c r="F2449" s="26" t="str">
        <f t="shared" si="2456"/>
        <v>C</v>
      </c>
      <c r="G2449" s="8"/>
      <c r="H2449" s="8">
        <v>435</v>
      </c>
      <c r="I2449" s="8">
        <v>0</v>
      </c>
      <c r="J2449" s="8">
        <v>336</v>
      </c>
      <c r="K2449" s="9">
        <f t="shared" si="2453"/>
        <v>771</v>
      </c>
      <c r="M2449" s="11">
        <f t="shared" si="2460"/>
        <v>0</v>
      </c>
      <c r="N2449" s="12">
        <v>300</v>
      </c>
      <c r="O2449" s="11">
        <f t="shared" si="2461"/>
        <v>15000</v>
      </c>
      <c r="Q2449" s="11">
        <f t="shared" si="2462"/>
        <v>0</v>
      </c>
      <c r="Y2449" s="11">
        <f t="shared" si="2463"/>
        <v>0</v>
      </c>
      <c r="AG2449" s="11">
        <f t="shared" si="2464"/>
        <v>0</v>
      </c>
      <c r="AI2449" s="11">
        <f t="shared" si="2465"/>
        <v>0</v>
      </c>
      <c r="AK2449" s="13">
        <f t="shared" si="2466"/>
        <v>0</v>
      </c>
      <c r="AM2449" s="13">
        <f t="shared" si="2467"/>
        <v>0</v>
      </c>
      <c r="AO2449" s="11">
        <f t="shared" si="2468"/>
        <v>0</v>
      </c>
      <c r="AP2449" s="12">
        <v>1200</v>
      </c>
      <c r="AQ2449" s="11">
        <f t="shared" si="2469"/>
        <v>96000</v>
      </c>
      <c r="AS2449" s="11">
        <f t="shared" si="2470"/>
        <v>0</v>
      </c>
      <c r="AU2449" s="11">
        <f t="shared" si="2471"/>
        <v>0</v>
      </c>
      <c r="AW2449" s="11">
        <f t="shared" si="2472"/>
        <v>0</v>
      </c>
      <c r="AY2449" s="11">
        <f t="shared" si="2473"/>
        <v>0</v>
      </c>
      <c r="BA2449" s="11">
        <f t="shared" si="2474"/>
        <v>0</v>
      </c>
      <c r="BC2449" s="11">
        <f t="shared" si="2475"/>
        <v>0</v>
      </c>
      <c r="BE2449" s="11">
        <f t="shared" si="2476"/>
        <v>0</v>
      </c>
      <c r="BG2449" s="11">
        <f t="shared" si="2477"/>
        <v>0</v>
      </c>
      <c r="BN2449" s="8">
        <f t="shared" si="2451"/>
        <v>0</v>
      </c>
      <c r="BO2449" s="8">
        <f t="shared" si="2452"/>
        <v>0</v>
      </c>
      <c r="BP2449" s="8">
        <f t="shared" si="2454"/>
        <v>1500</v>
      </c>
      <c r="BQ2449" s="12">
        <f t="shared" si="2455"/>
        <v>111000</v>
      </c>
    </row>
    <row r="2450" spans="1:69">
      <c r="A2450" s="28">
        <v>1967</v>
      </c>
      <c r="B2450" s="27" t="s">
        <v>108</v>
      </c>
      <c r="C2450" s="24">
        <f t="shared" si="2459"/>
        <v>2438</v>
      </c>
      <c r="D2450" s="7" t="e">
        <f t="shared" ca="1" si="2457"/>
        <v>#N/A</v>
      </c>
      <c r="E2450" s="26">
        <f t="array" aca="1" ref="E2450" ca="1">AVERAGE(IF(INDIRECT(DatCol&amp;"$"&amp;TEXT(C2450,"###")):INDIRECT(DatCol&amp;"$"&amp;TEXT(C2450+57,"###"))&gt;0,INDIRECT(DatCol&amp;"$"&amp;TEXT(C2450,"###")):INDIRECT(DatCol&amp;"$"&amp;TEXT(C2450+57,"###"))))</f>
        <v>105.96370370370369</v>
      </c>
      <c r="F2450" s="26" t="str">
        <f t="shared" si="2456"/>
        <v>C</v>
      </c>
      <c r="G2450" s="8"/>
      <c r="I2450" s="8">
        <v>0</v>
      </c>
      <c r="K2450" s="9">
        <f t="shared" si="2453"/>
        <v>0</v>
      </c>
      <c r="M2450" s="11">
        <f t="shared" si="2460"/>
        <v>0</v>
      </c>
      <c r="O2450" s="11">
        <f t="shared" si="2461"/>
        <v>0</v>
      </c>
      <c r="Q2450" s="11">
        <f t="shared" si="2462"/>
        <v>0</v>
      </c>
      <c r="Y2450" s="11">
        <f t="shared" si="2463"/>
        <v>0</v>
      </c>
      <c r="AG2450" s="11">
        <f t="shared" si="2464"/>
        <v>0</v>
      </c>
      <c r="AI2450" s="11">
        <f t="shared" si="2465"/>
        <v>0</v>
      </c>
      <c r="AK2450" s="13">
        <f t="shared" si="2466"/>
        <v>0</v>
      </c>
      <c r="AM2450" s="13">
        <f t="shared" si="2467"/>
        <v>0</v>
      </c>
      <c r="AO2450" s="11">
        <f t="shared" si="2468"/>
        <v>0</v>
      </c>
      <c r="AQ2450" s="11">
        <f t="shared" si="2469"/>
        <v>0</v>
      </c>
      <c r="AS2450" s="11">
        <f t="shared" si="2470"/>
        <v>0</v>
      </c>
      <c r="AU2450" s="11">
        <f t="shared" si="2471"/>
        <v>0</v>
      </c>
      <c r="AW2450" s="11">
        <f t="shared" si="2472"/>
        <v>0</v>
      </c>
      <c r="AY2450" s="11">
        <f t="shared" si="2473"/>
        <v>0</v>
      </c>
      <c r="BA2450" s="11">
        <f t="shared" si="2474"/>
        <v>0</v>
      </c>
      <c r="BC2450" s="11">
        <f t="shared" si="2475"/>
        <v>0</v>
      </c>
      <c r="BE2450" s="11">
        <f t="shared" si="2476"/>
        <v>0</v>
      </c>
      <c r="BG2450" s="11">
        <f t="shared" si="2477"/>
        <v>0</v>
      </c>
      <c r="BN2450" s="8">
        <f t="shared" si="2451"/>
        <v>0</v>
      </c>
      <c r="BO2450" s="8">
        <f t="shared" si="2452"/>
        <v>0</v>
      </c>
      <c r="BP2450" s="8">
        <f t="shared" si="2454"/>
        <v>0</v>
      </c>
      <c r="BQ2450" s="12">
        <f t="shared" si="2455"/>
        <v>0</v>
      </c>
    </row>
    <row r="2451" spans="1:69">
      <c r="A2451" s="28">
        <v>1968</v>
      </c>
      <c r="B2451" s="27" t="s">
        <v>108</v>
      </c>
      <c r="C2451" s="24">
        <f t="shared" si="2459"/>
        <v>2438</v>
      </c>
      <c r="D2451" s="7" t="e">
        <f t="shared" ca="1" si="2457"/>
        <v>#N/A</v>
      </c>
      <c r="E2451" s="26">
        <f t="array" aca="1" ref="E2451" ca="1">AVERAGE(IF(INDIRECT(DatCol&amp;"$"&amp;TEXT(C2451,"###")):INDIRECT(DatCol&amp;"$"&amp;TEXT(C2451+57,"###"))&gt;0,INDIRECT(DatCol&amp;"$"&amp;TEXT(C2451,"###")):INDIRECT(DatCol&amp;"$"&amp;TEXT(C2451+57,"###"))))</f>
        <v>105.96370370370369</v>
      </c>
      <c r="F2451" s="26" t="str">
        <f t="shared" si="2456"/>
        <v>C</v>
      </c>
      <c r="G2451" s="8"/>
      <c r="H2451" s="8">
        <v>503</v>
      </c>
      <c r="I2451" s="8">
        <v>0</v>
      </c>
      <c r="J2451" s="8">
        <v>324</v>
      </c>
      <c r="K2451" s="9">
        <f t="shared" si="2453"/>
        <v>827</v>
      </c>
      <c r="M2451" s="11">
        <f t="shared" si="2460"/>
        <v>0</v>
      </c>
      <c r="O2451" s="11">
        <f t="shared" si="2461"/>
        <v>0</v>
      </c>
      <c r="P2451" s="12" t="s">
        <v>52</v>
      </c>
      <c r="Q2451" s="11">
        <f t="shared" si="2462"/>
        <v>0</v>
      </c>
      <c r="Y2451" s="11">
        <f t="shared" si="2463"/>
        <v>0</v>
      </c>
      <c r="AG2451" s="11">
        <f t="shared" si="2464"/>
        <v>0</v>
      </c>
      <c r="AI2451" s="11">
        <f t="shared" si="2465"/>
        <v>0</v>
      </c>
      <c r="AK2451" s="13">
        <f t="shared" si="2466"/>
        <v>0</v>
      </c>
      <c r="AM2451" s="13">
        <f t="shared" si="2467"/>
        <v>0</v>
      </c>
      <c r="AN2451" s="12" t="s">
        <v>52</v>
      </c>
      <c r="AO2451" s="11">
        <f t="shared" si="2468"/>
        <v>0</v>
      </c>
      <c r="AP2451" s="12">
        <v>5</v>
      </c>
      <c r="AQ2451" s="11">
        <f t="shared" si="2469"/>
        <v>400</v>
      </c>
      <c r="AS2451" s="11">
        <f t="shared" si="2470"/>
        <v>0</v>
      </c>
      <c r="AU2451" s="11">
        <f t="shared" si="2471"/>
        <v>0</v>
      </c>
      <c r="AW2451" s="11">
        <f t="shared" si="2472"/>
        <v>0</v>
      </c>
      <c r="AY2451" s="11">
        <f t="shared" si="2473"/>
        <v>0</v>
      </c>
      <c r="BA2451" s="11">
        <f t="shared" si="2474"/>
        <v>0</v>
      </c>
      <c r="BC2451" s="11">
        <f t="shared" si="2475"/>
        <v>0</v>
      </c>
      <c r="BE2451" s="11">
        <f t="shared" si="2476"/>
        <v>0</v>
      </c>
      <c r="BG2451" s="11">
        <f t="shared" si="2477"/>
        <v>0</v>
      </c>
      <c r="BN2451" s="8">
        <f t="shared" si="2451"/>
        <v>0</v>
      </c>
      <c r="BO2451" s="8">
        <f t="shared" si="2452"/>
        <v>0</v>
      </c>
      <c r="BP2451" s="8">
        <f t="shared" si="2454"/>
        <v>5</v>
      </c>
      <c r="BQ2451" s="12">
        <f t="shared" si="2455"/>
        <v>400</v>
      </c>
    </row>
    <row r="2452" spans="1:69">
      <c r="A2452" s="28">
        <v>1969</v>
      </c>
      <c r="B2452" s="27" t="s">
        <v>108</v>
      </c>
      <c r="C2452" s="24">
        <f t="shared" si="2459"/>
        <v>2438</v>
      </c>
      <c r="D2452" s="7" t="e">
        <f t="shared" ca="1" si="2457"/>
        <v>#N/A</v>
      </c>
      <c r="E2452" s="26">
        <f t="array" aca="1" ref="E2452" ca="1">AVERAGE(IF(INDIRECT(DatCol&amp;"$"&amp;TEXT(C2452,"###")):INDIRECT(DatCol&amp;"$"&amp;TEXT(C2452+57,"###"))&gt;0,INDIRECT(DatCol&amp;"$"&amp;TEXT(C2452,"###")):INDIRECT(DatCol&amp;"$"&amp;TEXT(C2452+57,"###"))))</f>
        <v>105.96370370370369</v>
      </c>
      <c r="F2452" s="26" t="str">
        <f t="shared" si="2456"/>
        <v>C</v>
      </c>
      <c r="G2452" s="8"/>
      <c r="H2452" s="8">
        <v>573</v>
      </c>
      <c r="I2452" s="8">
        <v>0</v>
      </c>
      <c r="J2452" s="8">
        <v>374</v>
      </c>
      <c r="K2452" s="9">
        <f t="shared" si="2453"/>
        <v>947</v>
      </c>
      <c r="M2452" s="11">
        <f t="shared" si="2460"/>
        <v>0</v>
      </c>
      <c r="N2452" s="12">
        <v>150</v>
      </c>
      <c r="O2452" s="11">
        <f t="shared" si="2461"/>
        <v>7500</v>
      </c>
      <c r="Q2452" s="11">
        <f t="shared" si="2462"/>
        <v>0</v>
      </c>
      <c r="X2452" s="12">
        <v>5</v>
      </c>
      <c r="Y2452" s="11">
        <f t="shared" si="2463"/>
        <v>300</v>
      </c>
      <c r="AG2452" s="11">
        <f t="shared" si="2464"/>
        <v>0</v>
      </c>
      <c r="AI2452" s="11">
        <f t="shared" si="2465"/>
        <v>0</v>
      </c>
      <c r="AK2452" s="13">
        <f t="shared" si="2466"/>
        <v>0</v>
      </c>
      <c r="AL2452" s="12">
        <v>100</v>
      </c>
      <c r="AM2452" s="13">
        <f t="shared" si="2467"/>
        <v>900</v>
      </c>
      <c r="AO2452" s="11">
        <f t="shared" si="2468"/>
        <v>0</v>
      </c>
      <c r="AP2452" s="12">
        <v>350</v>
      </c>
      <c r="AQ2452" s="11">
        <f t="shared" si="2469"/>
        <v>28000</v>
      </c>
      <c r="AS2452" s="11">
        <f t="shared" si="2470"/>
        <v>0</v>
      </c>
      <c r="AU2452" s="11">
        <f t="shared" si="2471"/>
        <v>0</v>
      </c>
      <c r="AW2452" s="11">
        <f t="shared" si="2472"/>
        <v>0</v>
      </c>
      <c r="AY2452" s="11">
        <f t="shared" si="2473"/>
        <v>0</v>
      </c>
      <c r="BA2452" s="11">
        <f t="shared" si="2474"/>
        <v>0</v>
      </c>
      <c r="BC2452" s="11">
        <f t="shared" si="2475"/>
        <v>0</v>
      </c>
      <c r="BE2452" s="11">
        <f t="shared" si="2476"/>
        <v>0</v>
      </c>
      <c r="BG2452" s="11">
        <f t="shared" si="2477"/>
        <v>0</v>
      </c>
      <c r="BN2452" s="8">
        <f t="shared" si="2451"/>
        <v>5</v>
      </c>
      <c r="BO2452" s="8">
        <f t="shared" si="2452"/>
        <v>300</v>
      </c>
      <c r="BP2452" s="8">
        <f t="shared" si="2454"/>
        <v>605</v>
      </c>
      <c r="BQ2452" s="12">
        <f t="shared" si="2455"/>
        <v>36700</v>
      </c>
    </row>
    <row r="2453" spans="1:69">
      <c r="A2453" s="28">
        <v>1970</v>
      </c>
      <c r="B2453" s="27" t="s">
        <v>108</v>
      </c>
      <c r="C2453" s="24">
        <f t="shared" si="2459"/>
        <v>2438</v>
      </c>
      <c r="D2453" s="7" t="e">
        <f t="shared" ca="1" si="2457"/>
        <v>#N/A</v>
      </c>
      <c r="E2453" s="26">
        <f t="array" aca="1" ref="E2453" ca="1">AVERAGE(IF(INDIRECT(DatCol&amp;"$"&amp;TEXT(C2453,"###")):INDIRECT(DatCol&amp;"$"&amp;TEXT(C2453+57,"###"))&gt;0,INDIRECT(DatCol&amp;"$"&amp;TEXT(C2453,"###")):INDIRECT(DatCol&amp;"$"&amp;TEXT(C2453+57,"###"))))</f>
        <v>105.96370370370369</v>
      </c>
      <c r="F2453" s="26" t="str">
        <f t="shared" si="2456"/>
        <v>C</v>
      </c>
      <c r="G2453" s="8"/>
      <c r="H2453" s="8">
        <v>352</v>
      </c>
      <c r="I2453" s="8">
        <v>0</v>
      </c>
      <c r="J2453" s="8">
        <v>448</v>
      </c>
      <c r="K2453" s="9">
        <f t="shared" si="2453"/>
        <v>800</v>
      </c>
      <c r="M2453" s="11">
        <f t="shared" si="2460"/>
        <v>0</v>
      </c>
      <c r="O2453" s="11">
        <f t="shared" si="2461"/>
        <v>0</v>
      </c>
      <c r="Q2453" s="11">
        <f t="shared" si="2462"/>
        <v>0</v>
      </c>
      <c r="Y2453" s="11">
        <f t="shared" si="2463"/>
        <v>0</v>
      </c>
      <c r="AG2453" s="11">
        <f t="shared" si="2464"/>
        <v>0</v>
      </c>
      <c r="AI2453" s="11">
        <f t="shared" si="2465"/>
        <v>0</v>
      </c>
      <c r="AK2453" s="13">
        <f t="shared" si="2466"/>
        <v>0</v>
      </c>
      <c r="AM2453" s="13">
        <f t="shared" si="2467"/>
        <v>0</v>
      </c>
      <c r="AO2453" s="11">
        <f t="shared" si="2468"/>
        <v>0</v>
      </c>
      <c r="AP2453" s="12" t="s">
        <v>52</v>
      </c>
      <c r="AQ2453" s="11">
        <f t="shared" si="2469"/>
        <v>0</v>
      </c>
      <c r="AS2453" s="11">
        <f t="shared" si="2470"/>
        <v>0</v>
      </c>
      <c r="AU2453" s="11">
        <f t="shared" si="2471"/>
        <v>0</v>
      </c>
      <c r="AW2453" s="11">
        <f t="shared" si="2472"/>
        <v>0</v>
      </c>
      <c r="AY2453" s="11">
        <f t="shared" si="2473"/>
        <v>0</v>
      </c>
      <c r="BA2453" s="11">
        <f t="shared" si="2474"/>
        <v>0</v>
      </c>
      <c r="BC2453" s="11">
        <f t="shared" si="2475"/>
        <v>0</v>
      </c>
      <c r="BE2453" s="11">
        <f t="shared" si="2476"/>
        <v>0</v>
      </c>
      <c r="BG2453" s="11">
        <f t="shared" si="2477"/>
        <v>0</v>
      </c>
      <c r="BN2453" s="8">
        <f t="shared" si="2451"/>
        <v>0</v>
      </c>
      <c r="BO2453" s="8">
        <f t="shared" si="2452"/>
        <v>0</v>
      </c>
      <c r="BP2453" s="8">
        <f t="shared" si="2454"/>
        <v>0</v>
      </c>
      <c r="BQ2453" s="12">
        <f t="shared" si="2455"/>
        <v>0</v>
      </c>
    </row>
    <row r="2454" spans="1:69">
      <c r="A2454" s="28">
        <v>1971</v>
      </c>
      <c r="B2454" s="27" t="s">
        <v>108</v>
      </c>
      <c r="C2454" s="24">
        <f t="shared" si="2459"/>
        <v>2438</v>
      </c>
      <c r="D2454" s="7" t="e">
        <f t="shared" ca="1" si="2457"/>
        <v>#N/A</v>
      </c>
      <c r="E2454" s="26">
        <f t="array" aca="1" ref="E2454" ca="1">AVERAGE(IF(INDIRECT(DatCol&amp;"$"&amp;TEXT(C2454,"###")):INDIRECT(DatCol&amp;"$"&amp;TEXT(C2454+57,"###"))&gt;0,INDIRECT(DatCol&amp;"$"&amp;TEXT(C2454,"###")):INDIRECT(DatCol&amp;"$"&amp;TEXT(C2454+57,"###"))))</f>
        <v>105.96370370370369</v>
      </c>
      <c r="F2454" s="26" t="str">
        <f t="shared" si="2456"/>
        <v>C</v>
      </c>
      <c r="G2454" s="8"/>
      <c r="H2454" s="8">
        <v>418</v>
      </c>
      <c r="I2454" s="8">
        <v>0</v>
      </c>
      <c r="J2454" s="8">
        <v>480</v>
      </c>
      <c r="K2454" s="9">
        <f t="shared" si="2453"/>
        <v>898</v>
      </c>
      <c r="M2454" s="11">
        <f t="shared" si="2460"/>
        <v>0</v>
      </c>
      <c r="O2454" s="11">
        <f t="shared" si="2461"/>
        <v>0</v>
      </c>
      <c r="Q2454" s="11">
        <f t="shared" si="2462"/>
        <v>0</v>
      </c>
      <c r="Y2454" s="11">
        <f t="shared" si="2463"/>
        <v>0</v>
      </c>
      <c r="AG2454" s="11">
        <f t="shared" si="2464"/>
        <v>0</v>
      </c>
      <c r="AI2454" s="11">
        <f t="shared" si="2465"/>
        <v>0</v>
      </c>
      <c r="AK2454" s="13">
        <f t="shared" si="2466"/>
        <v>0</v>
      </c>
      <c r="AM2454" s="13">
        <f t="shared" si="2467"/>
        <v>0</v>
      </c>
      <c r="AN2454" s="12" t="s">
        <v>52</v>
      </c>
      <c r="AO2454" s="11">
        <f t="shared" si="2468"/>
        <v>0</v>
      </c>
      <c r="AP2454" s="12">
        <v>290</v>
      </c>
      <c r="AQ2454" s="11">
        <f t="shared" si="2469"/>
        <v>23200</v>
      </c>
      <c r="AS2454" s="11">
        <f t="shared" si="2470"/>
        <v>0</v>
      </c>
      <c r="AU2454" s="11">
        <f t="shared" si="2471"/>
        <v>0</v>
      </c>
      <c r="AW2454" s="11">
        <f t="shared" si="2472"/>
        <v>0</v>
      </c>
      <c r="AY2454" s="11">
        <f t="shared" si="2473"/>
        <v>0</v>
      </c>
      <c r="BA2454" s="11">
        <f t="shared" si="2474"/>
        <v>0</v>
      </c>
      <c r="BC2454" s="11">
        <f t="shared" si="2475"/>
        <v>0</v>
      </c>
      <c r="BE2454" s="11">
        <f t="shared" si="2476"/>
        <v>0</v>
      </c>
      <c r="BG2454" s="11">
        <f t="shared" si="2477"/>
        <v>0</v>
      </c>
      <c r="BN2454" s="8">
        <f t="shared" si="2451"/>
        <v>0</v>
      </c>
      <c r="BO2454" s="8">
        <f t="shared" si="2452"/>
        <v>0</v>
      </c>
      <c r="BP2454" s="8">
        <f t="shared" si="2454"/>
        <v>290</v>
      </c>
      <c r="BQ2454" s="12">
        <f t="shared" si="2455"/>
        <v>23200</v>
      </c>
    </row>
    <row r="2455" spans="1:69">
      <c r="A2455" s="28">
        <v>1972</v>
      </c>
      <c r="B2455" s="27" t="s">
        <v>108</v>
      </c>
      <c r="C2455" s="24">
        <f t="shared" si="2459"/>
        <v>2438</v>
      </c>
      <c r="D2455" s="7" t="e">
        <f t="shared" ca="1" si="2457"/>
        <v>#N/A</v>
      </c>
      <c r="E2455" s="26">
        <f t="array" aca="1" ref="E2455" ca="1">AVERAGE(IF(INDIRECT(DatCol&amp;"$"&amp;TEXT(C2455,"###")):INDIRECT(DatCol&amp;"$"&amp;TEXT(C2455+57,"###"))&gt;0,INDIRECT(DatCol&amp;"$"&amp;TEXT(C2455,"###")):INDIRECT(DatCol&amp;"$"&amp;TEXT(C2455+57,"###"))))</f>
        <v>105.96370370370369</v>
      </c>
      <c r="F2455" s="26" t="str">
        <f t="shared" si="2456"/>
        <v>C</v>
      </c>
      <c r="G2455" s="8"/>
      <c r="H2455" s="8">
        <v>421</v>
      </c>
      <c r="I2455" s="8">
        <v>0</v>
      </c>
      <c r="J2455" s="8">
        <v>406</v>
      </c>
      <c r="K2455" s="9">
        <f t="shared" si="2453"/>
        <v>827</v>
      </c>
      <c r="M2455" s="11">
        <f t="shared" si="2460"/>
        <v>0</v>
      </c>
      <c r="O2455" s="11">
        <f t="shared" si="2461"/>
        <v>0</v>
      </c>
      <c r="Q2455" s="11">
        <f t="shared" si="2462"/>
        <v>0</v>
      </c>
      <c r="X2455" s="12" t="s">
        <v>52</v>
      </c>
      <c r="Y2455" s="11">
        <f t="shared" si="2463"/>
        <v>0</v>
      </c>
      <c r="AG2455" s="11">
        <f t="shared" si="2464"/>
        <v>0</v>
      </c>
      <c r="AI2455" s="11">
        <f t="shared" si="2465"/>
        <v>0</v>
      </c>
      <c r="AK2455" s="13">
        <f t="shared" si="2466"/>
        <v>0</v>
      </c>
      <c r="AM2455" s="13">
        <f t="shared" si="2467"/>
        <v>0</v>
      </c>
      <c r="AO2455" s="11">
        <f t="shared" si="2468"/>
        <v>0</v>
      </c>
      <c r="AP2455" s="12" t="s">
        <v>52</v>
      </c>
      <c r="AQ2455" s="11">
        <f t="shared" si="2469"/>
        <v>0</v>
      </c>
      <c r="AS2455" s="11">
        <f t="shared" si="2470"/>
        <v>0</v>
      </c>
      <c r="AU2455" s="11">
        <f t="shared" si="2471"/>
        <v>0</v>
      </c>
      <c r="AW2455" s="11">
        <f t="shared" si="2472"/>
        <v>0</v>
      </c>
      <c r="AY2455" s="11">
        <f t="shared" si="2473"/>
        <v>0</v>
      </c>
      <c r="BA2455" s="11">
        <f t="shared" si="2474"/>
        <v>0</v>
      </c>
      <c r="BC2455" s="11">
        <f t="shared" si="2475"/>
        <v>0</v>
      </c>
      <c r="BE2455" s="11">
        <f t="shared" si="2476"/>
        <v>0</v>
      </c>
      <c r="BG2455" s="11">
        <f t="shared" si="2477"/>
        <v>0</v>
      </c>
      <c r="BN2455" s="8">
        <f t="shared" si="2451"/>
        <v>0</v>
      </c>
      <c r="BO2455" s="8">
        <f t="shared" si="2452"/>
        <v>0</v>
      </c>
      <c r="BP2455" s="8">
        <f t="shared" si="2454"/>
        <v>0</v>
      </c>
      <c r="BQ2455" s="12">
        <f t="shared" si="2455"/>
        <v>0</v>
      </c>
    </row>
    <row r="2456" spans="1:69">
      <c r="A2456" s="28">
        <v>1973</v>
      </c>
      <c r="B2456" s="27" t="s">
        <v>108</v>
      </c>
      <c r="C2456" s="24">
        <f t="shared" si="2459"/>
        <v>2438</v>
      </c>
      <c r="D2456" s="7" t="e">
        <f t="shared" ca="1" si="2457"/>
        <v>#N/A</v>
      </c>
      <c r="E2456" s="26">
        <f t="array" aca="1" ref="E2456" ca="1">AVERAGE(IF(INDIRECT(DatCol&amp;"$"&amp;TEXT(C2456,"###")):INDIRECT(DatCol&amp;"$"&amp;TEXT(C2456+57,"###"))&gt;0,INDIRECT(DatCol&amp;"$"&amp;TEXT(C2456,"###")):INDIRECT(DatCol&amp;"$"&amp;TEXT(C2456+57,"###"))))</f>
        <v>105.96370370370369</v>
      </c>
      <c r="F2456" s="26" t="str">
        <f t="shared" si="2456"/>
        <v>C</v>
      </c>
      <c r="G2456" s="8"/>
      <c r="H2456" s="8">
        <v>78</v>
      </c>
      <c r="I2456" s="8">
        <v>0</v>
      </c>
      <c r="J2456" s="8">
        <v>497</v>
      </c>
      <c r="K2456" s="9">
        <f t="shared" si="2453"/>
        <v>575</v>
      </c>
      <c r="M2456" s="11">
        <f t="shared" si="2460"/>
        <v>0</v>
      </c>
      <c r="N2456" s="12">
        <v>190</v>
      </c>
      <c r="O2456" s="11">
        <f t="shared" si="2461"/>
        <v>9500</v>
      </c>
      <c r="Q2456" s="11">
        <f t="shared" si="2462"/>
        <v>0</v>
      </c>
      <c r="Y2456" s="11">
        <f t="shared" si="2463"/>
        <v>0</v>
      </c>
      <c r="AG2456" s="11">
        <f t="shared" si="2464"/>
        <v>0</v>
      </c>
      <c r="AI2456" s="11">
        <f t="shared" si="2465"/>
        <v>0</v>
      </c>
      <c r="AK2456" s="13">
        <f t="shared" si="2466"/>
        <v>0</v>
      </c>
      <c r="AM2456" s="13">
        <f t="shared" si="2467"/>
        <v>0</v>
      </c>
      <c r="AO2456" s="11">
        <f t="shared" si="2468"/>
        <v>0</v>
      </c>
      <c r="AP2456" s="12">
        <v>3651</v>
      </c>
      <c r="AQ2456" s="11">
        <f t="shared" si="2469"/>
        <v>292080</v>
      </c>
      <c r="AS2456" s="11">
        <f t="shared" si="2470"/>
        <v>0</v>
      </c>
      <c r="AU2456" s="11">
        <f t="shared" si="2471"/>
        <v>0</v>
      </c>
      <c r="AW2456" s="11">
        <f t="shared" si="2472"/>
        <v>0</v>
      </c>
      <c r="AY2456" s="11">
        <f t="shared" si="2473"/>
        <v>0</v>
      </c>
      <c r="BA2456" s="11">
        <f t="shared" si="2474"/>
        <v>0</v>
      </c>
      <c r="BC2456" s="11">
        <f t="shared" si="2475"/>
        <v>0</v>
      </c>
      <c r="BE2456" s="11">
        <f t="shared" si="2476"/>
        <v>0</v>
      </c>
      <c r="BG2456" s="11">
        <f t="shared" si="2477"/>
        <v>0</v>
      </c>
      <c r="BN2456" s="8">
        <f t="shared" si="2451"/>
        <v>0</v>
      </c>
      <c r="BO2456" s="8">
        <f t="shared" si="2452"/>
        <v>0</v>
      </c>
      <c r="BP2456" s="8">
        <f t="shared" si="2454"/>
        <v>3841</v>
      </c>
      <c r="BQ2456" s="12">
        <f t="shared" si="2455"/>
        <v>301580</v>
      </c>
    </row>
    <row r="2457" spans="1:69">
      <c r="A2457" s="28">
        <v>1974</v>
      </c>
      <c r="B2457" s="27" t="s">
        <v>108</v>
      </c>
      <c r="C2457" s="24">
        <f t="shared" si="2459"/>
        <v>2438</v>
      </c>
      <c r="D2457" s="7" t="e">
        <f t="shared" ca="1" si="2457"/>
        <v>#N/A</v>
      </c>
      <c r="E2457" s="26">
        <f t="array" aca="1" ref="E2457" ca="1">AVERAGE(IF(INDIRECT(DatCol&amp;"$"&amp;TEXT(C2457,"###")):INDIRECT(DatCol&amp;"$"&amp;TEXT(C2457+57,"###"))&gt;0,INDIRECT(DatCol&amp;"$"&amp;TEXT(C2457,"###")):INDIRECT(DatCol&amp;"$"&amp;TEXT(C2457+57,"###"))))</f>
        <v>105.96370370370369</v>
      </c>
      <c r="F2457" s="26" t="str">
        <f t="shared" si="2456"/>
        <v>C</v>
      </c>
      <c r="G2457" s="8"/>
      <c r="H2457" s="8">
        <v>72</v>
      </c>
      <c r="I2457" s="8">
        <v>0</v>
      </c>
      <c r="J2457" s="8">
        <v>459</v>
      </c>
      <c r="K2457" s="9">
        <f t="shared" si="2453"/>
        <v>531</v>
      </c>
      <c r="M2457" s="11">
        <f t="shared" ref="M2457:M2472" si="2478">(L2457*50)</f>
        <v>0</v>
      </c>
      <c r="N2457" s="12">
        <v>23</v>
      </c>
      <c r="O2457" s="11">
        <f t="shared" ref="O2457:O2472" si="2479">(N2457*50)</f>
        <v>1150</v>
      </c>
      <c r="Q2457" s="11">
        <f t="shared" ref="Q2457:Q2472" si="2480">((P2457*330)/5.5)</f>
        <v>0</v>
      </c>
      <c r="Y2457" s="11">
        <f t="shared" ref="Y2457:Y2472" si="2481">((X2457*330)/5.5)</f>
        <v>0</v>
      </c>
      <c r="AG2457" s="11">
        <f t="shared" ref="AG2457:AG2472" si="2482">(AF2457*65)</f>
        <v>0</v>
      </c>
      <c r="AI2457" s="11">
        <f t="shared" ref="AI2457:AI2472" si="2483">(AH2457*65)</f>
        <v>0</v>
      </c>
      <c r="AK2457" s="13">
        <f t="shared" ref="AK2457:AK2472" si="2484">(AJ2457*9)</f>
        <v>0</v>
      </c>
      <c r="AL2457" s="12">
        <v>21</v>
      </c>
      <c r="AM2457" s="13">
        <f t="shared" ref="AM2457:AM2472" si="2485">(AL2457*9)</f>
        <v>189</v>
      </c>
      <c r="AO2457" s="11">
        <f t="shared" ref="AO2457:AO2472" si="2486">(AN2457*80)</f>
        <v>0</v>
      </c>
      <c r="AP2457" s="12">
        <v>419</v>
      </c>
      <c r="AQ2457" s="11">
        <f t="shared" ref="AQ2457:AQ2472" si="2487">(AP2457*80)</f>
        <v>33520</v>
      </c>
      <c r="AS2457" s="11">
        <f t="shared" ref="AS2457:AS2472" si="2488">(AR2457*50)</f>
        <v>0</v>
      </c>
      <c r="AU2457" s="11">
        <f t="shared" ref="AU2457:AU2472" si="2489">(AT2457*50)</f>
        <v>0</v>
      </c>
      <c r="AW2457" s="11">
        <f t="shared" ref="AW2457:AW2472" si="2490">(AV2457*60)</f>
        <v>0</v>
      </c>
      <c r="AY2457" s="11">
        <f t="shared" ref="AY2457:AY2472" si="2491">(AX2457*60)</f>
        <v>0</v>
      </c>
      <c r="BA2457" s="11">
        <f t="shared" ref="BA2457:BA2472" si="2492">(AZ2457*40)</f>
        <v>0</v>
      </c>
      <c r="BC2457" s="11">
        <f t="shared" ref="BC2457:BC2472" si="2493">(BB2457*40)</f>
        <v>0</v>
      </c>
      <c r="BE2457" s="11">
        <f t="shared" ref="BE2457:BE2472" si="2494">(BD2457*95)</f>
        <v>0</v>
      </c>
      <c r="BG2457" s="11">
        <f t="shared" ref="BG2457:BG2472" si="2495">(BF2457*95)</f>
        <v>0</v>
      </c>
      <c r="BN2457" s="8">
        <f t="shared" si="2451"/>
        <v>0</v>
      </c>
      <c r="BO2457" s="8">
        <f t="shared" si="2452"/>
        <v>0</v>
      </c>
      <c r="BP2457" s="8">
        <f t="shared" si="2454"/>
        <v>463</v>
      </c>
      <c r="BQ2457" s="12">
        <f t="shared" si="2455"/>
        <v>34859</v>
      </c>
    </row>
    <row r="2458" spans="1:69">
      <c r="A2458" s="28">
        <v>1975</v>
      </c>
      <c r="B2458" s="27" t="s">
        <v>108</v>
      </c>
      <c r="C2458" s="24">
        <f t="shared" si="2459"/>
        <v>2438</v>
      </c>
      <c r="D2458" s="7" t="e">
        <f t="shared" ca="1" si="2457"/>
        <v>#N/A</v>
      </c>
      <c r="E2458" s="26">
        <f t="array" aca="1" ref="E2458" ca="1">AVERAGE(IF(INDIRECT(DatCol&amp;"$"&amp;TEXT(C2458,"###")):INDIRECT(DatCol&amp;"$"&amp;TEXT(C2458+57,"###"))&gt;0,INDIRECT(DatCol&amp;"$"&amp;TEXT(C2458,"###")):INDIRECT(DatCol&amp;"$"&amp;TEXT(C2458+57,"###"))))</f>
        <v>105.96370370370369</v>
      </c>
      <c r="F2458" s="26" t="str">
        <f t="shared" si="2456"/>
        <v>C</v>
      </c>
      <c r="G2458" s="8"/>
      <c r="H2458" s="8">
        <v>72</v>
      </c>
      <c r="I2458" s="8">
        <v>0</v>
      </c>
      <c r="J2458" s="8">
        <v>602</v>
      </c>
      <c r="K2458" s="9">
        <f t="shared" si="2453"/>
        <v>674</v>
      </c>
      <c r="M2458" s="11">
        <f t="shared" si="2478"/>
        <v>0</v>
      </c>
      <c r="N2458" s="12">
        <v>57</v>
      </c>
      <c r="O2458" s="11">
        <f t="shared" si="2479"/>
        <v>2850</v>
      </c>
      <c r="Q2458" s="11">
        <f t="shared" si="2480"/>
        <v>0</v>
      </c>
      <c r="X2458" s="12">
        <v>38</v>
      </c>
      <c r="Y2458" s="11">
        <f t="shared" si="2481"/>
        <v>2280</v>
      </c>
      <c r="AG2458" s="11">
        <f t="shared" si="2482"/>
        <v>0</v>
      </c>
      <c r="AI2458" s="11">
        <f t="shared" si="2483"/>
        <v>0</v>
      </c>
      <c r="AK2458" s="13">
        <f t="shared" si="2484"/>
        <v>0</v>
      </c>
      <c r="AL2458" s="12">
        <v>99</v>
      </c>
      <c r="AM2458" s="13">
        <f t="shared" si="2485"/>
        <v>891</v>
      </c>
      <c r="AO2458" s="11">
        <f t="shared" si="2486"/>
        <v>0</v>
      </c>
      <c r="AP2458" s="12">
        <v>2197</v>
      </c>
      <c r="AQ2458" s="11">
        <f t="shared" si="2487"/>
        <v>175760</v>
      </c>
      <c r="AS2458" s="11">
        <f t="shared" si="2488"/>
        <v>0</v>
      </c>
      <c r="AU2458" s="11">
        <f t="shared" si="2489"/>
        <v>0</v>
      </c>
      <c r="AW2458" s="11">
        <f t="shared" si="2490"/>
        <v>0</v>
      </c>
      <c r="AY2458" s="11">
        <f t="shared" si="2491"/>
        <v>0</v>
      </c>
      <c r="BA2458" s="11">
        <f t="shared" si="2492"/>
        <v>0</v>
      </c>
      <c r="BC2458" s="11">
        <f t="shared" si="2493"/>
        <v>0</v>
      </c>
      <c r="BE2458" s="11">
        <f t="shared" si="2494"/>
        <v>0</v>
      </c>
      <c r="BG2458" s="11">
        <f t="shared" si="2495"/>
        <v>0</v>
      </c>
      <c r="BN2458" s="8">
        <f t="shared" si="2451"/>
        <v>38</v>
      </c>
      <c r="BO2458" s="8">
        <f t="shared" si="2452"/>
        <v>2280</v>
      </c>
      <c r="BP2458" s="8">
        <f t="shared" si="2454"/>
        <v>2391</v>
      </c>
      <c r="BQ2458" s="12">
        <f t="shared" si="2455"/>
        <v>181781</v>
      </c>
    </row>
    <row r="2459" spans="1:69">
      <c r="A2459" s="28">
        <v>1976</v>
      </c>
      <c r="B2459" s="27" t="s">
        <v>108</v>
      </c>
      <c r="C2459" s="24">
        <f t="shared" si="2459"/>
        <v>2438</v>
      </c>
      <c r="D2459" s="7" t="e">
        <f t="shared" ca="1" si="2457"/>
        <v>#N/A</v>
      </c>
      <c r="E2459" s="26">
        <f t="array" aca="1" ref="E2459" ca="1">AVERAGE(IF(INDIRECT(DatCol&amp;"$"&amp;TEXT(C2459,"###")):INDIRECT(DatCol&amp;"$"&amp;TEXT(C2459+57,"###"))&gt;0,INDIRECT(DatCol&amp;"$"&amp;TEXT(C2459,"###")):INDIRECT(DatCol&amp;"$"&amp;TEXT(C2459+57,"###"))))</f>
        <v>105.96370370370369</v>
      </c>
      <c r="F2459" s="26" t="str">
        <f t="shared" si="2456"/>
        <v>C</v>
      </c>
      <c r="G2459" s="8"/>
      <c r="H2459" s="8">
        <v>94</v>
      </c>
      <c r="I2459" s="8">
        <v>0</v>
      </c>
      <c r="J2459" s="8">
        <v>517</v>
      </c>
      <c r="K2459" s="9">
        <f t="shared" si="2453"/>
        <v>611</v>
      </c>
      <c r="M2459" s="11">
        <f t="shared" si="2478"/>
        <v>0</v>
      </c>
      <c r="N2459" s="12">
        <v>66</v>
      </c>
      <c r="O2459" s="11">
        <f t="shared" si="2479"/>
        <v>3300</v>
      </c>
      <c r="Q2459" s="11">
        <f t="shared" si="2480"/>
        <v>0</v>
      </c>
      <c r="X2459" s="12">
        <v>153</v>
      </c>
      <c r="Y2459" s="11">
        <f t="shared" si="2481"/>
        <v>9180</v>
      </c>
      <c r="AG2459" s="11">
        <f t="shared" si="2482"/>
        <v>0</v>
      </c>
      <c r="AI2459" s="11">
        <f t="shared" si="2483"/>
        <v>0</v>
      </c>
      <c r="AK2459" s="13">
        <f t="shared" si="2484"/>
        <v>0</v>
      </c>
      <c r="AL2459" s="12">
        <v>56</v>
      </c>
      <c r="AM2459" s="13">
        <f t="shared" si="2485"/>
        <v>504</v>
      </c>
      <c r="AO2459" s="11">
        <f t="shared" si="2486"/>
        <v>0</v>
      </c>
      <c r="AP2459" s="12">
        <v>2325</v>
      </c>
      <c r="AQ2459" s="11">
        <f t="shared" si="2487"/>
        <v>186000</v>
      </c>
      <c r="AS2459" s="11">
        <f t="shared" si="2488"/>
        <v>0</v>
      </c>
      <c r="AU2459" s="11">
        <f t="shared" si="2489"/>
        <v>0</v>
      </c>
      <c r="AW2459" s="11">
        <f t="shared" si="2490"/>
        <v>0</v>
      </c>
      <c r="AY2459" s="11">
        <f t="shared" si="2491"/>
        <v>0</v>
      </c>
      <c r="BA2459" s="11">
        <f t="shared" si="2492"/>
        <v>0</v>
      </c>
      <c r="BC2459" s="11">
        <f t="shared" si="2493"/>
        <v>0</v>
      </c>
      <c r="BE2459" s="11">
        <f t="shared" si="2494"/>
        <v>0</v>
      </c>
      <c r="BG2459" s="11">
        <f t="shared" si="2495"/>
        <v>0</v>
      </c>
      <c r="BN2459" s="8">
        <f t="shared" si="2451"/>
        <v>153</v>
      </c>
      <c r="BO2459" s="8">
        <f t="shared" si="2452"/>
        <v>9180</v>
      </c>
      <c r="BP2459" s="8">
        <f t="shared" si="2454"/>
        <v>2600</v>
      </c>
      <c r="BQ2459" s="12">
        <f t="shared" si="2455"/>
        <v>198984</v>
      </c>
    </row>
    <row r="2460" spans="1:69">
      <c r="A2460" s="28">
        <v>1977</v>
      </c>
      <c r="B2460" s="27" t="s">
        <v>108</v>
      </c>
      <c r="C2460" s="24">
        <f t="shared" si="2459"/>
        <v>2438</v>
      </c>
      <c r="D2460" s="7" t="e">
        <f t="shared" ca="1" si="2457"/>
        <v>#N/A</v>
      </c>
      <c r="E2460" s="26">
        <f t="array" aca="1" ref="E2460" ca="1">AVERAGE(IF(INDIRECT(DatCol&amp;"$"&amp;TEXT(C2460,"###")):INDIRECT(DatCol&amp;"$"&amp;TEXT(C2460+57,"###"))&gt;0,INDIRECT(DatCol&amp;"$"&amp;TEXT(C2460,"###")):INDIRECT(DatCol&amp;"$"&amp;TEXT(C2460+57,"###"))))</f>
        <v>105.96370370370369</v>
      </c>
      <c r="F2460" s="26" t="str">
        <f t="shared" si="2456"/>
        <v>C</v>
      </c>
      <c r="G2460" s="8"/>
      <c r="H2460" s="8">
        <v>100</v>
      </c>
      <c r="I2460" s="8">
        <v>0</v>
      </c>
      <c r="J2460" s="8">
        <v>522</v>
      </c>
      <c r="K2460" s="9">
        <f t="shared" si="2453"/>
        <v>622</v>
      </c>
      <c r="M2460" s="11">
        <f t="shared" si="2478"/>
        <v>0</v>
      </c>
      <c r="N2460" s="12">
        <v>30</v>
      </c>
      <c r="O2460" s="11">
        <f t="shared" si="2479"/>
        <v>1500</v>
      </c>
      <c r="Q2460" s="11">
        <f t="shared" si="2480"/>
        <v>0</v>
      </c>
      <c r="X2460" s="12">
        <v>90</v>
      </c>
      <c r="Y2460" s="11">
        <f t="shared" si="2481"/>
        <v>5400</v>
      </c>
      <c r="AG2460" s="11">
        <f t="shared" si="2482"/>
        <v>0</v>
      </c>
      <c r="AH2460" s="12">
        <v>10</v>
      </c>
      <c r="AI2460" s="11">
        <f t="shared" si="2483"/>
        <v>650</v>
      </c>
      <c r="AK2460" s="13">
        <f t="shared" si="2484"/>
        <v>0</v>
      </c>
      <c r="AL2460" s="12">
        <v>42</v>
      </c>
      <c r="AM2460" s="13">
        <f t="shared" si="2485"/>
        <v>378</v>
      </c>
      <c r="AO2460" s="11">
        <f t="shared" si="2486"/>
        <v>0</v>
      </c>
      <c r="AP2460" s="12">
        <v>2071</v>
      </c>
      <c r="AQ2460" s="11">
        <f t="shared" si="2487"/>
        <v>165680</v>
      </c>
      <c r="AS2460" s="11">
        <f t="shared" si="2488"/>
        <v>0</v>
      </c>
      <c r="AU2460" s="11">
        <f t="shared" si="2489"/>
        <v>0</v>
      </c>
      <c r="AW2460" s="11">
        <f t="shared" si="2490"/>
        <v>0</v>
      </c>
      <c r="AY2460" s="11">
        <f t="shared" si="2491"/>
        <v>0</v>
      </c>
      <c r="BA2460" s="11">
        <f t="shared" si="2492"/>
        <v>0</v>
      </c>
      <c r="BC2460" s="11">
        <f t="shared" si="2493"/>
        <v>0</v>
      </c>
      <c r="BE2460" s="11">
        <f t="shared" si="2494"/>
        <v>0</v>
      </c>
      <c r="BG2460" s="11">
        <f t="shared" si="2495"/>
        <v>0</v>
      </c>
      <c r="BN2460" s="8">
        <f t="shared" si="2451"/>
        <v>90</v>
      </c>
      <c r="BO2460" s="8">
        <f t="shared" si="2452"/>
        <v>5400</v>
      </c>
      <c r="BP2460" s="8">
        <f t="shared" si="2454"/>
        <v>2243</v>
      </c>
      <c r="BQ2460" s="12">
        <f t="shared" si="2455"/>
        <v>173608</v>
      </c>
    </row>
    <row r="2461" spans="1:69">
      <c r="A2461" s="28">
        <v>1978</v>
      </c>
      <c r="B2461" s="27" t="s">
        <v>108</v>
      </c>
      <c r="C2461" s="24">
        <f t="shared" si="2459"/>
        <v>2438</v>
      </c>
      <c r="D2461" s="7" t="e">
        <f t="shared" ca="1" si="2457"/>
        <v>#N/A</v>
      </c>
      <c r="E2461" s="26">
        <f t="array" aca="1" ref="E2461" ca="1">AVERAGE(IF(INDIRECT(DatCol&amp;"$"&amp;TEXT(C2461,"###")):INDIRECT(DatCol&amp;"$"&amp;TEXT(C2461+57,"###"))&gt;0,INDIRECT(DatCol&amp;"$"&amp;TEXT(C2461,"###")):INDIRECT(DatCol&amp;"$"&amp;TEXT(C2461+57,"###"))))</f>
        <v>105.96370370370369</v>
      </c>
      <c r="F2461" s="26" t="str">
        <f t="shared" si="2456"/>
        <v>C</v>
      </c>
      <c r="G2461" s="8"/>
      <c r="H2461" s="8">
        <v>85</v>
      </c>
      <c r="I2461" s="8">
        <v>0</v>
      </c>
      <c r="J2461" s="8">
        <v>502</v>
      </c>
      <c r="K2461" s="9">
        <f t="shared" si="2453"/>
        <v>587</v>
      </c>
      <c r="M2461" s="11">
        <f t="shared" si="2478"/>
        <v>0</v>
      </c>
      <c r="N2461" s="12">
        <v>130</v>
      </c>
      <c r="O2461" s="11">
        <f t="shared" si="2479"/>
        <v>6500</v>
      </c>
      <c r="Q2461" s="11">
        <f t="shared" si="2480"/>
        <v>0</v>
      </c>
      <c r="X2461" s="12">
        <v>138</v>
      </c>
      <c r="Y2461" s="11">
        <f t="shared" si="2481"/>
        <v>8280</v>
      </c>
      <c r="AG2461" s="11">
        <f t="shared" si="2482"/>
        <v>0</v>
      </c>
      <c r="AH2461" s="12">
        <v>20</v>
      </c>
      <c r="AI2461" s="11">
        <f t="shared" si="2483"/>
        <v>1300</v>
      </c>
      <c r="AK2461" s="13">
        <f t="shared" si="2484"/>
        <v>0</v>
      </c>
      <c r="AL2461" s="12">
        <v>28</v>
      </c>
      <c r="AM2461" s="13">
        <f t="shared" si="2485"/>
        <v>252</v>
      </c>
      <c r="AO2461" s="11">
        <f t="shared" si="2486"/>
        <v>0</v>
      </c>
      <c r="AP2461" s="12">
        <v>1814</v>
      </c>
      <c r="AQ2461" s="11">
        <f t="shared" si="2487"/>
        <v>145120</v>
      </c>
      <c r="AS2461" s="11">
        <f t="shared" si="2488"/>
        <v>0</v>
      </c>
      <c r="AU2461" s="11">
        <f t="shared" si="2489"/>
        <v>0</v>
      </c>
      <c r="AW2461" s="11">
        <f t="shared" si="2490"/>
        <v>0</v>
      </c>
      <c r="AY2461" s="11">
        <f t="shared" si="2491"/>
        <v>0</v>
      </c>
      <c r="BA2461" s="11">
        <f t="shared" si="2492"/>
        <v>0</v>
      </c>
      <c r="BC2461" s="11">
        <f t="shared" si="2493"/>
        <v>0</v>
      </c>
      <c r="BE2461" s="11">
        <f t="shared" si="2494"/>
        <v>0</v>
      </c>
      <c r="BG2461" s="11">
        <f t="shared" si="2495"/>
        <v>0</v>
      </c>
      <c r="BN2461" s="8">
        <f t="shared" si="2451"/>
        <v>138</v>
      </c>
      <c r="BO2461" s="8">
        <f t="shared" si="2452"/>
        <v>8280</v>
      </c>
      <c r="BP2461" s="8">
        <f t="shared" si="2454"/>
        <v>2130</v>
      </c>
      <c r="BQ2461" s="12">
        <f t="shared" si="2455"/>
        <v>161452</v>
      </c>
    </row>
    <row r="2462" spans="1:69">
      <c r="A2462" s="28">
        <v>1979</v>
      </c>
      <c r="B2462" s="27" t="s">
        <v>108</v>
      </c>
      <c r="C2462" s="24">
        <f t="shared" si="2459"/>
        <v>2438</v>
      </c>
      <c r="D2462" s="7" t="e">
        <f t="shared" ca="1" si="2457"/>
        <v>#N/A</v>
      </c>
      <c r="E2462" s="26">
        <f t="array" aca="1" ref="E2462" ca="1">AVERAGE(IF(INDIRECT(DatCol&amp;"$"&amp;TEXT(C2462,"###")):INDIRECT(DatCol&amp;"$"&amp;TEXT(C2462+57,"###"))&gt;0,INDIRECT(DatCol&amp;"$"&amp;TEXT(C2462,"###")):INDIRECT(DatCol&amp;"$"&amp;TEXT(C2462+57,"###"))))</f>
        <v>105.96370370370369</v>
      </c>
      <c r="F2462" s="26" t="str">
        <f t="shared" si="2456"/>
        <v>C</v>
      </c>
      <c r="G2462" s="8"/>
      <c r="H2462" s="8">
        <v>93</v>
      </c>
      <c r="I2462" s="8">
        <v>0</v>
      </c>
      <c r="J2462" s="8">
        <v>566</v>
      </c>
      <c r="K2462" s="9">
        <f t="shared" si="2453"/>
        <v>659</v>
      </c>
      <c r="M2462" s="11">
        <f t="shared" si="2478"/>
        <v>0</v>
      </c>
      <c r="N2462" s="12">
        <v>120</v>
      </c>
      <c r="O2462" s="11">
        <f t="shared" si="2479"/>
        <v>6000</v>
      </c>
      <c r="Q2462" s="11">
        <f t="shared" si="2480"/>
        <v>0</v>
      </c>
      <c r="X2462" s="12">
        <v>141</v>
      </c>
      <c r="Y2462" s="11">
        <f t="shared" si="2481"/>
        <v>8460</v>
      </c>
      <c r="AG2462" s="11">
        <f t="shared" si="2482"/>
        <v>0</v>
      </c>
      <c r="AH2462" s="12">
        <v>50</v>
      </c>
      <c r="AI2462" s="11">
        <f t="shared" si="2483"/>
        <v>3250</v>
      </c>
      <c r="AK2462" s="13">
        <f t="shared" si="2484"/>
        <v>0</v>
      </c>
      <c r="AM2462" s="13">
        <f t="shared" si="2485"/>
        <v>0</v>
      </c>
      <c r="AO2462" s="11">
        <f t="shared" si="2486"/>
        <v>0</v>
      </c>
      <c r="AP2462" s="12">
        <v>2063</v>
      </c>
      <c r="AQ2462" s="11">
        <f t="shared" si="2487"/>
        <v>165040</v>
      </c>
      <c r="AS2462" s="11">
        <f t="shared" si="2488"/>
        <v>0</v>
      </c>
      <c r="AT2462" s="12">
        <v>25</v>
      </c>
      <c r="AU2462" s="11">
        <f t="shared" si="2489"/>
        <v>1250</v>
      </c>
      <c r="AW2462" s="11">
        <f t="shared" si="2490"/>
        <v>0</v>
      </c>
      <c r="AY2462" s="11">
        <f t="shared" si="2491"/>
        <v>0</v>
      </c>
      <c r="BA2462" s="11">
        <f t="shared" si="2492"/>
        <v>0</v>
      </c>
      <c r="BC2462" s="11">
        <f t="shared" si="2493"/>
        <v>0</v>
      </c>
      <c r="BE2462" s="11">
        <f t="shared" si="2494"/>
        <v>0</v>
      </c>
      <c r="BG2462" s="11">
        <f t="shared" si="2495"/>
        <v>0</v>
      </c>
      <c r="BN2462" s="8">
        <f t="shared" si="2451"/>
        <v>141</v>
      </c>
      <c r="BO2462" s="8">
        <f t="shared" si="2452"/>
        <v>8460</v>
      </c>
      <c r="BP2462" s="8">
        <f t="shared" si="2454"/>
        <v>2399</v>
      </c>
      <c r="BQ2462" s="12">
        <f t="shared" si="2455"/>
        <v>184000</v>
      </c>
    </row>
    <row r="2463" spans="1:69">
      <c r="A2463" s="28">
        <v>1980</v>
      </c>
      <c r="B2463" s="27" t="s">
        <v>108</v>
      </c>
      <c r="C2463" s="24">
        <f t="shared" si="2459"/>
        <v>2438</v>
      </c>
      <c r="D2463" s="7" t="e">
        <f t="shared" ca="1" si="2457"/>
        <v>#N/A</v>
      </c>
      <c r="E2463" s="26">
        <f t="array" aca="1" ref="E2463" ca="1">AVERAGE(IF(INDIRECT(DatCol&amp;"$"&amp;TEXT(C2463,"###")):INDIRECT(DatCol&amp;"$"&amp;TEXT(C2463+57,"###"))&gt;0,INDIRECT(DatCol&amp;"$"&amp;TEXT(C2463,"###")):INDIRECT(DatCol&amp;"$"&amp;TEXT(C2463+57,"###"))))</f>
        <v>105.96370370370369</v>
      </c>
      <c r="F2463" s="26" t="str">
        <f t="shared" si="2456"/>
        <v>C</v>
      </c>
      <c r="G2463" s="8"/>
      <c r="H2463" s="8">
        <v>95</v>
      </c>
      <c r="I2463" s="8">
        <v>0</v>
      </c>
      <c r="J2463" s="8">
        <v>435</v>
      </c>
      <c r="K2463" s="9">
        <f t="shared" si="2453"/>
        <v>530</v>
      </c>
      <c r="M2463" s="11">
        <f t="shared" si="2478"/>
        <v>0</v>
      </c>
      <c r="N2463" s="12">
        <v>80</v>
      </c>
      <c r="O2463" s="11">
        <f t="shared" si="2479"/>
        <v>4000</v>
      </c>
      <c r="Q2463" s="11">
        <f t="shared" si="2480"/>
        <v>0</v>
      </c>
      <c r="X2463" s="12">
        <v>150</v>
      </c>
      <c r="Y2463" s="11">
        <f t="shared" si="2481"/>
        <v>9000</v>
      </c>
      <c r="AG2463" s="11">
        <f t="shared" si="2482"/>
        <v>0</v>
      </c>
      <c r="AH2463" s="12">
        <v>32</v>
      </c>
      <c r="AI2463" s="11">
        <f t="shared" si="2483"/>
        <v>2080</v>
      </c>
      <c r="AK2463" s="13">
        <f t="shared" si="2484"/>
        <v>0</v>
      </c>
      <c r="AM2463" s="13">
        <f t="shared" si="2485"/>
        <v>0</v>
      </c>
      <c r="AO2463" s="11">
        <f t="shared" si="2486"/>
        <v>0</v>
      </c>
      <c r="AP2463" s="12">
        <v>2175</v>
      </c>
      <c r="AQ2463" s="11">
        <f t="shared" si="2487"/>
        <v>174000</v>
      </c>
      <c r="AS2463" s="11">
        <f t="shared" si="2488"/>
        <v>0</v>
      </c>
      <c r="AU2463" s="11">
        <f t="shared" si="2489"/>
        <v>0</v>
      </c>
      <c r="AW2463" s="11">
        <f t="shared" si="2490"/>
        <v>0</v>
      </c>
      <c r="AY2463" s="11">
        <f t="shared" si="2491"/>
        <v>0</v>
      </c>
      <c r="BA2463" s="11">
        <f t="shared" si="2492"/>
        <v>0</v>
      </c>
      <c r="BC2463" s="11">
        <f t="shared" si="2493"/>
        <v>0</v>
      </c>
      <c r="BE2463" s="11">
        <f t="shared" si="2494"/>
        <v>0</v>
      </c>
      <c r="BG2463" s="11">
        <f t="shared" si="2495"/>
        <v>0</v>
      </c>
      <c r="BN2463" s="8">
        <f t="shared" si="2451"/>
        <v>150</v>
      </c>
      <c r="BO2463" s="8">
        <f t="shared" si="2452"/>
        <v>9000</v>
      </c>
      <c r="BP2463" s="8">
        <f t="shared" si="2454"/>
        <v>2437</v>
      </c>
      <c r="BQ2463" s="12">
        <f t="shared" si="2455"/>
        <v>189080</v>
      </c>
    </row>
    <row r="2464" spans="1:69">
      <c r="A2464" s="28">
        <v>1981</v>
      </c>
      <c r="B2464" s="27" t="s">
        <v>108</v>
      </c>
      <c r="C2464" s="24">
        <f t="shared" si="2459"/>
        <v>2438</v>
      </c>
      <c r="D2464" s="7" t="e">
        <f t="shared" ca="1" si="2457"/>
        <v>#N/A</v>
      </c>
      <c r="E2464" s="26">
        <f t="array" aca="1" ref="E2464" ca="1">AVERAGE(IF(INDIRECT(DatCol&amp;"$"&amp;TEXT(C2464,"###")):INDIRECT(DatCol&amp;"$"&amp;TEXT(C2464+57,"###"))&gt;0,INDIRECT(DatCol&amp;"$"&amp;TEXT(C2464,"###")):INDIRECT(DatCol&amp;"$"&amp;TEXT(C2464+57,"###"))))</f>
        <v>105.96370370370369</v>
      </c>
      <c r="F2464" s="26" t="str">
        <f t="shared" si="2456"/>
        <v>C</v>
      </c>
      <c r="G2464" s="8"/>
      <c r="I2464" s="8">
        <v>0</v>
      </c>
      <c r="K2464" s="9">
        <f t="shared" si="2453"/>
        <v>0</v>
      </c>
      <c r="M2464" s="11">
        <f t="shared" si="2478"/>
        <v>0</v>
      </c>
      <c r="O2464" s="11">
        <f t="shared" si="2479"/>
        <v>0</v>
      </c>
      <c r="Q2464" s="11">
        <f t="shared" si="2480"/>
        <v>0</v>
      </c>
      <c r="Y2464" s="11">
        <f t="shared" si="2481"/>
        <v>0</v>
      </c>
      <c r="AG2464" s="11">
        <f t="shared" si="2482"/>
        <v>0</v>
      </c>
      <c r="AI2464" s="11">
        <f t="shared" si="2483"/>
        <v>0</v>
      </c>
      <c r="AK2464" s="13">
        <f t="shared" si="2484"/>
        <v>0</v>
      </c>
      <c r="AM2464" s="13">
        <f t="shared" si="2485"/>
        <v>0</v>
      </c>
      <c r="AO2464" s="11">
        <f t="shared" si="2486"/>
        <v>0</v>
      </c>
      <c r="AQ2464" s="11">
        <f t="shared" si="2487"/>
        <v>0</v>
      </c>
      <c r="AS2464" s="11">
        <f t="shared" si="2488"/>
        <v>0</v>
      </c>
      <c r="AU2464" s="11">
        <f t="shared" si="2489"/>
        <v>0</v>
      </c>
      <c r="AW2464" s="11">
        <f t="shared" si="2490"/>
        <v>0</v>
      </c>
      <c r="AY2464" s="11">
        <f t="shared" si="2491"/>
        <v>0</v>
      </c>
      <c r="BA2464" s="11">
        <f t="shared" si="2492"/>
        <v>0</v>
      </c>
      <c r="BC2464" s="11">
        <f t="shared" si="2493"/>
        <v>0</v>
      </c>
      <c r="BE2464" s="11">
        <f t="shared" si="2494"/>
        <v>0</v>
      </c>
      <c r="BG2464" s="11">
        <f t="shared" si="2495"/>
        <v>0</v>
      </c>
      <c r="BN2464" s="8">
        <f t="shared" si="2451"/>
        <v>0</v>
      </c>
      <c r="BO2464" s="8">
        <f t="shared" si="2452"/>
        <v>0</v>
      </c>
      <c r="BP2464" s="8">
        <f t="shared" si="2454"/>
        <v>0</v>
      </c>
      <c r="BQ2464" s="12">
        <f t="shared" si="2455"/>
        <v>0</v>
      </c>
    </row>
    <row r="2465" spans="1:69">
      <c r="A2465" s="28">
        <v>1982</v>
      </c>
      <c r="B2465" s="27" t="s">
        <v>108</v>
      </c>
      <c r="C2465" s="24">
        <f t="shared" si="2459"/>
        <v>2438</v>
      </c>
      <c r="D2465" s="7" t="e">
        <f t="shared" ca="1" si="2457"/>
        <v>#N/A</v>
      </c>
      <c r="E2465" s="26">
        <f t="array" aca="1" ref="E2465" ca="1">AVERAGE(IF(INDIRECT(DatCol&amp;"$"&amp;TEXT(C2465,"###")):INDIRECT(DatCol&amp;"$"&amp;TEXT(C2465+57,"###"))&gt;0,INDIRECT(DatCol&amp;"$"&amp;TEXT(C2465,"###")):INDIRECT(DatCol&amp;"$"&amp;TEXT(C2465+57,"###"))))</f>
        <v>105.96370370370369</v>
      </c>
      <c r="F2465" s="26" t="str">
        <f t="shared" si="2456"/>
        <v>C</v>
      </c>
      <c r="G2465" s="8"/>
      <c r="H2465" s="8">
        <v>77</v>
      </c>
      <c r="I2465" s="8">
        <v>0</v>
      </c>
      <c r="J2465" s="8">
        <v>386</v>
      </c>
      <c r="K2465" s="9">
        <f t="shared" si="2453"/>
        <v>463</v>
      </c>
      <c r="M2465" s="11">
        <f t="shared" si="2478"/>
        <v>0</v>
      </c>
      <c r="N2465" s="12">
        <v>0</v>
      </c>
      <c r="O2465" s="11">
        <f t="shared" si="2479"/>
        <v>0</v>
      </c>
      <c r="Q2465" s="11">
        <f t="shared" si="2480"/>
        <v>0</v>
      </c>
      <c r="X2465" s="12">
        <v>643</v>
      </c>
      <c r="Y2465" s="11">
        <f t="shared" si="2481"/>
        <v>38580</v>
      </c>
      <c r="AG2465" s="11">
        <f t="shared" si="2482"/>
        <v>0</v>
      </c>
      <c r="AH2465" s="12">
        <v>284</v>
      </c>
      <c r="AI2465" s="11">
        <f t="shared" si="2483"/>
        <v>18460</v>
      </c>
      <c r="AK2465" s="13">
        <f t="shared" si="2484"/>
        <v>0</v>
      </c>
      <c r="AM2465" s="13">
        <f t="shared" si="2485"/>
        <v>0</v>
      </c>
      <c r="AO2465" s="11">
        <f t="shared" si="2486"/>
        <v>0</v>
      </c>
      <c r="AP2465" s="12">
        <v>1000</v>
      </c>
      <c r="AQ2465" s="11">
        <f t="shared" si="2487"/>
        <v>80000</v>
      </c>
      <c r="AS2465" s="11">
        <f t="shared" si="2488"/>
        <v>0</v>
      </c>
      <c r="AT2465" s="12">
        <v>264</v>
      </c>
      <c r="AU2465" s="11">
        <f t="shared" si="2489"/>
        <v>13200</v>
      </c>
      <c r="AW2465" s="11">
        <f t="shared" si="2490"/>
        <v>0</v>
      </c>
      <c r="AY2465" s="11">
        <f t="shared" si="2491"/>
        <v>0</v>
      </c>
      <c r="BA2465" s="11">
        <f t="shared" si="2492"/>
        <v>0</v>
      </c>
      <c r="BC2465" s="11">
        <f t="shared" si="2493"/>
        <v>0</v>
      </c>
      <c r="BE2465" s="11">
        <f t="shared" si="2494"/>
        <v>0</v>
      </c>
      <c r="BG2465" s="11">
        <f t="shared" si="2495"/>
        <v>0</v>
      </c>
      <c r="BN2465" s="8">
        <f t="shared" si="2451"/>
        <v>643</v>
      </c>
      <c r="BO2465" s="8">
        <f t="shared" si="2452"/>
        <v>38580</v>
      </c>
      <c r="BP2465" s="8">
        <f t="shared" si="2454"/>
        <v>2191</v>
      </c>
      <c r="BQ2465" s="12">
        <f t="shared" si="2455"/>
        <v>150240</v>
      </c>
    </row>
    <row r="2466" spans="1:69">
      <c r="A2466" s="28">
        <v>1983</v>
      </c>
      <c r="B2466" s="27" t="s">
        <v>108</v>
      </c>
      <c r="C2466" s="24">
        <f t="shared" si="2459"/>
        <v>2438</v>
      </c>
      <c r="D2466" s="7" t="e">
        <f t="shared" ca="1" si="2457"/>
        <v>#N/A</v>
      </c>
      <c r="E2466" s="26">
        <f t="array" aca="1" ref="E2466" ca="1">AVERAGE(IF(INDIRECT(DatCol&amp;"$"&amp;TEXT(C2466,"###")):INDIRECT(DatCol&amp;"$"&amp;TEXT(C2466+57,"###"))&gt;0,INDIRECT(DatCol&amp;"$"&amp;TEXT(C2466,"###")):INDIRECT(DatCol&amp;"$"&amp;TEXT(C2466+57,"###"))))</f>
        <v>105.96370370370369</v>
      </c>
      <c r="F2466" s="26" t="str">
        <f t="shared" si="2456"/>
        <v>C</v>
      </c>
      <c r="G2466" s="8"/>
      <c r="H2466" s="8">
        <v>52</v>
      </c>
      <c r="I2466" s="8">
        <v>0</v>
      </c>
      <c r="J2466" s="8">
        <v>276</v>
      </c>
      <c r="K2466" s="9">
        <f t="shared" si="2453"/>
        <v>328</v>
      </c>
      <c r="M2466" s="11">
        <f t="shared" si="2478"/>
        <v>0</v>
      </c>
      <c r="N2466" s="12">
        <v>130</v>
      </c>
      <c r="O2466" s="11">
        <f t="shared" si="2479"/>
        <v>6500</v>
      </c>
      <c r="Q2466" s="11">
        <f t="shared" si="2480"/>
        <v>0</v>
      </c>
      <c r="X2466" s="12">
        <v>125</v>
      </c>
      <c r="Y2466" s="11">
        <f t="shared" si="2481"/>
        <v>7500</v>
      </c>
      <c r="AG2466" s="11">
        <f t="shared" si="2482"/>
        <v>0</v>
      </c>
      <c r="AH2466" s="12">
        <v>98</v>
      </c>
      <c r="AI2466" s="11">
        <f t="shared" si="2483"/>
        <v>6370</v>
      </c>
      <c r="AK2466" s="13">
        <f t="shared" si="2484"/>
        <v>0</v>
      </c>
      <c r="AM2466" s="13">
        <f t="shared" si="2485"/>
        <v>0</v>
      </c>
      <c r="AO2466" s="11">
        <f t="shared" si="2486"/>
        <v>0</v>
      </c>
      <c r="AP2466" s="12">
        <v>171</v>
      </c>
      <c r="AQ2466" s="11">
        <f t="shared" si="2487"/>
        <v>13680</v>
      </c>
      <c r="AS2466" s="11">
        <f t="shared" si="2488"/>
        <v>0</v>
      </c>
      <c r="AT2466" s="12">
        <v>33</v>
      </c>
      <c r="AU2466" s="11">
        <f t="shared" si="2489"/>
        <v>1650</v>
      </c>
      <c r="AW2466" s="11">
        <f t="shared" si="2490"/>
        <v>0</v>
      </c>
      <c r="AY2466" s="11">
        <f t="shared" si="2491"/>
        <v>0</v>
      </c>
      <c r="BA2466" s="11">
        <f t="shared" si="2492"/>
        <v>0</v>
      </c>
      <c r="BC2466" s="11">
        <f t="shared" si="2493"/>
        <v>0</v>
      </c>
      <c r="BE2466" s="11">
        <f t="shared" si="2494"/>
        <v>0</v>
      </c>
      <c r="BG2466" s="11">
        <f t="shared" si="2495"/>
        <v>0</v>
      </c>
      <c r="BN2466" s="8">
        <f t="shared" si="2451"/>
        <v>125</v>
      </c>
      <c r="BO2466" s="8">
        <f t="shared" si="2452"/>
        <v>7500</v>
      </c>
      <c r="BP2466" s="8">
        <f t="shared" si="2454"/>
        <v>557</v>
      </c>
      <c r="BQ2466" s="12">
        <f t="shared" si="2455"/>
        <v>35700</v>
      </c>
    </row>
    <row r="2467" spans="1:69">
      <c r="A2467" s="28">
        <v>1984</v>
      </c>
      <c r="B2467" s="27" t="s">
        <v>108</v>
      </c>
      <c r="C2467" s="24">
        <f t="shared" si="2459"/>
        <v>2438</v>
      </c>
      <c r="D2467" s="7" t="e">
        <f t="shared" ca="1" si="2457"/>
        <v>#N/A</v>
      </c>
      <c r="E2467" s="26">
        <f t="array" aca="1" ref="E2467" ca="1">AVERAGE(IF(INDIRECT(DatCol&amp;"$"&amp;TEXT(C2467,"###")):INDIRECT(DatCol&amp;"$"&amp;TEXT(C2467+57,"###"))&gt;0,INDIRECT(DatCol&amp;"$"&amp;TEXT(C2467,"###")):INDIRECT(DatCol&amp;"$"&amp;TEXT(C2467+57,"###"))))</f>
        <v>105.96370370370369</v>
      </c>
      <c r="F2467" s="26" t="str">
        <f t="shared" si="2456"/>
        <v>C</v>
      </c>
      <c r="G2467" s="8"/>
      <c r="H2467" s="8">
        <v>56</v>
      </c>
      <c r="I2467" s="8">
        <v>0</v>
      </c>
      <c r="J2467" s="8">
        <v>204</v>
      </c>
      <c r="K2467" s="9">
        <f t="shared" si="2453"/>
        <v>260</v>
      </c>
      <c r="L2467" s="12" t="s">
        <v>109</v>
      </c>
      <c r="M2467" s="11">
        <f t="shared" si="2478"/>
        <v>0</v>
      </c>
      <c r="N2467" s="12">
        <v>144</v>
      </c>
      <c r="O2467" s="11">
        <f t="shared" si="2479"/>
        <v>7200</v>
      </c>
      <c r="Q2467" s="11">
        <f t="shared" si="2480"/>
        <v>0</v>
      </c>
      <c r="X2467" s="12">
        <v>130</v>
      </c>
      <c r="Y2467" s="11">
        <f t="shared" si="2481"/>
        <v>7800</v>
      </c>
      <c r="AG2467" s="11">
        <f t="shared" si="2482"/>
        <v>0</v>
      </c>
      <c r="AH2467" s="12">
        <v>100</v>
      </c>
      <c r="AI2467" s="11">
        <f t="shared" si="2483"/>
        <v>6500</v>
      </c>
      <c r="AK2467" s="13">
        <f t="shared" si="2484"/>
        <v>0</v>
      </c>
      <c r="AM2467" s="13">
        <f t="shared" si="2485"/>
        <v>0</v>
      </c>
      <c r="AO2467" s="11">
        <f t="shared" si="2486"/>
        <v>0</v>
      </c>
      <c r="AP2467" s="12">
        <v>184</v>
      </c>
      <c r="AQ2467" s="11">
        <f t="shared" si="2487"/>
        <v>14720</v>
      </c>
      <c r="AS2467" s="11">
        <f t="shared" si="2488"/>
        <v>0</v>
      </c>
      <c r="AT2467" s="12">
        <v>36</v>
      </c>
      <c r="AU2467" s="11">
        <f t="shared" si="2489"/>
        <v>1800</v>
      </c>
      <c r="AW2467" s="11">
        <f t="shared" si="2490"/>
        <v>0</v>
      </c>
      <c r="AY2467" s="11">
        <f t="shared" si="2491"/>
        <v>0</v>
      </c>
      <c r="BA2467" s="11">
        <f t="shared" si="2492"/>
        <v>0</v>
      </c>
      <c r="BC2467" s="11">
        <f t="shared" si="2493"/>
        <v>0</v>
      </c>
      <c r="BE2467" s="11">
        <f t="shared" si="2494"/>
        <v>0</v>
      </c>
      <c r="BG2467" s="11">
        <f t="shared" si="2495"/>
        <v>0</v>
      </c>
      <c r="BN2467" s="8">
        <f t="shared" si="2451"/>
        <v>130</v>
      </c>
      <c r="BO2467" s="8">
        <f t="shared" si="2452"/>
        <v>7800</v>
      </c>
      <c r="BP2467" s="8">
        <f t="shared" si="2454"/>
        <v>594</v>
      </c>
      <c r="BQ2467" s="12">
        <f t="shared" si="2455"/>
        <v>38020</v>
      </c>
    </row>
    <row r="2468" spans="1:69">
      <c r="A2468" s="28">
        <v>1985</v>
      </c>
      <c r="B2468" s="27" t="s">
        <v>108</v>
      </c>
      <c r="C2468" s="24">
        <f t="shared" si="2459"/>
        <v>2438</v>
      </c>
      <c r="D2468" s="7" t="e">
        <f t="shared" ca="1" si="2457"/>
        <v>#N/A</v>
      </c>
      <c r="E2468" s="26">
        <f t="array" aca="1" ref="E2468" ca="1">AVERAGE(IF(INDIRECT(DatCol&amp;"$"&amp;TEXT(C2468,"###")):INDIRECT(DatCol&amp;"$"&amp;TEXT(C2468+57,"###"))&gt;0,INDIRECT(DatCol&amp;"$"&amp;TEXT(C2468,"###")):INDIRECT(DatCol&amp;"$"&amp;TEXT(C2468+57,"###"))))</f>
        <v>105.96370370370369</v>
      </c>
      <c r="F2468" s="26" t="str">
        <f t="shared" si="2456"/>
        <v>C</v>
      </c>
      <c r="G2468" s="8">
        <v>131</v>
      </c>
      <c r="H2468" s="8">
        <v>57</v>
      </c>
      <c r="I2468" s="8">
        <v>0</v>
      </c>
      <c r="J2468" s="8">
        <v>183</v>
      </c>
      <c r="K2468" s="9">
        <f t="shared" si="2453"/>
        <v>371</v>
      </c>
      <c r="M2468" s="11">
        <f t="shared" si="2478"/>
        <v>0</v>
      </c>
      <c r="N2468" s="12">
        <v>164</v>
      </c>
      <c r="O2468" s="11">
        <f t="shared" si="2479"/>
        <v>8200</v>
      </c>
      <c r="Q2468" s="11">
        <f t="shared" si="2480"/>
        <v>0</v>
      </c>
      <c r="X2468" s="12">
        <v>136</v>
      </c>
      <c r="Y2468" s="11">
        <f t="shared" si="2481"/>
        <v>8160</v>
      </c>
      <c r="AG2468" s="11">
        <f t="shared" si="2482"/>
        <v>0</v>
      </c>
      <c r="AH2468" s="12">
        <v>102</v>
      </c>
      <c r="AI2468" s="11">
        <f t="shared" si="2483"/>
        <v>6630</v>
      </c>
      <c r="AK2468" s="13">
        <f t="shared" si="2484"/>
        <v>0</v>
      </c>
      <c r="AM2468" s="13">
        <f t="shared" si="2485"/>
        <v>0</v>
      </c>
      <c r="AO2468" s="11">
        <f t="shared" si="2486"/>
        <v>0</v>
      </c>
      <c r="AP2468" s="12">
        <v>185</v>
      </c>
      <c r="AQ2468" s="11">
        <f t="shared" si="2487"/>
        <v>14800</v>
      </c>
      <c r="AS2468" s="11">
        <f t="shared" si="2488"/>
        <v>0</v>
      </c>
      <c r="AT2468" s="12">
        <v>47</v>
      </c>
      <c r="AU2468" s="11">
        <f t="shared" si="2489"/>
        <v>2350</v>
      </c>
      <c r="AW2468" s="11">
        <f t="shared" si="2490"/>
        <v>0</v>
      </c>
      <c r="AY2468" s="11">
        <f t="shared" si="2491"/>
        <v>0</v>
      </c>
      <c r="BA2468" s="11">
        <f t="shared" si="2492"/>
        <v>0</v>
      </c>
      <c r="BC2468" s="11">
        <f t="shared" si="2493"/>
        <v>0</v>
      </c>
      <c r="BE2468" s="11">
        <f t="shared" si="2494"/>
        <v>0</v>
      </c>
      <c r="BG2468" s="11">
        <f t="shared" si="2495"/>
        <v>0</v>
      </c>
      <c r="BN2468" s="8">
        <f t="shared" si="2451"/>
        <v>136</v>
      </c>
      <c r="BO2468" s="8">
        <f t="shared" si="2452"/>
        <v>8160</v>
      </c>
      <c r="BP2468" s="8">
        <f t="shared" si="2454"/>
        <v>634</v>
      </c>
      <c r="BQ2468" s="12">
        <f t="shared" si="2455"/>
        <v>40140</v>
      </c>
    </row>
    <row r="2469" spans="1:69">
      <c r="A2469" s="28">
        <v>1986</v>
      </c>
      <c r="B2469" s="27" t="s">
        <v>108</v>
      </c>
      <c r="C2469" s="24">
        <f t="shared" si="2459"/>
        <v>2438</v>
      </c>
      <c r="D2469" s="7" t="e">
        <f t="shared" ca="1" si="2457"/>
        <v>#N/A</v>
      </c>
      <c r="E2469" s="26">
        <f t="array" aca="1" ref="E2469" ca="1">AVERAGE(IF(INDIRECT(DatCol&amp;"$"&amp;TEXT(C2469,"###")):INDIRECT(DatCol&amp;"$"&amp;TEXT(C2469+57,"###"))&gt;0,INDIRECT(DatCol&amp;"$"&amp;TEXT(C2469,"###")):INDIRECT(DatCol&amp;"$"&amp;TEXT(C2469+57,"###"))))</f>
        <v>105.96370370370369</v>
      </c>
      <c r="F2469" s="26" t="str">
        <f t="shared" si="2456"/>
        <v>C</v>
      </c>
      <c r="G2469" s="8">
        <v>118</v>
      </c>
      <c r="H2469" s="8">
        <v>42</v>
      </c>
      <c r="I2469" s="8">
        <v>0</v>
      </c>
      <c r="J2469" s="8">
        <v>146</v>
      </c>
      <c r="K2469" s="9">
        <f t="shared" si="2453"/>
        <v>306</v>
      </c>
      <c r="M2469" s="11">
        <f t="shared" si="2478"/>
        <v>0</v>
      </c>
      <c r="N2469" s="12">
        <v>100</v>
      </c>
      <c r="O2469" s="11">
        <f t="shared" si="2479"/>
        <v>5000</v>
      </c>
      <c r="Q2469" s="11">
        <f t="shared" si="2480"/>
        <v>0</v>
      </c>
      <c r="X2469" s="12">
        <v>90</v>
      </c>
      <c r="Y2469" s="11">
        <f t="shared" si="2481"/>
        <v>5400</v>
      </c>
      <c r="AG2469" s="11">
        <f t="shared" si="2482"/>
        <v>0</v>
      </c>
      <c r="AH2469" s="12">
        <v>90</v>
      </c>
      <c r="AI2469" s="11">
        <f t="shared" si="2483"/>
        <v>5850</v>
      </c>
      <c r="AK2469" s="13">
        <f t="shared" si="2484"/>
        <v>0</v>
      </c>
      <c r="AM2469" s="13">
        <f t="shared" si="2485"/>
        <v>0</v>
      </c>
      <c r="AO2469" s="11">
        <f t="shared" si="2486"/>
        <v>0</v>
      </c>
      <c r="AP2469" s="12">
        <v>100</v>
      </c>
      <c r="AQ2469" s="11">
        <f t="shared" si="2487"/>
        <v>8000</v>
      </c>
      <c r="AS2469" s="11">
        <f t="shared" si="2488"/>
        <v>0</v>
      </c>
      <c r="AT2469" s="12">
        <v>90</v>
      </c>
      <c r="AU2469" s="11">
        <f t="shared" si="2489"/>
        <v>4500</v>
      </c>
      <c r="AW2469" s="11">
        <f t="shared" si="2490"/>
        <v>0</v>
      </c>
      <c r="AY2469" s="11">
        <f t="shared" si="2491"/>
        <v>0</v>
      </c>
      <c r="BA2469" s="11">
        <f t="shared" si="2492"/>
        <v>0</v>
      </c>
      <c r="BC2469" s="11">
        <f t="shared" si="2493"/>
        <v>0</v>
      </c>
      <c r="BE2469" s="11">
        <f t="shared" si="2494"/>
        <v>0</v>
      </c>
      <c r="BG2469" s="11">
        <f t="shared" si="2495"/>
        <v>0</v>
      </c>
      <c r="BN2469" s="8">
        <f t="shared" si="2451"/>
        <v>90</v>
      </c>
      <c r="BO2469" s="8">
        <f t="shared" si="2452"/>
        <v>5400</v>
      </c>
      <c r="BP2469" s="8">
        <f t="shared" si="2454"/>
        <v>470</v>
      </c>
      <c r="BQ2469" s="12">
        <f t="shared" si="2455"/>
        <v>28750</v>
      </c>
    </row>
    <row r="2470" spans="1:69">
      <c r="A2470" s="28">
        <v>1987</v>
      </c>
      <c r="B2470" s="27" t="s">
        <v>108</v>
      </c>
      <c r="C2470" s="24">
        <f t="shared" si="2459"/>
        <v>2438</v>
      </c>
      <c r="D2470" s="7" t="e">
        <f t="shared" ca="1" si="2457"/>
        <v>#N/A</v>
      </c>
      <c r="E2470" s="26">
        <f t="array" aca="1" ref="E2470" ca="1">AVERAGE(IF(INDIRECT(DatCol&amp;"$"&amp;TEXT(C2470,"###")):INDIRECT(DatCol&amp;"$"&amp;TEXT(C2470+57,"###"))&gt;0,INDIRECT(DatCol&amp;"$"&amp;TEXT(C2470,"###")):INDIRECT(DatCol&amp;"$"&amp;TEXT(C2470+57,"###"))))</f>
        <v>105.96370370370369</v>
      </c>
      <c r="F2470" s="26" t="str">
        <f t="shared" si="2456"/>
        <v>C</v>
      </c>
      <c r="G2470" s="8">
        <v>106</v>
      </c>
      <c r="H2470" s="8">
        <v>43</v>
      </c>
      <c r="I2470" s="8">
        <v>0</v>
      </c>
      <c r="J2470" s="8">
        <v>86</v>
      </c>
      <c r="K2470" s="9">
        <f t="shared" si="2453"/>
        <v>235</v>
      </c>
      <c r="L2470" s="12">
        <v>0</v>
      </c>
      <c r="M2470" s="11">
        <f t="shared" si="2478"/>
        <v>0</v>
      </c>
      <c r="N2470" s="12">
        <v>128</v>
      </c>
      <c r="O2470" s="11">
        <f t="shared" si="2479"/>
        <v>6400</v>
      </c>
      <c r="Q2470" s="11">
        <f t="shared" si="2480"/>
        <v>0</v>
      </c>
      <c r="X2470" s="12">
        <v>117</v>
      </c>
      <c r="Y2470" s="11">
        <f t="shared" si="2481"/>
        <v>7020</v>
      </c>
      <c r="AF2470" s="12">
        <v>0</v>
      </c>
      <c r="AG2470" s="11">
        <f t="shared" si="2482"/>
        <v>0</v>
      </c>
      <c r="AH2470" s="12">
        <v>65</v>
      </c>
      <c r="AI2470" s="11">
        <f t="shared" si="2483"/>
        <v>4225</v>
      </c>
      <c r="AK2470" s="13">
        <f t="shared" si="2484"/>
        <v>0</v>
      </c>
      <c r="AM2470" s="13">
        <f t="shared" si="2485"/>
        <v>0</v>
      </c>
      <c r="AO2470" s="11">
        <f t="shared" si="2486"/>
        <v>0</v>
      </c>
      <c r="AP2470" s="12">
        <v>135</v>
      </c>
      <c r="AQ2470" s="11">
        <f t="shared" si="2487"/>
        <v>10800</v>
      </c>
      <c r="AS2470" s="11">
        <f t="shared" si="2488"/>
        <v>0</v>
      </c>
      <c r="AT2470" s="12">
        <v>35</v>
      </c>
      <c r="AU2470" s="11">
        <f t="shared" si="2489"/>
        <v>1750</v>
      </c>
      <c r="AW2470" s="11">
        <f t="shared" si="2490"/>
        <v>0</v>
      </c>
      <c r="AY2470" s="11">
        <f t="shared" si="2491"/>
        <v>0</v>
      </c>
      <c r="BA2470" s="11">
        <f t="shared" si="2492"/>
        <v>0</v>
      </c>
      <c r="BC2470" s="11">
        <f t="shared" si="2493"/>
        <v>0</v>
      </c>
      <c r="BE2470" s="11">
        <f t="shared" si="2494"/>
        <v>0</v>
      </c>
      <c r="BG2470" s="11">
        <f t="shared" si="2495"/>
        <v>0</v>
      </c>
      <c r="BN2470" s="8">
        <f t="shared" si="2451"/>
        <v>117</v>
      </c>
      <c r="BO2470" s="8">
        <f t="shared" si="2452"/>
        <v>7020</v>
      </c>
      <c r="BP2470" s="8">
        <f t="shared" si="2454"/>
        <v>480</v>
      </c>
      <c r="BQ2470" s="12">
        <f t="shared" si="2455"/>
        <v>30195</v>
      </c>
    </row>
    <row r="2471" spans="1:69">
      <c r="A2471" s="28">
        <v>1988</v>
      </c>
      <c r="B2471" s="27" t="s">
        <v>108</v>
      </c>
      <c r="C2471" s="24">
        <f t="shared" si="2459"/>
        <v>2438</v>
      </c>
      <c r="D2471" s="7" t="e">
        <f t="shared" ca="1" si="2457"/>
        <v>#N/A</v>
      </c>
      <c r="E2471" s="26">
        <f t="array" aca="1" ref="E2471" ca="1">AVERAGE(IF(INDIRECT(DatCol&amp;"$"&amp;TEXT(C2471,"###")):INDIRECT(DatCol&amp;"$"&amp;TEXT(C2471+57,"###"))&gt;0,INDIRECT(DatCol&amp;"$"&amp;TEXT(C2471,"###")):INDIRECT(DatCol&amp;"$"&amp;TEXT(C2471+57,"###"))))</f>
        <v>105.96370370370369</v>
      </c>
      <c r="F2471" s="26" t="str">
        <f t="shared" si="2456"/>
        <v>C</v>
      </c>
      <c r="G2471" s="8">
        <v>155</v>
      </c>
      <c r="H2471" s="8">
        <v>43</v>
      </c>
      <c r="J2471" s="8">
        <v>166</v>
      </c>
      <c r="K2471" s="9">
        <f t="shared" si="2453"/>
        <v>364</v>
      </c>
      <c r="M2471" s="11">
        <f t="shared" si="2478"/>
        <v>0</v>
      </c>
      <c r="N2471" s="12">
        <v>94</v>
      </c>
      <c r="O2471" s="11">
        <f t="shared" si="2479"/>
        <v>4700</v>
      </c>
      <c r="Q2471" s="11">
        <f t="shared" si="2480"/>
        <v>0</v>
      </c>
      <c r="X2471" s="12">
        <v>66</v>
      </c>
      <c r="Y2471" s="11">
        <f t="shared" si="2481"/>
        <v>3960</v>
      </c>
      <c r="AG2471" s="11">
        <f t="shared" si="2482"/>
        <v>0</v>
      </c>
      <c r="AH2471" s="12">
        <v>38</v>
      </c>
      <c r="AI2471" s="11">
        <f t="shared" si="2483"/>
        <v>2470</v>
      </c>
      <c r="AK2471" s="13">
        <f t="shared" si="2484"/>
        <v>0</v>
      </c>
      <c r="AM2471" s="13">
        <f t="shared" si="2485"/>
        <v>0</v>
      </c>
      <c r="AO2471" s="11">
        <f t="shared" si="2486"/>
        <v>0</v>
      </c>
      <c r="AP2471" s="12">
        <v>180</v>
      </c>
      <c r="AQ2471" s="11">
        <f t="shared" si="2487"/>
        <v>14400</v>
      </c>
      <c r="AS2471" s="11">
        <f t="shared" si="2488"/>
        <v>0</v>
      </c>
      <c r="AT2471" s="12">
        <v>20</v>
      </c>
      <c r="AU2471" s="11">
        <f t="shared" si="2489"/>
        <v>1000</v>
      </c>
      <c r="AW2471" s="11">
        <f t="shared" si="2490"/>
        <v>0</v>
      </c>
      <c r="AY2471" s="11">
        <f t="shared" si="2491"/>
        <v>0</v>
      </c>
      <c r="BA2471" s="11">
        <f t="shared" si="2492"/>
        <v>0</v>
      </c>
      <c r="BC2471" s="11">
        <f t="shared" si="2493"/>
        <v>0</v>
      </c>
      <c r="BE2471" s="11">
        <f t="shared" si="2494"/>
        <v>0</v>
      </c>
      <c r="BG2471" s="11">
        <f t="shared" si="2495"/>
        <v>0</v>
      </c>
      <c r="BN2471" s="8">
        <f t="shared" si="2451"/>
        <v>66</v>
      </c>
      <c r="BO2471" s="8">
        <f t="shared" si="2452"/>
        <v>3960</v>
      </c>
      <c r="BP2471" s="8">
        <f t="shared" si="2454"/>
        <v>398</v>
      </c>
      <c r="BQ2471" s="12">
        <f t="shared" si="2455"/>
        <v>26530</v>
      </c>
    </row>
    <row r="2472" spans="1:69">
      <c r="A2472" s="28">
        <v>1989</v>
      </c>
      <c r="B2472" s="27" t="s">
        <v>108</v>
      </c>
      <c r="C2472" s="24">
        <f t="shared" si="2459"/>
        <v>2438</v>
      </c>
      <c r="D2472" s="7" t="e">
        <f t="shared" ca="1" si="2457"/>
        <v>#N/A</v>
      </c>
      <c r="E2472" s="26">
        <f t="array" aca="1" ref="E2472" ca="1">AVERAGE(IF(INDIRECT(DatCol&amp;"$"&amp;TEXT(C2472,"###")):INDIRECT(DatCol&amp;"$"&amp;TEXT(C2472+57,"###"))&gt;0,INDIRECT(DatCol&amp;"$"&amp;TEXT(C2472,"###")):INDIRECT(DatCol&amp;"$"&amp;TEXT(C2472+57,"###"))))</f>
        <v>105.96370370370369</v>
      </c>
      <c r="F2472" s="26" t="str">
        <f t="shared" si="2456"/>
        <v>C</v>
      </c>
      <c r="G2472" s="8">
        <v>70</v>
      </c>
      <c r="H2472" s="8">
        <v>34</v>
      </c>
      <c r="I2472" s="8">
        <v>0</v>
      </c>
      <c r="J2472" s="8">
        <v>67</v>
      </c>
      <c r="K2472" s="9">
        <f t="shared" si="2453"/>
        <v>171</v>
      </c>
      <c r="M2472" s="11">
        <f t="shared" si="2478"/>
        <v>0</v>
      </c>
      <c r="O2472" s="11">
        <f t="shared" si="2479"/>
        <v>0</v>
      </c>
      <c r="Q2472" s="11">
        <f t="shared" si="2480"/>
        <v>0</v>
      </c>
      <c r="Y2472" s="11">
        <f t="shared" si="2481"/>
        <v>0</v>
      </c>
      <c r="AG2472" s="11">
        <f t="shared" si="2482"/>
        <v>0</v>
      </c>
      <c r="AI2472" s="11">
        <f t="shared" si="2483"/>
        <v>0</v>
      </c>
      <c r="AK2472" s="13">
        <f t="shared" si="2484"/>
        <v>0</v>
      </c>
      <c r="AM2472" s="13">
        <f t="shared" si="2485"/>
        <v>0</v>
      </c>
      <c r="AO2472" s="11">
        <f t="shared" si="2486"/>
        <v>0</v>
      </c>
      <c r="AP2472" s="12">
        <v>28</v>
      </c>
      <c r="AQ2472" s="11">
        <f t="shared" si="2487"/>
        <v>2240</v>
      </c>
      <c r="AS2472" s="11">
        <f t="shared" si="2488"/>
        <v>0</v>
      </c>
      <c r="AU2472" s="11">
        <f t="shared" si="2489"/>
        <v>0</v>
      </c>
      <c r="AW2472" s="11">
        <f t="shared" si="2490"/>
        <v>0</v>
      </c>
      <c r="AY2472" s="11">
        <f t="shared" si="2491"/>
        <v>0</v>
      </c>
      <c r="BA2472" s="11">
        <f t="shared" si="2492"/>
        <v>0</v>
      </c>
      <c r="BC2472" s="11">
        <f t="shared" si="2493"/>
        <v>0</v>
      </c>
      <c r="BE2472" s="11">
        <f t="shared" si="2494"/>
        <v>0</v>
      </c>
      <c r="BG2472" s="11">
        <f t="shared" si="2495"/>
        <v>0</v>
      </c>
      <c r="BN2472" s="8">
        <f t="shared" si="2451"/>
        <v>0</v>
      </c>
      <c r="BO2472" s="8">
        <f t="shared" si="2452"/>
        <v>0</v>
      </c>
      <c r="BP2472" s="8">
        <f t="shared" si="2454"/>
        <v>28</v>
      </c>
      <c r="BQ2472" s="12">
        <f t="shared" si="2455"/>
        <v>2240</v>
      </c>
    </row>
    <row r="2473" spans="1:69">
      <c r="A2473" s="28">
        <v>1990</v>
      </c>
      <c r="B2473" s="27" t="s">
        <v>108</v>
      </c>
      <c r="C2473" s="24">
        <f t="shared" si="2459"/>
        <v>2438</v>
      </c>
      <c r="D2473" s="7" t="e">
        <f t="shared" ca="1" si="2457"/>
        <v>#N/A</v>
      </c>
      <c r="E2473" s="26">
        <f t="array" aca="1" ref="E2473" ca="1">AVERAGE(IF(INDIRECT(DatCol&amp;"$"&amp;TEXT(C2473,"###")):INDIRECT(DatCol&amp;"$"&amp;TEXT(C2473+57,"###"))&gt;0,INDIRECT(DatCol&amp;"$"&amp;TEXT(C2473,"###")):INDIRECT(DatCol&amp;"$"&amp;TEXT(C2473+57,"###"))))</f>
        <v>105.96370370370369</v>
      </c>
      <c r="F2473" s="26" t="str">
        <f t="shared" si="2456"/>
        <v>C</v>
      </c>
      <c r="G2473" s="8">
        <v>73</v>
      </c>
      <c r="H2473" s="8">
        <v>33</v>
      </c>
      <c r="I2473" s="8">
        <v>0</v>
      </c>
      <c r="J2473" s="8">
        <v>77</v>
      </c>
      <c r="K2473" s="9">
        <f t="shared" si="2453"/>
        <v>183</v>
      </c>
      <c r="M2473" s="11">
        <f t="shared" ref="M2473:M2503" si="2496">(L2473*50)</f>
        <v>0</v>
      </c>
      <c r="O2473" s="11">
        <f t="shared" ref="O2473:O2503" si="2497">(N2473*50)</f>
        <v>0</v>
      </c>
      <c r="Q2473" s="11">
        <f t="shared" ref="Q2473:Q2503" si="2498">((P2473*330)/5.5)</f>
        <v>0</v>
      </c>
      <c r="Y2473" s="11">
        <f t="shared" ref="Y2473:Y2503" si="2499">((X2473*330)/5.5)</f>
        <v>0</v>
      </c>
      <c r="AG2473" s="11">
        <f t="shared" ref="AG2473:AG2503" si="2500">(AF2473*65)</f>
        <v>0</v>
      </c>
      <c r="AI2473" s="11">
        <f t="shared" ref="AI2473:AI2503" si="2501">(AH2473*65)</f>
        <v>0</v>
      </c>
      <c r="AK2473" s="13">
        <f t="shared" ref="AK2473:AK2503" si="2502">(AJ2473*9)</f>
        <v>0</v>
      </c>
      <c r="AM2473" s="13">
        <f>(AL2473*9)</f>
        <v>0</v>
      </c>
      <c r="AO2473" s="11">
        <f t="shared" ref="AO2473:AO2503" si="2503">(AN2473*80)</f>
        <v>0</v>
      </c>
      <c r="AP2473" s="12">
        <v>325</v>
      </c>
      <c r="AQ2473" s="11">
        <f t="shared" ref="AQ2473:AQ2503" si="2504">(AP2473*80)</f>
        <v>26000</v>
      </c>
      <c r="AS2473" s="11">
        <f t="shared" ref="AS2473:AS2503" si="2505">(AR2473*50)</f>
        <v>0</v>
      </c>
      <c r="AU2473" s="11">
        <f t="shared" ref="AU2473:AU2503" si="2506">(AT2473*50)</f>
        <v>0</v>
      </c>
      <c r="AW2473" s="11">
        <f t="shared" ref="AW2473:AW2503" si="2507">(AV2473*60)</f>
        <v>0</v>
      </c>
      <c r="AY2473" s="11">
        <f t="shared" ref="AY2473:AY2503" si="2508">(AX2473*60)</f>
        <v>0</v>
      </c>
      <c r="BA2473" s="11">
        <f t="shared" ref="BA2473:BA2503" si="2509">(AZ2473*40)</f>
        <v>0</v>
      </c>
      <c r="BC2473" s="11">
        <f t="shared" ref="BC2473:BC2503" si="2510">(BB2473*40)</f>
        <v>0</v>
      </c>
      <c r="BE2473" s="11">
        <f t="shared" ref="BE2473:BE2503" si="2511">(BD2473*95)</f>
        <v>0</v>
      </c>
      <c r="BG2473" s="11">
        <f t="shared" ref="BG2473:BG2503" si="2512">(BF2473*95)</f>
        <v>0</v>
      </c>
      <c r="BN2473" s="8">
        <f t="shared" si="2451"/>
        <v>0</v>
      </c>
      <c r="BO2473" s="8">
        <f t="shared" si="2452"/>
        <v>0</v>
      </c>
      <c r="BP2473" s="8">
        <f t="shared" si="2454"/>
        <v>325</v>
      </c>
      <c r="BQ2473" s="12">
        <f t="shared" si="2455"/>
        <v>26000</v>
      </c>
    </row>
    <row r="2474" spans="1:69">
      <c r="A2474" s="28">
        <v>1991</v>
      </c>
      <c r="B2474" s="27" t="s">
        <v>108</v>
      </c>
      <c r="C2474" s="24">
        <f t="shared" si="2459"/>
        <v>2438</v>
      </c>
      <c r="D2474" s="7" t="e">
        <f t="shared" ca="1" si="2457"/>
        <v>#N/A</v>
      </c>
      <c r="E2474" s="26">
        <f t="array" aca="1" ref="E2474" ca="1">AVERAGE(IF(INDIRECT(DatCol&amp;"$"&amp;TEXT(C2474,"###")):INDIRECT(DatCol&amp;"$"&amp;TEXT(C2474+57,"###"))&gt;0,INDIRECT(DatCol&amp;"$"&amp;TEXT(C2474,"###")):INDIRECT(DatCol&amp;"$"&amp;TEXT(C2474+57,"###"))))</f>
        <v>105.96370370370369</v>
      </c>
      <c r="F2474" s="26" t="str">
        <f t="shared" si="2456"/>
        <v>C</v>
      </c>
      <c r="G2474" s="8">
        <v>70</v>
      </c>
      <c r="H2474" s="8">
        <v>31</v>
      </c>
      <c r="I2474" s="8">
        <v>0</v>
      </c>
      <c r="J2474" s="8">
        <v>87</v>
      </c>
      <c r="K2474" s="9">
        <f t="shared" si="2453"/>
        <v>188</v>
      </c>
      <c r="M2474" s="11">
        <f t="shared" si="2496"/>
        <v>0</v>
      </c>
      <c r="O2474" s="11">
        <f t="shared" si="2497"/>
        <v>0</v>
      </c>
      <c r="Q2474" s="11">
        <f t="shared" si="2498"/>
        <v>0</v>
      </c>
      <c r="Y2474" s="11">
        <f t="shared" si="2499"/>
        <v>0</v>
      </c>
      <c r="AG2474" s="11">
        <f t="shared" si="2500"/>
        <v>0</v>
      </c>
      <c r="AI2474" s="11">
        <f t="shared" si="2501"/>
        <v>0</v>
      </c>
      <c r="AK2474" s="13">
        <f t="shared" si="2502"/>
        <v>0</v>
      </c>
      <c r="AM2474" s="13">
        <f>(AL2474*9)</f>
        <v>0</v>
      </c>
      <c r="AO2474" s="11">
        <f t="shared" si="2503"/>
        <v>0</v>
      </c>
      <c r="AP2474" s="12">
        <v>311</v>
      </c>
      <c r="AQ2474" s="11">
        <f t="shared" si="2504"/>
        <v>24880</v>
      </c>
      <c r="AS2474" s="11">
        <f t="shared" si="2505"/>
        <v>0</v>
      </c>
      <c r="AU2474" s="11">
        <f t="shared" si="2506"/>
        <v>0</v>
      </c>
      <c r="AW2474" s="11">
        <f t="shared" si="2507"/>
        <v>0</v>
      </c>
      <c r="AY2474" s="11">
        <f t="shared" si="2508"/>
        <v>0</v>
      </c>
      <c r="BA2474" s="11">
        <f t="shared" si="2509"/>
        <v>0</v>
      </c>
      <c r="BC2474" s="11">
        <f t="shared" si="2510"/>
        <v>0</v>
      </c>
      <c r="BE2474" s="11">
        <f t="shared" si="2511"/>
        <v>0</v>
      </c>
      <c r="BG2474" s="11">
        <f t="shared" si="2512"/>
        <v>0</v>
      </c>
      <c r="BN2474" s="8">
        <f t="shared" si="2451"/>
        <v>0</v>
      </c>
      <c r="BO2474" s="8">
        <f t="shared" si="2452"/>
        <v>0</v>
      </c>
      <c r="BP2474" s="8">
        <f t="shared" si="2454"/>
        <v>311</v>
      </c>
      <c r="BQ2474" s="12">
        <f t="shared" si="2455"/>
        <v>24880</v>
      </c>
    </row>
    <row r="2475" spans="1:69">
      <c r="A2475" s="28">
        <v>1992</v>
      </c>
      <c r="B2475" s="27" t="s">
        <v>108</v>
      </c>
      <c r="C2475" s="24">
        <f t="shared" si="2459"/>
        <v>2438</v>
      </c>
      <c r="D2475" s="7" t="e">
        <f t="shared" ca="1" si="2457"/>
        <v>#N/A</v>
      </c>
      <c r="E2475" s="26">
        <f t="array" aca="1" ref="E2475" ca="1">AVERAGE(IF(INDIRECT(DatCol&amp;"$"&amp;TEXT(C2475,"###")):INDIRECT(DatCol&amp;"$"&amp;TEXT(C2475+57,"###"))&gt;0,INDIRECT(DatCol&amp;"$"&amp;TEXT(C2475,"###")):INDIRECT(DatCol&amp;"$"&amp;TEXT(C2475+57,"###"))))</f>
        <v>105.96370370370369</v>
      </c>
      <c r="F2475" s="26" t="str">
        <f t="shared" si="2456"/>
        <v>C</v>
      </c>
      <c r="G2475" s="8">
        <v>82</v>
      </c>
      <c r="H2475" s="8">
        <v>22</v>
      </c>
      <c r="I2475" s="8">
        <v>0</v>
      </c>
      <c r="J2475" s="8">
        <v>31</v>
      </c>
      <c r="K2475" s="9">
        <f t="shared" si="2453"/>
        <v>135</v>
      </c>
      <c r="M2475" s="11">
        <f t="shared" si="2496"/>
        <v>0</v>
      </c>
      <c r="O2475" s="11">
        <f t="shared" si="2497"/>
        <v>0</v>
      </c>
      <c r="Q2475" s="11">
        <f t="shared" si="2498"/>
        <v>0</v>
      </c>
      <c r="Y2475" s="11">
        <f t="shared" si="2499"/>
        <v>0</v>
      </c>
      <c r="AG2475" s="11">
        <f t="shared" si="2500"/>
        <v>0</v>
      </c>
      <c r="AI2475" s="11">
        <f t="shared" si="2501"/>
        <v>0</v>
      </c>
      <c r="AK2475" s="13">
        <f t="shared" si="2502"/>
        <v>0</v>
      </c>
      <c r="AM2475" s="13">
        <f>(AL2475*9)</f>
        <v>0</v>
      </c>
      <c r="AO2475" s="11">
        <f t="shared" si="2503"/>
        <v>0</v>
      </c>
      <c r="AP2475" s="12">
        <v>300</v>
      </c>
      <c r="AQ2475" s="11">
        <f t="shared" si="2504"/>
        <v>24000</v>
      </c>
      <c r="AS2475" s="11">
        <f t="shared" si="2505"/>
        <v>0</v>
      </c>
      <c r="AU2475" s="11">
        <f t="shared" si="2506"/>
        <v>0</v>
      </c>
      <c r="AW2475" s="11">
        <f t="shared" si="2507"/>
        <v>0</v>
      </c>
      <c r="AY2475" s="11">
        <f t="shared" si="2508"/>
        <v>0</v>
      </c>
      <c r="BA2475" s="11">
        <f t="shared" si="2509"/>
        <v>0</v>
      </c>
      <c r="BC2475" s="11">
        <f t="shared" si="2510"/>
        <v>0</v>
      </c>
      <c r="BE2475" s="11">
        <f t="shared" si="2511"/>
        <v>0</v>
      </c>
      <c r="BG2475" s="11">
        <f t="shared" si="2512"/>
        <v>0</v>
      </c>
      <c r="BN2475" s="8">
        <f t="shared" ref="BN2475:BN2539" si="2513">(L2475+P2475+R2475+T2475+V2475+X2475+Z2475+AB2475+AD2475+AF2475+AJ2475+AN2475+AR2475+AV2475+AZ2475+BD2475)</f>
        <v>0</v>
      </c>
      <c r="BO2475" s="8">
        <f t="shared" si="2452"/>
        <v>0</v>
      </c>
      <c r="BP2475" s="8">
        <f t="shared" si="2454"/>
        <v>300</v>
      </c>
      <c r="BQ2475" s="12">
        <f t="shared" si="2455"/>
        <v>24000</v>
      </c>
    </row>
    <row r="2476" spans="1:69">
      <c r="A2476" s="28">
        <v>1993</v>
      </c>
      <c r="B2476" s="27" t="s">
        <v>108</v>
      </c>
      <c r="C2476" s="24">
        <f t="shared" si="2459"/>
        <v>2438</v>
      </c>
      <c r="D2476" s="7" t="e">
        <f t="shared" ca="1" si="2457"/>
        <v>#N/A</v>
      </c>
      <c r="E2476" s="26">
        <f t="array" aca="1" ref="E2476" ca="1">AVERAGE(IF(INDIRECT(DatCol&amp;"$"&amp;TEXT(C2476,"###")):INDIRECT(DatCol&amp;"$"&amp;TEXT(C2476+57,"###"))&gt;0,INDIRECT(DatCol&amp;"$"&amp;TEXT(C2476,"###")):INDIRECT(DatCol&amp;"$"&amp;TEXT(C2476+57,"###"))))</f>
        <v>105.96370370370369</v>
      </c>
      <c r="F2476" s="26" t="str">
        <f t="shared" si="2456"/>
        <v>C</v>
      </c>
      <c r="G2476" s="8">
        <v>94</v>
      </c>
      <c r="H2476" s="8">
        <v>41</v>
      </c>
      <c r="I2476" s="8">
        <v>0</v>
      </c>
      <c r="J2476" s="8">
        <v>131</v>
      </c>
      <c r="K2476" s="9">
        <f t="shared" si="2453"/>
        <v>266</v>
      </c>
      <c r="L2476" s="12">
        <v>0</v>
      </c>
      <c r="M2476" s="11">
        <f t="shared" si="2496"/>
        <v>0</v>
      </c>
      <c r="N2476" s="12">
        <v>45</v>
      </c>
      <c r="O2476" s="11">
        <f t="shared" si="2497"/>
        <v>2250</v>
      </c>
      <c r="P2476" s="12">
        <v>0</v>
      </c>
      <c r="Q2476" s="11">
        <f t="shared" si="2498"/>
        <v>0</v>
      </c>
      <c r="X2476" s="12">
        <v>65</v>
      </c>
      <c r="Y2476" s="11">
        <f t="shared" si="2499"/>
        <v>3900</v>
      </c>
      <c r="AF2476" s="12">
        <v>0</v>
      </c>
      <c r="AG2476" s="11">
        <f t="shared" si="2500"/>
        <v>0</v>
      </c>
      <c r="AH2476" s="12">
        <v>0</v>
      </c>
      <c r="AI2476" s="11">
        <f t="shared" si="2501"/>
        <v>0</v>
      </c>
      <c r="AJ2476" s="12">
        <v>0</v>
      </c>
      <c r="AK2476" s="13">
        <f t="shared" si="2502"/>
        <v>0</v>
      </c>
      <c r="AL2476" s="12">
        <v>0</v>
      </c>
      <c r="AM2476" s="13">
        <f>(AL2476*9)</f>
        <v>0</v>
      </c>
      <c r="AN2476" s="12">
        <v>0</v>
      </c>
      <c r="AO2476" s="11">
        <f t="shared" si="2503"/>
        <v>0</v>
      </c>
      <c r="AP2476" s="12">
        <v>321</v>
      </c>
      <c r="AQ2476" s="11">
        <f t="shared" si="2504"/>
        <v>25680</v>
      </c>
      <c r="AS2476" s="11">
        <f t="shared" si="2505"/>
        <v>0</v>
      </c>
      <c r="AU2476" s="11">
        <f t="shared" si="2506"/>
        <v>0</v>
      </c>
      <c r="AW2476" s="11">
        <f t="shared" si="2507"/>
        <v>0</v>
      </c>
      <c r="AY2476" s="11">
        <f t="shared" si="2508"/>
        <v>0</v>
      </c>
      <c r="BA2476" s="11">
        <f t="shared" si="2509"/>
        <v>0</v>
      </c>
      <c r="BC2476" s="11">
        <f t="shared" si="2510"/>
        <v>0</v>
      </c>
      <c r="BE2476" s="11">
        <f t="shared" si="2511"/>
        <v>0</v>
      </c>
      <c r="BG2476" s="11">
        <f t="shared" si="2512"/>
        <v>0</v>
      </c>
      <c r="BN2476" s="8">
        <f t="shared" si="2513"/>
        <v>65</v>
      </c>
      <c r="BO2476" s="8">
        <f t="shared" ref="BO2476:BO2540" si="2514">(M2476+Q2476+S2476+U2476+W2476+Y2476+AA2476+AC2476+AG2476+AK2476+AO2476+AS2476+AW2476+BA2476+BE2476)</f>
        <v>3900</v>
      </c>
      <c r="BP2476" s="8">
        <f t="shared" si="2454"/>
        <v>431</v>
      </c>
      <c r="BQ2476" s="12">
        <f t="shared" si="2455"/>
        <v>31830</v>
      </c>
    </row>
    <row r="2477" spans="1:69">
      <c r="A2477" s="28">
        <v>1994</v>
      </c>
      <c r="B2477" s="27" t="s">
        <v>108</v>
      </c>
      <c r="C2477" s="24">
        <f t="shared" si="2459"/>
        <v>2438</v>
      </c>
      <c r="D2477" s="7" t="e">
        <f t="shared" ca="1" si="2457"/>
        <v>#N/A</v>
      </c>
      <c r="E2477" s="26">
        <f t="array" aca="1" ref="E2477" ca="1">AVERAGE(IF(INDIRECT(DatCol&amp;"$"&amp;TEXT(C2477,"###")):INDIRECT(DatCol&amp;"$"&amp;TEXT(C2477+57,"###"))&gt;0,INDIRECT(DatCol&amp;"$"&amp;TEXT(C2477,"###")):INDIRECT(DatCol&amp;"$"&amp;TEXT(C2477+57,"###"))))</f>
        <v>105.96370370370369</v>
      </c>
      <c r="F2477" s="26" t="str">
        <f t="shared" si="2456"/>
        <v>C</v>
      </c>
      <c r="G2477" s="8">
        <v>83</v>
      </c>
      <c r="H2477" s="8">
        <v>35</v>
      </c>
      <c r="I2477" s="8">
        <v>0</v>
      </c>
      <c r="J2477" s="8">
        <v>91</v>
      </c>
      <c r="K2477" s="9">
        <f t="shared" ref="K2477:K2541" si="2515">G2477+H2477+J2477</f>
        <v>209</v>
      </c>
      <c r="L2477" s="12">
        <v>0</v>
      </c>
      <c r="M2477" s="11">
        <f t="shared" si="2496"/>
        <v>0</v>
      </c>
      <c r="N2477" s="12">
        <v>62</v>
      </c>
      <c r="O2477" s="11">
        <f t="shared" si="2497"/>
        <v>3100</v>
      </c>
      <c r="P2477" s="12">
        <v>0</v>
      </c>
      <c r="Q2477" s="11">
        <f t="shared" si="2498"/>
        <v>0</v>
      </c>
      <c r="X2477" s="12">
        <v>87</v>
      </c>
      <c r="Y2477" s="11">
        <f t="shared" si="2499"/>
        <v>5220</v>
      </c>
      <c r="AF2477" s="12">
        <v>0</v>
      </c>
      <c r="AG2477" s="11">
        <f t="shared" si="2500"/>
        <v>0</v>
      </c>
      <c r="AH2477" s="12">
        <v>54</v>
      </c>
      <c r="AI2477" s="11">
        <f t="shared" si="2501"/>
        <v>3510</v>
      </c>
      <c r="AJ2477" s="12">
        <v>0</v>
      </c>
      <c r="AK2477" s="13">
        <f t="shared" si="2502"/>
        <v>0</v>
      </c>
      <c r="AL2477" s="12">
        <v>0</v>
      </c>
      <c r="AM2477" s="13">
        <f>(AL2477*9)</f>
        <v>0</v>
      </c>
      <c r="AN2477" s="12">
        <v>0</v>
      </c>
      <c r="AO2477" s="11">
        <f t="shared" si="2503"/>
        <v>0</v>
      </c>
      <c r="AP2477" s="12">
        <v>359</v>
      </c>
      <c r="AQ2477" s="11">
        <f t="shared" si="2504"/>
        <v>28720</v>
      </c>
      <c r="AR2477" s="12">
        <v>0</v>
      </c>
      <c r="AS2477" s="11">
        <f t="shared" si="2505"/>
        <v>0</v>
      </c>
      <c r="AT2477" s="12">
        <v>0</v>
      </c>
      <c r="AU2477" s="11">
        <f t="shared" si="2506"/>
        <v>0</v>
      </c>
      <c r="AW2477" s="11">
        <f t="shared" si="2507"/>
        <v>0</v>
      </c>
      <c r="AY2477" s="11">
        <f t="shared" si="2508"/>
        <v>0</v>
      </c>
      <c r="BA2477" s="11">
        <f t="shared" si="2509"/>
        <v>0</v>
      </c>
      <c r="BC2477" s="11">
        <f t="shared" si="2510"/>
        <v>0</v>
      </c>
      <c r="BE2477" s="11">
        <f t="shared" si="2511"/>
        <v>0</v>
      </c>
      <c r="BG2477" s="11">
        <f t="shared" si="2512"/>
        <v>0</v>
      </c>
      <c r="BN2477" s="8">
        <f t="shared" si="2513"/>
        <v>87</v>
      </c>
      <c r="BO2477" s="8">
        <f t="shared" si="2514"/>
        <v>5220</v>
      </c>
      <c r="BP2477" s="8">
        <f t="shared" si="2454"/>
        <v>562</v>
      </c>
      <c r="BQ2477" s="12">
        <f t="shared" si="2455"/>
        <v>40550</v>
      </c>
    </row>
    <row r="2478" spans="1:69">
      <c r="A2478" s="28">
        <v>1995</v>
      </c>
      <c r="B2478" s="27" t="s">
        <v>108</v>
      </c>
      <c r="C2478" s="24">
        <f t="shared" si="2459"/>
        <v>2438</v>
      </c>
      <c r="D2478" s="7" t="e">
        <f t="shared" ca="1" si="2457"/>
        <v>#N/A</v>
      </c>
      <c r="E2478" s="26">
        <f t="array" aca="1" ref="E2478" ca="1">AVERAGE(IF(INDIRECT(DatCol&amp;"$"&amp;TEXT(C2478,"###")):INDIRECT(DatCol&amp;"$"&amp;TEXT(C2478+57,"###"))&gt;0,INDIRECT(DatCol&amp;"$"&amp;TEXT(C2478,"###")):INDIRECT(DatCol&amp;"$"&amp;TEXT(C2478+57,"###"))))</f>
        <v>105.96370370370369</v>
      </c>
      <c r="F2478" s="26" t="str">
        <f t="shared" si="2456"/>
        <v>C</v>
      </c>
      <c r="G2478" s="9">
        <v>87</v>
      </c>
      <c r="H2478" s="9">
        <v>32</v>
      </c>
      <c r="I2478" s="9">
        <v>0</v>
      </c>
      <c r="J2478" s="9">
        <v>89</v>
      </c>
      <c r="K2478" s="9">
        <f t="shared" si="2515"/>
        <v>208</v>
      </c>
      <c r="L2478" s="10">
        <v>0</v>
      </c>
      <c r="M2478" s="11">
        <f t="shared" si="2496"/>
        <v>0</v>
      </c>
      <c r="N2478" s="10">
        <v>57.5</v>
      </c>
      <c r="O2478" s="11">
        <f t="shared" si="2497"/>
        <v>2875</v>
      </c>
      <c r="P2478" s="10">
        <v>0</v>
      </c>
      <c r="Q2478" s="11">
        <f t="shared" si="2498"/>
        <v>0</v>
      </c>
      <c r="X2478" s="10">
        <v>94</v>
      </c>
      <c r="Y2478" s="11">
        <f t="shared" si="2499"/>
        <v>5640</v>
      </c>
      <c r="AF2478" s="10">
        <v>0</v>
      </c>
      <c r="AG2478" s="11">
        <f t="shared" si="2500"/>
        <v>0</v>
      </c>
      <c r="AH2478" s="10">
        <v>37.5</v>
      </c>
      <c r="AI2478" s="11">
        <f t="shared" si="2501"/>
        <v>2437.5</v>
      </c>
      <c r="AJ2478" s="10">
        <v>0</v>
      </c>
      <c r="AK2478" s="13">
        <f t="shared" si="2502"/>
        <v>0</v>
      </c>
      <c r="AL2478" s="10">
        <v>0</v>
      </c>
      <c r="AM2478" s="13">
        <v>0</v>
      </c>
      <c r="AN2478" s="10">
        <v>925</v>
      </c>
      <c r="AO2478" s="11">
        <f t="shared" si="2503"/>
        <v>74000</v>
      </c>
      <c r="AQ2478" s="11">
        <f t="shared" si="2504"/>
        <v>0</v>
      </c>
      <c r="AS2478" s="11">
        <f t="shared" si="2505"/>
        <v>0</v>
      </c>
      <c r="AU2478" s="11">
        <f t="shared" si="2506"/>
        <v>0</v>
      </c>
      <c r="AW2478" s="11">
        <f t="shared" si="2507"/>
        <v>0</v>
      </c>
      <c r="AY2478" s="11">
        <f t="shared" si="2508"/>
        <v>0</v>
      </c>
      <c r="BA2478" s="11">
        <f t="shared" si="2509"/>
        <v>0</v>
      </c>
      <c r="BC2478" s="11">
        <f t="shared" si="2510"/>
        <v>0</v>
      </c>
      <c r="BE2478" s="11">
        <f t="shared" si="2511"/>
        <v>0</v>
      </c>
      <c r="BG2478" s="11">
        <f t="shared" si="2512"/>
        <v>0</v>
      </c>
      <c r="BN2478" s="8">
        <f t="shared" si="2513"/>
        <v>1019</v>
      </c>
      <c r="BO2478" s="8">
        <f t="shared" si="2514"/>
        <v>79640</v>
      </c>
      <c r="BP2478" s="8">
        <f t="shared" si="2454"/>
        <v>189</v>
      </c>
      <c r="BQ2478" s="12">
        <f t="shared" si="2455"/>
        <v>10952.5</v>
      </c>
    </row>
    <row r="2479" spans="1:69">
      <c r="A2479" s="28">
        <v>1996</v>
      </c>
      <c r="B2479" s="27" t="s">
        <v>108</v>
      </c>
      <c r="C2479" s="24">
        <f t="shared" si="2459"/>
        <v>2438</v>
      </c>
      <c r="D2479" s="7" t="e">
        <f t="shared" ca="1" si="2457"/>
        <v>#N/A</v>
      </c>
      <c r="E2479" s="26">
        <f t="array" aca="1" ref="E2479" ca="1">AVERAGE(IF(INDIRECT(DatCol&amp;"$"&amp;TEXT(C2479,"###")):INDIRECT(DatCol&amp;"$"&amp;TEXT(C2479+57,"###"))&gt;0,INDIRECT(DatCol&amp;"$"&amp;TEXT(C2479,"###")):INDIRECT(DatCol&amp;"$"&amp;TEXT(C2479+57,"###"))))</f>
        <v>105.96370370370369</v>
      </c>
      <c r="F2479" s="26" t="str">
        <f t="shared" si="2456"/>
        <v>C</v>
      </c>
      <c r="G2479" s="9">
        <v>89</v>
      </c>
      <c r="H2479" s="9">
        <v>33</v>
      </c>
      <c r="I2479" s="9">
        <v>0</v>
      </c>
      <c r="J2479" s="9">
        <v>90</v>
      </c>
      <c r="K2479" s="9">
        <f t="shared" si="2515"/>
        <v>212</v>
      </c>
      <c r="L2479" s="10">
        <v>0</v>
      </c>
      <c r="M2479" s="11">
        <f t="shared" si="2496"/>
        <v>0</v>
      </c>
      <c r="N2479" s="10">
        <v>65</v>
      </c>
      <c r="O2479" s="11">
        <f t="shared" si="2497"/>
        <v>3250</v>
      </c>
      <c r="P2479" s="10">
        <v>0</v>
      </c>
      <c r="Q2479" s="11">
        <f t="shared" si="2498"/>
        <v>0</v>
      </c>
      <c r="X2479" s="10">
        <v>82</v>
      </c>
      <c r="Y2479" s="11">
        <f t="shared" si="2499"/>
        <v>4920</v>
      </c>
      <c r="AF2479" s="10">
        <v>0</v>
      </c>
      <c r="AG2479" s="11">
        <f t="shared" si="2500"/>
        <v>0</v>
      </c>
      <c r="AH2479" s="10">
        <v>23</v>
      </c>
      <c r="AI2479" s="11">
        <f t="shared" si="2501"/>
        <v>1495</v>
      </c>
      <c r="AJ2479" s="10">
        <v>0</v>
      </c>
      <c r="AK2479" s="13">
        <f t="shared" si="2502"/>
        <v>0</v>
      </c>
      <c r="AL2479" s="10">
        <v>0</v>
      </c>
      <c r="AM2479" s="13">
        <v>0</v>
      </c>
      <c r="AN2479" s="10">
        <v>0</v>
      </c>
      <c r="AO2479" s="11">
        <f t="shared" si="2503"/>
        <v>0</v>
      </c>
      <c r="AP2479" s="10">
        <v>169</v>
      </c>
      <c r="AQ2479" s="11">
        <f t="shared" si="2504"/>
        <v>13520</v>
      </c>
      <c r="AS2479" s="11">
        <f t="shared" si="2505"/>
        <v>0</v>
      </c>
      <c r="AU2479" s="11">
        <f t="shared" si="2506"/>
        <v>0</v>
      </c>
      <c r="AW2479" s="11">
        <f t="shared" si="2507"/>
        <v>0</v>
      </c>
      <c r="AY2479" s="11">
        <f t="shared" si="2508"/>
        <v>0</v>
      </c>
      <c r="BA2479" s="11">
        <f t="shared" si="2509"/>
        <v>0</v>
      </c>
      <c r="BC2479" s="11">
        <f t="shared" si="2510"/>
        <v>0</v>
      </c>
      <c r="BE2479" s="11">
        <f t="shared" si="2511"/>
        <v>0</v>
      </c>
      <c r="BG2479" s="11">
        <f t="shared" si="2512"/>
        <v>0</v>
      </c>
      <c r="BN2479" s="8">
        <f t="shared" si="2513"/>
        <v>82</v>
      </c>
      <c r="BO2479" s="8">
        <f t="shared" si="2514"/>
        <v>4920</v>
      </c>
      <c r="BP2479" s="8">
        <f t="shared" si="2454"/>
        <v>339</v>
      </c>
      <c r="BQ2479" s="12">
        <f t="shared" si="2455"/>
        <v>23185</v>
      </c>
    </row>
    <row r="2480" spans="1:69">
      <c r="A2480" s="28">
        <v>1997</v>
      </c>
      <c r="B2480" s="27" t="s">
        <v>108</v>
      </c>
      <c r="C2480" s="24">
        <f t="shared" si="2459"/>
        <v>2438</v>
      </c>
      <c r="D2480" s="7" t="e">
        <f t="shared" ca="1" si="2457"/>
        <v>#N/A</v>
      </c>
      <c r="E2480" s="26">
        <f t="array" aca="1" ref="E2480" ca="1">AVERAGE(IF(INDIRECT(DatCol&amp;"$"&amp;TEXT(C2480,"###")):INDIRECT(DatCol&amp;"$"&amp;TEXT(C2480+57,"###"))&gt;0,INDIRECT(DatCol&amp;"$"&amp;TEXT(C2480,"###")):INDIRECT(DatCol&amp;"$"&amp;TEXT(C2480+57,"###"))))</f>
        <v>105.96370370370369</v>
      </c>
      <c r="F2480" s="26" t="str">
        <f t="shared" si="2456"/>
        <v>C</v>
      </c>
      <c r="G2480" s="9">
        <v>0</v>
      </c>
      <c r="H2480" s="9">
        <v>27</v>
      </c>
      <c r="I2480" s="9">
        <v>0</v>
      </c>
      <c r="J2480" s="9">
        <v>64</v>
      </c>
      <c r="K2480" s="9">
        <f t="shared" si="2515"/>
        <v>91</v>
      </c>
      <c r="L2480" s="10">
        <v>0</v>
      </c>
      <c r="M2480" s="11">
        <f t="shared" si="2496"/>
        <v>0</v>
      </c>
      <c r="N2480" s="10">
        <v>71</v>
      </c>
      <c r="O2480" s="11">
        <f t="shared" si="2497"/>
        <v>3550</v>
      </c>
      <c r="P2480" s="10">
        <v>0</v>
      </c>
      <c r="Q2480" s="11">
        <f t="shared" si="2498"/>
        <v>0</v>
      </c>
      <c r="X2480" s="10">
        <v>121</v>
      </c>
      <c r="Y2480" s="11">
        <f t="shared" si="2499"/>
        <v>7260</v>
      </c>
      <c r="AF2480" s="10">
        <v>0</v>
      </c>
      <c r="AG2480" s="11">
        <f t="shared" si="2500"/>
        <v>0</v>
      </c>
      <c r="AH2480" s="10">
        <v>30</v>
      </c>
      <c r="AI2480" s="11">
        <f t="shared" si="2501"/>
        <v>1950</v>
      </c>
      <c r="AJ2480" s="10">
        <v>0</v>
      </c>
      <c r="AK2480" s="13">
        <f t="shared" si="2502"/>
        <v>0</v>
      </c>
      <c r="AL2480" s="10">
        <v>0</v>
      </c>
      <c r="AM2480" s="13">
        <v>0</v>
      </c>
      <c r="AN2480" s="10">
        <v>0</v>
      </c>
      <c r="AO2480" s="11">
        <f t="shared" si="2503"/>
        <v>0</v>
      </c>
      <c r="AP2480" s="10">
        <v>170</v>
      </c>
      <c r="AQ2480" s="11">
        <f t="shared" si="2504"/>
        <v>13600</v>
      </c>
      <c r="AS2480" s="11">
        <f t="shared" si="2505"/>
        <v>0</v>
      </c>
      <c r="AU2480" s="11">
        <f t="shared" si="2506"/>
        <v>0</v>
      </c>
      <c r="AW2480" s="11">
        <f t="shared" si="2507"/>
        <v>0</v>
      </c>
      <c r="AY2480" s="11">
        <f t="shared" si="2508"/>
        <v>0</v>
      </c>
      <c r="BA2480" s="11">
        <f t="shared" si="2509"/>
        <v>0</v>
      </c>
      <c r="BC2480" s="11">
        <f t="shared" si="2510"/>
        <v>0</v>
      </c>
      <c r="BE2480" s="11">
        <f t="shared" si="2511"/>
        <v>0</v>
      </c>
      <c r="BG2480" s="11">
        <f t="shared" si="2512"/>
        <v>0</v>
      </c>
      <c r="BN2480" s="8">
        <f t="shared" si="2513"/>
        <v>121</v>
      </c>
      <c r="BO2480" s="8">
        <f t="shared" si="2514"/>
        <v>7260</v>
      </c>
      <c r="BP2480" s="8">
        <f t="shared" si="2454"/>
        <v>392</v>
      </c>
      <c r="BQ2480" s="12">
        <f t="shared" si="2455"/>
        <v>26360</v>
      </c>
    </row>
    <row r="2481" spans="1:69">
      <c r="A2481" s="28">
        <v>1998</v>
      </c>
      <c r="B2481" s="27" t="s">
        <v>108</v>
      </c>
      <c r="C2481" s="24">
        <f t="shared" si="2459"/>
        <v>2438</v>
      </c>
      <c r="D2481" s="7" t="e">
        <f t="shared" ca="1" si="2457"/>
        <v>#N/A</v>
      </c>
      <c r="E2481" s="26">
        <f t="array" aca="1" ref="E2481" ca="1">AVERAGE(IF(INDIRECT(DatCol&amp;"$"&amp;TEXT(C2481,"###")):INDIRECT(DatCol&amp;"$"&amp;TEXT(C2481+57,"###"))&gt;0,INDIRECT(DatCol&amp;"$"&amp;TEXT(C2481,"###")):INDIRECT(DatCol&amp;"$"&amp;TEXT(C2481+57,"###"))))</f>
        <v>105.96370370370369</v>
      </c>
      <c r="F2481" s="26" t="str">
        <f t="shared" si="2456"/>
        <v>C</v>
      </c>
      <c r="G2481" s="9">
        <v>71</v>
      </c>
      <c r="H2481" s="9">
        <v>25</v>
      </c>
      <c r="I2481" s="9">
        <v>0</v>
      </c>
      <c r="J2481" s="9">
        <v>85</v>
      </c>
      <c r="K2481" s="9">
        <f t="shared" si="2515"/>
        <v>181</v>
      </c>
      <c r="L2481" s="10">
        <v>0</v>
      </c>
      <c r="M2481" s="11">
        <v>0</v>
      </c>
      <c r="N2481" s="10">
        <f>O2481/50</f>
        <v>65</v>
      </c>
      <c r="O2481" s="11">
        <v>3250</v>
      </c>
      <c r="P2481" s="10">
        <v>0</v>
      </c>
      <c r="Q2481" s="11">
        <v>0</v>
      </c>
      <c r="R2481" s="10">
        <v>0</v>
      </c>
      <c r="S2481" s="11">
        <v>0</v>
      </c>
      <c r="T2481" s="10">
        <v>0</v>
      </c>
      <c r="U2481" s="11">
        <v>0</v>
      </c>
      <c r="V2481" s="10">
        <v>0</v>
      </c>
      <c r="W2481" s="11">
        <v>0</v>
      </c>
      <c r="X2481" s="10">
        <f>Y2481/60</f>
        <v>117</v>
      </c>
      <c r="Y2481" s="11">
        <v>7020</v>
      </c>
      <c r="Z2481" s="10">
        <v>0</v>
      </c>
      <c r="AA2481" s="11">
        <v>0</v>
      </c>
      <c r="AB2481" s="10">
        <v>0</v>
      </c>
      <c r="AC2481" s="11">
        <v>0</v>
      </c>
      <c r="AD2481" s="10">
        <v>0</v>
      </c>
      <c r="AE2481" s="11">
        <v>0</v>
      </c>
      <c r="AF2481" s="10">
        <v>0</v>
      </c>
      <c r="AG2481" s="11">
        <v>0</v>
      </c>
      <c r="AH2481" s="10">
        <f>AI2481/50</f>
        <v>23</v>
      </c>
      <c r="AI2481" s="11">
        <v>1150</v>
      </c>
      <c r="AJ2481" s="10">
        <v>0</v>
      </c>
      <c r="AK2481" s="13">
        <v>0</v>
      </c>
      <c r="AL2481" s="10">
        <v>0</v>
      </c>
      <c r="AM2481" s="13">
        <v>0</v>
      </c>
      <c r="AN2481" s="10">
        <v>0</v>
      </c>
      <c r="AO2481" s="11">
        <v>0</v>
      </c>
      <c r="AP2481" s="10">
        <f>AQ2481/80</f>
        <v>155</v>
      </c>
      <c r="AQ2481" s="11">
        <v>12400</v>
      </c>
      <c r="AR2481" s="10">
        <v>0</v>
      </c>
      <c r="AS2481" s="11">
        <v>0</v>
      </c>
      <c r="AT2481" s="10">
        <v>0</v>
      </c>
      <c r="AU2481" s="11">
        <v>0</v>
      </c>
      <c r="AV2481" s="10">
        <v>0</v>
      </c>
      <c r="AW2481" s="11">
        <v>0</v>
      </c>
      <c r="AX2481" s="10">
        <v>0</v>
      </c>
      <c r="AY2481" s="11">
        <v>0</v>
      </c>
      <c r="AZ2481" s="10">
        <v>0</v>
      </c>
      <c r="BA2481" s="11">
        <v>0</v>
      </c>
      <c r="BB2481" s="10">
        <v>0</v>
      </c>
      <c r="BC2481" s="11">
        <v>0</v>
      </c>
      <c r="BD2481" s="10">
        <v>0</v>
      </c>
      <c r="BE2481" s="11">
        <v>0</v>
      </c>
      <c r="BF2481" s="10">
        <v>0</v>
      </c>
      <c r="BG2481" s="11">
        <v>0</v>
      </c>
      <c r="BH2481" s="11">
        <v>0</v>
      </c>
      <c r="BI2481" s="11">
        <v>0</v>
      </c>
      <c r="BJ2481" s="10">
        <v>0</v>
      </c>
      <c r="BN2481" s="8">
        <f t="shared" si="2513"/>
        <v>117</v>
      </c>
      <c r="BO2481" s="8">
        <f t="shared" si="2514"/>
        <v>7020</v>
      </c>
      <c r="BP2481" s="8">
        <f t="shared" si="2454"/>
        <v>360</v>
      </c>
      <c r="BQ2481" s="12">
        <f t="shared" si="2455"/>
        <v>23820</v>
      </c>
    </row>
    <row r="2482" spans="1:69">
      <c r="A2482" s="28">
        <v>1999</v>
      </c>
      <c r="B2482" s="27" t="s">
        <v>108</v>
      </c>
      <c r="C2482" s="24">
        <f t="shared" si="2459"/>
        <v>2438</v>
      </c>
      <c r="D2482" s="7" t="e">
        <f t="shared" ca="1" si="2457"/>
        <v>#N/A</v>
      </c>
      <c r="E2482" s="26">
        <f t="array" aca="1" ref="E2482" ca="1">AVERAGE(IF(INDIRECT(DatCol&amp;"$"&amp;TEXT(C2482,"###")):INDIRECT(DatCol&amp;"$"&amp;TEXT(C2482+57,"###"))&gt;0,INDIRECT(DatCol&amp;"$"&amp;TEXT(C2482,"###")):INDIRECT(DatCol&amp;"$"&amp;TEXT(C2482+57,"###"))))</f>
        <v>105.96370370370369</v>
      </c>
      <c r="F2482" s="26" t="str">
        <f t="shared" si="2456"/>
        <v>C</v>
      </c>
      <c r="G2482" s="9">
        <v>73</v>
      </c>
      <c r="H2482" s="9">
        <v>39</v>
      </c>
      <c r="I2482" s="9">
        <v>0</v>
      </c>
      <c r="J2482" s="9">
        <v>73</v>
      </c>
      <c r="K2482" s="9">
        <f t="shared" si="2515"/>
        <v>185</v>
      </c>
      <c r="L2482" s="10">
        <v>0</v>
      </c>
      <c r="M2482" s="11">
        <v>0</v>
      </c>
      <c r="N2482" s="10">
        <f>O2482/50</f>
        <v>32</v>
      </c>
      <c r="O2482" s="11">
        <v>1600</v>
      </c>
      <c r="P2482" s="10">
        <v>0</v>
      </c>
      <c r="Q2482" s="11">
        <v>0</v>
      </c>
      <c r="R2482" s="10">
        <v>0</v>
      </c>
      <c r="S2482" s="11">
        <v>0</v>
      </c>
      <c r="T2482" s="10">
        <v>0</v>
      </c>
      <c r="U2482" s="11">
        <v>0</v>
      </c>
      <c r="V2482" s="10">
        <v>0</v>
      </c>
      <c r="W2482" s="11">
        <v>0</v>
      </c>
      <c r="X2482" s="10">
        <f>Y2482/60</f>
        <v>95</v>
      </c>
      <c r="Y2482" s="11">
        <v>5700</v>
      </c>
      <c r="Z2482" s="10">
        <v>0</v>
      </c>
      <c r="AA2482" s="11">
        <v>0</v>
      </c>
      <c r="AB2482" s="10">
        <v>0</v>
      </c>
      <c r="AC2482" s="11">
        <v>0</v>
      </c>
      <c r="AD2482" s="10">
        <v>0</v>
      </c>
      <c r="AE2482" s="11">
        <v>0</v>
      </c>
      <c r="AF2482" s="10">
        <v>0</v>
      </c>
      <c r="AG2482" s="11">
        <v>0</v>
      </c>
      <c r="AH2482" s="10">
        <f>AI2482/50</f>
        <v>12</v>
      </c>
      <c r="AI2482" s="11">
        <v>600</v>
      </c>
      <c r="AJ2482" s="10">
        <v>0</v>
      </c>
      <c r="AK2482" s="13">
        <v>0</v>
      </c>
      <c r="AL2482" s="10">
        <v>0</v>
      </c>
      <c r="AM2482" s="13">
        <v>0</v>
      </c>
      <c r="AN2482" s="10">
        <v>0</v>
      </c>
      <c r="AO2482" s="11">
        <v>0</v>
      </c>
      <c r="AP2482" s="10">
        <f>AQ2482/80</f>
        <v>100</v>
      </c>
      <c r="AQ2482" s="11">
        <v>8000</v>
      </c>
      <c r="AR2482" s="10">
        <v>0</v>
      </c>
      <c r="AS2482" s="11">
        <v>0</v>
      </c>
      <c r="AT2482" s="10">
        <v>0</v>
      </c>
      <c r="AU2482" s="11">
        <v>0</v>
      </c>
      <c r="AV2482" s="10">
        <v>0</v>
      </c>
      <c r="AW2482" s="11">
        <v>0</v>
      </c>
      <c r="AX2482" s="10">
        <v>0</v>
      </c>
      <c r="AY2482" s="11">
        <v>0</v>
      </c>
      <c r="AZ2482" s="10">
        <v>0</v>
      </c>
      <c r="BA2482" s="11">
        <v>0</v>
      </c>
      <c r="BB2482" s="10">
        <v>0</v>
      </c>
      <c r="BC2482" s="11">
        <v>0</v>
      </c>
      <c r="BD2482" s="10">
        <v>0</v>
      </c>
      <c r="BE2482" s="11">
        <v>0</v>
      </c>
      <c r="BF2482" s="10">
        <v>0</v>
      </c>
      <c r="BG2482" s="11">
        <v>0</v>
      </c>
      <c r="BH2482" s="11">
        <v>0</v>
      </c>
      <c r="BI2482" s="11">
        <v>0</v>
      </c>
      <c r="BJ2482" s="10">
        <v>0</v>
      </c>
      <c r="BN2482" s="8">
        <f t="shared" si="2513"/>
        <v>95</v>
      </c>
      <c r="BO2482" s="8">
        <f t="shared" si="2514"/>
        <v>5700</v>
      </c>
      <c r="BP2482" s="8">
        <f t="shared" si="2454"/>
        <v>239</v>
      </c>
      <c r="BQ2482" s="12">
        <f t="shared" si="2455"/>
        <v>15900</v>
      </c>
    </row>
    <row r="2483" spans="1:69">
      <c r="A2483" s="28">
        <v>2000</v>
      </c>
      <c r="B2483" s="27" t="s">
        <v>108</v>
      </c>
      <c r="C2483" s="24">
        <f t="shared" si="2459"/>
        <v>2438</v>
      </c>
      <c r="D2483" s="7" t="e">
        <f t="shared" ca="1" si="2457"/>
        <v>#N/A</v>
      </c>
      <c r="E2483" s="26">
        <f t="array" aca="1" ref="E2483" ca="1">AVERAGE(IF(INDIRECT(DatCol&amp;"$"&amp;TEXT(C2483,"###")):INDIRECT(DatCol&amp;"$"&amp;TEXT(C2483+57,"###"))&gt;0,INDIRECT(DatCol&amp;"$"&amp;TEXT(C2483,"###")):INDIRECT(DatCol&amp;"$"&amp;TEXT(C2483+57,"###"))))</f>
        <v>105.96370370370369</v>
      </c>
      <c r="F2483" s="26" t="str">
        <f t="shared" si="2456"/>
        <v>C</v>
      </c>
      <c r="G2483" s="9">
        <v>26</v>
      </c>
      <c r="H2483" s="9">
        <v>38</v>
      </c>
      <c r="I2483" s="9">
        <v>0</v>
      </c>
      <c r="J2483" s="9">
        <v>75</v>
      </c>
      <c r="K2483" s="9">
        <f t="shared" si="2515"/>
        <v>139</v>
      </c>
      <c r="L2483" s="10">
        <v>0</v>
      </c>
      <c r="M2483" s="11">
        <v>0</v>
      </c>
      <c r="N2483" s="10">
        <f>O2483/50</f>
        <v>17.239999999999998</v>
      </c>
      <c r="O2483" s="11">
        <v>862</v>
      </c>
      <c r="P2483" s="10">
        <v>0</v>
      </c>
      <c r="Q2483" s="11">
        <v>0</v>
      </c>
      <c r="R2483" s="10">
        <v>0</v>
      </c>
      <c r="S2483" s="11">
        <v>0</v>
      </c>
      <c r="T2483" s="10">
        <v>0</v>
      </c>
      <c r="U2483" s="11">
        <v>0</v>
      </c>
      <c r="V2483" s="10">
        <v>0</v>
      </c>
      <c r="W2483" s="11">
        <v>0</v>
      </c>
      <c r="X2483" s="10">
        <f>Y2483/75</f>
        <v>50</v>
      </c>
      <c r="Y2483" s="11">
        <v>3750</v>
      </c>
      <c r="Z2483" s="10">
        <v>0</v>
      </c>
      <c r="AA2483" s="11">
        <v>0</v>
      </c>
      <c r="AB2483" s="10">
        <v>0</v>
      </c>
      <c r="AC2483" s="11">
        <v>0</v>
      </c>
      <c r="AD2483" s="10">
        <v>0</v>
      </c>
      <c r="AE2483" s="11">
        <v>0</v>
      </c>
      <c r="AF2483" s="10">
        <v>0</v>
      </c>
      <c r="AG2483" s="11">
        <v>0</v>
      </c>
      <c r="AH2483" s="10">
        <f>AI2483/47.5</f>
        <v>8.4210526315789469</v>
      </c>
      <c r="AI2483" s="11">
        <v>400</v>
      </c>
      <c r="AJ2483" s="10">
        <v>0</v>
      </c>
      <c r="AK2483" s="13">
        <v>0</v>
      </c>
      <c r="AL2483" s="10">
        <v>0</v>
      </c>
      <c r="AM2483" s="13">
        <v>0</v>
      </c>
      <c r="AN2483" s="10">
        <v>0</v>
      </c>
      <c r="AO2483" s="11">
        <v>0</v>
      </c>
      <c r="AP2483" s="10">
        <f>AQ2483/80</f>
        <v>140</v>
      </c>
      <c r="AQ2483" s="11">
        <v>11200</v>
      </c>
      <c r="BN2483" s="8">
        <f t="shared" si="2513"/>
        <v>50</v>
      </c>
      <c r="BO2483" s="8">
        <f t="shared" si="2514"/>
        <v>3750</v>
      </c>
      <c r="BP2483" s="8">
        <f t="shared" si="2454"/>
        <v>215.66105263157894</v>
      </c>
      <c r="BQ2483" s="12">
        <f t="shared" si="2455"/>
        <v>16212</v>
      </c>
    </row>
    <row r="2484" spans="1:69">
      <c r="A2484" s="28">
        <v>2001</v>
      </c>
      <c r="B2484" s="27" t="s">
        <v>108</v>
      </c>
      <c r="C2484" s="24">
        <f t="shared" si="2459"/>
        <v>2438</v>
      </c>
      <c r="D2484" s="7" t="e">
        <f t="shared" ca="1" si="2457"/>
        <v>#N/A</v>
      </c>
      <c r="E2484" s="26">
        <f t="array" aca="1" ref="E2484" ca="1">AVERAGE(IF(INDIRECT(DatCol&amp;"$"&amp;TEXT(C2484,"###")):INDIRECT(DatCol&amp;"$"&amp;TEXT(C2484+57,"###"))&gt;0,INDIRECT(DatCol&amp;"$"&amp;TEXT(C2484,"###")):INDIRECT(DatCol&amp;"$"&amp;TEXT(C2484+57,"###"))))</f>
        <v>105.96370370370369</v>
      </c>
      <c r="F2484" s="26" t="str">
        <f t="shared" si="2456"/>
        <v>C</v>
      </c>
      <c r="G2484" s="9">
        <v>22</v>
      </c>
      <c r="H2484" s="9">
        <v>40</v>
      </c>
      <c r="I2484" s="9">
        <v>0</v>
      </c>
      <c r="J2484" s="9">
        <v>79</v>
      </c>
      <c r="K2484" s="9">
        <f t="shared" si="2515"/>
        <v>141</v>
      </c>
      <c r="L2484" s="10">
        <v>0</v>
      </c>
      <c r="M2484" s="11">
        <v>0</v>
      </c>
      <c r="N2484" s="10">
        <f>O2484/50</f>
        <v>21.24</v>
      </c>
      <c r="O2484" s="11">
        <v>1062</v>
      </c>
      <c r="P2484" s="10">
        <v>0</v>
      </c>
      <c r="Q2484" s="11">
        <v>0</v>
      </c>
      <c r="R2484" s="10">
        <v>0</v>
      </c>
      <c r="S2484" s="11">
        <v>0</v>
      </c>
      <c r="T2484" s="10">
        <v>0</v>
      </c>
      <c r="U2484" s="11">
        <v>0</v>
      </c>
      <c r="V2484" s="10">
        <v>0</v>
      </c>
      <c r="W2484" s="11">
        <v>0</v>
      </c>
      <c r="X2484" s="10">
        <f>Y2484/75</f>
        <v>88</v>
      </c>
      <c r="Y2484" s="11">
        <v>6600</v>
      </c>
      <c r="Z2484" s="10">
        <v>0</v>
      </c>
      <c r="AA2484" s="11">
        <v>0</v>
      </c>
      <c r="AB2484" s="10">
        <v>0</v>
      </c>
      <c r="AC2484" s="11">
        <v>0</v>
      </c>
      <c r="AD2484" s="10">
        <v>0</v>
      </c>
      <c r="AE2484" s="11">
        <v>0</v>
      </c>
      <c r="AF2484" s="10">
        <v>0</v>
      </c>
      <c r="AG2484" s="11">
        <v>0</v>
      </c>
      <c r="AH2484" s="10">
        <f>AI2484/47.5</f>
        <v>10.526315789473685</v>
      </c>
      <c r="AI2484" s="11">
        <v>500</v>
      </c>
      <c r="AJ2484" s="10">
        <v>0</v>
      </c>
      <c r="AK2484" s="13">
        <v>0</v>
      </c>
      <c r="AL2484" s="10">
        <v>0</v>
      </c>
      <c r="AM2484" s="13">
        <v>0</v>
      </c>
      <c r="AN2484" s="10">
        <v>0</v>
      </c>
      <c r="AO2484" s="11">
        <v>0</v>
      </c>
      <c r="AP2484" s="10">
        <f>AQ2484/80</f>
        <v>125</v>
      </c>
      <c r="AQ2484" s="11">
        <v>10000</v>
      </c>
      <c r="BN2484" s="8">
        <f t="shared" si="2513"/>
        <v>88</v>
      </c>
      <c r="BO2484" s="8">
        <f t="shared" si="2514"/>
        <v>6600</v>
      </c>
      <c r="BP2484" s="8">
        <f t="shared" si="2454"/>
        <v>244.76631578947368</v>
      </c>
      <c r="BQ2484" s="12">
        <f t="shared" si="2455"/>
        <v>18162</v>
      </c>
    </row>
    <row r="2485" spans="1:69">
      <c r="A2485" s="28">
        <v>2002</v>
      </c>
      <c r="B2485" s="27" t="s">
        <v>108</v>
      </c>
      <c r="C2485" s="24">
        <f t="shared" si="2459"/>
        <v>2438</v>
      </c>
      <c r="D2485" s="7" t="e">
        <f t="shared" ca="1" si="2457"/>
        <v>#N/A</v>
      </c>
      <c r="E2485" s="26">
        <f t="array" aca="1" ref="E2485" ca="1">AVERAGE(IF(INDIRECT(DatCol&amp;"$"&amp;TEXT(C2485,"###")):INDIRECT(DatCol&amp;"$"&amp;TEXT(C2485+57,"###"))&gt;0,INDIRECT(DatCol&amp;"$"&amp;TEXT(C2485,"###")):INDIRECT(DatCol&amp;"$"&amp;TEXT(C2485+57,"###"))))</f>
        <v>105.96370370370369</v>
      </c>
      <c r="F2485" s="26" t="str">
        <f t="shared" si="2456"/>
        <v>C</v>
      </c>
      <c r="G2485" s="9">
        <v>25</v>
      </c>
      <c r="H2485" s="9">
        <v>25</v>
      </c>
      <c r="I2485" s="9">
        <v>0</v>
      </c>
      <c r="J2485" s="9">
        <v>119</v>
      </c>
      <c r="K2485" s="9">
        <f t="shared" si="2515"/>
        <v>169</v>
      </c>
      <c r="L2485" s="10">
        <v>0</v>
      </c>
      <c r="M2485" s="11">
        <v>0</v>
      </c>
      <c r="N2485" s="10">
        <f>O2485/50</f>
        <v>19.04</v>
      </c>
      <c r="O2485" s="11">
        <v>952</v>
      </c>
      <c r="P2485" s="10">
        <v>0</v>
      </c>
      <c r="Q2485" s="11">
        <v>0</v>
      </c>
      <c r="R2485" s="10">
        <v>0</v>
      </c>
      <c r="S2485" s="11">
        <v>0</v>
      </c>
      <c r="T2485" s="10">
        <v>0</v>
      </c>
      <c r="U2485" s="11">
        <v>0</v>
      </c>
      <c r="V2485" s="10">
        <v>0</v>
      </c>
      <c r="W2485" s="11">
        <v>0</v>
      </c>
      <c r="X2485" s="10">
        <f>Y2485/75</f>
        <v>52.4</v>
      </c>
      <c r="Y2485" s="11">
        <v>3930</v>
      </c>
      <c r="Z2485" s="10">
        <v>0</v>
      </c>
      <c r="AA2485" s="11">
        <v>0</v>
      </c>
      <c r="AB2485" s="10">
        <v>0</v>
      </c>
      <c r="AC2485" s="11">
        <v>0</v>
      </c>
      <c r="AD2485" s="10">
        <v>0</v>
      </c>
      <c r="AE2485" s="11">
        <v>0</v>
      </c>
      <c r="AF2485" s="10">
        <v>0</v>
      </c>
      <c r="AG2485" s="11">
        <v>0</v>
      </c>
      <c r="AH2485" s="10">
        <f>AI2485/47.5</f>
        <v>12.631578947368421</v>
      </c>
      <c r="AI2485" s="11">
        <v>600</v>
      </c>
      <c r="AJ2485" s="10">
        <v>0</v>
      </c>
      <c r="AK2485" s="13">
        <v>0</v>
      </c>
      <c r="AL2485" s="10">
        <v>0</v>
      </c>
      <c r="AM2485" s="13">
        <v>0</v>
      </c>
      <c r="AN2485" s="10">
        <v>0</v>
      </c>
      <c r="AO2485" s="11">
        <v>0</v>
      </c>
      <c r="AP2485" s="10">
        <f>AQ2485/80</f>
        <v>120</v>
      </c>
      <c r="AQ2485" s="11">
        <v>9600</v>
      </c>
      <c r="BN2485" s="8">
        <f t="shared" si="2513"/>
        <v>52.4</v>
      </c>
      <c r="BO2485" s="8">
        <f t="shared" si="2514"/>
        <v>3930</v>
      </c>
      <c r="BP2485" s="8">
        <f t="shared" si="2454"/>
        <v>204.07157894736844</v>
      </c>
      <c r="BQ2485" s="12">
        <f t="shared" si="2455"/>
        <v>15082</v>
      </c>
    </row>
    <row r="2486" spans="1:69">
      <c r="A2486" s="28">
        <v>2003</v>
      </c>
      <c r="B2486" s="27" t="s">
        <v>108</v>
      </c>
      <c r="C2486" s="24">
        <f t="shared" si="2459"/>
        <v>2438</v>
      </c>
      <c r="D2486" s="7" t="e">
        <f t="shared" ca="1" si="2457"/>
        <v>#N/A</v>
      </c>
      <c r="E2486" s="26">
        <f t="array" aca="1" ref="E2486" ca="1">AVERAGE(IF(INDIRECT(DatCol&amp;"$"&amp;TEXT(C2486,"###")):INDIRECT(DatCol&amp;"$"&amp;TEXT(C2486+57,"###"))&gt;0,INDIRECT(DatCol&amp;"$"&amp;TEXT(C2486,"###")):INDIRECT(DatCol&amp;"$"&amp;TEXT(C2486+57,"###"))))</f>
        <v>105.96370370370369</v>
      </c>
      <c r="F2486" s="26" t="str">
        <f t="shared" si="2456"/>
        <v>C</v>
      </c>
      <c r="K2486" s="9">
        <f t="shared" si="2515"/>
        <v>0</v>
      </c>
      <c r="AK2486" s="13"/>
      <c r="AM2486" s="13"/>
      <c r="BN2486" s="8">
        <f t="shared" si="2513"/>
        <v>0</v>
      </c>
      <c r="BO2486" s="8">
        <f t="shared" si="2514"/>
        <v>0</v>
      </c>
      <c r="BP2486" s="8">
        <f t="shared" ref="BP2486:BP2550" si="2516">(N2486+X2486+Z2486+AB2486+AD2486+AH2486+AL2486+AP2486+AT2486+AX2486+BB2486+BF2486)</f>
        <v>0</v>
      </c>
      <c r="BQ2486" s="12">
        <f t="shared" ref="BQ2486:BQ2550" si="2517">(O2486+Y2486+AA2486+AC2486+AE2486+AI2486+AM2486+AQ2486+AU2486+AY2486+BC2486+BG2486)</f>
        <v>0</v>
      </c>
    </row>
    <row r="2487" spans="1:69">
      <c r="A2487" s="28">
        <v>2004</v>
      </c>
      <c r="B2487" s="27" t="s">
        <v>108</v>
      </c>
      <c r="C2487" s="24">
        <f t="shared" si="2459"/>
        <v>2438</v>
      </c>
      <c r="D2487" s="7" t="e">
        <f t="shared" ca="1" si="2457"/>
        <v>#N/A</v>
      </c>
      <c r="E2487" s="26">
        <f t="array" aca="1" ref="E2487" ca="1">AVERAGE(IF(INDIRECT(DatCol&amp;"$"&amp;TEXT(C2487,"###")):INDIRECT(DatCol&amp;"$"&amp;TEXT(C2487+57,"###"))&gt;0,INDIRECT(DatCol&amp;"$"&amp;TEXT(C2487,"###")):INDIRECT(DatCol&amp;"$"&amp;TEXT(C2487+57,"###"))))</f>
        <v>105.96370370370369</v>
      </c>
      <c r="F2487" s="26" t="str">
        <f t="shared" si="2456"/>
        <v>C</v>
      </c>
      <c r="K2487" s="9">
        <f t="shared" si="2515"/>
        <v>0</v>
      </c>
      <c r="AK2487" s="13"/>
      <c r="AM2487" s="13"/>
      <c r="BN2487" s="8">
        <f t="shared" si="2513"/>
        <v>0</v>
      </c>
      <c r="BO2487" s="8">
        <f t="shared" si="2514"/>
        <v>0</v>
      </c>
      <c r="BP2487" s="8">
        <f t="shared" si="2516"/>
        <v>0</v>
      </c>
      <c r="BQ2487" s="12">
        <f t="shared" si="2517"/>
        <v>0</v>
      </c>
    </row>
    <row r="2488" spans="1:69">
      <c r="A2488" s="28">
        <v>2005</v>
      </c>
      <c r="B2488" s="27" t="s">
        <v>108</v>
      </c>
      <c r="C2488" s="24">
        <f t="shared" si="2459"/>
        <v>2438</v>
      </c>
      <c r="D2488" s="7" t="e">
        <f t="shared" ca="1" si="2457"/>
        <v>#N/A</v>
      </c>
      <c r="E2488" s="26">
        <f t="array" aca="1" ref="E2488" ca="1">AVERAGE(IF(INDIRECT(DatCol&amp;"$"&amp;TEXT(C2488,"###")):INDIRECT(DatCol&amp;"$"&amp;TEXT(C2488+57,"###"))&gt;0,INDIRECT(DatCol&amp;"$"&amp;TEXT(C2488,"###")):INDIRECT(DatCol&amp;"$"&amp;TEXT(C2488+57,"###"))))</f>
        <v>105.96370370370369</v>
      </c>
      <c r="F2488" s="26" t="str">
        <f t="shared" si="2456"/>
        <v>C</v>
      </c>
      <c r="K2488" s="9">
        <f t="shared" si="2515"/>
        <v>0</v>
      </c>
      <c r="AK2488" s="13"/>
      <c r="AM2488" s="13"/>
      <c r="BN2488" s="8">
        <f t="shared" si="2513"/>
        <v>0</v>
      </c>
      <c r="BO2488" s="8">
        <f t="shared" si="2514"/>
        <v>0</v>
      </c>
      <c r="BP2488" s="8">
        <f t="shared" si="2516"/>
        <v>0</v>
      </c>
      <c r="BQ2488" s="12">
        <f t="shared" si="2517"/>
        <v>0</v>
      </c>
    </row>
    <row r="2489" spans="1:69">
      <c r="A2489" s="28">
        <v>2006</v>
      </c>
      <c r="B2489" s="27" t="s">
        <v>108</v>
      </c>
      <c r="C2489" s="24">
        <f t="shared" si="2459"/>
        <v>2438</v>
      </c>
      <c r="D2489" s="7" t="e">
        <f t="shared" ca="1" si="2457"/>
        <v>#N/A</v>
      </c>
      <c r="E2489" s="26">
        <f t="array" aca="1" ref="E2489" ca="1">AVERAGE(IF(INDIRECT(DatCol&amp;"$"&amp;TEXT(C2489,"###")):INDIRECT(DatCol&amp;"$"&amp;TEXT(C2489+57,"###"))&gt;0,INDIRECT(DatCol&amp;"$"&amp;TEXT(C2489,"###")):INDIRECT(DatCol&amp;"$"&amp;TEXT(C2489+57,"###"))))</f>
        <v>105.96370370370369</v>
      </c>
      <c r="F2489" s="26" t="str">
        <f t="shared" si="2456"/>
        <v>C</v>
      </c>
      <c r="K2489" s="9">
        <f t="shared" si="2515"/>
        <v>0</v>
      </c>
      <c r="AK2489" s="13"/>
      <c r="AM2489" s="13"/>
      <c r="BN2489" s="8">
        <f t="shared" si="2513"/>
        <v>0</v>
      </c>
      <c r="BO2489" s="8">
        <f t="shared" si="2514"/>
        <v>0</v>
      </c>
      <c r="BP2489" s="8">
        <f t="shared" si="2516"/>
        <v>0</v>
      </c>
      <c r="BQ2489" s="12">
        <f t="shared" si="2517"/>
        <v>0</v>
      </c>
    </row>
    <row r="2490" spans="1:69">
      <c r="A2490" s="28">
        <v>2007</v>
      </c>
      <c r="B2490" s="27" t="s">
        <v>108</v>
      </c>
      <c r="C2490" s="24">
        <f t="shared" si="2459"/>
        <v>2438</v>
      </c>
      <c r="D2490" s="7" t="e">
        <f t="shared" ca="1" si="2457"/>
        <v>#N/A</v>
      </c>
      <c r="E2490" s="26">
        <f t="array" aca="1" ref="E2490" ca="1">AVERAGE(IF(INDIRECT(DatCol&amp;"$"&amp;TEXT(C2490,"###")):INDIRECT(DatCol&amp;"$"&amp;TEXT(C2490+57,"###"))&gt;0,INDIRECT(DatCol&amp;"$"&amp;TEXT(C2490,"###")):INDIRECT(DatCol&amp;"$"&amp;TEXT(C2490+57,"###"))))</f>
        <v>105.96370370370369</v>
      </c>
      <c r="F2490" s="26" t="str">
        <f t="shared" si="2456"/>
        <v>C</v>
      </c>
      <c r="K2490" s="9">
        <f t="shared" si="2515"/>
        <v>0</v>
      </c>
      <c r="AK2490" s="13"/>
      <c r="AM2490" s="13"/>
      <c r="BN2490" s="8">
        <f t="shared" si="2513"/>
        <v>0</v>
      </c>
      <c r="BO2490" s="8">
        <f t="shared" si="2514"/>
        <v>0</v>
      </c>
      <c r="BP2490" s="8">
        <f t="shared" si="2516"/>
        <v>0</v>
      </c>
      <c r="BQ2490" s="12">
        <f t="shared" si="2517"/>
        <v>0</v>
      </c>
    </row>
    <row r="2491" spans="1:69">
      <c r="A2491" s="28">
        <v>2008</v>
      </c>
      <c r="B2491" s="27" t="s">
        <v>108</v>
      </c>
      <c r="C2491" s="24">
        <f t="shared" si="2459"/>
        <v>2438</v>
      </c>
      <c r="D2491" s="7" t="e">
        <f t="shared" ca="1" si="2457"/>
        <v>#N/A</v>
      </c>
      <c r="E2491" s="26">
        <f t="array" aca="1" ref="E2491" ca="1">AVERAGE(IF(INDIRECT(DatCol&amp;"$"&amp;TEXT(C2491,"###")):INDIRECT(DatCol&amp;"$"&amp;TEXT(C2491+57,"###"))&gt;0,INDIRECT(DatCol&amp;"$"&amp;TEXT(C2491,"###")):INDIRECT(DatCol&amp;"$"&amp;TEXT(C2491+57,"###"))))</f>
        <v>105.96370370370369</v>
      </c>
      <c r="F2491" s="26" t="str">
        <f t="shared" si="2456"/>
        <v>C</v>
      </c>
      <c r="K2491" s="9">
        <f t="shared" si="2515"/>
        <v>0</v>
      </c>
      <c r="AK2491" s="13"/>
      <c r="AM2491" s="13"/>
      <c r="BN2491" s="8">
        <f t="shared" si="2513"/>
        <v>0</v>
      </c>
      <c r="BO2491" s="8">
        <f t="shared" si="2514"/>
        <v>0</v>
      </c>
      <c r="BP2491" s="8">
        <f t="shared" si="2516"/>
        <v>0</v>
      </c>
      <c r="BQ2491" s="12">
        <f t="shared" si="2517"/>
        <v>0</v>
      </c>
    </row>
    <row r="2492" spans="1:69">
      <c r="A2492" s="28">
        <v>2009</v>
      </c>
      <c r="B2492" s="27" t="s">
        <v>108</v>
      </c>
      <c r="C2492" s="24">
        <f t="shared" si="2459"/>
        <v>2438</v>
      </c>
      <c r="D2492" s="7" t="e">
        <f t="shared" ca="1" si="2457"/>
        <v>#N/A</v>
      </c>
      <c r="E2492" s="26">
        <f t="array" aca="1" ref="E2492" ca="1">AVERAGE(IF(INDIRECT(DatCol&amp;"$"&amp;TEXT(C2492,"###")):INDIRECT(DatCol&amp;"$"&amp;TEXT(C2492+57,"###"))&gt;0,INDIRECT(DatCol&amp;"$"&amp;TEXT(C2492,"###")):INDIRECT(DatCol&amp;"$"&amp;TEXT(C2492+57,"###"))))</f>
        <v>105.96370370370369</v>
      </c>
      <c r="F2492" s="26" t="str">
        <f t="shared" si="2456"/>
        <v>C</v>
      </c>
      <c r="K2492" s="9">
        <f t="shared" si="2515"/>
        <v>0</v>
      </c>
      <c r="AK2492" s="13"/>
      <c r="AM2492" s="13"/>
      <c r="BN2492" s="8">
        <f t="shared" si="2513"/>
        <v>0</v>
      </c>
      <c r="BO2492" s="8">
        <f t="shared" si="2514"/>
        <v>0</v>
      </c>
      <c r="BP2492" s="8">
        <f t="shared" si="2516"/>
        <v>0</v>
      </c>
      <c r="BQ2492" s="12">
        <f t="shared" si="2517"/>
        <v>0</v>
      </c>
    </row>
    <row r="2493" spans="1:69">
      <c r="A2493" s="28">
        <v>2010</v>
      </c>
      <c r="B2493" s="27" t="s">
        <v>108</v>
      </c>
      <c r="C2493" s="24">
        <f t="shared" si="2459"/>
        <v>2438</v>
      </c>
      <c r="D2493" s="7" t="e">
        <f t="shared" ca="1" si="2457"/>
        <v>#N/A</v>
      </c>
      <c r="E2493" s="26">
        <f t="array" aca="1" ref="E2493" ca="1">AVERAGE(IF(INDIRECT(DatCol&amp;"$"&amp;TEXT(C2493,"###")):INDIRECT(DatCol&amp;"$"&amp;TEXT(C2493+57,"###"))&gt;0,INDIRECT(DatCol&amp;"$"&amp;TEXT(C2493,"###")):INDIRECT(DatCol&amp;"$"&amp;TEXT(C2493+57,"###"))))</f>
        <v>105.96370370370369</v>
      </c>
      <c r="F2493" s="26" t="str">
        <f t="shared" ref="F2493:F2495" si="2518">VLOOKUP(B2493,town_region,2,FALSE)</f>
        <v>C</v>
      </c>
      <c r="AK2493" s="13"/>
      <c r="AM2493" s="13"/>
      <c r="BN2493" s="8"/>
      <c r="BO2493" s="8"/>
      <c r="BP2493" s="8"/>
      <c r="BQ2493" s="12"/>
    </row>
    <row r="2494" spans="1:69">
      <c r="A2494" s="28">
        <v>2011</v>
      </c>
      <c r="B2494" s="27" t="s">
        <v>108</v>
      </c>
      <c r="C2494" s="24">
        <f t="shared" si="2459"/>
        <v>2438</v>
      </c>
      <c r="D2494" s="7" t="e">
        <f t="shared" ca="1" si="2457"/>
        <v>#N/A</v>
      </c>
      <c r="E2494" s="26">
        <f t="array" aca="1" ref="E2494" ca="1">AVERAGE(IF(INDIRECT(DatCol&amp;"$"&amp;TEXT(C2494,"###")):INDIRECT(DatCol&amp;"$"&amp;TEXT(C2494+57,"###"))&gt;0,INDIRECT(DatCol&amp;"$"&amp;TEXT(C2494,"###")):INDIRECT(DatCol&amp;"$"&amp;TEXT(C2494+57,"###"))))</f>
        <v>105.96370370370369</v>
      </c>
      <c r="F2494" s="26" t="str">
        <f t="shared" si="2518"/>
        <v>C</v>
      </c>
      <c r="AK2494" s="13"/>
      <c r="AM2494" s="13"/>
      <c r="BN2494" s="8"/>
      <c r="BO2494" s="8"/>
      <c r="BP2494" s="8"/>
      <c r="BQ2494" s="12"/>
    </row>
    <row r="2495" spans="1:69">
      <c r="A2495" s="28">
        <v>2012</v>
      </c>
      <c r="B2495" s="27" t="s">
        <v>108</v>
      </c>
      <c r="C2495" s="24">
        <f t="shared" si="2459"/>
        <v>2438</v>
      </c>
      <c r="D2495" s="7" t="e">
        <f t="shared" ca="1" si="2457"/>
        <v>#N/A</v>
      </c>
      <c r="E2495" s="26">
        <f t="array" aca="1" ref="E2495" ca="1">AVERAGE(IF(INDIRECT(DatCol&amp;"$"&amp;TEXT(C2495,"###")):INDIRECT(DatCol&amp;"$"&amp;TEXT(C2495+57,"###"))&gt;0,INDIRECT(DatCol&amp;"$"&amp;TEXT(C2495,"###")):INDIRECT(DatCol&amp;"$"&amp;TEXT(C2495+57,"###"))))</f>
        <v>105.96370370370369</v>
      </c>
      <c r="F2495" s="26" t="str">
        <f t="shared" si="2518"/>
        <v>C</v>
      </c>
      <c r="AK2495" s="13"/>
      <c r="AM2495" s="13"/>
      <c r="BN2495" s="8"/>
      <c r="BO2495" s="8"/>
      <c r="BP2495" s="8"/>
      <c r="BQ2495" s="12"/>
    </row>
    <row r="2496" spans="1:69">
      <c r="A2496" s="28">
        <v>1955</v>
      </c>
      <c r="B2496" s="27" t="s">
        <v>110</v>
      </c>
      <c r="C2496" s="24">
        <f>ROW()</f>
        <v>2496</v>
      </c>
      <c r="D2496" s="7" t="e">
        <f t="shared" ca="1" si="2457"/>
        <v>#N/A</v>
      </c>
      <c r="E2496" s="26">
        <f t="array" aca="1" ref="E2496" ca="1">AVERAGE(IF(INDIRECT(DatCol&amp;"$"&amp;TEXT(C2496,"###")):INDIRECT(DatCol&amp;"$"&amp;TEXT(C2496+57,"###"))&gt;0,INDIRECT(DatCol&amp;"$"&amp;TEXT(C2496,"###")):INDIRECT(DatCol&amp;"$"&amp;TEXT(C2496+57,"###"))))</f>
        <v>3263.6363636363635</v>
      </c>
      <c r="F2496" s="26" t="str">
        <f t="shared" si="2456"/>
        <v>B</v>
      </c>
      <c r="G2496" s="8"/>
      <c r="K2496" s="9">
        <f t="shared" si="2515"/>
        <v>0</v>
      </c>
      <c r="M2496" s="11">
        <f t="shared" si="2496"/>
        <v>0</v>
      </c>
      <c r="O2496" s="11">
        <f t="shared" si="2497"/>
        <v>0</v>
      </c>
      <c r="Q2496" s="11">
        <f t="shared" si="2498"/>
        <v>0</v>
      </c>
      <c r="Y2496" s="11">
        <f t="shared" si="2499"/>
        <v>0</v>
      </c>
      <c r="AG2496" s="11">
        <f t="shared" si="2500"/>
        <v>0</v>
      </c>
      <c r="AI2496" s="11">
        <f t="shared" si="2501"/>
        <v>0</v>
      </c>
      <c r="AK2496" s="13">
        <f t="shared" si="2502"/>
        <v>0</v>
      </c>
      <c r="AM2496" s="13">
        <f t="shared" ref="AM2496:AM2503" si="2519">(AL2496*9)</f>
        <v>0</v>
      </c>
      <c r="AO2496" s="11">
        <f t="shared" si="2503"/>
        <v>0</v>
      </c>
      <c r="AQ2496" s="11">
        <f t="shared" si="2504"/>
        <v>0</v>
      </c>
      <c r="AS2496" s="11">
        <f t="shared" si="2505"/>
        <v>0</v>
      </c>
      <c r="AU2496" s="11">
        <f t="shared" si="2506"/>
        <v>0</v>
      </c>
      <c r="AW2496" s="11">
        <f t="shared" si="2507"/>
        <v>0</v>
      </c>
      <c r="AY2496" s="11">
        <f t="shared" si="2508"/>
        <v>0</v>
      </c>
      <c r="BA2496" s="11">
        <f t="shared" si="2509"/>
        <v>0</v>
      </c>
      <c r="BC2496" s="11">
        <f t="shared" si="2510"/>
        <v>0</v>
      </c>
      <c r="BE2496" s="11">
        <f t="shared" si="2511"/>
        <v>0</v>
      </c>
      <c r="BG2496" s="11">
        <f t="shared" si="2512"/>
        <v>0</v>
      </c>
      <c r="BN2496" s="8">
        <f t="shared" si="2513"/>
        <v>0</v>
      </c>
      <c r="BO2496" s="8">
        <f t="shared" si="2514"/>
        <v>0</v>
      </c>
      <c r="BP2496" s="8">
        <f t="shared" si="2516"/>
        <v>0</v>
      </c>
      <c r="BQ2496" s="12">
        <f t="shared" si="2517"/>
        <v>0</v>
      </c>
    </row>
    <row r="2497" spans="1:69">
      <c r="A2497" s="28">
        <v>1956</v>
      </c>
      <c r="B2497" s="27" t="s">
        <v>110</v>
      </c>
      <c r="C2497" s="24">
        <f t="shared" ref="C2497:C2553" si="2520">C2496</f>
        <v>2496</v>
      </c>
      <c r="D2497" s="7" t="e">
        <f t="shared" ca="1" si="2457"/>
        <v>#N/A</v>
      </c>
      <c r="E2497" s="26">
        <f t="array" aca="1" ref="E2497" ca="1">AVERAGE(IF(INDIRECT(DatCol&amp;"$"&amp;TEXT(C2497,"###")):INDIRECT(DatCol&amp;"$"&amp;TEXT(C2497+57,"###"))&gt;0,INDIRECT(DatCol&amp;"$"&amp;TEXT(C2497,"###")):INDIRECT(DatCol&amp;"$"&amp;TEXT(C2497+57,"###"))))</f>
        <v>3263.6363636363635</v>
      </c>
      <c r="F2497" s="26" t="str">
        <f t="shared" si="2456"/>
        <v>B</v>
      </c>
      <c r="G2497" s="8"/>
      <c r="K2497" s="9">
        <f t="shared" si="2515"/>
        <v>0</v>
      </c>
      <c r="M2497" s="11">
        <f t="shared" si="2496"/>
        <v>0</v>
      </c>
      <c r="O2497" s="11">
        <f t="shared" si="2497"/>
        <v>0</v>
      </c>
      <c r="Q2497" s="11">
        <f t="shared" si="2498"/>
        <v>0</v>
      </c>
      <c r="Y2497" s="11">
        <f t="shared" si="2499"/>
        <v>0</v>
      </c>
      <c r="AG2497" s="11">
        <f t="shared" si="2500"/>
        <v>0</v>
      </c>
      <c r="AI2497" s="11">
        <f t="shared" si="2501"/>
        <v>0</v>
      </c>
      <c r="AK2497" s="13">
        <f t="shared" si="2502"/>
        <v>0</v>
      </c>
      <c r="AM2497" s="13">
        <f t="shared" si="2519"/>
        <v>0</v>
      </c>
      <c r="AO2497" s="11">
        <f t="shared" si="2503"/>
        <v>0</v>
      </c>
      <c r="AQ2497" s="11">
        <f t="shared" si="2504"/>
        <v>0</v>
      </c>
      <c r="AS2497" s="11">
        <f t="shared" si="2505"/>
        <v>0</v>
      </c>
      <c r="AU2497" s="11">
        <f t="shared" si="2506"/>
        <v>0</v>
      </c>
      <c r="AW2497" s="11">
        <f t="shared" si="2507"/>
        <v>0</v>
      </c>
      <c r="AY2497" s="11">
        <f t="shared" si="2508"/>
        <v>0</v>
      </c>
      <c r="BA2497" s="11">
        <f t="shared" si="2509"/>
        <v>0</v>
      </c>
      <c r="BC2497" s="11">
        <f t="shared" si="2510"/>
        <v>0</v>
      </c>
      <c r="BE2497" s="11">
        <f t="shared" si="2511"/>
        <v>0</v>
      </c>
      <c r="BG2497" s="11">
        <f t="shared" si="2512"/>
        <v>0</v>
      </c>
      <c r="BN2497" s="8">
        <f t="shared" si="2513"/>
        <v>0</v>
      </c>
      <c r="BO2497" s="8">
        <f t="shared" si="2514"/>
        <v>0</v>
      </c>
      <c r="BP2497" s="8">
        <f t="shared" si="2516"/>
        <v>0</v>
      </c>
      <c r="BQ2497" s="12">
        <f t="shared" si="2517"/>
        <v>0</v>
      </c>
    </row>
    <row r="2498" spans="1:69">
      <c r="A2498" s="28">
        <v>1957</v>
      </c>
      <c r="B2498" s="27" t="s">
        <v>110</v>
      </c>
      <c r="C2498" s="24">
        <f t="shared" si="2520"/>
        <v>2496</v>
      </c>
      <c r="D2498" s="7" t="e">
        <f t="shared" ref="D2498:D2561" ca="1" si="2521">IF(AND((INDIRECT(DatCol&amp;TEXT(ROW(),"###"))&gt;0),((F2498=RegionSelect)+(RegionSelect="A"))),INDIRECT(DatCol&amp;TEXT(ROW(),"###"))/E2498,NA())</f>
        <v>#N/A</v>
      </c>
      <c r="E2498" s="26">
        <f t="array" aca="1" ref="E2498" ca="1">AVERAGE(IF(INDIRECT(DatCol&amp;"$"&amp;TEXT(C2498,"###")):INDIRECT(DatCol&amp;"$"&amp;TEXT(C2498+57,"###"))&gt;0,INDIRECT(DatCol&amp;"$"&amp;TEXT(C2498,"###")):INDIRECT(DatCol&amp;"$"&amp;TEXT(C2498+57,"###"))))</f>
        <v>3263.6363636363635</v>
      </c>
      <c r="F2498" s="26" t="str">
        <f t="shared" si="2456"/>
        <v>B</v>
      </c>
      <c r="G2498" s="8"/>
      <c r="K2498" s="9">
        <f t="shared" si="2515"/>
        <v>0</v>
      </c>
      <c r="M2498" s="11">
        <f t="shared" si="2496"/>
        <v>0</v>
      </c>
      <c r="O2498" s="11">
        <f t="shared" si="2497"/>
        <v>0</v>
      </c>
      <c r="Q2498" s="11">
        <f t="shared" si="2498"/>
        <v>0</v>
      </c>
      <c r="Y2498" s="11">
        <f t="shared" si="2499"/>
        <v>0</v>
      </c>
      <c r="AG2498" s="11">
        <f t="shared" si="2500"/>
        <v>0</v>
      </c>
      <c r="AI2498" s="11">
        <f t="shared" si="2501"/>
        <v>0</v>
      </c>
      <c r="AK2498" s="13">
        <f t="shared" si="2502"/>
        <v>0</v>
      </c>
      <c r="AM2498" s="13">
        <f t="shared" si="2519"/>
        <v>0</v>
      </c>
      <c r="AO2498" s="11">
        <f t="shared" si="2503"/>
        <v>0</v>
      </c>
      <c r="AQ2498" s="11">
        <f t="shared" si="2504"/>
        <v>0</v>
      </c>
      <c r="AS2498" s="11">
        <f t="shared" si="2505"/>
        <v>0</v>
      </c>
      <c r="AU2498" s="11">
        <f t="shared" si="2506"/>
        <v>0</v>
      </c>
      <c r="AW2498" s="11">
        <f t="shared" si="2507"/>
        <v>0</v>
      </c>
      <c r="AY2498" s="11">
        <f t="shared" si="2508"/>
        <v>0</v>
      </c>
      <c r="BA2498" s="11">
        <f t="shared" si="2509"/>
        <v>0</v>
      </c>
      <c r="BC2498" s="11">
        <f t="shared" si="2510"/>
        <v>0</v>
      </c>
      <c r="BE2498" s="11">
        <f t="shared" si="2511"/>
        <v>0</v>
      </c>
      <c r="BG2498" s="11">
        <f t="shared" si="2512"/>
        <v>0</v>
      </c>
      <c r="BN2498" s="8">
        <f t="shared" si="2513"/>
        <v>0</v>
      </c>
      <c r="BO2498" s="8">
        <f t="shared" si="2514"/>
        <v>0</v>
      </c>
      <c r="BP2498" s="8">
        <f t="shared" si="2516"/>
        <v>0</v>
      </c>
      <c r="BQ2498" s="12">
        <f t="shared" si="2517"/>
        <v>0</v>
      </c>
    </row>
    <row r="2499" spans="1:69">
      <c r="A2499" s="28">
        <v>1958</v>
      </c>
      <c r="B2499" s="27" t="s">
        <v>110</v>
      </c>
      <c r="C2499" s="24">
        <f t="shared" si="2520"/>
        <v>2496</v>
      </c>
      <c r="D2499" s="7" t="e">
        <f t="shared" ca="1" si="2521"/>
        <v>#N/A</v>
      </c>
      <c r="E2499" s="26">
        <f t="array" aca="1" ref="E2499" ca="1">AVERAGE(IF(INDIRECT(DatCol&amp;"$"&amp;TEXT(C2499,"###")):INDIRECT(DatCol&amp;"$"&amp;TEXT(C2499+57,"###"))&gt;0,INDIRECT(DatCol&amp;"$"&amp;TEXT(C2499,"###")):INDIRECT(DatCol&amp;"$"&amp;TEXT(C2499+57,"###"))))</f>
        <v>3263.6363636363635</v>
      </c>
      <c r="F2499" s="26" t="str">
        <f t="shared" ref="F2499:F2565" si="2522">VLOOKUP(B2499,town_region,2,FALSE)</f>
        <v>B</v>
      </c>
      <c r="G2499" s="8"/>
      <c r="K2499" s="9">
        <f t="shared" si="2515"/>
        <v>0</v>
      </c>
      <c r="M2499" s="11">
        <f t="shared" si="2496"/>
        <v>0</v>
      </c>
      <c r="O2499" s="11">
        <f t="shared" si="2497"/>
        <v>0</v>
      </c>
      <c r="Q2499" s="11">
        <f t="shared" si="2498"/>
        <v>0</v>
      </c>
      <c r="Y2499" s="11">
        <f t="shared" si="2499"/>
        <v>0</v>
      </c>
      <c r="AG2499" s="11">
        <f t="shared" si="2500"/>
        <v>0</v>
      </c>
      <c r="AI2499" s="11">
        <f t="shared" si="2501"/>
        <v>0</v>
      </c>
      <c r="AK2499" s="13">
        <f t="shared" si="2502"/>
        <v>0</v>
      </c>
      <c r="AL2499" s="12">
        <v>5700</v>
      </c>
      <c r="AM2499" s="13">
        <f t="shared" si="2519"/>
        <v>51300</v>
      </c>
      <c r="AO2499" s="11">
        <f t="shared" si="2503"/>
        <v>0</v>
      </c>
      <c r="AQ2499" s="11">
        <f t="shared" si="2504"/>
        <v>0</v>
      </c>
      <c r="AS2499" s="11">
        <f t="shared" si="2505"/>
        <v>0</v>
      </c>
      <c r="AU2499" s="11">
        <f t="shared" si="2506"/>
        <v>0</v>
      </c>
      <c r="AW2499" s="11">
        <f t="shared" si="2507"/>
        <v>0</v>
      </c>
      <c r="AY2499" s="11">
        <f t="shared" si="2508"/>
        <v>0</v>
      </c>
      <c r="BA2499" s="11">
        <f t="shared" si="2509"/>
        <v>0</v>
      </c>
      <c r="BC2499" s="11">
        <f t="shared" si="2510"/>
        <v>0</v>
      </c>
      <c r="BE2499" s="11">
        <f t="shared" si="2511"/>
        <v>0</v>
      </c>
      <c r="BG2499" s="11">
        <f t="shared" si="2512"/>
        <v>0</v>
      </c>
      <c r="BN2499" s="8">
        <f t="shared" si="2513"/>
        <v>0</v>
      </c>
      <c r="BO2499" s="8">
        <f t="shared" si="2514"/>
        <v>0</v>
      </c>
      <c r="BP2499" s="8">
        <f t="shared" si="2516"/>
        <v>5700</v>
      </c>
      <c r="BQ2499" s="12">
        <f t="shared" si="2517"/>
        <v>51300</v>
      </c>
    </row>
    <row r="2500" spans="1:69">
      <c r="A2500" s="28">
        <v>1959</v>
      </c>
      <c r="B2500" s="27" t="s">
        <v>110</v>
      </c>
      <c r="C2500" s="24">
        <f t="shared" si="2520"/>
        <v>2496</v>
      </c>
      <c r="D2500" s="7" t="e">
        <f t="shared" ca="1" si="2521"/>
        <v>#N/A</v>
      </c>
      <c r="E2500" s="26">
        <f t="array" aca="1" ref="E2500" ca="1">AVERAGE(IF(INDIRECT(DatCol&amp;"$"&amp;TEXT(C2500,"###")):INDIRECT(DatCol&amp;"$"&amp;TEXT(C2500+57,"###"))&gt;0,INDIRECT(DatCol&amp;"$"&amp;TEXT(C2500,"###")):INDIRECT(DatCol&amp;"$"&amp;TEXT(C2500+57,"###"))))</f>
        <v>3263.6363636363635</v>
      </c>
      <c r="F2500" s="26" t="str">
        <f t="shared" si="2522"/>
        <v>B</v>
      </c>
      <c r="G2500" s="8"/>
      <c r="I2500" s="8">
        <v>66</v>
      </c>
      <c r="J2500" s="8">
        <v>1965</v>
      </c>
      <c r="K2500" s="9">
        <f t="shared" si="2515"/>
        <v>1965</v>
      </c>
      <c r="M2500" s="11">
        <f t="shared" si="2496"/>
        <v>0</v>
      </c>
      <c r="O2500" s="11">
        <f t="shared" si="2497"/>
        <v>0</v>
      </c>
      <c r="Q2500" s="11">
        <f t="shared" si="2498"/>
        <v>0</v>
      </c>
      <c r="Y2500" s="11">
        <f t="shared" si="2499"/>
        <v>0</v>
      </c>
      <c r="AG2500" s="11">
        <f t="shared" si="2500"/>
        <v>0</v>
      </c>
      <c r="AI2500" s="11">
        <f t="shared" si="2501"/>
        <v>0</v>
      </c>
      <c r="AK2500" s="13">
        <f t="shared" si="2502"/>
        <v>0</v>
      </c>
      <c r="AL2500" s="12">
        <v>1500</v>
      </c>
      <c r="AM2500" s="13">
        <f t="shared" si="2519"/>
        <v>13500</v>
      </c>
      <c r="AO2500" s="11">
        <f t="shared" si="2503"/>
        <v>0</v>
      </c>
      <c r="AQ2500" s="11">
        <f t="shared" si="2504"/>
        <v>0</v>
      </c>
      <c r="AS2500" s="11">
        <f t="shared" si="2505"/>
        <v>0</v>
      </c>
      <c r="AU2500" s="11">
        <f t="shared" si="2506"/>
        <v>0</v>
      </c>
      <c r="AW2500" s="11">
        <f t="shared" si="2507"/>
        <v>0</v>
      </c>
      <c r="AY2500" s="11">
        <f t="shared" si="2508"/>
        <v>0</v>
      </c>
      <c r="BA2500" s="11">
        <f t="shared" si="2509"/>
        <v>0</v>
      </c>
      <c r="BC2500" s="11">
        <f t="shared" si="2510"/>
        <v>0</v>
      </c>
      <c r="BE2500" s="11">
        <f t="shared" si="2511"/>
        <v>0</v>
      </c>
      <c r="BG2500" s="11">
        <f t="shared" si="2512"/>
        <v>0</v>
      </c>
      <c r="BN2500" s="8">
        <f t="shared" si="2513"/>
        <v>0</v>
      </c>
      <c r="BO2500" s="8">
        <f t="shared" si="2514"/>
        <v>0</v>
      </c>
      <c r="BP2500" s="8">
        <f t="shared" si="2516"/>
        <v>1500</v>
      </c>
      <c r="BQ2500" s="12">
        <f t="shared" si="2517"/>
        <v>13500</v>
      </c>
    </row>
    <row r="2501" spans="1:69">
      <c r="A2501" s="28">
        <v>1960</v>
      </c>
      <c r="B2501" s="27" t="s">
        <v>110</v>
      </c>
      <c r="C2501" s="24">
        <f t="shared" si="2520"/>
        <v>2496</v>
      </c>
      <c r="D2501" s="7">
        <f t="shared" ca="1" si="2521"/>
        <v>0.30640668523676884</v>
      </c>
      <c r="E2501" s="26">
        <f t="array" aca="1" ref="E2501" ca="1">AVERAGE(IF(INDIRECT(DatCol&amp;"$"&amp;TEXT(C2501,"###")):INDIRECT(DatCol&amp;"$"&amp;TEXT(C2501+57,"###"))&gt;0,INDIRECT(DatCol&amp;"$"&amp;TEXT(C2501,"###")):INDIRECT(DatCol&amp;"$"&amp;TEXT(C2501+57,"###"))))</f>
        <v>3263.6363636363635</v>
      </c>
      <c r="F2501" s="26" t="str">
        <f t="shared" si="2522"/>
        <v>B</v>
      </c>
      <c r="G2501" s="8"/>
      <c r="I2501" s="8">
        <v>59</v>
      </c>
      <c r="J2501" s="8">
        <v>2157</v>
      </c>
      <c r="K2501" s="9">
        <f t="shared" si="2515"/>
        <v>2157</v>
      </c>
      <c r="M2501" s="11">
        <f t="shared" si="2496"/>
        <v>0</v>
      </c>
      <c r="N2501" s="12">
        <v>1000</v>
      </c>
      <c r="O2501" s="11">
        <f t="shared" si="2497"/>
        <v>50000</v>
      </c>
      <c r="Q2501" s="11">
        <f t="shared" si="2498"/>
        <v>0</v>
      </c>
      <c r="X2501" s="12">
        <v>6000</v>
      </c>
      <c r="Y2501" s="11">
        <f t="shared" si="2499"/>
        <v>360000</v>
      </c>
      <c r="AG2501" s="11">
        <f t="shared" si="2500"/>
        <v>0</v>
      </c>
      <c r="AH2501" s="12">
        <v>500</v>
      </c>
      <c r="AI2501" s="11">
        <f t="shared" si="2501"/>
        <v>32500</v>
      </c>
      <c r="AJ2501" s="12">
        <v>10000</v>
      </c>
      <c r="AK2501" s="13">
        <f t="shared" si="2502"/>
        <v>90000</v>
      </c>
      <c r="AL2501" s="12">
        <v>5000</v>
      </c>
      <c r="AM2501" s="13">
        <f t="shared" si="2519"/>
        <v>45000</v>
      </c>
      <c r="AO2501" s="11">
        <f t="shared" si="2503"/>
        <v>0</v>
      </c>
      <c r="AQ2501" s="11">
        <f t="shared" si="2504"/>
        <v>0</v>
      </c>
      <c r="AS2501" s="11">
        <f t="shared" si="2505"/>
        <v>0</v>
      </c>
      <c r="AU2501" s="11">
        <f t="shared" si="2506"/>
        <v>0</v>
      </c>
      <c r="AW2501" s="11">
        <f t="shared" si="2507"/>
        <v>0</v>
      </c>
      <c r="AY2501" s="11">
        <f t="shared" si="2508"/>
        <v>0</v>
      </c>
      <c r="BA2501" s="11">
        <f t="shared" si="2509"/>
        <v>0</v>
      </c>
      <c r="BC2501" s="11">
        <f t="shared" si="2510"/>
        <v>0</v>
      </c>
      <c r="BE2501" s="11">
        <f t="shared" si="2511"/>
        <v>0</v>
      </c>
      <c r="BG2501" s="11">
        <f t="shared" si="2512"/>
        <v>0</v>
      </c>
      <c r="BN2501" s="8">
        <f t="shared" si="2513"/>
        <v>16000</v>
      </c>
      <c r="BO2501" s="8">
        <f t="shared" si="2514"/>
        <v>450000</v>
      </c>
      <c r="BP2501" s="8">
        <f t="shared" si="2516"/>
        <v>12500</v>
      </c>
      <c r="BQ2501" s="12">
        <f t="shared" si="2517"/>
        <v>487500</v>
      </c>
    </row>
    <row r="2502" spans="1:69">
      <c r="A2502" s="28">
        <v>1961</v>
      </c>
      <c r="B2502" s="27" t="s">
        <v>110</v>
      </c>
      <c r="C2502" s="24">
        <f t="shared" si="2520"/>
        <v>2496</v>
      </c>
      <c r="D2502" s="7">
        <f t="shared" ca="1" si="2521"/>
        <v>0.4596100278551532</v>
      </c>
      <c r="E2502" s="26">
        <f t="array" aca="1" ref="E2502" ca="1">AVERAGE(IF(INDIRECT(DatCol&amp;"$"&amp;TEXT(C2502,"###")):INDIRECT(DatCol&amp;"$"&amp;TEXT(C2502+57,"###"))&gt;0,INDIRECT(DatCol&amp;"$"&amp;TEXT(C2502,"###")):INDIRECT(DatCol&amp;"$"&amp;TEXT(C2502+57,"###"))))</f>
        <v>3263.6363636363635</v>
      </c>
      <c r="F2502" s="26" t="str">
        <f t="shared" si="2522"/>
        <v>B</v>
      </c>
      <c r="G2502" s="8"/>
      <c r="I2502" s="8">
        <v>60</v>
      </c>
      <c r="J2502" s="8">
        <v>1843</v>
      </c>
      <c r="K2502" s="9">
        <f t="shared" si="2515"/>
        <v>1843</v>
      </c>
      <c r="M2502" s="11">
        <f t="shared" si="2496"/>
        <v>0</v>
      </c>
      <c r="N2502" s="12">
        <v>1500</v>
      </c>
      <c r="O2502" s="11">
        <f t="shared" si="2497"/>
        <v>75000</v>
      </c>
      <c r="P2502" s="12">
        <v>1500</v>
      </c>
      <c r="Q2502" s="11">
        <f t="shared" si="2498"/>
        <v>90000</v>
      </c>
      <c r="X2502" s="12">
        <v>12000</v>
      </c>
      <c r="Y2502" s="11">
        <f t="shared" si="2499"/>
        <v>720000</v>
      </c>
      <c r="AG2502" s="11">
        <f t="shared" si="2500"/>
        <v>0</v>
      </c>
      <c r="AH2502" s="12">
        <v>1000</v>
      </c>
      <c r="AI2502" s="11">
        <f t="shared" si="2501"/>
        <v>65000</v>
      </c>
      <c r="AJ2502" s="12">
        <v>3500</v>
      </c>
      <c r="AK2502" s="13">
        <f t="shared" si="2502"/>
        <v>31500</v>
      </c>
      <c r="AL2502" s="12">
        <v>2000</v>
      </c>
      <c r="AM2502" s="13">
        <f t="shared" si="2519"/>
        <v>18000</v>
      </c>
      <c r="AO2502" s="11">
        <f t="shared" si="2503"/>
        <v>0</v>
      </c>
      <c r="AQ2502" s="11">
        <f t="shared" si="2504"/>
        <v>0</v>
      </c>
      <c r="AS2502" s="11">
        <f t="shared" si="2505"/>
        <v>0</v>
      </c>
      <c r="AU2502" s="11">
        <f t="shared" si="2506"/>
        <v>0</v>
      </c>
      <c r="AW2502" s="11">
        <f t="shared" si="2507"/>
        <v>0</v>
      </c>
      <c r="AY2502" s="11">
        <f t="shared" si="2508"/>
        <v>0</v>
      </c>
      <c r="BA2502" s="11">
        <f t="shared" si="2509"/>
        <v>0</v>
      </c>
      <c r="BC2502" s="11">
        <f t="shared" si="2510"/>
        <v>0</v>
      </c>
      <c r="BE2502" s="11">
        <f t="shared" si="2511"/>
        <v>0</v>
      </c>
      <c r="BG2502" s="11">
        <f t="shared" si="2512"/>
        <v>0</v>
      </c>
      <c r="BN2502" s="8">
        <f t="shared" si="2513"/>
        <v>17000</v>
      </c>
      <c r="BO2502" s="8">
        <f t="shared" si="2514"/>
        <v>841500</v>
      </c>
      <c r="BP2502" s="8">
        <f t="shared" si="2516"/>
        <v>16500</v>
      </c>
      <c r="BQ2502" s="12">
        <f t="shared" si="2517"/>
        <v>878000</v>
      </c>
    </row>
    <row r="2503" spans="1:69">
      <c r="A2503" s="28">
        <v>1962</v>
      </c>
      <c r="B2503" s="27" t="s">
        <v>110</v>
      </c>
      <c r="C2503" s="24">
        <f t="shared" si="2520"/>
        <v>2496</v>
      </c>
      <c r="D2503" s="7">
        <f t="shared" ca="1" si="2521"/>
        <v>0.4596100278551532</v>
      </c>
      <c r="E2503" s="26">
        <f t="array" aca="1" ref="E2503" ca="1">AVERAGE(IF(INDIRECT(DatCol&amp;"$"&amp;TEXT(C2503,"###")):INDIRECT(DatCol&amp;"$"&amp;TEXT(C2503+57,"###"))&gt;0,INDIRECT(DatCol&amp;"$"&amp;TEXT(C2503,"###")):INDIRECT(DatCol&amp;"$"&amp;TEXT(C2503+57,"###"))))</f>
        <v>3263.6363636363635</v>
      </c>
      <c r="F2503" s="26" t="str">
        <f t="shared" si="2522"/>
        <v>B</v>
      </c>
      <c r="G2503" s="8"/>
      <c r="I2503" s="8">
        <v>50</v>
      </c>
      <c r="J2503" s="8">
        <v>1801</v>
      </c>
      <c r="K2503" s="9">
        <f t="shared" si="2515"/>
        <v>1801</v>
      </c>
      <c r="M2503" s="11">
        <f t="shared" si="2496"/>
        <v>0</v>
      </c>
      <c r="N2503" s="12">
        <v>1500</v>
      </c>
      <c r="O2503" s="11">
        <f t="shared" si="2497"/>
        <v>75000</v>
      </c>
      <c r="P2503" s="12">
        <v>750</v>
      </c>
      <c r="Q2503" s="11">
        <f t="shared" si="2498"/>
        <v>45000</v>
      </c>
      <c r="X2503" s="12">
        <v>11000</v>
      </c>
      <c r="Y2503" s="11">
        <f t="shared" si="2499"/>
        <v>660000</v>
      </c>
      <c r="AG2503" s="11">
        <f t="shared" si="2500"/>
        <v>0</v>
      </c>
      <c r="AH2503" s="12">
        <v>1000</v>
      </c>
      <c r="AI2503" s="11">
        <f t="shared" si="2501"/>
        <v>65000</v>
      </c>
      <c r="AJ2503" s="12">
        <v>8000</v>
      </c>
      <c r="AK2503" s="13">
        <f t="shared" si="2502"/>
        <v>72000</v>
      </c>
      <c r="AL2503" s="12">
        <v>4500</v>
      </c>
      <c r="AM2503" s="13">
        <f t="shared" si="2519"/>
        <v>40500</v>
      </c>
      <c r="AO2503" s="11">
        <f t="shared" si="2503"/>
        <v>0</v>
      </c>
      <c r="AQ2503" s="11">
        <f t="shared" si="2504"/>
        <v>0</v>
      </c>
      <c r="AS2503" s="11">
        <f t="shared" si="2505"/>
        <v>0</v>
      </c>
      <c r="AU2503" s="11">
        <f t="shared" si="2506"/>
        <v>0</v>
      </c>
      <c r="AW2503" s="11">
        <f t="shared" si="2507"/>
        <v>0</v>
      </c>
      <c r="AY2503" s="11">
        <f t="shared" si="2508"/>
        <v>0</v>
      </c>
      <c r="BA2503" s="11">
        <f t="shared" si="2509"/>
        <v>0</v>
      </c>
      <c r="BC2503" s="11">
        <f t="shared" si="2510"/>
        <v>0</v>
      </c>
      <c r="BE2503" s="11">
        <f t="shared" si="2511"/>
        <v>0</v>
      </c>
      <c r="BG2503" s="11">
        <f t="shared" si="2512"/>
        <v>0</v>
      </c>
      <c r="BN2503" s="8">
        <f t="shared" si="2513"/>
        <v>19750</v>
      </c>
      <c r="BO2503" s="8">
        <f t="shared" si="2514"/>
        <v>777000</v>
      </c>
      <c r="BP2503" s="8">
        <f t="shared" si="2516"/>
        <v>18000</v>
      </c>
      <c r="BQ2503" s="12">
        <f t="shared" si="2517"/>
        <v>840500</v>
      </c>
    </row>
    <row r="2504" spans="1:69">
      <c r="A2504" s="28">
        <v>1963</v>
      </c>
      <c r="B2504" s="27" t="s">
        <v>110</v>
      </c>
      <c r="C2504" s="24">
        <f t="shared" si="2520"/>
        <v>2496</v>
      </c>
      <c r="D2504" s="7">
        <f t="shared" ca="1" si="2521"/>
        <v>0.61281337047353768</v>
      </c>
      <c r="E2504" s="26">
        <f t="array" aca="1" ref="E2504" ca="1">AVERAGE(IF(INDIRECT(DatCol&amp;"$"&amp;TEXT(C2504,"###")):INDIRECT(DatCol&amp;"$"&amp;TEXT(C2504+57,"###"))&gt;0,INDIRECT(DatCol&amp;"$"&amp;TEXT(C2504,"###")):INDIRECT(DatCol&amp;"$"&amp;TEXT(C2504+57,"###"))))</f>
        <v>3263.6363636363635</v>
      </c>
      <c r="F2504" s="26" t="str">
        <f t="shared" si="2522"/>
        <v>B</v>
      </c>
      <c r="G2504" s="8"/>
      <c r="I2504" s="8">
        <v>68</v>
      </c>
      <c r="J2504" s="8">
        <v>2037</v>
      </c>
      <c r="K2504" s="9">
        <f t="shared" si="2515"/>
        <v>2037</v>
      </c>
      <c r="M2504" s="11">
        <f t="shared" ref="M2504:M2519" si="2523">(L2504*50)</f>
        <v>0</v>
      </c>
      <c r="N2504" s="12">
        <v>2000</v>
      </c>
      <c r="O2504" s="11">
        <f t="shared" ref="O2504:O2519" si="2524">(N2504*50)</f>
        <v>100000</v>
      </c>
      <c r="P2504" s="12">
        <v>3600</v>
      </c>
      <c r="Q2504" s="11">
        <f t="shared" ref="Q2504:Q2519" si="2525">((P2504*330)/5.5)</f>
        <v>216000</v>
      </c>
      <c r="X2504" s="12">
        <v>12000</v>
      </c>
      <c r="Y2504" s="11">
        <f t="shared" ref="Y2504:Y2519" si="2526">((X2504*330)/5.5)</f>
        <v>720000</v>
      </c>
      <c r="AG2504" s="11">
        <f t="shared" ref="AG2504:AG2519" si="2527">(AF2504*65)</f>
        <v>0</v>
      </c>
      <c r="AH2504" s="12">
        <v>1200</v>
      </c>
      <c r="AI2504" s="11">
        <f t="shared" ref="AI2504:AI2519" si="2528">(AH2504*65)</f>
        <v>78000</v>
      </c>
      <c r="AJ2504" s="12">
        <v>3800</v>
      </c>
      <c r="AK2504" s="13">
        <f t="shared" ref="AK2504:AK2519" si="2529">(AJ2504*9)</f>
        <v>34200</v>
      </c>
      <c r="AL2504" s="12">
        <v>1000</v>
      </c>
      <c r="AM2504" s="13">
        <f t="shared" ref="AM2504:AM2519" si="2530">(AL2504*9)</f>
        <v>9000</v>
      </c>
      <c r="AO2504" s="11">
        <f t="shared" ref="AO2504:AO2519" si="2531">(AN2504*80)</f>
        <v>0</v>
      </c>
      <c r="AQ2504" s="11">
        <f t="shared" ref="AQ2504:AQ2519" si="2532">(AP2504*80)</f>
        <v>0</v>
      </c>
      <c r="AS2504" s="11">
        <f t="shared" ref="AS2504:AS2519" si="2533">(AR2504*50)</f>
        <v>0</v>
      </c>
      <c r="AU2504" s="11">
        <f t="shared" ref="AU2504:AU2519" si="2534">(AT2504*50)</f>
        <v>0</v>
      </c>
      <c r="AW2504" s="11">
        <f t="shared" ref="AW2504:AW2519" si="2535">(AV2504*60)</f>
        <v>0</v>
      </c>
      <c r="AY2504" s="11">
        <f t="shared" ref="AY2504:AY2519" si="2536">(AX2504*60)</f>
        <v>0</v>
      </c>
      <c r="BA2504" s="11">
        <f t="shared" ref="BA2504:BA2519" si="2537">(AZ2504*40)</f>
        <v>0</v>
      </c>
      <c r="BC2504" s="11">
        <f t="shared" ref="BC2504:BC2519" si="2538">(BB2504*40)</f>
        <v>0</v>
      </c>
      <c r="BE2504" s="11">
        <f t="shared" ref="BE2504:BE2519" si="2539">(BD2504*95)</f>
        <v>0</v>
      </c>
      <c r="BG2504" s="11">
        <f t="shared" ref="BG2504:BG2519" si="2540">(BF2504*95)</f>
        <v>0</v>
      </c>
      <c r="BN2504" s="8">
        <f t="shared" si="2513"/>
        <v>19400</v>
      </c>
      <c r="BO2504" s="8">
        <f t="shared" si="2514"/>
        <v>970200</v>
      </c>
      <c r="BP2504" s="8">
        <f t="shared" si="2516"/>
        <v>16200</v>
      </c>
      <c r="BQ2504" s="12">
        <f t="shared" si="2517"/>
        <v>907000</v>
      </c>
    </row>
    <row r="2505" spans="1:69">
      <c r="A2505" s="28">
        <v>1964</v>
      </c>
      <c r="B2505" s="27" t="s">
        <v>110</v>
      </c>
      <c r="C2505" s="24">
        <f t="shared" si="2520"/>
        <v>2496</v>
      </c>
      <c r="D2505" s="7">
        <f t="shared" ca="1" si="2521"/>
        <v>0.91922005571030641</v>
      </c>
      <c r="E2505" s="26">
        <f t="array" aca="1" ref="E2505" ca="1">AVERAGE(IF(INDIRECT(DatCol&amp;"$"&amp;TEXT(C2505,"###")):INDIRECT(DatCol&amp;"$"&amp;TEXT(C2505+57,"###"))&gt;0,INDIRECT(DatCol&amp;"$"&amp;TEXT(C2505,"###")):INDIRECT(DatCol&amp;"$"&amp;TEXT(C2505+57,"###"))))</f>
        <v>3263.6363636363635</v>
      </c>
      <c r="F2505" s="26" t="str">
        <f t="shared" si="2522"/>
        <v>B</v>
      </c>
      <c r="G2505" s="8"/>
      <c r="I2505" s="8">
        <v>73</v>
      </c>
      <c r="J2505" s="8">
        <v>2107</v>
      </c>
      <c r="K2505" s="9">
        <f t="shared" si="2515"/>
        <v>2107</v>
      </c>
      <c r="M2505" s="11">
        <f t="shared" si="2523"/>
        <v>0</v>
      </c>
      <c r="N2505" s="12">
        <v>3000</v>
      </c>
      <c r="O2505" s="11">
        <f t="shared" si="2524"/>
        <v>150000</v>
      </c>
      <c r="P2505" s="12">
        <v>3500</v>
      </c>
      <c r="Q2505" s="11">
        <f t="shared" si="2525"/>
        <v>210000</v>
      </c>
      <c r="X2505" s="12">
        <v>14700</v>
      </c>
      <c r="Y2505" s="11">
        <f t="shared" si="2526"/>
        <v>882000</v>
      </c>
      <c r="AG2505" s="11">
        <f t="shared" si="2527"/>
        <v>0</v>
      </c>
      <c r="AH2505" s="12">
        <v>1500</v>
      </c>
      <c r="AI2505" s="11">
        <f t="shared" si="2528"/>
        <v>97500</v>
      </c>
      <c r="AJ2505" s="12">
        <v>3060</v>
      </c>
      <c r="AK2505" s="13">
        <f t="shared" si="2529"/>
        <v>27540</v>
      </c>
      <c r="AL2505" s="12">
        <v>1000</v>
      </c>
      <c r="AM2505" s="13">
        <f t="shared" si="2530"/>
        <v>9000</v>
      </c>
      <c r="AO2505" s="11">
        <f t="shared" si="2531"/>
        <v>0</v>
      </c>
      <c r="AQ2505" s="11">
        <f t="shared" si="2532"/>
        <v>0</v>
      </c>
      <c r="AS2505" s="11">
        <f t="shared" si="2533"/>
        <v>0</v>
      </c>
      <c r="AU2505" s="11">
        <f t="shared" si="2534"/>
        <v>0</v>
      </c>
      <c r="AW2505" s="11">
        <f t="shared" si="2535"/>
        <v>0</v>
      </c>
      <c r="AY2505" s="11">
        <f t="shared" si="2536"/>
        <v>0</v>
      </c>
      <c r="BA2505" s="11">
        <f t="shared" si="2537"/>
        <v>0</v>
      </c>
      <c r="BC2505" s="11">
        <f t="shared" si="2538"/>
        <v>0</v>
      </c>
      <c r="BE2505" s="11">
        <f t="shared" si="2539"/>
        <v>0</v>
      </c>
      <c r="BG2505" s="11">
        <f t="shared" si="2540"/>
        <v>0</v>
      </c>
      <c r="BN2505" s="8">
        <f t="shared" si="2513"/>
        <v>21260</v>
      </c>
      <c r="BO2505" s="8">
        <f t="shared" si="2514"/>
        <v>1119540</v>
      </c>
      <c r="BP2505" s="8">
        <f t="shared" si="2516"/>
        <v>20200</v>
      </c>
      <c r="BQ2505" s="12">
        <f t="shared" si="2517"/>
        <v>1138500</v>
      </c>
    </row>
    <row r="2506" spans="1:69">
      <c r="A2506" s="28">
        <v>1965</v>
      </c>
      <c r="B2506" s="27" t="s">
        <v>110</v>
      </c>
      <c r="C2506" s="24">
        <f t="shared" si="2520"/>
        <v>2496</v>
      </c>
      <c r="D2506" s="7">
        <f t="shared" ca="1" si="2521"/>
        <v>1.0724233983286908</v>
      </c>
      <c r="E2506" s="26">
        <f t="array" aca="1" ref="E2506" ca="1">AVERAGE(IF(INDIRECT(DatCol&amp;"$"&amp;TEXT(C2506,"###")):INDIRECT(DatCol&amp;"$"&amp;TEXT(C2506+57,"###"))&gt;0,INDIRECT(DatCol&amp;"$"&amp;TEXT(C2506,"###")):INDIRECT(DatCol&amp;"$"&amp;TEXT(C2506+57,"###"))))</f>
        <v>3263.6363636363635</v>
      </c>
      <c r="F2506" s="26" t="str">
        <f t="shared" si="2522"/>
        <v>B</v>
      </c>
      <c r="G2506" s="8"/>
      <c r="I2506" s="8">
        <v>56</v>
      </c>
      <c r="J2506" s="8">
        <v>2384</v>
      </c>
      <c r="K2506" s="9">
        <f t="shared" si="2515"/>
        <v>2384</v>
      </c>
      <c r="M2506" s="11">
        <f t="shared" si="2523"/>
        <v>0</v>
      </c>
      <c r="N2506" s="12">
        <v>3500</v>
      </c>
      <c r="O2506" s="11">
        <f t="shared" si="2524"/>
        <v>175000</v>
      </c>
      <c r="P2506" s="12">
        <v>1950</v>
      </c>
      <c r="Q2506" s="11">
        <f t="shared" si="2525"/>
        <v>117000</v>
      </c>
      <c r="X2506" s="12">
        <v>14700</v>
      </c>
      <c r="Y2506" s="11">
        <f t="shared" si="2526"/>
        <v>882000</v>
      </c>
      <c r="AG2506" s="11">
        <f t="shared" si="2527"/>
        <v>0</v>
      </c>
      <c r="AH2506" s="12">
        <v>1500</v>
      </c>
      <c r="AI2506" s="11">
        <f t="shared" si="2528"/>
        <v>97500</v>
      </c>
      <c r="AJ2506" s="12">
        <v>4665</v>
      </c>
      <c r="AK2506" s="13">
        <f t="shared" si="2529"/>
        <v>41985</v>
      </c>
      <c r="AL2506" s="12">
        <v>1500</v>
      </c>
      <c r="AM2506" s="13">
        <f t="shared" si="2530"/>
        <v>13500</v>
      </c>
      <c r="AO2506" s="11">
        <f t="shared" si="2531"/>
        <v>0</v>
      </c>
      <c r="AQ2506" s="11">
        <f t="shared" si="2532"/>
        <v>0</v>
      </c>
      <c r="AS2506" s="11">
        <f t="shared" si="2533"/>
        <v>0</v>
      </c>
      <c r="AU2506" s="11">
        <f t="shared" si="2534"/>
        <v>0</v>
      </c>
      <c r="AW2506" s="11">
        <f t="shared" si="2535"/>
        <v>0</v>
      </c>
      <c r="AY2506" s="11">
        <f t="shared" si="2536"/>
        <v>0</v>
      </c>
      <c r="BA2506" s="11">
        <f t="shared" si="2537"/>
        <v>0</v>
      </c>
      <c r="BC2506" s="11">
        <f t="shared" si="2538"/>
        <v>0</v>
      </c>
      <c r="BE2506" s="11">
        <f t="shared" si="2539"/>
        <v>0</v>
      </c>
      <c r="BG2506" s="11">
        <f t="shared" si="2540"/>
        <v>0</v>
      </c>
      <c r="BN2506" s="8">
        <f t="shared" si="2513"/>
        <v>21315</v>
      </c>
      <c r="BO2506" s="8">
        <f t="shared" si="2514"/>
        <v>1040985</v>
      </c>
      <c r="BP2506" s="8">
        <f t="shared" si="2516"/>
        <v>21200</v>
      </c>
      <c r="BQ2506" s="12">
        <f t="shared" si="2517"/>
        <v>1168000</v>
      </c>
    </row>
    <row r="2507" spans="1:69">
      <c r="A2507" s="28">
        <v>1966</v>
      </c>
      <c r="B2507" s="27" t="s">
        <v>110</v>
      </c>
      <c r="C2507" s="24">
        <f t="shared" si="2520"/>
        <v>2496</v>
      </c>
      <c r="D2507" s="7">
        <f t="shared" ca="1" si="2521"/>
        <v>1.1337047353760445</v>
      </c>
      <c r="E2507" s="26">
        <f t="array" aca="1" ref="E2507" ca="1">AVERAGE(IF(INDIRECT(DatCol&amp;"$"&amp;TEXT(C2507,"###")):INDIRECT(DatCol&amp;"$"&amp;TEXT(C2507+57,"###"))&gt;0,INDIRECT(DatCol&amp;"$"&amp;TEXT(C2507,"###")):INDIRECT(DatCol&amp;"$"&amp;TEXT(C2507+57,"###"))))</f>
        <v>3263.6363636363635</v>
      </c>
      <c r="F2507" s="26" t="str">
        <f t="shared" si="2522"/>
        <v>B</v>
      </c>
      <c r="G2507" s="8"/>
      <c r="H2507" s="8">
        <v>566</v>
      </c>
      <c r="I2507" s="8">
        <v>29</v>
      </c>
      <c r="J2507" s="8">
        <v>1920</v>
      </c>
      <c r="K2507" s="9">
        <f t="shared" si="2515"/>
        <v>2486</v>
      </c>
      <c r="M2507" s="11">
        <f t="shared" si="2523"/>
        <v>0</v>
      </c>
      <c r="N2507" s="12">
        <v>3700</v>
      </c>
      <c r="O2507" s="11">
        <f t="shared" si="2524"/>
        <v>185000</v>
      </c>
      <c r="P2507" s="12">
        <v>1543</v>
      </c>
      <c r="Q2507" s="11">
        <f t="shared" si="2525"/>
        <v>92580</v>
      </c>
      <c r="X2507" s="12">
        <v>15152</v>
      </c>
      <c r="Y2507" s="11">
        <f t="shared" si="2526"/>
        <v>909120</v>
      </c>
      <c r="AG2507" s="11">
        <f t="shared" si="2527"/>
        <v>0</v>
      </c>
      <c r="AH2507" s="12">
        <v>1000</v>
      </c>
      <c r="AI2507" s="11">
        <f t="shared" si="2528"/>
        <v>65000</v>
      </c>
      <c r="AJ2507" s="12">
        <v>100</v>
      </c>
      <c r="AK2507" s="13">
        <f t="shared" si="2529"/>
        <v>900</v>
      </c>
      <c r="AL2507" s="12">
        <v>100</v>
      </c>
      <c r="AM2507" s="13">
        <f t="shared" si="2530"/>
        <v>900</v>
      </c>
      <c r="AO2507" s="11">
        <f t="shared" si="2531"/>
        <v>0</v>
      </c>
      <c r="AQ2507" s="11">
        <f t="shared" si="2532"/>
        <v>0</v>
      </c>
      <c r="AS2507" s="11">
        <f t="shared" si="2533"/>
        <v>0</v>
      </c>
      <c r="AU2507" s="11">
        <f t="shared" si="2534"/>
        <v>0</v>
      </c>
      <c r="AW2507" s="11">
        <f t="shared" si="2535"/>
        <v>0</v>
      </c>
      <c r="AY2507" s="11">
        <f t="shared" si="2536"/>
        <v>0</v>
      </c>
      <c r="BA2507" s="11">
        <f t="shared" si="2537"/>
        <v>0</v>
      </c>
      <c r="BC2507" s="11">
        <f t="shared" si="2538"/>
        <v>0</v>
      </c>
      <c r="BE2507" s="11">
        <f t="shared" si="2539"/>
        <v>0</v>
      </c>
      <c r="BG2507" s="11">
        <f t="shared" si="2540"/>
        <v>0</v>
      </c>
      <c r="BN2507" s="8">
        <f t="shared" si="2513"/>
        <v>16795</v>
      </c>
      <c r="BO2507" s="8">
        <f t="shared" si="2514"/>
        <v>1002600</v>
      </c>
      <c r="BP2507" s="8">
        <f t="shared" si="2516"/>
        <v>19952</v>
      </c>
      <c r="BQ2507" s="12">
        <f t="shared" si="2517"/>
        <v>1160020</v>
      </c>
    </row>
    <row r="2508" spans="1:69">
      <c r="A2508" s="28">
        <v>1967</v>
      </c>
      <c r="B2508" s="27" t="s">
        <v>110</v>
      </c>
      <c r="C2508" s="24">
        <f t="shared" si="2520"/>
        <v>2496</v>
      </c>
      <c r="D2508" s="7">
        <f t="shared" ca="1" si="2521"/>
        <v>1.2256267409470754</v>
      </c>
      <c r="E2508" s="26">
        <f t="array" aca="1" ref="E2508" ca="1">AVERAGE(IF(INDIRECT(DatCol&amp;"$"&amp;TEXT(C2508,"###")):INDIRECT(DatCol&amp;"$"&amp;TEXT(C2508+57,"###"))&gt;0,INDIRECT(DatCol&amp;"$"&amp;TEXT(C2508,"###")):INDIRECT(DatCol&amp;"$"&amp;TEXT(C2508+57,"###"))))</f>
        <v>3263.6363636363635</v>
      </c>
      <c r="F2508" s="26" t="str">
        <f t="shared" si="2522"/>
        <v>B</v>
      </c>
      <c r="G2508" s="8"/>
      <c r="H2508" s="8">
        <v>492</v>
      </c>
      <c r="I2508" s="8">
        <v>17</v>
      </c>
      <c r="J2508" s="8">
        <v>1562</v>
      </c>
      <c r="K2508" s="9">
        <f t="shared" si="2515"/>
        <v>2054</v>
      </c>
      <c r="M2508" s="11">
        <f t="shared" si="2523"/>
        <v>0</v>
      </c>
      <c r="N2508" s="12">
        <v>4000</v>
      </c>
      <c r="O2508" s="11">
        <f t="shared" si="2524"/>
        <v>200000</v>
      </c>
      <c r="P2508" s="12">
        <v>1300</v>
      </c>
      <c r="Q2508" s="11">
        <f t="shared" si="2525"/>
        <v>78000</v>
      </c>
      <c r="X2508" s="12">
        <v>14000</v>
      </c>
      <c r="Y2508" s="11">
        <f t="shared" si="2526"/>
        <v>840000</v>
      </c>
      <c r="AG2508" s="11">
        <f t="shared" si="2527"/>
        <v>0</v>
      </c>
      <c r="AH2508" s="12">
        <v>100</v>
      </c>
      <c r="AI2508" s="11">
        <f t="shared" si="2528"/>
        <v>6500</v>
      </c>
      <c r="AJ2508" s="12">
        <v>100</v>
      </c>
      <c r="AK2508" s="13">
        <f t="shared" si="2529"/>
        <v>900</v>
      </c>
      <c r="AL2508" s="12">
        <v>100</v>
      </c>
      <c r="AM2508" s="13">
        <f t="shared" si="2530"/>
        <v>900</v>
      </c>
      <c r="AO2508" s="11">
        <f t="shared" si="2531"/>
        <v>0</v>
      </c>
      <c r="AQ2508" s="11">
        <f t="shared" si="2532"/>
        <v>0</v>
      </c>
      <c r="AS2508" s="11">
        <f t="shared" si="2533"/>
        <v>0</v>
      </c>
      <c r="AT2508" s="12">
        <v>180</v>
      </c>
      <c r="AU2508" s="11">
        <f t="shared" si="2534"/>
        <v>9000</v>
      </c>
      <c r="AW2508" s="11">
        <f t="shared" si="2535"/>
        <v>0</v>
      </c>
      <c r="AY2508" s="11">
        <f t="shared" si="2536"/>
        <v>0</v>
      </c>
      <c r="BA2508" s="11">
        <f t="shared" si="2537"/>
        <v>0</v>
      </c>
      <c r="BC2508" s="11">
        <f t="shared" si="2538"/>
        <v>0</v>
      </c>
      <c r="BE2508" s="11">
        <f t="shared" si="2539"/>
        <v>0</v>
      </c>
      <c r="BG2508" s="11">
        <f t="shared" si="2540"/>
        <v>0</v>
      </c>
      <c r="BN2508" s="8">
        <f t="shared" si="2513"/>
        <v>15400</v>
      </c>
      <c r="BO2508" s="8">
        <f t="shared" si="2514"/>
        <v>918900</v>
      </c>
      <c r="BP2508" s="8">
        <f t="shared" si="2516"/>
        <v>18380</v>
      </c>
      <c r="BQ2508" s="12">
        <f t="shared" si="2517"/>
        <v>1056400</v>
      </c>
    </row>
    <row r="2509" spans="1:69">
      <c r="A2509" s="28">
        <v>1968</v>
      </c>
      <c r="B2509" s="27" t="s">
        <v>110</v>
      </c>
      <c r="C2509" s="24">
        <f t="shared" si="2520"/>
        <v>2496</v>
      </c>
      <c r="D2509" s="7">
        <f t="shared" ca="1" si="2521"/>
        <v>1.2256267409470754</v>
      </c>
      <c r="E2509" s="26">
        <f t="array" aca="1" ref="E2509" ca="1">AVERAGE(IF(INDIRECT(DatCol&amp;"$"&amp;TEXT(C2509,"###")):INDIRECT(DatCol&amp;"$"&amp;TEXT(C2509+57,"###"))&gt;0,INDIRECT(DatCol&amp;"$"&amp;TEXT(C2509,"###")):INDIRECT(DatCol&amp;"$"&amp;TEXT(C2509+57,"###"))))</f>
        <v>3263.6363636363635</v>
      </c>
      <c r="F2509" s="26" t="str">
        <f t="shared" si="2522"/>
        <v>B</v>
      </c>
      <c r="G2509" s="8"/>
      <c r="H2509" s="8">
        <v>702</v>
      </c>
      <c r="I2509" s="8">
        <v>18</v>
      </c>
      <c r="J2509" s="8">
        <v>1950</v>
      </c>
      <c r="K2509" s="9">
        <f t="shared" si="2515"/>
        <v>2652</v>
      </c>
      <c r="M2509" s="11">
        <f t="shared" si="2523"/>
        <v>0</v>
      </c>
      <c r="N2509" s="12">
        <v>4000</v>
      </c>
      <c r="O2509" s="11">
        <f t="shared" si="2524"/>
        <v>200000</v>
      </c>
      <c r="P2509" s="12">
        <v>1000</v>
      </c>
      <c r="Q2509" s="11">
        <f t="shared" si="2525"/>
        <v>60000</v>
      </c>
      <c r="X2509" s="12">
        <v>15000</v>
      </c>
      <c r="Y2509" s="11">
        <f t="shared" si="2526"/>
        <v>900000</v>
      </c>
      <c r="AG2509" s="11">
        <f t="shared" si="2527"/>
        <v>0</v>
      </c>
      <c r="AH2509" s="12">
        <v>50</v>
      </c>
      <c r="AI2509" s="11">
        <f t="shared" si="2528"/>
        <v>3250</v>
      </c>
      <c r="AJ2509" s="12">
        <v>300</v>
      </c>
      <c r="AK2509" s="13">
        <f t="shared" si="2529"/>
        <v>2700</v>
      </c>
      <c r="AL2509" s="12">
        <v>25</v>
      </c>
      <c r="AM2509" s="13">
        <f t="shared" si="2530"/>
        <v>225</v>
      </c>
      <c r="AO2509" s="11">
        <f t="shared" si="2531"/>
        <v>0</v>
      </c>
      <c r="AQ2509" s="11">
        <f t="shared" si="2532"/>
        <v>0</v>
      </c>
      <c r="AS2509" s="11">
        <f t="shared" si="2533"/>
        <v>0</v>
      </c>
      <c r="AU2509" s="11">
        <f t="shared" si="2534"/>
        <v>0</v>
      </c>
      <c r="AW2509" s="11">
        <f t="shared" si="2535"/>
        <v>0</v>
      </c>
      <c r="AY2509" s="11">
        <f t="shared" si="2536"/>
        <v>0</v>
      </c>
      <c r="BA2509" s="11">
        <f t="shared" si="2537"/>
        <v>0</v>
      </c>
      <c r="BC2509" s="11">
        <f t="shared" si="2538"/>
        <v>0</v>
      </c>
      <c r="BE2509" s="11">
        <f t="shared" si="2539"/>
        <v>0</v>
      </c>
      <c r="BG2509" s="11">
        <f t="shared" si="2540"/>
        <v>0</v>
      </c>
      <c r="BN2509" s="8">
        <f t="shared" si="2513"/>
        <v>16300</v>
      </c>
      <c r="BO2509" s="8">
        <f t="shared" si="2514"/>
        <v>962700</v>
      </c>
      <c r="BP2509" s="8">
        <f t="shared" si="2516"/>
        <v>19075</v>
      </c>
      <c r="BQ2509" s="12">
        <f t="shared" si="2517"/>
        <v>1103475</v>
      </c>
    </row>
    <row r="2510" spans="1:69">
      <c r="A2510" s="28">
        <v>1969</v>
      </c>
      <c r="B2510" s="27" t="s">
        <v>110</v>
      </c>
      <c r="C2510" s="24">
        <f t="shared" si="2520"/>
        <v>2496</v>
      </c>
      <c r="D2510" s="7">
        <f t="shared" ca="1" si="2521"/>
        <v>1.2256267409470754</v>
      </c>
      <c r="E2510" s="26">
        <f t="array" aca="1" ref="E2510" ca="1">AVERAGE(IF(INDIRECT(DatCol&amp;"$"&amp;TEXT(C2510,"###")):INDIRECT(DatCol&amp;"$"&amp;TEXT(C2510+57,"###"))&gt;0,INDIRECT(DatCol&amp;"$"&amp;TEXT(C2510,"###")):INDIRECT(DatCol&amp;"$"&amp;TEXT(C2510+57,"###"))))</f>
        <v>3263.6363636363635</v>
      </c>
      <c r="F2510" s="26" t="str">
        <f t="shared" si="2522"/>
        <v>B</v>
      </c>
      <c r="G2510" s="8"/>
      <c r="H2510" s="8">
        <v>696</v>
      </c>
      <c r="I2510" s="8">
        <v>52</v>
      </c>
      <c r="J2510" s="8">
        <v>2510</v>
      </c>
      <c r="K2510" s="9">
        <f t="shared" si="2515"/>
        <v>3206</v>
      </c>
      <c r="M2510" s="11">
        <f t="shared" si="2523"/>
        <v>0</v>
      </c>
      <c r="N2510" s="12">
        <v>4000</v>
      </c>
      <c r="O2510" s="11">
        <f t="shared" si="2524"/>
        <v>200000</v>
      </c>
      <c r="P2510" s="12">
        <v>400</v>
      </c>
      <c r="Q2510" s="11">
        <f t="shared" si="2525"/>
        <v>24000</v>
      </c>
      <c r="X2510" s="12">
        <v>15000</v>
      </c>
      <c r="Y2510" s="11">
        <f t="shared" si="2526"/>
        <v>900000</v>
      </c>
      <c r="AG2510" s="11">
        <f t="shared" si="2527"/>
        <v>0</v>
      </c>
      <c r="AH2510" s="12">
        <v>50</v>
      </c>
      <c r="AI2510" s="11">
        <f t="shared" si="2528"/>
        <v>3250</v>
      </c>
      <c r="AJ2510" s="12">
        <v>10600</v>
      </c>
      <c r="AK2510" s="13">
        <f t="shared" si="2529"/>
        <v>95400</v>
      </c>
      <c r="AL2510" s="12">
        <v>2000</v>
      </c>
      <c r="AM2510" s="13">
        <f t="shared" si="2530"/>
        <v>18000</v>
      </c>
      <c r="AO2510" s="11">
        <f t="shared" si="2531"/>
        <v>0</v>
      </c>
      <c r="AQ2510" s="11">
        <f t="shared" si="2532"/>
        <v>0</v>
      </c>
      <c r="AS2510" s="11">
        <f t="shared" si="2533"/>
        <v>0</v>
      </c>
      <c r="AT2510" s="12">
        <v>20</v>
      </c>
      <c r="AU2510" s="11">
        <f t="shared" si="2534"/>
        <v>1000</v>
      </c>
      <c r="AW2510" s="11">
        <f t="shared" si="2535"/>
        <v>0</v>
      </c>
      <c r="AY2510" s="11">
        <f t="shared" si="2536"/>
        <v>0</v>
      </c>
      <c r="BA2510" s="11">
        <f t="shared" si="2537"/>
        <v>0</v>
      </c>
      <c r="BC2510" s="11">
        <f t="shared" si="2538"/>
        <v>0</v>
      </c>
      <c r="BE2510" s="11">
        <f t="shared" si="2539"/>
        <v>0</v>
      </c>
      <c r="BG2510" s="11">
        <f t="shared" si="2540"/>
        <v>0</v>
      </c>
      <c r="BN2510" s="8">
        <f t="shared" si="2513"/>
        <v>26000</v>
      </c>
      <c r="BO2510" s="8">
        <f t="shared" si="2514"/>
        <v>1019400</v>
      </c>
      <c r="BP2510" s="8">
        <f t="shared" si="2516"/>
        <v>21070</v>
      </c>
      <c r="BQ2510" s="12">
        <f t="shared" si="2517"/>
        <v>1122250</v>
      </c>
    </row>
    <row r="2511" spans="1:69">
      <c r="A2511" s="28">
        <v>1970</v>
      </c>
      <c r="B2511" s="27" t="s">
        <v>110</v>
      </c>
      <c r="C2511" s="24">
        <f t="shared" si="2520"/>
        <v>2496</v>
      </c>
      <c r="D2511" s="7">
        <f t="shared" ca="1" si="2521"/>
        <v>1.2256267409470754</v>
      </c>
      <c r="E2511" s="26">
        <f t="array" aca="1" ref="E2511" ca="1">AVERAGE(IF(INDIRECT(DatCol&amp;"$"&amp;TEXT(C2511,"###")):INDIRECT(DatCol&amp;"$"&amp;TEXT(C2511+57,"###"))&gt;0,INDIRECT(DatCol&amp;"$"&amp;TEXT(C2511,"###")):INDIRECT(DatCol&amp;"$"&amp;TEXT(C2511+57,"###"))))</f>
        <v>3263.6363636363635</v>
      </c>
      <c r="F2511" s="26" t="str">
        <f t="shared" si="2522"/>
        <v>B</v>
      </c>
      <c r="G2511" s="8"/>
      <c r="H2511" s="8">
        <v>884</v>
      </c>
      <c r="I2511" s="8">
        <v>112</v>
      </c>
      <c r="J2511" s="8">
        <v>2412</v>
      </c>
      <c r="K2511" s="9">
        <f t="shared" si="2515"/>
        <v>3296</v>
      </c>
      <c r="M2511" s="11">
        <f t="shared" si="2523"/>
        <v>0</v>
      </c>
      <c r="N2511" s="12">
        <v>4000</v>
      </c>
      <c r="O2511" s="11">
        <f t="shared" si="2524"/>
        <v>200000</v>
      </c>
      <c r="P2511" s="12">
        <v>420</v>
      </c>
      <c r="Q2511" s="11">
        <f t="shared" si="2525"/>
        <v>25200</v>
      </c>
      <c r="X2511" s="12">
        <v>15000</v>
      </c>
      <c r="Y2511" s="11">
        <f t="shared" si="2526"/>
        <v>900000</v>
      </c>
      <c r="AG2511" s="11">
        <f t="shared" si="2527"/>
        <v>0</v>
      </c>
      <c r="AH2511" s="12">
        <v>100</v>
      </c>
      <c r="AI2511" s="11">
        <f t="shared" si="2528"/>
        <v>6500</v>
      </c>
      <c r="AJ2511" s="12">
        <v>13500</v>
      </c>
      <c r="AK2511" s="13">
        <f t="shared" si="2529"/>
        <v>121500</v>
      </c>
      <c r="AL2511" s="12">
        <v>2000</v>
      </c>
      <c r="AM2511" s="13">
        <f t="shared" si="2530"/>
        <v>18000</v>
      </c>
      <c r="AO2511" s="11">
        <f t="shared" si="2531"/>
        <v>0</v>
      </c>
      <c r="AQ2511" s="11">
        <f t="shared" si="2532"/>
        <v>0</v>
      </c>
      <c r="AS2511" s="11">
        <f t="shared" si="2533"/>
        <v>0</v>
      </c>
      <c r="AU2511" s="11">
        <f t="shared" si="2534"/>
        <v>0</v>
      </c>
      <c r="AW2511" s="11">
        <f t="shared" si="2535"/>
        <v>0</v>
      </c>
      <c r="AY2511" s="11">
        <f t="shared" si="2536"/>
        <v>0</v>
      </c>
      <c r="BA2511" s="11">
        <f t="shared" si="2537"/>
        <v>0</v>
      </c>
      <c r="BC2511" s="11">
        <f t="shared" si="2538"/>
        <v>0</v>
      </c>
      <c r="BE2511" s="11">
        <f t="shared" si="2539"/>
        <v>0</v>
      </c>
      <c r="BG2511" s="11">
        <f t="shared" si="2540"/>
        <v>0</v>
      </c>
      <c r="BN2511" s="8">
        <f t="shared" si="2513"/>
        <v>28920</v>
      </c>
      <c r="BO2511" s="8">
        <f t="shared" si="2514"/>
        <v>1046700</v>
      </c>
      <c r="BP2511" s="8">
        <f t="shared" si="2516"/>
        <v>21100</v>
      </c>
      <c r="BQ2511" s="12">
        <f t="shared" si="2517"/>
        <v>1124500</v>
      </c>
    </row>
    <row r="2512" spans="1:69">
      <c r="A2512" s="28">
        <v>1971</v>
      </c>
      <c r="B2512" s="27" t="s">
        <v>110</v>
      </c>
      <c r="C2512" s="24">
        <f t="shared" si="2520"/>
        <v>2496</v>
      </c>
      <c r="D2512" s="7">
        <f t="shared" ca="1" si="2521"/>
        <v>0.91922005571030641</v>
      </c>
      <c r="E2512" s="26">
        <f t="array" aca="1" ref="E2512" ca="1">AVERAGE(IF(INDIRECT(DatCol&amp;"$"&amp;TEXT(C2512,"###")):INDIRECT(DatCol&amp;"$"&amp;TEXT(C2512+57,"###"))&gt;0,INDIRECT(DatCol&amp;"$"&amp;TEXT(C2512,"###")):INDIRECT(DatCol&amp;"$"&amp;TEXT(C2512+57,"###"))))</f>
        <v>3263.6363636363635</v>
      </c>
      <c r="F2512" s="26" t="str">
        <f t="shared" si="2522"/>
        <v>B</v>
      </c>
      <c r="G2512" s="8"/>
      <c r="H2512" s="8">
        <v>760</v>
      </c>
      <c r="I2512" s="8">
        <v>87</v>
      </c>
      <c r="J2512" s="8">
        <v>2167</v>
      </c>
      <c r="K2512" s="9">
        <f t="shared" si="2515"/>
        <v>2927</v>
      </c>
      <c r="M2512" s="11">
        <f t="shared" si="2523"/>
        <v>0</v>
      </c>
      <c r="N2512" s="12">
        <v>3000</v>
      </c>
      <c r="O2512" s="11">
        <f t="shared" si="2524"/>
        <v>150000</v>
      </c>
      <c r="P2512" s="12">
        <v>325</v>
      </c>
      <c r="Q2512" s="11">
        <f t="shared" si="2525"/>
        <v>19500</v>
      </c>
      <c r="X2512" s="12">
        <v>10000</v>
      </c>
      <c r="Y2512" s="11">
        <f t="shared" si="2526"/>
        <v>600000</v>
      </c>
      <c r="AG2512" s="11">
        <f t="shared" si="2527"/>
        <v>0</v>
      </c>
      <c r="AH2512" s="12">
        <v>100</v>
      </c>
      <c r="AI2512" s="11">
        <f t="shared" si="2528"/>
        <v>6500</v>
      </c>
      <c r="AJ2512" s="12">
        <v>18600</v>
      </c>
      <c r="AK2512" s="13">
        <f t="shared" si="2529"/>
        <v>167400</v>
      </c>
      <c r="AL2512" s="12">
        <v>10000</v>
      </c>
      <c r="AM2512" s="13">
        <f t="shared" si="2530"/>
        <v>90000</v>
      </c>
      <c r="AO2512" s="11">
        <f t="shared" si="2531"/>
        <v>0</v>
      </c>
      <c r="AQ2512" s="11">
        <f t="shared" si="2532"/>
        <v>0</v>
      </c>
      <c r="AS2512" s="11">
        <f t="shared" si="2533"/>
        <v>0</v>
      </c>
      <c r="AU2512" s="11">
        <f t="shared" si="2534"/>
        <v>0</v>
      </c>
      <c r="AW2512" s="11">
        <f t="shared" si="2535"/>
        <v>0</v>
      </c>
      <c r="AY2512" s="11">
        <f t="shared" si="2536"/>
        <v>0</v>
      </c>
      <c r="BA2512" s="11">
        <f t="shared" si="2537"/>
        <v>0</v>
      </c>
      <c r="BC2512" s="11">
        <f t="shared" si="2538"/>
        <v>0</v>
      </c>
      <c r="BE2512" s="11">
        <f t="shared" si="2539"/>
        <v>0</v>
      </c>
      <c r="BG2512" s="11">
        <f t="shared" si="2540"/>
        <v>0</v>
      </c>
      <c r="BN2512" s="8">
        <f t="shared" si="2513"/>
        <v>28925</v>
      </c>
      <c r="BO2512" s="8">
        <f t="shared" si="2514"/>
        <v>786900</v>
      </c>
      <c r="BP2512" s="8">
        <f t="shared" si="2516"/>
        <v>23100</v>
      </c>
      <c r="BQ2512" s="12">
        <f t="shared" si="2517"/>
        <v>846500</v>
      </c>
    </row>
    <row r="2513" spans="1:69">
      <c r="A2513" s="28">
        <v>1972</v>
      </c>
      <c r="B2513" s="27" t="s">
        <v>110</v>
      </c>
      <c r="C2513" s="24">
        <f t="shared" si="2520"/>
        <v>2496</v>
      </c>
      <c r="D2513" s="7">
        <f t="shared" ca="1" si="2521"/>
        <v>0.61281337047353768</v>
      </c>
      <c r="E2513" s="26">
        <f t="array" aca="1" ref="E2513" ca="1">AVERAGE(IF(INDIRECT(DatCol&amp;"$"&amp;TEXT(C2513,"###")):INDIRECT(DatCol&amp;"$"&amp;TEXT(C2513+57,"###"))&gt;0,INDIRECT(DatCol&amp;"$"&amp;TEXT(C2513,"###")):INDIRECT(DatCol&amp;"$"&amp;TEXT(C2513+57,"###"))))</f>
        <v>3263.6363636363635</v>
      </c>
      <c r="F2513" s="26" t="str">
        <f t="shared" si="2522"/>
        <v>B</v>
      </c>
      <c r="G2513" s="8"/>
      <c r="H2513" s="8">
        <v>192</v>
      </c>
      <c r="I2513" s="8">
        <v>64</v>
      </c>
      <c r="J2513" s="8">
        <v>2036</v>
      </c>
      <c r="K2513" s="9">
        <f t="shared" si="2515"/>
        <v>2228</v>
      </c>
      <c r="M2513" s="11">
        <f t="shared" si="2523"/>
        <v>0</v>
      </c>
      <c r="N2513" s="12">
        <v>2000</v>
      </c>
      <c r="O2513" s="11">
        <f t="shared" si="2524"/>
        <v>100000</v>
      </c>
      <c r="P2513" s="12">
        <v>600</v>
      </c>
      <c r="Q2513" s="11">
        <f t="shared" si="2525"/>
        <v>36000</v>
      </c>
      <c r="X2513" s="12">
        <v>6400</v>
      </c>
      <c r="Y2513" s="11">
        <f t="shared" si="2526"/>
        <v>384000</v>
      </c>
      <c r="AG2513" s="11">
        <f t="shared" si="2527"/>
        <v>0</v>
      </c>
      <c r="AH2513" s="12">
        <v>100</v>
      </c>
      <c r="AI2513" s="11">
        <f t="shared" si="2528"/>
        <v>6500</v>
      </c>
      <c r="AJ2513" s="12">
        <v>7700</v>
      </c>
      <c r="AK2513" s="13">
        <f t="shared" si="2529"/>
        <v>69300</v>
      </c>
      <c r="AL2513" s="12">
        <v>4000</v>
      </c>
      <c r="AM2513" s="13">
        <f t="shared" si="2530"/>
        <v>36000</v>
      </c>
      <c r="AO2513" s="11">
        <f t="shared" si="2531"/>
        <v>0</v>
      </c>
      <c r="AQ2513" s="11">
        <f t="shared" si="2532"/>
        <v>0</v>
      </c>
      <c r="AS2513" s="11">
        <f t="shared" si="2533"/>
        <v>0</v>
      </c>
      <c r="AT2513" s="12">
        <v>25</v>
      </c>
      <c r="AU2513" s="11">
        <f t="shared" si="2534"/>
        <v>1250</v>
      </c>
      <c r="AW2513" s="11">
        <f t="shared" si="2535"/>
        <v>0</v>
      </c>
      <c r="AY2513" s="11">
        <f t="shared" si="2536"/>
        <v>0</v>
      </c>
      <c r="BA2513" s="11">
        <f t="shared" si="2537"/>
        <v>0</v>
      </c>
      <c r="BC2513" s="11">
        <f t="shared" si="2538"/>
        <v>0</v>
      </c>
      <c r="BE2513" s="11">
        <f t="shared" si="2539"/>
        <v>0</v>
      </c>
      <c r="BG2513" s="11">
        <f t="shared" si="2540"/>
        <v>0</v>
      </c>
      <c r="BN2513" s="8">
        <f t="shared" si="2513"/>
        <v>14700</v>
      </c>
      <c r="BO2513" s="8">
        <f t="shared" si="2514"/>
        <v>489300</v>
      </c>
      <c r="BP2513" s="8">
        <f t="shared" si="2516"/>
        <v>12525</v>
      </c>
      <c r="BQ2513" s="12">
        <f t="shared" si="2517"/>
        <v>527750</v>
      </c>
    </row>
    <row r="2514" spans="1:69">
      <c r="A2514" s="28">
        <v>1973</v>
      </c>
      <c r="B2514" s="27" t="s">
        <v>110</v>
      </c>
      <c r="C2514" s="24">
        <f t="shared" si="2520"/>
        <v>2496</v>
      </c>
      <c r="D2514" s="7">
        <f t="shared" ca="1" si="2521"/>
        <v>0.91922005571030641</v>
      </c>
      <c r="E2514" s="26">
        <f t="array" aca="1" ref="E2514" ca="1">AVERAGE(IF(INDIRECT(DatCol&amp;"$"&amp;TEXT(C2514,"###")):INDIRECT(DatCol&amp;"$"&amp;TEXT(C2514+57,"###"))&gt;0,INDIRECT(DatCol&amp;"$"&amp;TEXT(C2514,"###")):INDIRECT(DatCol&amp;"$"&amp;TEXT(C2514+57,"###"))))</f>
        <v>3263.6363636363635</v>
      </c>
      <c r="F2514" s="26" t="str">
        <f t="shared" si="2522"/>
        <v>B</v>
      </c>
      <c r="G2514" s="8"/>
      <c r="H2514" s="8">
        <v>224</v>
      </c>
      <c r="I2514" s="8">
        <v>28</v>
      </c>
      <c r="J2514" s="8">
        <v>2406</v>
      </c>
      <c r="K2514" s="9">
        <f t="shared" si="2515"/>
        <v>2630</v>
      </c>
      <c r="M2514" s="11">
        <f t="shared" si="2523"/>
        <v>0</v>
      </c>
      <c r="N2514" s="12">
        <v>3000</v>
      </c>
      <c r="O2514" s="11">
        <f t="shared" si="2524"/>
        <v>150000</v>
      </c>
      <c r="P2514" s="12">
        <v>800</v>
      </c>
      <c r="Q2514" s="11">
        <f t="shared" si="2525"/>
        <v>48000</v>
      </c>
      <c r="X2514" s="12">
        <v>10000</v>
      </c>
      <c r="Y2514" s="11">
        <f t="shared" si="2526"/>
        <v>600000</v>
      </c>
      <c r="AG2514" s="11">
        <f t="shared" si="2527"/>
        <v>0</v>
      </c>
      <c r="AH2514" s="12">
        <v>100</v>
      </c>
      <c r="AI2514" s="11">
        <f t="shared" si="2528"/>
        <v>6500</v>
      </c>
      <c r="AK2514" s="13">
        <f t="shared" si="2529"/>
        <v>0</v>
      </c>
      <c r="AL2514" s="12">
        <v>800</v>
      </c>
      <c r="AM2514" s="13">
        <f t="shared" si="2530"/>
        <v>7200</v>
      </c>
      <c r="AO2514" s="11">
        <f t="shared" si="2531"/>
        <v>0</v>
      </c>
      <c r="AQ2514" s="11">
        <f t="shared" si="2532"/>
        <v>0</v>
      </c>
      <c r="AS2514" s="11">
        <f t="shared" si="2533"/>
        <v>0</v>
      </c>
      <c r="AT2514" s="12">
        <v>50</v>
      </c>
      <c r="AU2514" s="11">
        <f t="shared" si="2534"/>
        <v>2500</v>
      </c>
      <c r="AW2514" s="11">
        <f t="shared" si="2535"/>
        <v>0</v>
      </c>
      <c r="AY2514" s="11">
        <f t="shared" si="2536"/>
        <v>0</v>
      </c>
      <c r="BA2514" s="11">
        <f t="shared" si="2537"/>
        <v>0</v>
      </c>
      <c r="BC2514" s="11">
        <f t="shared" si="2538"/>
        <v>0</v>
      </c>
      <c r="BE2514" s="11">
        <f t="shared" si="2539"/>
        <v>0</v>
      </c>
      <c r="BG2514" s="11">
        <f t="shared" si="2540"/>
        <v>0</v>
      </c>
      <c r="BN2514" s="8">
        <f t="shared" si="2513"/>
        <v>10800</v>
      </c>
      <c r="BO2514" s="8">
        <f t="shared" si="2514"/>
        <v>648000</v>
      </c>
      <c r="BP2514" s="8">
        <f t="shared" si="2516"/>
        <v>13950</v>
      </c>
      <c r="BQ2514" s="12">
        <f t="shared" si="2517"/>
        <v>766200</v>
      </c>
    </row>
    <row r="2515" spans="1:69">
      <c r="A2515" s="28">
        <v>1974</v>
      </c>
      <c r="B2515" s="27" t="s">
        <v>110</v>
      </c>
      <c r="C2515" s="24">
        <f t="shared" si="2520"/>
        <v>2496</v>
      </c>
      <c r="D2515" s="7">
        <f t="shared" ca="1" si="2521"/>
        <v>1.532033426183844</v>
      </c>
      <c r="E2515" s="26">
        <f t="array" aca="1" ref="E2515" ca="1">AVERAGE(IF(INDIRECT(DatCol&amp;"$"&amp;TEXT(C2515,"###")):INDIRECT(DatCol&amp;"$"&amp;TEXT(C2515+57,"###"))&gt;0,INDIRECT(DatCol&amp;"$"&amp;TEXT(C2515,"###")):INDIRECT(DatCol&amp;"$"&amp;TEXT(C2515+57,"###"))))</f>
        <v>3263.6363636363635</v>
      </c>
      <c r="F2515" s="26" t="str">
        <f t="shared" si="2522"/>
        <v>B</v>
      </c>
      <c r="G2515" s="8"/>
      <c r="H2515" s="8">
        <v>223</v>
      </c>
      <c r="I2515" s="8">
        <v>25</v>
      </c>
      <c r="J2515" s="8">
        <v>2440</v>
      </c>
      <c r="K2515" s="9">
        <f t="shared" si="2515"/>
        <v>2663</v>
      </c>
      <c r="M2515" s="11">
        <f t="shared" si="2523"/>
        <v>0</v>
      </c>
      <c r="N2515" s="12">
        <v>5000</v>
      </c>
      <c r="O2515" s="11">
        <f t="shared" si="2524"/>
        <v>250000</v>
      </c>
      <c r="P2515" s="12">
        <v>1000</v>
      </c>
      <c r="Q2515" s="11">
        <f t="shared" si="2525"/>
        <v>60000</v>
      </c>
      <c r="X2515" s="12">
        <v>10000</v>
      </c>
      <c r="Y2515" s="11">
        <f t="shared" si="2526"/>
        <v>600000</v>
      </c>
      <c r="AG2515" s="11">
        <f t="shared" si="2527"/>
        <v>0</v>
      </c>
      <c r="AH2515" s="12">
        <v>100</v>
      </c>
      <c r="AI2515" s="11">
        <f t="shared" si="2528"/>
        <v>6500</v>
      </c>
      <c r="AK2515" s="13">
        <f t="shared" si="2529"/>
        <v>0</v>
      </c>
      <c r="AM2515" s="13">
        <f t="shared" si="2530"/>
        <v>0</v>
      </c>
      <c r="AO2515" s="11">
        <f t="shared" si="2531"/>
        <v>0</v>
      </c>
      <c r="AQ2515" s="11">
        <f t="shared" si="2532"/>
        <v>0</v>
      </c>
      <c r="AS2515" s="11">
        <f t="shared" si="2533"/>
        <v>0</v>
      </c>
      <c r="AT2515" s="12">
        <v>100</v>
      </c>
      <c r="AU2515" s="11">
        <f t="shared" si="2534"/>
        <v>5000</v>
      </c>
      <c r="AW2515" s="11">
        <f t="shared" si="2535"/>
        <v>0</v>
      </c>
      <c r="AY2515" s="11">
        <f t="shared" si="2536"/>
        <v>0</v>
      </c>
      <c r="BA2515" s="11">
        <f t="shared" si="2537"/>
        <v>0</v>
      </c>
      <c r="BC2515" s="11">
        <f t="shared" si="2538"/>
        <v>0</v>
      </c>
      <c r="BE2515" s="11">
        <f t="shared" si="2539"/>
        <v>0</v>
      </c>
      <c r="BG2515" s="11">
        <f t="shared" si="2540"/>
        <v>0</v>
      </c>
      <c r="BN2515" s="8">
        <f t="shared" si="2513"/>
        <v>11000</v>
      </c>
      <c r="BO2515" s="8">
        <f t="shared" si="2514"/>
        <v>660000</v>
      </c>
      <c r="BP2515" s="8">
        <f t="shared" si="2516"/>
        <v>15200</v>
      </c>
      <c r="BQ2515" s="12">
        <f t="shared" si="2517"/>
        <v>861500</v>
      </c>
    </row>
    <row r="2516" spans="1:69">
      <c r="A2516" s="28">
        <v>1975</v>
      </c>
      <c r="B2516" s="27" t="s">
        <v>110</v>
      </c>
      <c r="C2516" s="24">
        <f t="shared" si="2520"/>
        <v>2496</v>
      </c>
      <c r="D2516" s="7">
        <f t="shared" ca="1" si="2521"/>
        <v>1.8384401114206128</v>
      </c>
      <c r="E2516" s="26">
        <f t="array" aca="1" ref="E2516" ca="1">AVERAGE(IF(INDIRECT(DatCol&amp;"$"&amp;TEXT(C2516,"###")):INDIRECT(DatCol&amp;"$"&amp;TEXT(C2516+57,"###"))&gt;0,INDIRECT(DatCol&amp;"$"&amp;TEXT(C2516,"###")):INDIRECT(DatCol&amp;"$"&amp;TEXT(C2516+57,"###"))))</f>
        <v>3263.6363636363635</v>
      </c>
      <c r="F2516" s="26" t="str">
        <f t="shared" si="2522"/>
        <v>B</v>
      </c>
      <c r="G2516" s="8"/>
      <c r="H2516" s="8">
        <v>274</v>
      </c>
      <c r="I2516" s="8">
        <v>24</v>
      </c>
      <c r="J2516" s="8">
        <v>2592</v>
      </c>
      <c r="K2516" s="9">
        <f t="shared" si="2515"/>
        <v>2866</v>
      </c>
      <c r="M2516" s="11">
        <f t="shared" si="2523"/>
        <v>0</v>
      </c>
      <c r="N2516" s="12">
        <v>6000</v>
      </c>
      <c r="O2516" s="11">
        <f t="shared" si="2524"/>
        <v>300000</v>
      </c>
      <c r="P2516" s="12">
        <v>3000</v>
      </c>
      <c r="Q2516" s="11">
        <f t="shared" si="2525"/>
        <v>180000</v>
      </c>
      <c r="X2516" s="12">
        <v>1000</v>
      </c>
      <c r="Y2516" s="11">
        <f t="shared" si="2526"/>
        <v>60000</v>
      </c>
      <c r="AG2516" s="11">
        <f t="shared" si="2527"/>
        <v>0</v>
      </c>
      <c r="AH2516" s="12">
        <v>200</v>
      </c>
      <c r="AI2516" s="11">
        <f t="shared" si="2528"/>
        <v>13000</v>
      </c>
      <c r="AK2516" s="13">
        <f t="shared" si="2529"/>
        <v>0</v>
      </c>
      <c r="AM2516" s="13">
        <f t="shared" si="2530"/>
        <v>0</v>
      </c>
      <c r="AO2516" s="11">
        <f t="shared" si="2531"/>
        <v>0</v>
      </c>
      <c r="AQ2516" s="11">
        <f t="shared" si="2532"/>
        <v>0</v>
      </c>
      <c r="AS2516" s="11">
        <f t="shared" si="2533"/>
        <v>0</v>
      </c>
      <c r="AT2516" s="12">
        <v>100</v>
      </c>
      <c r="AU2516" s="11">
        <f t="shared" si="2534"/>
        <v>5000</v>
      </c>
      <c r="AW2516" s="11">
        <f t="shared" si="2535"/>
        <v>0</v>
      </c>
      <c r="AY2516" s="11">
        <f t="shared" si="2536"/>
        <v>0</v>
      </c>
      <c r="BA2516" s="11">
        <f t="shared" si="2537"/>
        <v>0</v>
      </c>
      <c r="BC2516" s="11">
        <f t="shared" si="2538"/>
        <v>0</v>
      </c>
      <c r="BE2516" s="11">
        <f t="shared" si="2539"/>
        <v>0</v>
      </c>
      <c r="BG2516" s="11">
        <f t="shared" si="2540"/>
        <v>0</v>
      </c>
      <c r="BN2516" s="8">
        <f t="shared" si="2513"/>
        <v>4000</v>
      </c>
      <c r="BO2516" s="8">
        <f t="shared" si="2514"/>
        <v>240000</v>
      </c>
      <c r="BP2516" s="8">
        <f t="shared" si="2516"/>
        <v>7300</v>
      </c>
      <c r="BQ2516" s="12">
        <f t="shared" si="2517"/>
        <v>378000</v>
      </c>
    </row>
    <row r="2517" spans="1:69">
      <c r="A2517" s="28">
        <v>1976</v>
      </c>
      <c r="B2517" s="27" t="s">
        <v>110</v>
      </c>
      <c r="C2517" s="24">
        <f t="shared" si="2520"/>
        <v>2496</v>
      </c>
      <c r="D2517" s="7">
        <f t="shared" ca="1" si="2521"/>
        <v>1.8384401114206128</v>
      </c>
      <c r="E2517" s="26">
        <f t="array" aca="1" ref="E2517" ca="1">AVERAGE(IF(INDIRECT(DatCol&amp;"$"&amp;TEXT(C2517,"###")):INDIRECT(DatCol&amp;"$"&amp;TEXT(C2517+57,"###"))&gt;0,INDIRECT(DatCol&amp;"$"&amp;TEXT(C2517,"###")):INDIRECT(DatCol&amp;"$"&amp;TEXT(C2517+57,"###"))))</f>
        <v>3263.6363636363635</v>
      </c>
      <c r="F2517" s="26" t="str">
        <f t="shared" si="2522"/>
        <v>B</v>
      </c>
      <c r="G2517" s="8"/>
      <c r="H2517" s="8">
        <v>219</v>
      </c>
      <c r="I2517" s="8">
        <v>22</v>
      </c>
      <c r="J2517" s="8">
        <v>2555</v>
      </c>
      <c r="K2517" s="9">
        <f t="shared" si="2515"/>
        <v>2774</v>
      </c>
      <c r="M2517" s="11">
        <f t="shared" si="2523"/>
        <v>0</v>
      </c>
      <c r="N2517" s="12">
        <v>6000</v>
      </c>
      <c r="O2517" s="11">
        <f t="shared" si="2524"/>
        <v>300000</v>
      </c>
      <c r="P2517" s="12">
        <v>3000</v>
      </c>
      <c r="Q2517" s="11">
        <f t="shared" si="2525"/>
        <v>180000</v>
      </c>
      <c r="X2517" s="12">
        <v>10000</v>
      </c>
      <c r="Y2517" s="11">
        <f t="shared" si="2526"/>
        <v>600000</v>
      </c>
      <c r="AG2517" s="11">
        <f t="shared" si="2527"/>
        <v>0</v>
      </c>
      <c r="AH2517" s="12">
        <v>300</v>
      </c>
      <c r="AI2517" s="11">
        <f t="shared" si="2528"/>
        <v>19500</v>
      </c>
      <c r="AK2517" s="13">
        <f t="shared" si="2529"/>
        <v>0</v>
      </c>
      <c r="AL2517" s="12">
        <v>700</v>
      </c>
      <c r="AM2517" s="13">
        <f t="shared" si="2530"/>
        <v>6300</v>
      </c>
      <c r="AO2517" s="11">
        <f t="shared" si="2531"/>
        <v>0</v>
      </c>
      <c r="AQ2517" s="11">
        <f t="shared" si="2532"/>
        <v>0</v>
      </c>
      <c r="AS2517" s="11">
        <f t="shared" si="2533"/>
        <v>0</v>
      </c>
      <c r="AT2517" s="12">
        <v>100</v>
      </c>
      <c r="AU2517" s="11">
        <f t="shared" si="2534"/>
        <v>5000</v>
      </c>
      <c r="AW2517" s="11">
        <f t="shared" si="2535"/>
        <v>0</v>
      </c>
      <c r="AY2517" s="11">
        <f t="shared" si="2536"/>
        <v>0</v>
      </c>
      <c r="BA2517" s="11">
        <f t="shared" si="2537"/>
        <v>0</v>
      </c>
      <c r="BC2517" s="11">
        <f t="shared" si="2538"/>
        <v>0</v>
      </c>
      <c r="BE2517" s="11">
        <f t="shared" si="2539"/>
        <v>0</v>
      </c>
      <c r="BG2517" s="11">
        <f t="shared" si="2540"/>
        <v>0</v>
      </c>
      <c r="BN2517" s="8">
        <f t="shared" si="2513"/>
        <v>13000</v>
      </c>
      <c r="BO2517" s="8">
        <f t="shared" si="2514"/>
        <v>780000</v>
      </c>
      <c r="BP2517" s="8">
        <f t="shared" si="2516"/>
        <v>17100</v>
      </c>
      <c r="BQ2517" s="12">
        <f t="shared" si="2517"/>
        <v>930800</v>
      </c>
    </row>
    <row r="2518" spans="1:69">
      <c r="A2518" s="28">
        <v>1977</v>
      </c>
      <c r="B2518" s="27" t="s">
        <v>110</v>
      </c>
      <c r="C2518" s="24">
        <f t="shared" si="2520"/>
        <v>2496</v>
      </c>
      <c r="D2518" s="7">
        <f t="shared" ca="1" si="2521"/>
        <v>1.532033426183844</v>
      </c>
      <c r="E2518" s="26">
        <f t="array" aca="1" ref="E2518" ca="1">AVERAGE(IF(INDIRECT(DatCol&amp;"$"&amp;TEXT(C2518,"###")):INDIRECT(DatCol&amp;"$"&amp;TEXT(C2518+57,"###"))&gt;0,INDIRECT(DatCol&amp;"$"&amp;TEXT(C2518,"###")):INDIRECT(DatCol&amp;"$"&amp;TEXT(C2518+57,"###"))))</f>
        <v>3263.6363636363635</v>
      </c>
      <c r="F2518" s="26" t="str">
        <f t="shared" si="2522"/>
        <v>B</v>
      </c>
      <c r="G2518" s="8"/>
      <c r="H2518" s="8">
        <v>225</v>
      </c>
      <c r="I2518" s="8">
        <v>23</v>
      </c>
      <c r="J2518" s="8">
        <v>2560</v>
      </c>
      <c r="K2518" s="9">
        <f t="shared" si="2515"/>
        <v>2785</v>
      </c>
      <c r="M2518" s="11">
        <f t="shared" si="2523"/>
        <v>0</v>
      </c>
      <c r="N2518" s="12">
        <v>5000</v>
      </c>
      <c r="O2518" s="11">
        <f t="shared" si="2524"/>
        <v>250000</v>
      </c>
      <c r="P2518" s="12">
        <v>4000</v>
      </c>
      <c r="Q2518" s="11">
        <f t="shared" si="2525"/>
        <v>240000</v>
      </c>
      <c r="X2518" s="12">
        <v>8000</v>
      </c>
      <c r="Y2518" s="11">
        <f t="shared" si="2526"/>
        <v>480000</v>
      </c>
      <c r="AG2518" s="11">
        <f t="shared" si="2527"/>
        <v>0</v>
      </c>
      <c r="AH2518" s="12">
        <v>300</v>
      </c>
      <c r="AI2518" s="11">
        <f t="shared" si="2528"/>
        <v>19500</v>
      </c>
      <c r="AJ2518" s="12">
        <v>1000</v>
      </c>
      <c r="AK2518" s="13">
        <f t="shared" si="2529"/>
        <v>9000</v>
      </c>
      <c r="AL2518" s="12">
        <v>700</v>
      </c>
      <c r="AM2518" s="13">
        <f t="shared" si="2530"/>
        <v>6300</v>
      </c>
      <c r="AO2518" s="11">
        <f t="shared" si="2531"/>
        <v>0</v>
      </c>
      <c r="AQ2518" s="11">
        <f t="shared" si="2532"/>
        <v>0</v>
      </c>
      <c r="AS2518" s="11">
        <f t="shared" si="2533"/>
        <v>0</v>
      </c>
      <c r="AT2518" s="12">
        <v>50</v>
      </c>
      <c r="AU2518" s="11">
        <f t="shared" si="2534"/>
        <v>2500</v>
      </c>
      <c r="AV2518" s="12">
        <v>500</v>
      </c>
      <c r="AW2518" s="11">
        <f t="shared" si="2535"/>
        <v>30000</v>
      </c>
      <c r="AX2518" s="12">
        <v>100</v>
      </c>
      <c r="AY2518" s="11">
        <f t="shared" si="2536"/>
        <v>6000</v>
      </c>
      <c r="BA2518" s="11">
        <f t="shared" si="2537"/>
        <v>0</v>
      </c>
      <c r="BC2518" s="11">
        <f t="shared" si="2538"/>
        <v>0</v>
      </c>
      <c r="BE2518" s="11">
        <f t="shared" si="2539"/>
        <v>0</v>
      </c>
      <c r="BG2518" s="11">
        <f t="shared" si="2540"/>
        <v>0</v>
      </c>
      <c r="BJ2518" s="12">
        <v>0</v>
      </c>
      <c r="BK2518" s="13"/>
      <c r="BN2518" s="8">
        <f t="shared" si="2513"/>
        <v>13500</v>
      </c>
      <c r="BO2518" s="8">
        <f t="shared" si="2514"/>
        <v>759000</v>
      </c>
      <c r="BP2518" s="8">
        <f t="shared" si="2516"/>
        <v>14150</v>
      </c>
      <c r="BQ2518" s="12">
        <f t="shared" si="2517"/>
        <v>764300</v>
      </c>
    </row>
    <row r="2519" spans="1:69">
      <c r="A2519" s="28">
        <v>1978</v>
      </c>
      <c r="B2519" s="27" t="s">
        <v>110</v>
      </c>
      <c r="C2519" s="24">
        <f t="shared" si="2520"/>
        <v>2496</v>
      </c>
      <c r="D2519" s="7">
        <f t="shared" ca="1" si="2521"/>
        <v>1.532033426183844</v>
      </c>
      <c r="E2519" s="26">
        <f t="array" aca="1" ref="E2519" ca="1">AVERAGE(IF(INDIRECT(DatCol&amp;"$"&amp;TEXT(C2519,"###")):INDIRECT(DatCol&amp;"$"&amp;TEXT(C2519+57,"###"))&gt;0,INDIRECT(DatCol&amp;"$"&amp;TEXT(C2519,"###")):INDIRECT(DatCol&amp;"$"&amp;TEXT(C2519+57,"###"))))</f>
        <v>3263.6363636363635</v>
      </c>
      <c r="F2519" s="26" t="str">
        <f t="shared" si="2522"/>
        <v>B</v>
      </c>
      <c r="G2519" s="8"/>
      <c r="H2519" s="8">
        <v>205</v>
      </c>
      <c r="I2519" s="8">
        <v>78</v>
      </c>
      <c r="J2519" s="8">
        <v>2704</v>
      </c>
      <c r="K2519" s="9">
        <f t="shared" si="2515"/>
        <v>2909</v>
      </c>
      <c r="M2519" s="11">
        <f t="shared" si="2523"/>
        <v>0</v>
      </c>
      <c r="N2519" s="12">
        <v>5000</v>
      </c>
      <c r="O2519" s="11">
        <f t="shared" si="2524"/>
        <v>250000</v>
      </c>
      <c r="P2519" s="12">
        <v>1000</v>
      </c>
      <c r="Q2519" s="11">
        <f t="shared" si="2525"/>
        <v>60000</v>
      </c>
      <c r="X2519" s="12">
        <v>8000</v>
      </c>
      <c r="Y2519" s="11">
        <f t="shared" si="2526"/>
        <v>480000</v>
      </c>
      <c r="AG2519" s="11">
        <f t="shared" si="2527"/>
        <v>0</v>
      </c>
      <c r="AH2519" s="12">
        <v>300</v>
      </c>
      <c r="AI2519" s="11">
        <f t="shared" si="2528"/>
        <v>19500</v>
      </c>
      <c r="AJ2519" s="12">
        <v>13278</v>
      </c>
      <c r="AK2519" s="13">
        <f t="shared" si="2529"/>
        <v>119502</v>
      </c>
      <c r="AL2519" s="12">
        <v>4000</v>
      </c>
      <c r="AM2519" s="13">
        <f t="shared" si="2530"/>
        <v>36000</v>
      </c>
      <c r="AO2519" s="11">
        <f t="shared" si="2531"/>
        <v>0</v>
      </c>
      <c r="AQ2519" s="11">
        <f t="shared" si="2532"/>
        <v>0</v>
      </c>
      <c r="AS2519" s="11">
        <f t="shared" si="2533"/>
        <v>0</v>
      </c>
      <c r="AT2519" s="12">
        <v>50</v>
      </c>
      <c r="AU2519" s="11">
        <f t="shared" si="2534"/>
        <v>2500</v>
      </c>
      <c r="AW2519" s="11">
        <f t="shared" si="2535"/>
        <v>0</v>
      </c>
      <c r="AY2519" s="11">
        <f t="shared" si="2536"/>
        <v>0</v>
      </c>
      <c r="BA2519" s="11">
        <f t="shared" si="2537"/>
        <v>0</v>
      </c>
      <c r="BC2519" s="11">
        <f t="shared" si="2538"/>
        <v>0</v>
      </c>
      <c r="BE2519" s="11">
        <f t="shared" si="2539"/>
        <v>0</v>
      </c>
      <c r="BG2519" s="11">
        <f t="shared" si="2540"/>
        <v>0</v>
      </c>
      <c r="BN2519" s="8">
        <f t="shared" si="2513"/>
        <v>22278</v>
      </c>
      <c r="BO2519" s="8">
        <f t="shared" si="2514"/>
        <v>659502</v>
      </c>
      <c r="BP2519" s="8">
        <f t="shared" si="2516"/>
        <v>17350</v>
      </c>
      <c r="BQ2519" s="12">
        <f t="shared" si="2517"/>
        <v>788000</v>
      </c>
    </row>
    <row r="2520" spans="1:69">
      <c r="A2520" s="28">
        <v>1979</v>
      </c>
      <c r="B2520" s="27" t="s">
        <v>110</v>
      </c>
      <c r="C2520" s="24">
        <f t="shared" si="2520"/>
        <v>2496</v>
      </c>
      <c r="D2520" s="7">
        <f t="shared" ca="1" si="2521"/>
        <v>1.532033426183844</v>
      </c>
      <c r="E2520" s="26">
        <f t="array" aca="1" ref="E2520" ca="1">AVERAGE(IF(INDIRECT(DatCol&amp;"$"&amp;TEXT(C2520,"###")):INDIRECT(DatCol&amp;"$"&amp;TEXT(C2520+57,"###"))&gt;0,INDIRECT(DatCol&amp;"$"&amp;TEXT(C2520,"###")):INDIRECT(DatCol&amp;"$"&amp;TEXT(C2520+57,"###"))))</f>
        <v>3263.6363636363635</v>
      </c>
      <c r="F2520" s="26" t="str">
        <f t="shared" si="2522"/>
        <v>B</v>
      </c>
      <c r="G2520" s="8"/>
      <c r="H2520" s="8">
        <v>320</v>
      </c>
      <c r="I2520" s="8">
        <v>132</v>
      </c>
      <c r="J2520" s="8">
        <v>2016</v>
      </c>
      <c r="K2520" s="9">
        <f t="shared" si="2515"/>
        <v>2336</v>
      </c>
      <c r="M2520" s="11">
        <f t="shared" ref="M2520:M2538" si="2541">(L2520*50)</f>
        <v>0</v>
      </c>
      <c r="N2520" s="12">
        <v>5000</v>
      </c>
      <c r="O2520" s="11">
        <f t="shared" ref="O2520:O2535" si="2542">(N2520*50)</f>
        <v>250000</v>
      </c>
      <c r="P2520" s="12">
        <v>3000</v>
      </c>
      <c r="Q2520" s="11">
        <f t="shared" ref="Q2520:Q2535" si="2543">((P2520*330)/5.5)</f>
        <v>180000</v>
      </c>
      <c r="X2520" s="12">
        <v>8000</v>
      </c>
      <c r="Y2520" s="11">
        <f t="shared" ref="Y2520:Y2535" si="2544">((X2520*330)/5.5)</f>
        <v>480000</v>
      </c>
      <c r="AG2520" s="11">
        <f t="shared" ref="AG2520:AG2535" si="2545">(AF2520*65)</f>
        <v>0</v>
      </c>
      <c r="AH2520" s="12">
        <v>400</v>
      </c>
      <c r="AI2520" s="11">
        <f t="shared" ref="AI2520:AI2535" si="2546">(AH2520*65)</f>
        <v>26000</v>
      </c>
      <c r="AJ2520" s="12">
        <v>4000</v>
      </c>
      <c r="AK2520" s="13">
        <f t="shared" ref="AK2520:AK2535" si="2547">(AJ2520*9)</f>
        <v>36000</v>
      </c>
      <c r="AL2520" s="12">
        <v>500</v>
      </c>
      <c r="AM2520" s="13">
        <f t="shared" ref="AM2520:AM2535" si="2548">(AL2520*9)</f>
        <v>4500</v>
      </c>
      <c r="AO2520" s="11">
        <f t="shared" ref="AO2520:AO2535" si="2549">(AN2520*80)</f>
        <v>0</v>
      </c>
      <c r="AQ2520" s="11">
        <f t="shared" ref="AQ2520:AQ2535" si="2550">(AP2520*80)</f>
        <v>0</v>
      </c>
      <c r="AS2520" s="11">
        <f t="shared" ref="AS2520:AS2535" si="2551">(AR2520*50)</f>
        <v>0</v>
      </c>
      <c r="AT2520" s="12">
        <v>50</v>
      </c>
      <c r="AU2520" s="11">
        <f t="shared" ref="AU2520:AU2535" si="2552">(AT2520*50)</f>
        <v>2500</v>
      </c>
      <c r="AV2520" s="12">
        <v>500</v>
      </c>
      <c r="AW2520" s="11">
        <f t="shared" ref="AW2520:AW2535" si="2553">(AV2520*60)</f>
        <v>30000</v>
      </c>
      <c r="AX2520" s="12">
        <v>100</v>
      </c>
      <c r="AY2520" s="11">
        <f t="shared" ref="AY2520:AY2535" si="2554">(AX2520*60)</f>
        <v>6000</v>
      </c>
      <c r="BA2520" s="11">
        <f t="shared" ref="BA2520:BA2535" si="2555">(AZ2520*40)</f>
        <v>0</v>
      </c>
      <c r="BC2520" s="11">
        <f t="shared" ref="BC2520:BC2535" si="2556">(BB2520*40)</f>
        <v>0</v>
      </c>
      <c r="BE2520" s="11">
        <f t="shared" ref="BE2520:BE2535" si="2557">(BD2520*95)</f>
        <v>0</v>
      </c>
      <c r="BG2520" s="11">
        <f t="shared" ref="BG2520:BG2535" si="2558">(BF2520*95)</f>
        <v>0</v>
      </c>
      <c r="BN2520" s="8">
        <f t="shared" si="2513"/>
        <v>15500</v>
      </c>
      <c r="BO2520" s="8">
        <f t="shared" si="2514"/>
        <v>726000</v>
      </c>
      <c r="BP2520" s="8">
        <f t="shared" si="2516"/>
        <v>14050</v>
      </c>
      <c r="BQ2520" s="12">
        <f t="shared" si="2517"/>
        <v>769000</v>
      </c>
    </row>
    <row r="2521" spans="1:69">
      <c r="A2521" s="28">
        <v>1980</v>
      </c>
      <c r="B2521" s="27" t="s">
        <v>110</v>
      </c>
      <c r="C2521" s="24">
        <f t="shared" si="2520"/>
        <v>2496</v>
      </c>
      <c r="D2521" s="7">
        <f t="shared" ca="1" si="2521"/>
        <v>1.532033426183844</v>
      </c>
      <c r="E2521" s="26">
        <f t="array" aca="1" ref="E2521" ca="1">AVERAGE(IF(INDIRECT(DatCol&amp;"$"&amp;TEXT(C2521,"###")):INDIRECT(DatCol&amp;"$"&amp;TEXT(C2521+57,"###"))&gt;0,INDIRECT(DatCol&amp;"$"&amp;TEXT(C2521,"###")):INDIRECT(DatCol&amp;"$"&amp;TEXT(C2521+57,"###"))))</f>
        <v>3263.6363636363635</v>
      </c>
      <c r="F2521" s="26" t="str">
        <f t="shared" si="2522"/>
        <v>B</v>
      </c>
      <c r="G2521" s="8"/>
      <c r="H2521" s="8">
        <v>295</v>
      </c>
      <c r="I2521" s="8">
        <v>56</v>
      </c>
      <c r="J2521" s="8">
        <v>3282</v>
      </c>
      <c r="K2521" s="9">
        <f t="shared" si="2515"/>
        <v>3577</v>
      </c>
      <c r="M2521" s="11">
        <f t="shared" si="2541"/>
        <v>0</v>
      </c>
      <c r="N2521" s="12">
        <v>5000</v>
      </c>
      <c r="O2521" s="11">
        <f t="shared" si="2542"/>
        <v>250000</v>
      </c>
      <c r="P2521" s="12">
        <v>3000</v>
      </c>
      <c r="Q2521" s="11">
        <f t="shared" si="2543"/>
        <v>180000</v>
      </c>
      <c r="X2521" s="12">
        <v>8000</v>
      </c>
      <c r="Y2521" s="11">
        <f t="shared" si="2544"/>
        <v>480000</v>
      </c>
      <c r="AG2521" s="11">
        <f t="shared" si="2545"/>
        <v>0</v>
      </c>
      <c r="AH2521" s="12">
        <v>400</v>
      </c>
      <c r="AI2521" s="11">
        <f t="shared" si="2546"/>
        <v>26000</v>
      </c>
      <c r="AJ2521" s="12">
        <v>1000</v>
      </c>
      <c r="AK2521" s="13">
        <f t="shared" si="2547"/>
        <v>9000</v>
      </c>
      <c r="AL2521" s="12">
        <v>50</v>
      </c>
      <c r="AM2521" s="13">
        <f t="shared" si="2548"/>
        <v>450</v>
      </c>
      <c r="AO2521" s="11">
        <f t="shared" si="2549"/>
        <v>0</v>
      </c>
      <c r="AQ2521" s="11">
        <f t="shared" si="2550"/>
        <v>0</v>
      </c>
      <c r="AS2521" s="11">
        <f t="shared" si="2551"/>
        <v>0</v>
      </c>
      <c r="AT2521" s="12">
        <v>50</v>
      </c>
      <c r="AU2521" s="11">
        <f t="shared" si="2552"/>
        <v>2500</v>
      </c>
      <c r="AV2521" s="12">
        <v>500</v>
      </c>
      <c r="AW2521" s="11">
        <f t="shared" si="2553"/>
        <v>30000</v>
      </c>
      <c r="AX2521" s="12">
        <v>100</v>
      </c>
      <c r="AY2521" s="11">
        <f t="shared" si="2554"/>
        <v>6000</v>
      </c>
      <c r="BA2521" s="11">
        <f t="shared" si="2555"/>
        <v>0</v>
      </c>
      <c r="BC2521" s="11">
        <f t="shared" si="2556"/>
        <v>0</v>
      </c>
      <c r="BE2521" s="11">
        <f t="shared" si="2557"/>
        <v>0</v>
      </c>
      <c r="BG2521" s="11">
        <f t="shared" si="2558"/>
        <v>0</v>
      </c>
      <c r="BN2521" s="8">
        <f t="shared" si="2513"/>
        <v>12500</v>
      </c>
      <c r="BO2521" s="8">
        <f t="shared" si="2514"/>
        <v>699000</v>
      </c>
      <c r="BP2521" s="8">
        <f t="shared" si="2516"/>
        <v>13600</v>
      </c>
      <c r="BQ2521" s="12">
        <f t="shared" si="2517"/>
        <v>764950</v>
      </c>
    </row>
    <row r="2522" spans="1:69">
      <c r="A2522" s="28">
        <v>1981</v>
      </c>
      <c r="B2522" s="27" t="s">
        <v>110</v>
      </c>
      <c r="C2522" s="24">
        <f t="shared" si="2520"/>
        <v>2496</v>
      </c>
      <c r="D2522" s="7">
        <f t="shared" ca="1" si="2521"/>
        <v>1.532033426183844</v>
      </c>
      <c r="E2522" s="26">
        <f t="array" aca="1" ref="E2522" ca="1">AVERAGE(IF(INDIRECT(DatCol&amp;"$"&amp;TEXT(C2522,"###")):INDIRECT(DatCol&amp;"$"&amp;TEXT(C2522+57,"###"))&gt;0,INDIRECT(DatCol&amp;"$"&amp;TEXT(C2522,"###")):INDIRECT(DatCol&amp;"$"&amp;TEXT(C2522+57,"###"))))</f>
        <v>3263.6363636363635</v>
      </c>
      <c r="F2522" s="26" t="str">
        <f t="shared" si="2522"/>
        <v>B</v>
      </c>
      <c r="G2522" s="8"/>
      <c r="H2522" s="8">
        <v>382</v>
      </c>
      <c r="I2522" s="8">
        <v>48</v>
      </c>
      <c r="J2522" s="8">
        <v>2964</v>
      </c>
      <c r="K2522" s="9">
        <f t="shared" si="2515"/>
        <v>3346</v>
      </c>
      <c r="M2522" s="11">
        <f t="shared" si="2541"/>
        <v>0</v>
      </c>
      <c r="N2522" s="12">
        <v>5000</v>
      </c>
      <c r="O2522" s="11">
        <f t="shared" si="2542"/>
        <v>250000</v>
      </c>
      <c r="P2522" s="12">
        <v>3000</v>
      </c>
      <c r="Q2522" s="11">
        <f t="shared" si="2543"/>
        <v>180000</v>
      </c>
      <c r="X2522" s="12">
        <v>8000</v>
      </c>
      <c r="Y2522" s="11">
        <f t="shared" si="2544"/>
        <v>480000</v>
      </c>
      <c r="AG2522" s="11">
        <f t="shared" si="2545"/>
        <v>0</v>
      </c>
      <c r="AH2522" s="12">
        <v>400</v>
      </c>
      <c r="AI2522" s="11">
        <f t="shared" si="2546"/>
        <v>26000</v>
      </c>
      <c r="AJ2522" s="12">
        <v>100</v>
      </c>
      <c r="AK2522" s="13">
        <f t="shared" si="2547"/>
        <v>900</v>
      </c>
      <c r="AL2522" s="12">
        <v>50</v>
      </c>
      <c r="AM2522" s="13">
        <f t="shared" si="2548"/>
        <v>450</v>
      </c>
      <c r="AO2522" s="11">
        <f t="shared" si="2549"/>
        <v>0</v>
      </c>
      <c r="AQ2522" s="11">
        <f t="shared" si="2550"/>
        <v>0</v>
      </c>
      <c r="AS2522" s="11">
        <f t="shared" si="2551"/>
        <v>0</v>
      </c>
      <c r="AT2522" s="12">
        <v>50</v>
      </c>
      <c r="AU2522" s="11">
        <f t="shared" si="2552"/>
        <v>2500</v>
      </c>
      <c r="AV2522" s="12">
        <v>500</v>
      </c>
      <c r="AW2522" s="11">
        <f t="shared" si="2553"/>
        <v>30000</v>
      </c>
      <c r="AX2522" s="12">
        <v>100</v>
      </c>
      <c r="AY2522" s="11">
        <f t="shared" si="2554"/>
        <v>6000</v>
      </c>
      <c r="BA2522" s="11">
        <f t="shared" si="2555"/>
        <v>0</v>
      </c>
      <c r="BC2522" s="11">
        <f t="shared" si="2556"/>
        <v>0</v>
      </c>
      <c r="BE2522" s="11">
        <f t="shared" si="2557"/>
        <v>0</v>
      </c>
      <c r="BG2522" s="11">
        <f t="shared" si="2558"/>
        <v>0</v>
      </c>
      <c r="BN2522" s="8">
        <f t="shared" si="2513"/>
        <v>11600</v>
      </c>
      <c r="BO2522" s="8">
        <f t="shared" si="2514"/>
        <v>690900</v>
      </c>
      <c r="BP2522" s="8">
        <f t="shared" si="2516"/>
        <v>13600</v>
      </c>
      <c r="BQ2522" s="12">
        <f t="shared" si="2517"/>
        <v>764950</v>
      </c>
    </row>
    <row r="2523" spans="1:69">
      <c r="A2523" s="28">
        <v>1982</v>
      </c>
      <c r="B2523" s="27" t="s">
        <v>110</v>
      </c>
      <c r="C2523" s="24">
        <f t="shared" si="2520"/>
        <v>2496</v>
      </c>
      <c r="D2523" s="7">
        <f t="shared" ca="1" si="2521"/>
        <v>1.532033426183844</v>
      </c>
      <c r="E2523" s="26">
        <f t="array" aca="1" ref="E2523" ca="1">AVERAGE(IF(INDIRECT(DatCol&amp;"$"&amp;TEXT(C2523,"###")):INDIRECT(DatCol&amp;"$"&amp;TEXT(C2523+57,"###"))&gt;0,INDIRECT(DatCol&amp;"$"&amp;TEXT(C2523,"###")):INDIRECT(DatCol&amp;"$"&amp;TEXT(C2523+57,"###"))))</f>
        <v>3263.6363636363635</v>
      </c>
      <c r="F2523" s="26" t="str">
        <f t="shared" si="2522"/>
        <v>B</v>
      </c>
      <c r="G2523" s="8"/>
      <c r="H2523" s="8">
        <v>356</v>
      </c>
      <c r="I2523" s="8">
        <v>152</v>
      </c>
      <c r="J2523" s="8">
        <v>3119</v>
      </c>
      <c r="K2523" s="9">
        <f t="shared" si="2515"/>
        <v>3475</v>
      </c>
      <c r="M2523" s="11">
        <f t="shared" si="2541"/>
        <v>0</v>
      </c>
      <c r="N2523" s="12">
        <v>5000</v>
      </c>
      <c r="O2523" s="11">
        <f t="shared" si="2542"/>
        <v>250000</v>
      </c>
      <c r="P2523" s="12">
        <v>2262</v>
      </c>
      <c r="Q2523" s="11">
        <f t="shared" si="2543"/>
        <v>135720</v>
      </c>
      <c r="X2523" s="12">
        <v>8000</v>
      </c>
      <c r="Y2523" s="11">
        <f t="shared" si="2544"/>
        <v>480000</v>
      </c>
      <c r="AG2523" s="11">
        <f t="shared" si="2545"/>
        <v>0</v>
      </c>
      <c r="AH2523" s="12">
        <v>400</v>
      </c>
      <c r="AI2523" s="11">
        <f t="shared" si="2546"/>
        <v>26000</v>
      </c>
      <c r="AJ2523" s="12">
        <v>10495</v>
      </c>
      <c r="AK2523" s="13">
        <f t="shared" si="2547"/>
        <v>94455</v>
      </c>
      <c r="AL2523" s="12">
        <v>12000</v>
      </c>
      <c r="AM2523" s="13">
        <f t="shared" si="2548"/>
        <v>108000</v>
      </c>
      <c r="AO2523" s="11">
        <f t="shared" si="2549"/>
        <v>0</v>
      </c>
      <c r="AQ2523" s="11">
        <f t="shared" si="2550"/>
        <v>0</v>
      </c>
      <c r="AS2523" s="11">
        <f t="shared" si="2551"/>
        <v>0</v>
      </c>
      <c r="AT2523" s="12">
        <v>100</v>
      </c>
      <c r="AU2523" s="11">
        <f t="shared" si="2552"/>
        <v>5000</v>
      </c>
      <c r="AW2523" s="11">
        <f t="shared" si="2553"/>
        <v>0</v>
      </c>
      <c r="AX2523" s="12">
        <v>79</v>
      </c>
      <c r="AY2523" s="11">
        <f t="shared" si="2554"/>
        <v>4740</v>
      </c>
      <c r="BA2523" s="11">
        <f t="shared" si="2555"/>
        <v>0</v>
      </c>
      <c r="BC2523" s="11">
        <f t="shared" si="2556"/>
        <v>0</v>
      </c>
      <c r="BE2523" s="11">
        <f t="shared" si="2557"/>
        <v>0</v>
      </c>
      <c r="BG2523" s="11">
        <f t="shared" si="2558"/>
        <v>0</v>
      </c>
      <c r="BH2523" s="13" t="s">
        <v>111</v>
      </c>
      <c r="BI2523" s="13" t="s">
        <v>112</v>
      </c>
      <c r="BN2523" s="8">
        <f t="shared" si="2513"/>
        <v>20757</v>
      </c>
      <c r="BO2523" s="8">
        <f t="shared" si="2514"/>
        <v>710175</v>
      </c>
      <c r="BP2523" s="8">
        <f t="shared" si="2516"/>
        <v>25579</v>
      </c>
      <c r="BQ2523" s="12">
        <f t="shared" si="2517"/>
        <v>873740</v>
      </c>
    </row>
    <row r="2524" spans="1:69">
      <c r="A2524" s="28">
        <v>1983</v>
      </c>
      <c r="B2524" s="27" t="s">
        <v>110</v>
      </c>
      <c r="C2524" s="24">
        <f t="shared" si="2520"/>
        <v>2496</v>
      </c>
      <c r="D2524" s="7" t="e">
        <f t="shared" ca="1" si="2521"/>
        <v>#N/A</v>
      </c>
      <c r="E2524" s="26">
        <f t="array" aca="1" ref="E2524" ca="1">AVERAGE(IF(INDIRECT(DatCol&amp;"$"&amp;TEXT(C2524,"###")):INDIRECT(DatCol&amp;"$"&amp;TEXT(C2524+57,"###"))&gt;0,INDIRECT(DatCol&amp;"$"&amp;TEXT(C2524,"###")):INDIRECT(DatCol&amp;"$"&amp;TEXT(C2524+57,"###"))))</f>
        <v>3263.6363636363635</v>
      </c>
      <c r="F2524" s="26" t="str">
        <f t="shared" si="2522"/>
        <v>B</v>
      </c>
      <c r="G2524" s="8"/>
      <c r="H2524" s="8">
        <v>370</v>
      </c>
      <c r="I2524" s="8">
        <v>58</v>
      </c>
      <c r="J2524" s="8">
        <v>2959</v>
      </c>
      <c r="K2524" s="9">
        <f t="shared" si="2515"/>
        <v>3329</v>
      </c>
      <c r="L2524" s="12">
        <v>149</v>
      </c>
      <c r="M2524" s="11">
        <f t="shared" si="2541"/>
        <v>7450</v>
      </c>
      <c r="O2524" s="11">
        <f t="shared" si="2542"/>
        <v>0</v>
      </c>
      <c r="P2524" s="12">
        <v>2859</v>
      </c>
      <c r="Q2524" s="11">
        <f t="shared" si="2543"/>
        <v>171540</v>
      </c>
      <c r="Y2524" s="11">
        <f t="shared" si="2544"/>
        <v>0</v>
      </c>
      <c r="AG2524" s="11">
        <f t="shared" si="2545"/>
        <v>0</v>
      </c>
      <c r="AI2524" s="11">
        <f t="shared" si="2546"/>
        <v>0</v>
      </c>
      <c r="AJ2524" s="12">
        <v>280</v>
      </c>
      <c r="AK2524" s="13">
        <f t="shared" si="2547"/>
        <v>2520</v>
      </c>
      <c r="AM2524" s="13">
        <f t="shared" si="2548"/>
        <v>0</v>
      </c>
      <c r="AO2524" s="11">
        <f t="shared" si="2549"/>
        <v>0</v>
      </c>
      <c r="AQ2524" s="11">
        <f t="shared" si="2550"/>
        <v>0</v>
      </c>
      <c r="AS2524" s="11">
        <f t="shared" si="2551"/>
        <v>0</v>
      </c>
      <c r="AU2524" s="11">
        <f t="shared" si="2552"/>
        <v>0</v>
      </c>
      <c r="AW2524" s="11">
        <f t="shared" si="2553"/>
        <v>0</v>
      </c>
      <c r="AY2524" s="11">
        <f t="shared" si="2554"/>
        <v>0</v>
      </c>
      <c r="BA2524" s="11">
        <f t="shared" si="2555"/>
        <v>0</v>
      </c>
      <c r="BC2524" s="11">
        <f t="shared" si="2556"/>
        <v>0</v>
      </c>
      <c r="BE2524" s="11">
        <f t="shared" si="2557"/>
        <v>0</v>
      </c>
      <c r="BG2524" s="11">
        <f t="shared" si="2558"/>
        <v>0</v>
      </c>
      <c r="BN2524" s="8">
        <f t="shared" si="2513"/>
        <v>3288</v>
      </c>
      <c r="BO2524" s="8">
        <f t="shared" si="2514"/>
        <v>181510</v>
      </c>
      <c r="BP2524" s="8">
        <f t="shared" si="2516"/>
        <v>0</v>
      </c>
      <c r="BQ2524" s="12">
        <f t="shared" si="2517"/>
        <v>0</v>
      </c>
    </row>
    <row r="2525" spans="1:69">
      <c r="A2525" s="28">
        <v>1984</v>
      </c>
      <c r="B2525" s="27" t="s">
        <v>110</v>
      </c>
      <c r="C2525" s="24">
        <f t="shared" si="2520"/>
        <v>2496</v>
      </c>
      <c r="D2525" s="7" t="e">
        <f t="shared" ca="1" si="2521"/>
        <v>#N/A</v>
      </c>
      <c r="E2525" s="26">
        <f t="array" aca="1" ref="E2525" ca="1">AVERAGE(IF(INDIRECT(DatCol&amp;"$"&amp;TEXT(C2525,"###")):INDIRECT(DatCol&amp;"$"&amp;TEXT(C2525+57,"###"))&gt;0,INDIRECT(DatCol&amp;"$"&amp;TEXT(C2525,"###")):INDIRECT(DatCol&amp;"$"&amp;TEXT(C2525+57,"###"))))</f>
        <v>3263.6363636363635</v>
      </c>
      <c r="F2525" s="26" t="str">
        <f t="shared" si="2522"/>
        <v>B</v>
      </c>
      <c r="G2525" s="8"/>
      <c r="H2525" s="8">
        <v>413</v>
      </c>
      <c r="I2525" s="8">
        <v>41</v>
      </c>
      <c r="J2525" s="8">
        <v>1773</v>
      </c>
      <c r="K2525" s="9">
        <f t="shared" si="2515"/>
        <v>2186</v>
      </c>
      <c r="L2525" s="12">
        <v>40</v>
      </c>
      <c r="M2525" s="11">
        <f t="shared" si="2541"/>
        <v>2000</v>
      </c>
      <c r="O2525" s="11">
        <f t="shared" si="2542"/>
        <v>0</v>
      </c>
      <c r="P2525" s="12">
        <v>1462.7</v>
      </c>
      <c r="Q2525" s="11">
        <f t="shared" si="2543"/>
        <v>87762</v>
      </c>
      <c r="X2525" s="12">
        <v>39241.5</v>
      </c>
      <c r="Y2525" s="11">
        <f t="shared" si="2544"/>
        <v>2354490</v>
      </c>
      <c r="AG2525" s="11">
        <f t="shared" si="2545"/>
        <v>0</v>
      </c>
      <c r="AI2525" s="11">
        <f t="shared" si="2546"/>
        <v>0</v>
      </c>
      <c r="AK2525" s="13">
        <f t="shared" si="2547"/>
        <v>0</v>
      </c>
      <c r="AM2525" s="13">
        <f t="shared" si="2548"/>
        <v>0</v>
      </c>
      <c r="AO2525" s="11">
        <f t="shared" si="2549"/>
        <v>0</v>
      </c>
      <c r="AQ2525" s="11">
        <f t="shared" si="2550"/>
        <v>0</v>
      </c>
      <c r="AS2525" s="11">
        <f t="shared" si="2551"/>
        <v>0</v>
      </c>
      <c r="AU2525" s="11">
        <f t="shared" si="2552"/>
        <v>0</v>
      </c>
      <c r="AV2525" s="12">
        <v>10</v>
      </c>
      <c r="AW2525" s="11">
        <f t="shared" si="2553"/>
        <v>600</v>
      </c>
      <c r="AY2525" s="11">
        <f t="shared" si="2554"/>
        <v>0</v>
      </c>
      <c r="BA2525" s="11">
        <f t="shared" si="2555"/>
        <v>0</v>
      </c>
      <c r="BC2525" s="11">
        <f t="shared" si="2556"/>
        <v>0</v>
      </c>
      <c r="BE2525" s="11">
        <f t="shared" si="2557"/>
        <v>0</v>
      </c>
      <c r="BG2525" s="11">
        <f t="shared" si="2558"/>
        <v>0</v>
      </c>
      <c r="BN2525" s="8">
        <f t="shared" si="2513"/>
        <v>40754.199999999997</v>
      </c>
      <c r="BO2525" s="8">
        <f t="shared" si="2514"/>
        <v>2444852</v>
      </c>
      <c r="BP2525" s="8">
        <f t="shared" si="2516"/>
        <v>39241.5</v>
      </c>
      <c r="BQ2525" s="12">
        <f t="shared" si="2517"/>
        <v>2354490</v>
      </c>
    </row>
    <row r="2526" spans="1:69">
      <c r="A2526" s="28">
        <v>1985</v>
      </c>
      <c r="B2526" s="27" t="s">
        <v>110</v>
      </c>
      <c r="C2526" s="24">
        <f t="shared" si="2520"/>
        <v>2496</v>
      </c>
      <c r="D2526" s="7" t="e">
        <f t="shared" ca="1" si="2521"/>
        <v>#N/A</v>
      </c>
      <c r="E2526" s="26">
        <f t="array" aca="1" ref="E2526" ca="1">AVERAGE(IF(INDIRECT(DatCol&amp;"$"&amp;TEXT(C2526,"###")):INDIRECT(DatCol&amp;"$"&amp;TEXT(C2526+57,"###"))&gt;0,INDIRECT(DatCol&amp;"$"&amp;TEXT(C2526,"###")):INDIRECT(DatCol&amp;"$"&amp;TEXT(C2526+57,"###"))))</f>
        <v>3263.6363636363635</v>
      </c>
      <c r="F2526" s="26" t="str">
        <f t="shared" si="2522"/>
        <v>B</v>
      </c>
      <c r="G2526" s="8"/>
      <c r="H2526" s="8" t="s">
        <v>113</v>
      </c>
      <c r="J2526" s="8" t="s">
        <v>52</v>
      </c>
      <c r="K2526" s="9">
        <f t="shared" si="2515"/>
        <v>0</v>
      </c>
      <c r="M2526" s="11">
        <f t="shared" si="2541"/>
        <v>0</v>
      </c>
      <c r="O2526" s="11">
        <f t="shared" si="2542"/>
        <v>0</v>
      </c>
      <c r="Q2526" s="11">
        <f t="shared" si="2543"/>
        <v>0</v>
      </c>
      <c r="Y2526" s="11">
        <f t="shared" si="2544"/>
        <v>0</v>
      </c>
      <c r="AG2526" s="11">
        <f t="shared" si="2545"/>
        <v>0</v>
      </c>
      <c r="AI2526" s="11">
        <f t="shared" si="2546"/>
        <v>0</v>
      </c>
      <c r="AK2526" s="13">
        <f t="shared" si="2547"/>
        <v>0</v>
      </c>
      <c r="AM2526" s="13">
        <f t="shared" si="2548"/>
        <v>0</v>
      </c>
      <c r="AO2526" s="11">
        <f t="shared" si="2549"/>
        <v>0</v>
      </c>
      <c r="AQ2526" s="11">
        <f t="shared" si="2550"/>
        <v>0</v>
      </c>
      <c r="AS2526" s="11">
        <f t="shared" si="2551"/>
        <v>0</v>
      </c>
      <c r="AU2526" s="11">
        <f t="shared" si="2552"/>
        <v>0</v>
      </c>
      <c r="AW2526" s="11">
        <f t="shared" si="2553"/>
        <v>0</v>
      </c>
      <c r="AY2526" s="11">
        <f t="shared" si="2554"/>
        <v>0</v>
      </c>
      <c r="BA2526" s="11">
        <f t="shared" si="2555"/>
        <v>0</v>
      </c>
      <c r="BC2526" s="11">
        <f t="shared" si="2556"/>
        <v>0</v>
      </c>
      <c r="BE2526" s="11">
        <f t="shared" si="2557"/>
        <v>0</v>
      </c>
      <c r="BG2526" s="11">
        <f t="shared" si="2558"/>
        <v>0</v>
      </c>
      <c r="BN2526" s="8">
        <f t="shared" si="2513"/>
        <v>0</v>
      </c>
      <c r="BO2526" s="8">
        <f t="shared" si="2514"/>
        <v>0</v>
      </c>
      <c r="BP2526" s="8">
        <f t="shared" si="2516"/>
        <v>0</v>
      </c>
      <c r="BQ2526" s="12">
        <f t="shared" si="2517"/>
        <v>0</v>
      </c>
    </row>
    <row r="2527" spans="1:69">
      <c r="A2527" s="28">
        <v>1986</v>
      </c>
      <c r="B2527" s="27" t="s">
        <v>110</v>
      </c>
      <c r="C2527" s="24">
        <f t="shared" si="2520"/>
        <v>2496</v>
      </c>
      <c r="D2527" s="7" t="e">
        <f t="shared" ca="1" si="2521"/>
        <v>#N/A</v>
      </c>
      <c r="E2527" s="26">
        <f t="array" aca="1" ref="E2527" ca="1">AVERAGE(IF(INDIRECT(DatCol&amp;"$"&amp;TEXT(C2527,"###")):INDIRECT(DatCol&amp;"$"&amp;TEXT(C2527+57,"###"))&gt;0,INDIRECT(DatCol&amp;"$"&amp;TEXT(C2527,"###")):INDIRECT(DatCol&amp;"$"&amp;TEXT(C2527+57,"###"))))</f>
        <v>3263.6363636363635</v>
      </c>
      <c r="F2527" s="26" t="str">
        <f t="shared" si="2522"/>
        <v>B</v>
      </c>
      <c r="G2527" s="8">
        <v>890</v>
      </c>
      <c r="H2527" s="8">
        <v>422</v>
      </c>
      <c r="I2527" s="8">
        <v>38</v>
      </c>
      <c r="J2527" s="8">
        <v>1622</v>
      </c>
      <c r="K2527" s="9">
        <f t="shared" si="2515"/>
        <v>2934</v>
      </c>
      <c r="L2527" s="12">
        <v>10866</v>
      </c>
      <c r="M2527" s="11">
        <f t="shared" si="2541"/>
        <v>543300</v>
      </c>
      <c r="O2527" s="11">
        <f t="shared" si="2542"/>
        <v>0</v>
      </c>
      <c r="P2527" s="12">
        <v>91838</v>
      </c>
      <c r="Q2527" s="11">
        <f t="shared" si="2543"/>
        <v>5510280</v>
      </c>
      <c r="X2527" s="12">
        <v>37897</v>
      </c>
      <c r="Y2527" s="11">
        <f t="shared" si="2544"/>
        <v>2273820</v>
      </c>
      <c r="AG2527" s="11">
        <f t="shared" si="2545"/>
        <v>0</v>
      </c>
      <c r="AI2527" s="11">
        <f t="shared" si="2546"/>
        <v>0</v>
      </c>
      <c r="AJ2527" s="12" t="s">
        <v>114</v>
      </c>
      <c r="AK2527" s="13">
        <f t="shared" si="2547"/>
        <v>0</v>
      </c>
      <c r="AL2527" s="12" t="s">
        <v>115</v>
      </c>
      <c r="AM2527" s="13">
        <f t="shared" si="2548"/>
        <v>0</v>
      </c>
      <c r="AO2527" s="11">
        <f t="shared" si="2549"/>
        <v>0</v>
      </c>
      <c r="AQ2527" s="11">
        <f t="shared" si="2550"/>
        <v>0</v>
      </c>
      <c r="AS2527" s="11">
        <f t="shared" si="2551"/>
        <v>0</v>
      </c>
      <c r="AU2527" s="11">
        <f t="shared" si="2552"/>
        <v>0</v>
      </c>
      <c r="AW2527" s="11">
        <f t="shared" si="2553"/>
        <v>0</v>
      </c>
      <c r="AY2527" s="11">
        <f t="shared" si="2554"/>
        <v>0</v>
      </c>
      <c r="BA2527" s="11">
        <f t="shared" si="2555"/>
        <v>0</v>
      </c>
      <c r="BC2527" s="11">
        <f t="shared" si="2556"/>
        <v>0</v>
      </c>
      <c r="BE2527" s="11">
        <f t="shared" si="2557"/>
        <v>0</v>
      </c>
      <c r="BG2527" s="11">
        <f t="shared" si="2558"/>
        <v>0</v>
      </c>
      <c r="BN2527" s="8">
        <f t="shared" si="2513"/>
        <v>140601</v>
      </c>
      <c r="BO2527" s="8">
        <f t="shared" si="2514"/>
        <v>8327400</v>
      </c>
      <c r="BP2527" s="8">
        <f t="shared" si="2516"/>
        <v>37897</v>
      </c>
      <c r="BQ2527" s="12">
        <f t="shared" si="2517"/>
        <v>2273820</v>
      </c>
    </row>
    <row r="2528" spans="1:69">
      <c r="A2528" s="28">
        <v>1987</v>
      </c>
      <c r="B2528" s="27" t="s">
        <v>110</v>
      </c>
      <c r="C2528" s="24">
        <f t="shared" si="2520"/>
        <v>2496</v>
      </c>
      <c r="D2528" s="7">
        <f t="shared" ca="1" si="2521"/>
        <v>1.532033426183844</v>
      </c>
      <c r="E2528" s="26">
        <f t="array" aca="1" ref="E2528" ca="1">AVERAGE(IF(INDIRECT(DatCol&amp;"$"&amp;TEXT(C2528,"###")):INDIRECT(DatCol&amp;"$"&amp;TEXT(C2528+57,"###"))&gt;0,INDIRECT(DatCol&amp;"$"&amp;TEXT(C2528,"###")):INDIRECT(DatCol&amp;"$"&amp;TEXT(C2528+57,"###"))))</f>
        <v>3263.6363636363635</v>
      </c>
      <c r="F2528" s="26" t="str">
        <f t="shared" si="2522"/>
        <v>B</v>
      </c>
      <c r="G2528" s="8">
        <v>1024</v>
      </c>
      <c r="H2528" s="8">
        <v>374</v>
      </c>
      <c r="I2528" s="8">
        <v>33</v>
      </c>
      <c r="J2528" s="8">
        <v>1653</v>
      </c>
      <c r="K2528" s="9">
        <f t="shared" si="2515"/>
        <v>3051</v>
      </c>
      <c r="L2528" s="12">
        <v>731</v>
      </c>
      <c r="M2528" s="11">
        <f t="shared" si="2541"/>
        <v>36550</v>
      </c>
      <c r="N2528" s="12">
        <v>5000</v>
      </c>
      <c r="O2528" s="11">
        <f t="shared" si="2542"/>
        <v>250000</v>
      </c>
      <c r="P2528" s="12">
        <v>2580</v>
      </c>
      <c r="Q2528" s="11">
        <f t="shared" si="2543"/>
        <v>154800</v>
      </c>
      <c r="X2528" s="12">
        <v>7000</v>
      </c>
      <c r="Y2528" s="11">
        <f t="shared" si="2544"/>
        <v>420000</v>
      </c>
      <c r="AF2528" s="12">
        <v>0</v>
      </c>
      <c r="AG2528" s="11">
        <f t="shared" si="2545"/>
        <v>0</v>
      </c>
      <c r="AH2528" s="12">
        <v>370</v>
      </c>
      <c r="AI2528" s="11">
        <f t="shared" si="2546"/>
        <v>24050</v>
      </c>
      <c r="AK2528" s="13">
        <f t="shared" si="2547"/>
        <v>0</v>
      </c>
      <c r="AM2528" s="13">
        <f t="shared" si="2548"/>
        <v>0</v>
      </c>
      <c r="AO2528" s="11">
        <f t="shared" si="2549"/>
        <v>0</v>
      </c>
      <c r="AQ2528" s="11">
        <f t="shared" si="2550"/>
        <v>0</v>
      </c>
      <c r="AS2528" s="11">
        <f t="shared" si="2551"/>
        <v>0</v>
      </c>
      <c r="AT2528" s="12">
        <v>83</v>
      </c>
      <c r="AU2528" s="11">
        <f t="shared" si="2552"/>
        <v>4150</v>
      </c>
      <c r="AV2528" s="12">
        <v>333</v>
      </c>
      <c r="AW2528" s="11">
        <f t="shared" si="2553"/>
        <v>19980</v>
      </c>
      <c r="AX2528" s="12">
        <v>0</v>
      </c>
      <c r="AY2528" s="11">
        <f t="shared" si="2554"/>
        <v>0</v>
      </c>
      <c r="BA2528" s="11">
        <f t="shared" si="2555"/>
        <v>0</v>
      </c>
      <c r="BC2528" s="11">
        <f t="shared" si="2556"/>
        <v>0</v>
      </c>
      <c r="BE2528" s="11">
        <f t="shared" si="2557"/>
        <v>0</v>
      </c>
      <c r="BG2528" s="11">
        <f t="shared" si="2558"/>
        <v>0</v>
      </c>
      <c r="BI2528" s="13">
        <v>5000</v>
      </c>
      <c r="BN2528" s="8">
        <f t="shared" si="2513"/>
        <v>10644</v>
      </c>
      <c r="BO2528" s="8">
        <f t="shared" si="2514"/>
        <v>631330</v>
      </c>
      <c r="BP2528" s="8">
        <f t="shared" si="2516"/>
        <v>12453</v>
      </c>
      <c r="BQ2528" s="12">
        <f t="shared" si="2517"/>
        <v>698200</v>
      </c>
    </row>
    <row r="2529" spans="1:69">
      <c r="A2529" s="28">
        <v>1988</v>
      </c>
      <c r="B2529" s="27" t="s">
        <v>110</v>
      </c>
      <c r="C2529" s="24">
        <f t="shared" si="2520"/>
        <v>2496</v>
      </c>
      <c r="D2529" s="7">
        <f t="shared" ca="1" si="2521"/>
        <v>1.6852367688022285</v>
      </c>
      <c r="E2529" s="26">
        <f t="array" aca="1" ref="E2529" ca="1">AVERAGE(IF(INDIRECT(DatCol&amp;"$"&amp;TEXT(C2529,"###")):INDIRECT(DatCol&amp;"$"&amp;TEXT(C2529+57,"###"))&gt;0,INDIRECT(DatCol&amp;"$"&amp;TEXT(C2529,"###")):INDIRECT(DatCol&amp;"$"&amp;TEXT(C2529+57,"###"))))</f>
        <v>3263.6363636363635</v>
      </c>
      <c r="F2529" s="26" t="str">
        <f t="shared" si="2522"/>
        <v>B</v>
      </c>
      <c r="G2529" s="8">
        <v>890</v>
      </c>
      <c r="H2529" s="8">
        <v>302</v>
      </c>
      <c r="I2529" s="8">
        <v>46</v>
      </c>
      <c r="J2529" s="8">
        <v>1683</v>
      </c>
      <c r="K2529" s="9">
        <f t="shared" si="2515"/>
        <v>2875</v>
      </c>
      <c r="L2529" s="12">
        <v>1158</v>
      </c>
      <c r="M2529" s="11">
        <f t="shared" si="2541"/>
        <v>57900</v>
      </c>
      <c r="N2529" s="12">
        <v>5500</v>
      </c>
      <c r="O2529" s="11">
        <f t="shared" si="2542"/>
        <v>275000</v>
      </c>
      <c r="P2529" s="12">
        <f>1690+545+310</f>
        <v>2545</v>
      </c>
      <c r="Q2529" s="11">
        <f t="shared" si="2543"/>
        <v>152700</v>
      </c>
      <c r="X2529" s="12">
        <v>7000</v>
      </c>
      <c r="Y2529" s="11">
        <f t="shared" si="2544"/>
        <v>420000</v>
      </c>
      <c r="AF2529" s="12">
        <v>0</v>
      </c>
      <c r="AG2529" s="11">
        <f t="shared" si="2545"/>
        <v>0</v>
      </c>
      <c r="AH2529" s="12">
        <v>350</v>
      </c>
      <c r="AI2529" s="11">
        <f t="shared" si="2546"/>
        <v>22750</v>
      </c>
      <c r="AJ2529" s="12">
        <v>0</v>
      </c>
      <c r="AK2529" s="13">
        <f t="shared" si="2547"/>
        <v>0</v>
      </c>
      <c r="AL2529" s="12">
        <v>0</v>
      </c>
      <c r="AM2529" s="13">
        <f t="shared" si="2548"/>
        <v>0</v>
      </c>
      <c r="AN2529" s="12">
        <v>0</v>
      </c>
      <c r="AO2529" s="11">
        <f t="shared" si="2549"/>
        <v>0</v>
      </c>
      <c r="AP2529" s="12">
        <v>0</v>
      </c>
      <c r="AQ2529" s="11">
        <f t="shared" si="2550"/>
        <v>0</v>
      </c>
      <c r="AR2529" s="12">
        <v>0</v>
      </c>
      <c r="AS2529" s="11">
        <f t="shared" si="2551"/>
        <v>0</v>
      </c>
      <c r="AT2529" s="12">
        <v>50</v>
      </c>
      <c r="AU2529" s="11">
        <f t="shared" si="2552"/>
        <v>2500</v>
      </c>
      <c r="AV2529" s="12">
        <v>180</v>
      </c>
      <c r="AW2529" s="11">
        <f t="shared" si="2553"/>
        <v>10800</v>
      </c>
      <c r="AX2529" s="12">
        <v>50</v>
      </c>
      <c r="AY2529" s="11">
        <f t="shared" si="2554"/>
        <v>3000</v>
      </c>
      <c r="AZ2529" s="12">
        <v>0</v>
      </c>
      <c r="BA2529" s="11">
        <f t="shared" si="2555"/>
        <v>0</v>
      </c>
      <c r="BB2529" s="12">
        <v>0</v>
      </c>
      <c r="BC2529" s="11">
        <f t="shared" si="2556"/>
        <v>0</v>
      </c>
      <c r="BD2529" s="12">
        <v>0</v>
      </c>
      <c r="BE2529" s="11">
        <f t="shared" si="2557"/>
        <v>0</v>
      </c>
      <c r="BF2529" s="12">
        <v>0</v>
      </c>
      <c r="BG2529" s="11">
        <f t="shared" si="2558"/>
        <v>0</v>
      </c>
      <c r="BH2529" s="13">
        <v>1620</v>
      </c>
      <c r="BI2529" s="13">
        <v>5000</v>
      </c>
      <c r="BN2529" s="8">
        <f t="shared" si="2513"/>
        <v>10883</v>
      </c>
      <c r="BO2529" s="8">
        <f t="shared" si="2514"/>
        <v>641400</v>
      </c>
      <c r="BP2529" s="8">
        <f t="shared" si="2516"/>
        <v>12950</v>
      </c>
      <c r="BQ2529" s="12">
        <f t="shared" si="2517"/>
        <v>723250</v>
      </c>
    </row>
    <row r="2530" spans="1:69">
      <c r="A2530" s="28">
        <v>1989</v>
      </c>
      <c r="B2530" s="27" t="s">
        <v>110</v>
      </c>
      <c r="C2530" s="24">
        <f t="shared" si="2520"/>
        <v>2496</v>
      </c>
      <c r="D2530" s="7">
        <f t="shared" ca="1" si="2521"/>
        <v>1.6852367688022285</v>
      </c>
      <c r="E2530" s="26">
        <f t="array" aca="1" ref="E2530" ca="1">AVERAGE(IF(INDIRECT(DatCol&amp;"$"&amp;TEXT(C2530,"###")):INDIRECT(DatCol&amp;"$"&amp;TEXT(C2530+57,"###"))&gt;0,INDIRECT(DatCol&amp;"$"&amp;TEXT(C2530,"###")):INDIRECT(DatCol&amp;"$"&amp;TEXT(C2530+57,"###"))))</f>
        <v>3263.6363636363635</v>
      </c>
      <c r="F2530" s="26" t="str">
        <f t="shared" si="2522"/>
        <v>B</v>
      </c>
      <c r="G2530" s="8">
        <v>920</v>
      </c>
      <c r="H2530" s="8">
        <v>367</v>
      </c>
      <c r="I2530" s="8">
        <v>51</v>
      </c>
      <c r="J2530" s="8">
        <v>1462</v>
      </c>
      <c r="K2530" s="9">
        <f t="shared" si="2515"/>
        <v>2749</v>
      </c>
      <c r="L2530" s="12">
        <v>1260</v>
      </c>
      <c r="M2530" s="11">
        <f t="shared" si="2541"/>
        <v>63000</v>
      </c>
      <c r="N2530" s="12">
        <v>5500</v>
      </c>
      <c r="O2530" s="11">
        <f t="shared" si="2542"/>
        <v>275000</v>
      </c>
      <c r="P2530" s="12">
        <v>2916</v>
      </c>
      <c r="Q2530" s="11">
        <f t="shared" si="2543"/>
        <v>174960</v>
      </c>
      <c r="X2530" s="12">
        <v>7000</v>
      </c>
      <c r="Y2530" s="11">
        <f t="shared" si="2544"/>
        <v>420000</v>
      </c>
      <c r="AF2530" s="12">
        <v>698</v>
      </c>
      <c r="AG2530" s="11">
        <f t="shared" si="2545"/>
        <v>45370</v>
      </c>
      <c r="AH2530" s="12">
        <v>200</v>
      </c>
      <c r="AI2530" s="11">
        <f t="shared" si="2546"/>
        <v>13000</v>
      </c>
      <c r="AJ2530" s="12">
        <v>0</v>
      </c>
      <c r="AK2530" s="13">
        <f t="shared" si="2547"/>
        <v>0</v>
      </c>
      <c r="AL2530" s="12">
        <v>5</v>
      </c>
      <c r="AM2530" s="13">
        <f t="shared" si="2548"/>
        <v>45</v>
      </c>
      <c r="AN2530" s="12">
        <v>0</v>
      </c>
      <c r="AO2530" s="11">
        <f t="shared" si="2549"/>
        <v>0</v>
      </c>
      <c r="AP2530" s="12">
        <v>0</v>
      </c>
      <c r="AQ2530" s="11">
        <f t="shared" si="2550"/>
        <v>0</v>
      </c>
      <c r="AS2530" s="11">
        <f t="shared" si="2551"/>
        <v>0</v>
      </c>
      <c r="AT2530" s="12">
        <v>100</v>
      </c>
      <c r="AU2530" s="11">
        <f t="shared" si="2552"/>
        <v>5000</v>
      </c>
      <c r="AV2530" s="12">
        <v>180</v>
      </c>
      <c r="AW2530" s="11">
        <f t="shared" si="2553"/>
        <v>10800</v>
      </c>
      <c r="AX2530" s="12">
        <v>100</v>
      </c>
      <c r="AY2530" s="11">
        <f t="shared" si="2554"/>
        <v>6000</v>
      </c>
      <c r="BA2530" s="11">
        <f t="shared" si="2555"/>
        <v>0</v>
      </c>
      <c r="BC2530" s="11">
        <f t="shared" si="2556"/>
        <v>0</v>
      </c>
      <c r="BE2530" s="11">
        <f t="shared" si="2557"/>
        <v>0</v>
      </c>
      <c r="BG2530" s="11">
        <f t="shared" si="2558"/>
        <v>0</v>
      </c>
      <c r="BH2530" s="13">
        <v>3000</v>
      </c>
      <c r="BI2530" s="13">
        <v>5000</v>
      </c>
      <c r="BN2530" s="8">
        <f t="shared" si="2513"/>
        <v>12054</v>
      </c>
      <c r="BO2530" s="8">
        <f t="shared" si="2514"/>
        <v>714130</v>
      </c>
      <c r="BP2530" s="8">
        <f t="shared" si="2516"/>
        <v>12905</v>
      </c>
      <c r="BQ2530" s="12">
        <f t="shared" si="2517"/>
        <v>719045</v>
      </c>
    </row>
    <row r="2531" spans="1:69">
      <c r="A2531" s="28">
        <v>1990</v>
      </c>
      <c r="B2531" s="27" t="s">
        <v>110</v>
      </c>
      <c r="C2531" s="24">
        <f t="shared" si="2520"/>
        <v>2496</v>
      </c>
      <c r="D2531" s="7">
        <f t="shared" ca="1" si="2521"/>
        <v>1.3941504178272981</v>
      </c>
      <c r="E2531" s="26">
        <f t="array" aca="1" ref="E2531" ca="1">AVERAGE(IF(INDIRECT(DatCol&amp;"$"&amp;TEXT(C2531,"###")):INDIRECT(DatCol&amp;"$"&amp;TEXT(C2531+57,"###"))&gt;0,INDIRECT(DatCol&amp;"$"&amp;TEXT(C2531,"###")):INDIRECT(DatCol&amp;"$"&amp;TEXT(C2531+57,"###"))))</f>
        <v>3263.6363636363635</v>
      </c>
      <c r="F2531" s="26" t="str">
        <f t="shared" si="2522"/>
        <v>B</v>
      </c>
      <c r="G2531" s="8">
        <v>140</v>
      </c>
      <c r="H2531" s="8">
        <v>327</v>
      </c>
      <c r="I2531" s="8">
        <v>51</v>
      </c>
      <c r="J2531" s="8">
        <v>1155</v>
      </c>
      <c r="K2531" s="9">
        <f t="shared" si="2515"/>
        <v>1622</v>
      </c>
      <c r="L2531" s="12">
        <v>814</v>
      </c>
      <c r="M2531" s="11">
        <f t="shared" si="2541"/>
        <v>40700</v>
      </c>
      <c r="N2531" s="12">
        <v>4550</v>
      </c>
      <c r="O2531" s="11">
        <f t="shared" si="2542"/>
        <v>227500</v>
      </c>
      <c r="P2531" s="12">
        <v>3041</v>
      </c>
      <c r="Q2531" s="11">
        <f t="shared" si="2543"/>
        <v>182460</v>
      </c>
      <c r="X2531" s="12">
        <v>7000</v>
      </c>
      <c r="Y2531" s="11">
        <f t="shared" si="2544"/>
        <v>420000</v>
      </c>
      <c r="AF2531" s="12">
        <v>250</v>
      </c>
      <c r="AG2531" s="11">
        <f t="shared" si="2545"/>
        <v>16250</v>
      </c>
      <c r="AH2531" s="12">
        <v>200</v>
      </c>
      <c r="AI2531" s="11">
        <f t="shared" si="2546"/>
        <v>13000</v>
      </c>
      <c r="AK2531" s="13">
        <f t="shared" si="2547"/>
        <v>0</v>
      </c>
      <c r="AM2531" s="13">
        <f t="shared" si="2548"/>
        <v>0</v>
      </c>
      <c r="AO2531" s="11">
        <f t="shared" si="2549"/>
        <v>0</v>
      </c>
      <c r="AQ2531" s="11">
        <f t="shared" si="2550"/>
        <v>0</v>
      </c>
      <c r="AS2531" s="11">
        <f t="shared" si="2551"/>
        <v>0</v>
      </c>
      <c r="AT2531" s="12">
        <v>75</v>
      </c>
      <c r="AU2531" s="11">
        <f t="shared" si="2552"/>
        <v>3750</v>
      </c>
      <c r="AV2531" s="12">
        <v>225</v>
      </c>
      <c r="AW2531" s="11">
        <f t="shared" si="2553"/>
        <v>13500</v>
      </c>
      <c r="AX2531" s="12">
        <v>75</v>
      </c>
      <c r="AY2531" s="11">
        <f t="shared" si="2554"/>
        <v>4500</v>
      </c>
      <c r="BA2531" s="11">
        <f t="shared" si="2555"/>
        <v>0</v>
      </c>
      <c r="BC2531" s="11">
        <f t="shared" si="2556"/>
        <v>0</v>
      </c>
      <c r="BE2531" s="11">
        <f t="shared" si="2557"/>
        <v>0</v>
      </c>
      <c r="BG2531" s="11">
        <f t="shared" si="2558"/>
        <v>0</v>
      </c>
      <c r="BH2531" s="13">
        <v>2500</v>
      </c>
      <c r="BI2531" s="13">
        <v>3000</v>
      </c>
      <c r="BN2531" s="8">
        <f t="shared" si="2513"/>
        <v>11330</v>
      </c>
      <c r="BO2531" s="8">
        <f t="shared" si="2514"/>
        <v>672910</v>
      </c>
      <c r="BP2531" s="8">
        <f t="shared" si="2516"/>
        <v>11900</v>
      </c>
      <c r="BQ2531" s="12">
        <f t="shared" si="2517"/>
        <v>668750</v>
      </c>
    </row>
    <row r="2532" spans="1:69">
      <c r="A2532" s="28">
        <v>1991</v>
      </c>
      <c r="B2532" s="27" t="s">
        <v>110</v>
      </c>
      <c r="C2532" s="24">
        <f t="shared" si="2520"/>
        <v>2496</v>
      </c>
      <c r="D2532" s="7">
        <f t="shared" ca="1" si="2521"/>
        <v>1.3022284122562675</v>
      </c>
      <c r="E2532" s="26">
        <f t="array" aca="1" ref="E2532" ca="1">AVERAGE(IF(INDIRECT(DatCol&amp;"$"&amp;TEXT(C2532,"###")):INDIRECT(DatCol&amp;"$"&amp;TEXT(C2532+57,"###"))&gt;0,INDIRECT(DatCol&amp;"$"&amp;TEXT(C2532,"###")):INDIRECT(DatCol&amp;"$"&amp;TEXT(C2532+57,"###"))))</f>
        <v>3263.6363636363635</v>
      </c>
      <c r="F2532" s="26" t="str">
        <f t="shared" si="2522"/>
        <v>B</v>
      </c>
      <c r="G2532" s="8">
        <v>510</v>
      </c>
      <c r="H2532" s="8">
        <v>550</v>
      </c>
      <c r="I2532" s="8">
        <v>44</v>
      </c>
      <c r="J2532" s="8">
        <v>2006</v>
      </c>
      <c r="K2532" s="9">
        <f t="shared" si="2515"/>
        <v>3066</v>
      </c>
      <c r="L2532" s="12">
        <v>625</v>
      </c>
      <c r="M2532" s="11">
        <f t="shared" si="2541"/>
        <v>31250</v>
      </c>
      <c r="N2532" s="12">
        <v>4250</v>
      </c>
      <c r="O2532" s="11">
        <f t="shared" si="2542"/>
        <v>212500</v>
      </c>
      <c r="P2532" s="12">
        <v>2825</v>
      </c>
      <c r="Q2532" s="11">
        <f t="shared" si="2543"/>
        <v>169500</v>
      </c>
      <c r="X2532" s="12">
        <v>7000</v>
      </c>
      <c r="Y2532" s="11">
        <f t="shared" si="2544"/>
        <v>420000</v>
      </c>
      <c r="AF2532" s="12">
        <v>120</v>
      </c>
      <c r="AG2532" s="11">
        <f t="shared" si="2545"/>
        <v>7800</v>
      </c>
      <c r="AH2532" s="12">
        <v>0</v>
      </c>
      <c r="AI2532" s="11">
        <f t="shared" si="2546"/>
        <v>0</v>
      </c>
      <c r="AK2532" s="13">
        <f t="shared" si="2547"/>
        <v>0</v>
      </c>
      <c r="AM2532" s="13">
        <f t="shared" si="2548"/>
        <v>0</v>
      </c>
      <c r="AO2532" s="11">
        <f t="shared" si="2549"/>
        <v>0</v>
      </c>
      <c r="AQ2532" s="11">
        <f t="shared" si="2550"/>
        <v>0</v>
      </c>
      <c r="AS2532" s="11">
        <f t="shared" si="2551"/>
        <v>0</v>
      </c>
      <c r="AT2532" s="12">
        <v>250</v>
      </c>
      <c r="AU2532" s="11">
        <f t="shared" si="2552"/>
        <v>12500</v>
      </c>
      <c r="AV2532" s="12">
        <v>250</v>
      </c>
      <c r="AW2532" s="11">
        <f t="shared" si="2553"/>
        <v>15000</v>
      </c>
      <c r="AX2532" s="12">
        <v>75</v>
      </c>
      <c r="AY2532" s="11">
        <f t="shared" si="2554"/>
        <v>4500</v>
      </c>
      <c r="BA2532" s="11">
        <f t="shared" si="2555"/>
        <v>0</v>
      </c>
      <c r="BC2532" s="11">
        <f t="shared" si="2556"/>
        <v>0</v>
      </c>
      <c r="BE2532" s="11">
        <f t="shared" si="2557"/>
        <v>0</v>
      </c>
      <c r="BG2532" s="11">
        <f t="shared" si="2558"/>
        <v>0</v>
      </c>
      <c r="BH2532" s="13">
        <v>15000</v>
      </c>
      <c r="BI2532" s="13">
        <v>1000</v>
      </c>
      <c r="BN2532" s="8">
        <f t="shared" si="2513"/>
        <v>10820</v>
      </c>
      <c r="BO2532" s="8">
        <f t="shared" si="2514"/>
        <v>643550</v>
      </c>
      <c r="BP2532" s="8">
        <f t="shared" si="2516"/>
        <v>11575</v>
      </c>
      <c r="BQ2532" s="12">
        <f t="shared" si="2517"/>
        <v>649500</v>
      </c>
    </row>
    <row r="2533" spans="1:69">
      <c r="A2533" s="28">
        <v>1992</v>
      </c>
      <c r="B2533" s="27" t="s">
        <v>110</v>
      </c>
      <c r="C2533" s="24">
        <f t="shared" si="2520"/>
        <v>2496</v>
      </c>
      <c r="D2533" s="7">
        <f t="shared" ca="1" si="2521"/>
        <v>0.95752089136490259</v>
      </c>
      <c r="E2533" s="26">
        <f t="array" aca="1" ref="E2533" ca="1">AVERAGE(IF(INDIRECT(DatCol&amp;"$"&amp;TEXT(C2533,"###")):INDIRECT(DatCol&amp;"$"&amp;TEXT(C2533+57,"###"))&gt;0,INDIRECT(DatCol&amp;"$"&amp;TEXT(C2533,"###")):INDIRECT(DatCol&amp;"$"&amp;TEXT(C2533+57,"###"))))</f>
        <v>3263.6363636363635</v>
      </c>
      <c r="F2533" s="26" t="str">
        <f t="shared" si="2522"/>
        <v>B</v>
      </c>
      <c r="G2533" s="8">
        <v>407</v>
      </c>
      <c r="H2533" s="8">
        <v>242</v>
      </c>
      <c r="I2533" s="8">
        <v>49</v>
      </c>
      <c r="J2533" s="8">
        <v>1013</v>
      </c>
      <c r="K2533" s="9">
        <f t="shared" si="2515"/>
        <v>1662</v>
      </c>
      <c r="L2533" s="12">
        <v>261</v>
      </c>
      <c r="M2533" s="11">
        <f t="shared" si="2541"/>
        <v>13050</v>
      </c>
      <c r="N2533" s="12">
        <v>3125</v>
      </c>
      <c r="O2533" s="11">
        <f t="shared" si="2542"/>
        <v>156250</v>
      </c>
      <c r="P2533" s="12">
        <f>475+2156+4175</f>
        <v>6806</v>
      </c>
      <c r="Q2533" s="11">
        <f t="shared" si="2543"/>
        <v>408360</v>
      </c>
      <c r="X2533" s="12">
        <f>1000+1500+4000</f>
        <v>6500</v>
      </c>
      <c r="Y2533" s="11">
        <f t="shared" si="2544"/>
        <v>390000</v>
      </c>
      <c r="AF2533" s="12">
        <v>356</v>
      </c>
      <c r="AG2533" s="11">
        <f t="shared" si="2545"/>
        <v>23140</v>
      </c>
      <c r="AH2533" s="12">
        <v>100</v>
      </c>
      <c r="AI2533" s="11">
        <f t="shared" si="2546"/>
        <v>6500</v>
      </c>
      <c r="AJ2533" s="12">
        <v>282</v>
      </c>
      <c r="AK2533" s="13">
        <f t="shared" si="2547"/>
        <v>2538</v>
      </c>
      <c r="AL2533" s="12">
        <v>75</v>
      </c>
      <c r="AM2533" s="13">
        <f t="shared" si="2548"/>
        <v>675</v>
      </c>
      <c r="AN2533" s="12">
        <v>0</v>
      </c>
      <c r="AO2533" s="11">
        <f t="shared" si="2549"/>
        <v>0</v>
      </c>
      <c r="AP2533" s="12">
        <v>0</v>
      </c>
      <c r="AQ2533" s="11">
        <f t="shared" si="2550"/>
        <v>0</v>
      </c>
      <c r="AR2533" s="12">
        <v>0</v>
      </c>
      <c r="AS2533" s="11">
        <f t="shared" si="2551"/>
        <v>0</v>
      </c>
      <c r="AT2533" s="12">
        <v>0</v>
      </c>
      <c r="AU2533" s="11">
        <f t="shared" si="2552"/>
        <v>0</v>
      </c>
      <c r="AV2533" s="12">
        <v>375</v>
      </c>
      <c r="AW2533" s="11">
        <f t="shared" si="2553"/>
        <v>22500</v>
      </c>
      <c r="AX2533" s="12">
        <v>50</v>
      </c>
      <c r="AY2533" s="11">
        <f t="shared" si="2554"/>
        <v>3000</v>
      </c>
      <c r="BA2533" s="11">
        <f t="shared" si="2555"/>
        <v>0</v>
      </c>
      <c r="BC2533" s="11">
        <f t="shared" si="2556"/>
        <v>0</v>
      </c>
      <c r="BE2533" s="11">
        <f t="shared" si="2557"/>
        <v>0</v>
      </c>
      <c r="BG2533" s="11">
        <f t="shared" si="2558"/>
        <v>0</v>
      </c>
      <c r="BH2533" s="13">
        <v>8000</v>
      </c>
      <c r="BI2533" s="13">
        <v>500</v>
      </c>
      <c r="BN2533" s="8">
        <f t="shared" si="2513"/>
        <v>14580</v>
      </c>
      <c r="BO2533" s="8">
        <f t="shared" si="2514"/>
        <v>859588</v>
      </c>
      <c r="BP2533" s="8">
        <f t="shared" si="2516"/>
        <v>9850</v>
      </c>
      <c r="BQ2533" s="12">
        <f t="shared" si="2517"/>
        <v>556425</v>
      </c>
    </row>
    <row r="2534" spans="1:69">
      <c r="A2534" s="28">
        <v>1993</v>
      </c>
      <c r="B2534" s="27" t="s">
        <v>110</v>
      </c>
      <c r="C2534" s="24">
        <f t="shared" si="2520"/>
        <v>2496</v>
      </c>
      <c r="D2534" s="7">
        <f t="shared" ca="1" si="2521"/>
        <v>0.88857938718662954</v>
      </c>
      <c r="E2534" s="26">
        <f t="array" aca="1" ref="E2534" ca="1">AVERAGE(IF(INDIRECT(DatCol&amp;"$"&amp;TEXT(C2534,"###")):INDIRECT(DatCol&amp;"$"&amp;TEXT(C2534+57,"###"))&gt;0,INDIRECT(DatCol&amp;"$"&amp;TEXT(C2534,"###")):INDIRECT(DatCol&amp;"$"&amp;TEXT(C2534+57,"###"))))</f>
        <v>3263.6363636363635</v>
      </c>
      <c r="F2534" s="26" t="str">
        <f t="shared" si="2522"/>
        <v>B</v>
      </c>
      <c r="G2534" s="8">
        <v>391</v>
      </c>
      <c r="H2534" s="8">
        <v>226</v>
      </c>
      <c r="I2534" s="8">
        <v>68</v>
      </c>
      <c r="J2534" s="8">
        <v>955</v>
      </c>
      <c r="K2534" s="9">
        <f t="shared" si="2515"/>
        <v>1572</v>
      </c>
      <c r="L2534" s="12">
        <v>0</v>
      </c>
      <c r="M2534" s="11">
        <f t="shared" si="2541"/>
        <v>0</v>
      </c>
      <c r="N2534" s="12">
        <v>2900</v>
      </c>
      <c r="O2534" s="11">
        <f t="shared" si="2542"/>
        <v>145000</v>
      </c>
      <c r="P2534" s="12">
        <f>3280+1288+400</f>
        <v>4968</v>
      </c>
      <c r="Q2534" s="11">
        <f t="shared" si="2543"/>
        <v>298080</v>
      </c>
      <c r="X2534" s="12">
        <f>800+1000+3000</f>
        <v>4800</v>
      </c>
      <c r="Y2534" s="11">
        <f t="shared" si="2544"/>
        <v>288000</v>
      </c>
      <c r="AF2534" s="12">
        <v>468</v>
      </c>
      <c r="AG2534" s="11">
        <f t="shared" si="2545"/>
        <v>30420</v>
      </c>
      <c r="AH2534" s="12">
        <v>80</v>
      </c>
      <c r="AI2534" s="11">
        <f t="shared" si="2546"/>
        <v>5200</v>
      </c>
      <c r="AJ2534" s="12">
        <v>350</v>
      </c>
      <c r="AK2534" s="13">
        <f t="shared" si="2547"/>
        <v>3150</v>
      </c>
      <c r="AL2534" s="12">
        <v>95</v>
      </c>
      <c r="AM2534" s="13">
        <f t="shared" si="2548"/>
        <v>855</v>
      </c>
      <c r="AN2534" s="12">
        <v>0</v>
      </c>
      <c r="AO2534" s="11">
        <f t="shared" si="2549"/>
        <v>0</v>
      </c>
      <c r="AP2534" s="12">
        <v>0</v>
      </c>
      <c r="AQ2534" s="11">
        <f t="shared" si="2550"/>
        <v>0</v>
      </c>
      <c r="AR2534" s="12">
        <v>0</v>
      </c>
      <c r="AS2534" s="11">
        <f t="shared" si="2551"/>
        <v>0</v>
      </c>
      <c r="AT2534" s="12">
        <v>0</v>
      </c>
      <c r="AU2534" s="11">
        <f t="shared" si="2552"/>
        <v>0</v>
      </c>
      <c r="AV2534" s="12">
        <v>350</v>
      </c>
      <c r="AW2534" s="11">
        <f t="shared" si="2553"/>
        <v>21000</v>
      </c>
      <c r="AX2534" s="12">
        <v>40</v>
      </c>
      <c r="AY2534" s="11">
        <f t="shared" si="2554"/>
        <v>2400</v>
      </c>
      <c r="AZ2534" s="12">
        <v>0</v>
      </c>
      <c r="BA2534" s="11">
        <f t="shared" si="2555"/>
        <v>0</v>
      </c>
      <c r="BB2534" s="12">
        <v>0</v>
      </c>
      <c r="BC2534" s="11">
        <f t="shared" si="2556"/>
        <v>0</v>
      </c>
      <c r="BD2534" s="12">
        <v>0</v>
      </c>
      <c r="BE2534" s="11">
        <f t="shared" si="2557"/>
        <v>0</v>
      </c>
      <c r="BF2534" s="12">
        <v>0</v>
      </c>
      <c r="BG2534" s="11">
        <f t="shared" si="2558"/>
        <v>0</v>
      </c>
      <c r="BH2534" s="13">
        <v>4000</v>
      </c>
      <c r="BI2534" s="13">
        <v>400</v>
      </c>
      <c r="BN2534" s="8">
        <f t="shared" si="2513"/>
        <v>10936</v>
      </c>
      <c r="BO2534" s="8">
        <f t="shared" si="2514"/>
        <v>640650</v>
      </c>
      <c r="BP2534" s="8">
        <f t="shared" si="2516"/>
        <v>7915</v>
      </c>
      <c r="BQ2534" s="12">
        <f t="shared" si="2517"/>
        <v>441455</v>
      </c>
    </row>
    <row r="2535" spans="1:69">
      <c r="A2535" s="28">
        <v>1994</v>
      </c>
      <c r="B2535" s="27" t="s">
        <v>110</v>
      </c>
      <c r="C2535" s="24">
        <f t="shared" si="2520"/>
        <v>2496</v>
      </c>
      <c r="D2535" s="7">
        <f t="shared" ca="1" si="2521"/>
        <v>0.88857938718662954</v>
      </c>
      <c r="E2535" s="26">
        <f t="array" aca="1" ref="E2535" ca="1">AVERAGE(IF(INDIRECT(DatCol&amp;"$"&amp;TEXT(C2535,"###")):INDIRECT(DatCol&amp;"$"&amp;TEXT(C2535+57,"###"))&gt;0,INDIRECT(DatCol&amp;"$"&amp;TEXT(C2535,"###")):INDIRECT(DatCol&amp;"$"&amp;TEXT(C2535+57,"###"))))</f>
        <v>3263.6363636363635</v>
      </c>
      <c r="F2535" s="26" t="str">
        <f t="shared" si="2522"/>
        <v>B</v>
      </c>
      <c r="G2535" s="8">
        <v>412</v>
      </c>
      <c r="H2535" s="8">
        <v>115</v>
      </c>
      <c r="I2535" s="8">
        <v>69</v>
      </c>
      <c r="J2535" s="8">
        <v>1009</v>
      </c>
      <c r="K2535" s="9">
        <f t="shared" si="2515"/>
        <v>1536</v>
      </c>
      <c r="L2535" s="12">
        <v>187</v>
      </c>
      <c r="M2535" s="11">
        <f t="shared" si="2541"/>
        <v>9350</v>
      </c>
      <c r="N2535" s="12">
        <v>2900</v>
      </c>
      <c r="O2535" s="11">
        <f t="shared" si="2542"/>
        <v>145000</v>
      </c>
      <c r="P2535" s="12">
        <f>379+1049+2875</f>
        <v>4303</v>
      </c>
      <c r="Q2535" s="11">
        <f t="shared" si="2543"/>
        <v>258180</v>
      </c>
      <c r="X2535" s="12">
        <v>3760</v>
      </c>
      <c r="Y2535" s="11">
        <f t="shared" si="2544"/>
        <v>225600</v>
      </c>
      <c r="AF2535" s="12">
        <v>463</v>
      </c>
      <c r="AG2535" s="11">
        <f t="shared" si="2545"/>
        <v>30095</v>
      </c>
      <c r="AH2535" s="12">
        <v>80</v>
      </c>
      <c r="AI2535" s="11">
        <f t="shared" si="2546"/>
        <v>5200</v>
      </c>
      <c r="AJ2535" s="12">
        <v>154</v>
      </c>
      <c r="AK2535" s="13">
        <f t="shared" si="2547"/>
        <v>1386</v>
      </c>
      <c r="AL2535" s="12">
        <v>25</v>
      </c>
      <c r="AM2535" s="13">
        <f t="shared" si="2548"/>
        <v>225</v>
      </c>
      <c r="AN2535" s="12">
        <v>0</v>
      </c>
      <c r="AO2535" s="11">
        <f t="shared" si="2549"/>
        <v>0</v>
      </c>
      <c r="AP2535" s="12">
        <v>0</v>
      </c>
      <c r="AQ2535" s="11">
        <f t="shared" si="2550"/>
        <v>0</v>
      </c>
      <c r="AR2535" s="12">
        <v>0</v>
      </c>
      <c r="AS2535" s="11">
        <f t="shared" si="2551"/>
        <v>0</v>
      </c>
      <c r="AT2535" s="12">
        <v>0</v>
      </c>
      <c r="AU2535" s="11">
        <f t="shared" si="2552"/>
        <v>0</v>
      </c>
      <c r="AV2535" s="12">
        <v>475</v>
      </c>
      <c r="AW2535" s="11">
        <f t="shared" si="2553"/>
        <v>28500</v>
      </c>
      <c r="AX2535" s="12">
        <v>40</v>
      </c>
      <c r="AY2535" s="11">
        <f t="shared" si="2554"/>
        <v>2400</v>
      </c>
      <c r="AZ2535" s="12">
        <v>0</v>
      </c>
      <c r="BA2535" s="11">
        <f t="shared" si="2555"/>
        <v>0</v>
      </c>
      <c r="BB2535" s="12">
        <v>0</v>
      </c>
      <c r="BC2535" s="11">
        <f t="shared" si="2556"/>
        <v>0</v>
      </c>
      <c r="BD2535" s="12">
        <v>1937</v>
      </c>
      <c r="BE2535" s="11">
        <f t="shared" si="2557"/>
        <v>184015</v>
      </c>
      <c r="BF2535" s="12">
        <v>400</v>
      </c>
      <c r="BG2535" s="11">
        <f t="shared" si="2558"/>
        <v>38000</v>
      </c>
      <c r="BN2535" s="8">
        <f t="shared" si="2513"/>
        <v>11279</v>
      </c>
      <c r="BO2535" s="8">
        <f t="shared" si="2514"/>
        <v>737126</v>
      </c>
      <c r="BP2535" s="8">
        <f t="shared" si="2516"/>
        <v>7205</v>
      </c>
      <c r="BQ2535" s="12">
        <f t="shared" si="2517"/>
        <v>416425</v>
      </c>
    </row>
    <row r="2536" spans="1:69">
      <c r="A2536" s="28">
        <v>1995</v>
      </c>
      <c r="B2536" s="27" t="s">
        <v>110</v>
      </c>
      <c r="C2536" s="24">
        <f t="shared" si="2520"/>
        <v>2496</v>
      </c>
      <c r="D2536" s="7">
        <f t="shared" ca="1" si="2521"/>
        <v>0.98050139275766024</v>
      </c>
      <c r="E2536" s="26">
        <f t="array" aca="1" ref="E2536" ca="1">AVERAGE(IF(INDIRECT(DatCol&amp;"$"&amp;TEXT(C2536,"###")):INDIRECT(DatCol&amp;"$"&amp;TEXT(C2536+57,"###"))&gt;0,INDIRECT(DatCol&amp;"$"&amp;TEXT(C2536,"###")):INDIRECT(DatCol&amp;"$"&amp;TEXT(C2536+57,"###"))))</f>
        <v>3263.6363636363635</v>
      </c>
      <c r="F2536" s="26" t="str">
        <f t="shared" si="2522"/>
        <v>B</v>
      </c>
      <c r="G2536" s="9">
        <v>403</v>
      </c>
      <c r="H2536" s="9">
        <v>258</v>
      </c>
      <c r="I2536" s="9">
        <v>39</v>
      </c>
      <c r="J2536" s="9">
        <v>1022</v>
      </c>
      <c r="K2536" s="9">
        <f t="shared" si="2515"/>
        <v>1683</v>
      </c>
      <c r="L2536" s="10">
        <v>187</v>
      </c>
      <c r="M2536" s="11">
        <f t="shared" si="2541"/>
        <v>9350</v>
      </c>
      <c r="N2536" s="10">
        <v>3200</v>
      </c>
      <c r="O2536" s="11">
        <f t="shared" ref="O2536:O2566" si="2559">(N2536*50)</f>
        <v>160000</v>
      </c>
      <c r="P2536" s="10">
        <f>2663+969+392</f>
        <v>4024</v>
      </c>
      <c r="Q2536" s="11">
        <f t="shared" ref="Q2536:Q2566" si="2560">((P2536*330)/5.5)</f>
        <v>241440</v>
      </c>
      <c r="X2536" s="10">
        <v>3760</v>
      </c>
      <c r="Y2536" s="11">
        <f t="shared" ref="Y2536:Y2566" si="2561">((X2536*330)/5.5)</f>
        <v>225600</v>
      </c>
      <c r="AF2536" s="10">
        <v>45</v>
      </c>
      <c r="AG2536" s="11">
        <f t="shared" ref="AG2536:AG2566" si="2562">(AF2536*65)</f>
        <v>2925</v>
      </c>
      <c r="AH2536" s="10">
        <v>80</v>
      </c>
      <c r="AI2536" s="11">
        <f t="shared" ref="AI2536:AI2566" si="2563">(AH2536*65)</f>
        <v>5200</v>
      </c>
      <c r="AJ2536" s="10">
        <v>145</v>
      </c>
      <c r="AK2536" s="13">
        <f t="shared" ref="AK2536:AK2566" si="2564">(AJ2536*9)</f>
        <v>1305</v>
      </c>
      <c r="AL2536" s="10">
        <v>32</v>
      </c>
      <c r="AM2536" s="13">
        <f t="shared" ref="AM2536:AM2566" si="2565">(AL2536*9)</f>
        <v>288</v>
      </c>
      <c r="AN2536" s="10">
        <v>0</v>
      </c>
      <c r="AO2536" s="11">
        <f t="shared" ref="AO2536:AO2566" si="2566">(AN2536*80)</f>
        <v>0</v>
      </c>
      <c r="AP2536" s="10">
        <v>0</v>
      </c>
      <c r="AQ2536" s="11">
        <f t="shared" ref="AQ2536:AQ2566" si="2567">(AP2536*80)</f>
        <v>0</v>
      </c>
      <c r="AR2536" s="10">
        <v>0</v>
      </c>
      <c r="AS2536" s="11">
        <f t="shared" ref="AS2536:AS2566" si="2568">(AR2536*50)</f>
        <v>0</v>
      </c>
      <c r="AT2536" s="10">
        <v>0</v>
      </c>
      <c r="AU2536" s="11">
        <f t="shared" ref="AU2536:AU2566" si="2569">(AT2536*50)</f>
        <v>0</v>
      </c>
      <c r="AV2536" s="10">
        <v>475</v>
      </c>
      <c r="AW2536" s="11">
        <f t="shared" ref="AW2536:AW2566" si="2570">(AV2536*60)</f>
        <v>28500</v>
      </c>
      <c r="AX2536" s="10">
        <v>40</v>
      </c>
      <c r="AY2536" s="11">
        <f t="shared" ref="AY2536:AY2566" si="2571">(AX2536*60)</f>
        <v>2400</v>
      </c>
      <c r="AZ2536" s="10">
        <v>0</v>
      </c>
      <c r="BA2536" s="11">
        <f t="shared" ref="BA2536:BA2566" si="2572">(AZ2536*40)</f>
        <v>0</v>
      </c>
      <c r="BB2536" s="10">
        <v>0</v>
      </c>
      <c r="BC2536" s="11">
        <f t="shared" ref="BC2536:BC2566" si="2573">(BB2536*40)</f>
        <v>0</v>
      </c>
      <c r="BD2536" s="10">
        <v>0</v>
      </c>
      <c r="BE2536" s="11">
        <f t="shared" ref="BE2536:BE2566" si="2574">(BD2536*95)</f>
        <v>0</v>
      </c>
      <c r="BF2536" s="10">
        <v>0</v>
      </c>
      <c r="BG2536" s="11">
        <f t="shared" ref="BG2536:BG2566" si="2575">(BF2536*95)</f>
        <v>0</v>
      </c>
      <c r="BH2536" s="11">
        <v>1400</v>
      </c>
      <c r="BI2536" s="11">
        <v>400</v>
      </c>
      <c r="BN2536" s="8">
        <f t="shared" si="2513"/>
        <v>8636</v>
      </c>
      <c r="BO2536" s="8">
        <f t="shared" si="2514"/>
        <v>509120</v>
      </c>
      <c r="BP2536" s="8">
        <f t="shared" si="2516"/>
        <v>7112</v>
      </c>
      <c r="BQ2536" s="12">
        <f t="shared" si="2517"/>
        <v>393488</v>
      </c>
    </row>
    <row r="2537" spans="1:69">
      <c r="A2537" s="28">
        <v>1996</v>
      </c>
      <c r="B2537" s="27" t="s">
        <v>110</v>
      </c>
      <c r="C2537" s="24">
        <f t="shared" si="2520"/>
        <v>2496</v>
      </c>
      <c r="D2537" s="7">
        <f t="shared" ca="1" si="2521"/>
        <v>1.0957103064066853</v>
      </c>
      <c r="E2537" s="26">
        <f t="array" aca="1" ref="E2537" ca="1">AVERAGE(IF(INDIRECT(DatCol&amp;"$"&amp;TEXT(C2537,"###")):INDIRECT(DatCol&amp;"$"&amp;TEXT(C2537+57,"###"))&gt;0,INDIRECT(DatCol&amp;"$"&amp;TEXT(C2537,"###")):INDIRECT(DatCol&amp;"$"&amp;TEXT(C2537+57,"###"))))</f>
        <v>3263.6363636363635</v>
      </c>
      <c r="F2537" s="26" t="str">
        <f t="shared" si="2522"/>
        <v>B</v>
      </c>
      <c r="G2537" s="9">
        <v>412</v>
      </c>
      <c r="H2537" s="9">
        <v>261</v>
      </c>
      <c r="I2537" s="9">
        <v>64</v>
      </c>
      <c r="J2537" s="9">
        <v>1081</v>
      </c>
      <c r="K2537" s="9">
        <f t="shared" si="2515"/>
        <v>1754</v>
      </c>
      <c r="L2537" s="10">
        <v>578</v>
      </c>
      <c r="M2537" s="11">
        <f t="shared" si="2541"/>
        <v>28900</v>
      </c>
      <c r="N2537" s="10">
        <v>3576</v>
      </c>
      <c r="O2537" s="11">
        <f t="shared" si="2559"/>
        <v>178800</v>
      </c>
      <c r="P2537" s="10">
        <f>2576+879+362</f>
        <v>3817</v>
      </c>
      <c r="Q2537" s="11">
        <f t="shared" si="2560"/>
        <v>229020</v>
      </c>
      <c r="X2537" s="10">
        <v>3915</v>
      </c>
      <c r="Y2537" s="11">
        <f t="shared" si="2561"/>
        <v>234900</v>
      </c>
      <c r="AF2537" s="10">
        <v>256</v>
      </c>
      <c r="AG2537" s="11">
        <f t="shared" si="2562"/>
        <v>16640</v>
      </c>
      <c r="AH2537" s="10">
        <v>50</v>
      </c>
      <c r="AI2537" s="11">
        <f t="shared" si="2563"/>
        <v>3250</v>
      </c>
      <c r="AJ2537" s="10">
        <v>132</v>
      </c>
      <c r="AK2537" s="13">
        <f t="shared" si="2564"/>
        <v>1188</v>
      </c>
      <c r="AL2537" s="10">
        <v>27</v>
      </c>
      <c r="AM2537" s="13">
        <f t="shared" si="2565"/>
        <v>243</v>
      </c>
      <c r="AN2537" s="10">
        <v>0</v>
      </c>
      <c r="AO2537" s="11">
        <f t="shared" si="2566"/>
        <v>0</v>
      </c>
      <c r="AP2537" s="10">
        <v>0</v>
      </c>
      <c r="AQ2537" s="11">
        <f t="shared" si="2567"/>
        <v>0</v>
      </c>
      <c r="AR2537" s="10">
        <v>0</v>
      </c>
      <c r="AS2537" s="11">
        <f t="shared" si="2568"/>
        <v>0</v>
      </c>
      <c r="AT2537" s="10">
        <v>0</v>
      </c>
      <c r="AU2537" s="11">
        <f t="shared" si="2569"/>
        <v>0</v>
      </c>
      <c r="AV2537" s="10">
        <v>496</v>
      </c>
      <c r="AW2537" s="11">
        <f t="shared" si="2570"/>
        <v>29760</v>
      </c>
      <c r="AX2537" s="10">
        <v>40</v>
      </c>
      <c r="AY2537" s="11">
        <f t="shared" si="2571"/>
        <v>2400</v>
      </c>
      <c r="AZ2537" s="10">
        <v>0</v>
      </c>
      <c r="BA2537" s="11">
        <f t="shared" si="2572"/>
        <v>0</v>
      </c>
      <c r="BB2537" s="10">
        <v>0</v>
      </c>
      <c r="BC2537" s="11">
        <f t="shared" si="2573"/>
        <v>0</v>
      </c>
      <c r="BD2537" s="10">
        <v>0</v>
      </c>
      <c r="BE2537" s="11">
        <f t="shared" si="2574"/>
        <v>0</v>
      </c>
      <c r="BF2537" s="10">
        <v>0</v>
      </c>
      <c r="BG2537" s="11">
        <f t="shared" si="2575"/>
        <v>0</v>
      </c>
      <c r="BH2537" s="11">
        <v>200</v>
      </c>
      <c r="BI2537" s="11">
        <v>400</v>
      </c>
      <c r="BN2537" s="8">
        <f t="shared" si="2513"/>
        <v>9194</v>
      </c>
      <c r="BO2537" s="8">
        <f t="shared" si="2514"/>
        <v>540408</v>
      </c>
      <c r="BP2537" s="8">
        <f t="shared" si="2516"/>
        <v>7608</v>
      </c>
      <c r="BQ2537" s="12">
        <f t="shared" si="2517"/>
        <v>419593</v>
      </c>
    </row>
    <row r="2538" spans="1:69">
      <c r="A2538" s="28">
        <v>1997</v>
      </c>
      <c r="B2538" s="27" t="s">
        <v>110</v>
      </c>
      <c r="C2538" s="24">
        <f t="shared" si="2520"/>
        <v>2496</v>
      </c>
      <c r="D2538" s="7">
        <f t="shared" ca="1" si="2521"/>
        <v>1.0708913649025069</v>
      </c>
      <c r="E2538" s="26">
        <f t="array" aca="1" ref="E2538" ca="1">AVERAGE(IF(INDIRECT(DatCol&amp;"$"&amp;TEXT(C2538,"###")):INDIRECT(DatCol&amp;"$"&amp;TEXT(C2538+57,"###"))&gt;0,INDIRECT(DatCol&amp;"$"&amp;TEXT(C2538,"###")):INDIRECT(DatCol&amp;"$"&amp;TEXT(C2538+57,"###"))))</f>
        <v>3263.6363636363635</v>
      </c>
      <c r="F2538" s="26" t="str">
        <f t="shared" si="2522"/>
        <v>B</v>
      </c>
      <c r="G2538" s="9">
        <v>504</v>
      </c>
      <c r="H2538" s="9">
        <v>236</v>
      </c>
      <c r="I2538" s="9">
        <v>70</v>
      </c>
      <c r="J2538" s="9">
        <v>943</v>
      </c>
      <c r="K2538" s="9">
        <f t="shared" si="2515"/>
        <v>1683</v>
      </c>
      <c r="L2538" s="10">
        <v>1076</v>
      </c>
      <c r="M2538" s="11">
        <f t="shared" si="2541"/>
        <v>53800</v>
      </c>
      <c r="N2538" s="10">
        <v>3495</v>
      </c>
      <c r="O2538" s="11">
        <f t="shared" si="2559"/>
        <v>174750</v>
      </c>
      <c r="P2538" s="10">
        <f>3220+1000+1100</f>
        <v>5320</v>
      </c>
      <c r="Q2538" s="11">
        <f t="shared" si="2560"/>
        <v>319200</v>
      </c>
      <c r="X2538" s="10">
        <v>3750</v>
      </c>
      <c r="Y2538" s="11">
        <f t="shared" si="2561"/>
        <v>225000</v>
      </c>
      <c r="AF2538" s="10">
        <v>1000</v>
      </c>
      <c r="AG2538" s="11">
        <f t="shared" si="2562"/>
        <v>65000</v>
      </c>
      <c r="AH2538" s="10">
        <v>100</v>
      </c>
      <c r="AI2538" s="11">
        <f t="shared" si="2563"/>
        <v>6500</v>
      </c>
      <c r="AJ2538" s="10">
        <v>30</v>
      </c>
      <c r="AK2538" s="13">
        <f t="shared" si="2564"/>
        <v>270</v>
      </c>
      <c r="AL2538" s="10">
        <v>10</v>
      </c>
      <c r="AM2538" s="13">
        <f t="shared" si="2565"/>
        <v>90</v>
      </c>
      <c r="AN2538" s="10">
        <v>0</v>
      </c>
      <c r="AO2538" s="11">
        <f t="shared" si="2566"/>
        <v>0</v>
      </c>
      <c r="AP2538" s="10">
        <v>0</v>
      </c>
      <c r="AQ2538" s="11">
        <f t="shared" si="2567"/>
        <v>0</v>
      </c>
      <c r="AR2538" s="10">
        <v>0</v>
      </c>
      <c r="AS2538" s="11">
        <f t="shared" si="2568"/>
        <v>0</v>
      </c>
      <c r="AT2538" s="10">
        <v>0</v>
      </c>
      <c r="AU2538" s="11">
        <f t="shared" si="2569"/>
        <v>0</v>
      </c>
      <c r="AV2538" s="10">
        <v>600</v>
      </c>
      <c r="AW2538" s="11">
        <f t="shared" si="2570"/>
        <v>36000</v>
      </c>
      <c r="AX2538" s="10">
        <v>50</v>
      </c>
      <c r="AY2538" s="11">
        <f t="shared" si="2571"/>
        <v>3000</v>
      </c>
      <c r="AZ2538" s="10">
        <v>0</v>
      </c>
      <c r="BA2538" s="11">
        <f t="shared" si="2572"/>
        <v>0</v>
      </c>
      <c r="BB2538" s="10">
        <v>0</v>
      </c>
      <c r="BC2538" s="11">
        <f t="shared" si="2573"/>
        <v>0</v>
      </c>
      <c r="BD2538" s="10">
        <v>0</v>
      </c>
      <c r="BE2538" s="11">
        <f t="shared" si="2574"/>
        <v>0</v>
      </c>
      <c r="BF2538" s="10">
        <v>0</v>
      </c>
      <c r="BG2538" s="11">
        <f t="shared" si="2575"/>
        <v>0</v>
      </c>
      <c r="BH2538" s="11">
        <v>0</v>
      </c>
      <c r="BI2538" s="11">
        <v>380</v>
      </c>
      <c r="BN2538" s="8">
        <f t="shared" si="2513"/>
        <v>11776</v>
      </c>
      <c r="BO2538" s="8">
        <f t="shared" si="2514"/>
        <v>699270</v>
      </c>
      <c r="BP2538" s="8">
        <f t="shared" si="2516"/>
        <v>7405</v>
      </c>
      <c r="BQ2538" s="12">
        <f t="shared" si="2517"/>
        <v>409340</v>
      </c>
    </row>
    <row r="2539" spans="1:69">
      <c r="A2539" s="28">
        <v>1998</v>
      </c>
      <c r="B2539" s="27" t="s">
        <v>110</v>
      </c>
      <c r="C2539" s="24">
        <f t="shared" si="2520"/>
        <v>2496</v>
      </c>
      <c r="D2539" s="7">
        <f t="shared" ca="1" si="2521"/>
        <v>0.86774373259052928</v>
      </c>
      <c r="E2539" s="26">
        <f t="array" aca="1" ref="E2539" ca="1">AVERAGE(IF(INDIRECT(DatCol&amp;"$"&amp;TEXT(C2539,"###")):INDIRECT(DatCol&amp;"$"&amp;TEXT(C2539+57,"###"))&gt;0,INDIRECT(DatCol&amp;"$"&amp;TEXT(C2539,"###")):INDIRECT(DatCol&amp;"$"&amp;TEXT(C2539+57,"###"))))</f>
        <v>3263.6363636363635</v>
      </c>
      <c r="F2539" s="26" t="str">
        <f t="shared" si="2522"/>
        <v>B</v>
      </c>
      <c r="G2539" s="9">
        <v>357</v>
      </c>
      <c r="H2539" s="9">
        <v>223</v>
      </c>
      <c r="I2539" s="9">
        <v>65</v>
      </c>
      <c r="J2539" s="9">
        <v>1003</v>
      </c>
      <c r="K2539" s="9">
        <f t="shared" si="2515"/>
        <v>1583</v>
      </c>
      <c r="L2539" s="10">
        <f t="shared" ref="L2539:L2548" si="2576">M2539/50</f>
        <v>1260</v>
      </c>
      <c r="M2539" s="11">
        <v>63000</v>
      </c>
      <c r="N2539" s="10">
        <f>O2539/50</f>
        <v>2832</v>
      </c>
      <c r="O2539" s="11">
        <v>141600</v>
      </c>
      <c r="P2539" s="10">
        <v>0</v>
      </c>
      <c r="Q2539" s="11">
        <v>0</v>
      </c>
      <c r="R2539" s="10">
        <f>S2539/60</f>
        <v>3780</v>
      </c>
      <c r="S2539" s="11">
        <v>226800</v>
      </c>
      <c r="T2539" s="10">
        <f>U2539/60</f>
        <v>2520</v>
      </c>
      <c r="U2539" s="11">
        <v>151200</v>
      </c>
      <c r="V2539" s="10">
        <f>W2539/60</f>
        <v>1260</v>
      </c>
      <c r="W2539" s="11">
        <v>75600</v>
      </c>
      <c r="X2539" s="10">
        <f>Y2539/60</f>
        <v>3770</v>
      </c>
      <c r="Y2539" s="11">
        <v>226200</v>
      </c>
      <c r="Z2539" s="10">
        <v>0</v>
      </c>
      <c r="AA2539" s="11">
        <v>0</v>
      </c>
      <c r="AB2539" s="10">
        <v>0</v>
      </c>
      <c r="AC2539" s="11">
        <v>0</v>
      </c>
      <c r="AD2539" s="10">
        <v>0</v>
      </c>
      <c r="AE2539" s="11">
        <v>0</v>
      </c>
      <c r="AF2539" s="10">
        <f>AG2539/50</f>
        <v>3000</v>
      </c>
      <c r="AG2539" s="11">
        <v>150000</v>
      </c>
      <c r="AH2539" s="10">
        <f>AI2539/50</f>
        <v>150</v>
      </c>
      <c r="AI2539" s="11">
        <v>7500</v>
      </c>
      <c r="AJ2539" s="10">
        <f>AK2539/9</f>
        <v>111.11111111111111</v>
      </c>
      <c r="AK2539" s="13">
        <v>1000</v>
      </c>
      <c r="AL2539" s="10">
        <f>AM2539/9</f>
        <v>55.555555555555557</v>
      </c>
      <c r="AM2539" s="13">
        <v>500</v>
      </c>
      <c r="AN2539" s="10">
        <v>0</v>
      </c>
      <c r="AO2539" s="11">
        <v>0</v>
      </c>
      <c r="AP2539" s="10">
        <v>0</v>
      </c>
      <c r="AQ2539" s="11">
        <v>0</v>
      </c>
      <c r="AR2539" s="10">
        <v>0</v>
      </c>
      <c r="AS2539" s="11">
        <v>0</v>
      </c>
      <c r="AT2539" s="10">
        <v>0</v>
      </c>
      <c r="AU2539" s="11">
        <v>0</v>
      </c>
      <c r="AV2539" s="10">
        <f>AW2539/40</f>
        <v>600</v>
      </c>
      <c r="AW2539" s="11">
        <v>24000</v>
      </c>
      <c r="AX2539" s="10">
        <f>AY2539/40</f>
        <v>50</v>
      </c>
      <c r="AY2539" s="11">
        <v>2000</v>
      </c>
      <c r="AZ2539" s="10">
        <v>0</v>
      </c>
      <c r="BA2539" s="11">
        <v>0</v>
      </c>
      <c r="BB2539" s="10">
        <v>0</v>
      </c>
      <c r="BC2539" s="11">
        <v>0</v>
      </c>
      <c r="BD2539" s="10">
        <v>0</v>
      </c>
      <c r="BE2539" s="11">
        <v>0</v>
      </c>
      <c r="BF2539" s="10">
        <v>0</v>
      </c>
      <c r="BG2539" s="11">
        <v>0</v>
      </c>
      <c r="BH2539" s="11">
        <v>0</v>
      </c>
      <c r="BI2539" s="11">
        <v>400</v>
      </c>
      <c r="BN2539" s="8">
        <f t="shared" si="2513"/>
        <v>16301.111111111111</v>
      </c>
      <c r="BO2539" s="8">
        <f t="shared" si="2514"/>
        <v>917800</v>
      </c>
      <c r="BP2539" s="8">
        <f t="shared" si="2516"/>
        <v>6857.5555555555557</v>
      </c>
      <c r="BQ2539" s="12">
        <f t="shared" si="2517"/>
        <v>377800</v>
      </c>
    </row>
    <row r="2540" spans="1:69">
      <c r="A2540" s="28">
        <v>1999</v>
      </c>
      <c r="B2540" s="27" t="s">
        <v>110</v>
      </c>
      <c r="C2540" s="24">
        <f t="shared" si="2520"/>
        <v>2496</v>
      </c>
      <c r="D2540" s="7">
        <f t="shared" ca="1" si="2521"/>
        <v>0.30487465181058498</v>
      </c>
      <c r="E2540" s="26">
        <f t="array" aca="1" ref="E2540" ca="1">AVERAGE(IF(INDIRECT(DatCol&amp;"$"&amp;TEXT(C2540,"###")):INDIRECT(DatCol&amp;"$"&amp;TEXT(C2540+57,"###"))&gt;0,INDIRECT(DatCol&amp;"$"&amp;TEXT(C2540,"###")):INDIRECT(DatCol&amp;"$"&amp;TEXT(C2540+57,"###"))))</f>
        <v>3263.6363636363635</v>
      </c>
      <c r="F2540" s="26" t="str">
        <f t="shared" si="2522"/>
        <v>B</v>
      </c>
      <c r="G2540" s="9">
        <v>395</v>
      </c>
      <c r="H2540" s="9">
        <v>218</v>
      </c>
      <c r="I2540" s="9">
        <v>70</v>
      </c>
      <c r="J2540" s="9">
        <v>1053</v>
      </c>
      <c r="K2540" s="9">
        <f t="shared" si="2515"/>
        <v>1666</v>
      </c>
      <c r="L2540" s="10">
        <f t="shared" si="2576"/>
        <v>372.96</v>
      </c>
      <c r="M2540" s="11">
        <v>18648</v>
      </c>
      <c r="N2540" s="10">
        <f>O2540/50</f>
        <v>995</v>
      </c>
      <c r="O2540" s="11">
        <v>49750</v>
      </c>
      <c r="P2540" s="10">
        <v>0</v>
      </c>
      <c r="Q2540" s="11">
        <v>0</v>
      </c>
      <c r="R2540" s="10">
        <f>S2540/60</f>
        <v>1578</v>
      </c>
      <c r="S2540" s="11">
        <v>94680</v>
      </c>
      <c r="T2540" s="10">
        <f>U2540/60</f>
        <v>781</v>
      </c>
      <c r="U2540" s="11">
        <v>46860</v>
      </c>
      <c r="V2540" s="10">
        <f>W2540/60</f>
        <v>354.88333333333333</v>
      </c>
      <c r="W2540" s="11">
        <v>21293</v>
      </c>
      <c r="X2540" s="10">
        <f>Y2540/60</f>
        <v>2985</v>
      </c>
      <c r="Y2540" s="11">
        <v>179100</v>
      </c>
      <c r="Z2540" s="10">
        <v>0</v>
      </c>
      <c r="AA2540" s="11">
        <v>0</v>
      </c>
      <c r="AB2540" s="10">
        <v>0</v>
      </c>
      <c r="AC2540" s="11">
        <v>0</v>
      </c>
      <c r="AD2540" s="10">
        <v>0</v>
      </c>
      <c r="AE2540" s="11">
        <v>0</v>
      </c>
      <c r="AF2540" s="10">
        <f>AG2540/50</f>
        <v>967</v>
      </c>
      <c r="AG2540" s="11">
        <v>48350</v>
      </c>
      <c r="AH2540" s="10">
        <f>AI2540/50</f>
        <v>150</v>
      </c>
      <c r="AI2540" s="11">
        <v>7500</v>
      </c>
      <c r="AJ2540" s="10">
        <f>AK2540/9</f>
        <v>329.77777777777777</v>
      </c>
      <c r="AK2540" s="13">
        <v>2968</v>
      </c>
      <c r="AL2540" s="10">
        <f>AM2540/9</f>
        <v>111.11111111111111</v>
      </c>
      <c r="AM2540" s="13">
        <v>1000</v>
      </c>
      <c r="AN2540" s="10">
        <v>0</v>
      </c>
      <c r="AO2540" s="11">
        <v>0</v>
      </c>
      <c r="AP2540" s="10">
        <v>0</v>
      </c>
      <c r="AQ2540" s="11">
        <v>0</v>
      </c>
      <c r="AR2540" s="10">
        <v>0</v>
      </c>
      <c r="AS2540" s="11">
        <v>0</v>
      </c>
      <c r="AT2540" s="10">
        <v>0</v>
      </c>
      <c r="AU2540" s="11">
        <v>0</v>
      </c>
      <c r="AV2540" s="10">
        <f>AW2540/40</f>
        <v>600</v>
      </c>
      <c r="AW2540" s="11">
        <v>24000</v>
      </c>
      <c r="AX2540" s="10">
        <f>AY2540/40</f>
        <v>15</v>
      </c>
      <c r="AY2540" s="11">
        <v>600</v>
      </c>
      <c r="AZ2540" s="10">
        <v>0</v>
      </c>
      <c r="BA2540" s="11">
        <v>0</v>
      </c>
      <c r="BB2540" s="10">
        <v>0</v>
      </c>
      <c r="BC2540" s="11">
        <v>0</v>
      </c>
      <c r="BD2540" s="10">
        <v>0</v>
      </c>
      <c r="BE2540" s="11">
        <v>0</v>
      </c>
      <c r="BF2540" s="10">
        <v>0</v>
      </c>
      <c r="BG2540" s="11">
        <v>0</v>
      </c>
      <c r="BN2540" s="8">
        <f t="shared" ref="BN2540:BN2549" si="2577">(L2540+P2540+R2540+T2540+V2540+X2540+Z2540+AB2540+AD2540+AF2540+AJ2540+AN2540+AR2540+AV2540+AZ2540+BD2540)</f>
        <v>7968.6211111111106</v>
      </c>
      <c r="BO2540" s="8">
        <f t="shared" si="2514"/>
        <v>435899</v>
      </c>
      <c r="BP2540" s="8">
        <f t="shared" si="2516"/>
        <v>4256.1111111111113</v>
      </c>
      <c r="BQ2540" s="12">
        <f t="shared" si="2517"/>
        <v>237950</v>
      </c>
    </row>
    <row r="2541" spans="1:69">
      <c r="A2541" s="28">
        <v>2000</v>
      </c>
      <c r="B2541" s="27" t="s">
        <v>110</v>
      </c>
      <c r="C2541" s="24">
        <f t="shared" si="2520"/>
        <v>2496</v>
      </c>
      <c r="D2541" s="7">
        <f t="shared" ca="1" si="2521"/>
        <v>0.29047353760445682</v>
      </c>
      <c r="E2541" s="26">
        <f t="array" aca="1" ref="E2541" ca="1">AVERAGE(IF(INDIRECT(DatCol&amp;"$"&amp;TEXT(C2541,"###")):INDIRECT(DatCol&amp;"$"&amp;TEXT(C2541+57,"###"))&gt;0,INDIRECT(DatCol&amp;"$"&amp;TEXT(C2541,"###")):INDIRECT(DatCol&amp;"$"&amp;TEXT(C2541+57,"###"))))</f>
        <v>3263.6363636363635</v>
      </c>
      <c r="F2541" s="26" t="str">
        <f t="shared" si="2522"/>
        <v>B</v>
      </c>
      <c r="G2541" s="9">
        <v>407</v>
      </c>
      <c r="H2541" s="9">
        <v>156</v>
      </c>
      <c r="I2541" s="9">
        <v>69</v>
      </c>
      <c r="J2541" s="9">
        <v>1019</v>
      </c>
      <c r="K2541" s="9">
        <f t="shared" si="2515"/>
        <v>1582</v>
      </c>
      <c r="L2541" s="10">
        <f t="shared" si="2576"/>
        <v>32.4</v>
      </c>
      <c r="M2541" s="11">
        <v>1620</v>
      </c>
      <c r="N2541" s="10">
        <v>948</v>
      </c>
      <c r="O2541" s="11">
        <f>N2541*50</f>
        <v>47400</v>
      </c>
      <c r="P2541" s="10">
        <v>0</v>
      </c>
      <c r="Q2541" s="11">
        <v>0</v>
      </c>
      <c r="R2541" s="10">
        <f>S2541/49.5</f>
        <v>1832.7272727272727</v>
      </c>
      <c r="S2541" s="11">
        <v>90720</v>
      </c>
      <c r="T2541" s="10">
        <f>U2541/57.5</f>
        <v>698.08695652173913</v>
      </c>
      <c r="U2541" s="11">
        <v>40140</v>
      </c>
      <c r="V2541" s="10">
        <f>W2541/57.5</f>
        <v>555.07826086956527</v>
      </c>
      <c r="W2541" s="11">
        <v>31917</v>
      </c>
      <c r="X2541" s="10">
        <f>Y2541/49.5</f>
        <v>3446.060606060606</v>
      </c>
      <c r="Y2541" s="11">
        <v>170580</v>
      </c>
      <c r="Z2541" s="10">
        <v>0</v>
      </c>
      <c r="AA2541" s="11">
        <v>0</v>
      </c>
      <c r="AB2541" s="10">
        <v>0</v>
      </c>
      <c r="AC2541" s="11">
        <v>0</v>
      </c>
      <c r="AD2541" s="10">
        <v>0</v>
      </c>
      <c r="AE2541" s="11">
        <v>0</v>
      </c>
      <c r="AF2541" s="10">
        <f t="shared" ref="AF2541:AF2548" si="2578">AG2541/47.5</f>
        <v>1084.2105263157894</v>
      </c>
      <c r="AG2541" s="11">
        <v>51500</v>
      </c>
      <c r="AH2541" s="10">
        <f t="shared" ref="AH2541:AH2548" si="2579">AI2541/47.5</f>
        <v>157.89473684210526</v>
      </c>
      <c r="AI2541" s="11">
        <v>7500</v>
      </c>
      <c r="AJ2541" s="10">
        <f>AK2541/9</f>
        <v>120.88888888888889</v>
      </c>
      <c r="AK2541" s="13">
        <v>1088</v>
      </c>
      <c r="AL2541" s="10">
        <f>AM2541/9</f>
        <v>111.11111111111111</v>
      </c>
      <c r="AM2541" s="13">
        <v>1000</v>
      </c>
      <c r="AN2541" s="10">
        <v>0</v>
      </c>
      <c r="AO2541" s="11">
        <v>0</v>
      </c>
      <c r="AP2541" s="10">
        <v>0</v>
      </c>
      <c r="AQ2541" s="11">
        <v>0</v>
      </c>
      <c r="AR2541" s="10">
        <v>0</v>
      </c>
      <c r="AS2541" s="11">
        <v>0</v>
      </c>
      <c r="AT2541" s="10">
        <v>0</v>
      </c>
      <c r="AU2541" s="11">
        <v>0</v>
      </c>
      <c r="AV2541" s="10">
        <f>AW2541/40</f>
        <v>800</v>
      </c>
      <c r="AW2541" s="11">
        <v>32000</v>
      </c>
      <c r="AX2541" s="10">
        <f>AY2541/40</f>
        <v>15</v>
      </c>
      <c r="AY2541" s="11">
        <v>600</v>
      </c>
      <c r="AZ2541" s="10">
        <v>0</v>
      </c>
      <c r="BA2541" s="11">
        <v>0</v>
      </c>
      <c r="BB2541" s="10">
        <v>0</v>
      </c>
      <c r="BC2541" s="11">
        <v>0</v>
      </c>
      <c r="BD2541" s="10">
        <v>0</v>
      </c>
      <c r="BE2541" s="11">
        <v>0</v>
      </c>
      <c r="BF2541" s="10">
        <v>0</v>
      </c>
      <c r="BG2541" s="11">
        <v>0</v>
      </c>
      <c r="BH2541" s="11">
        <v>0</v>
      </c>
      <c r="BI2541" s="11">
        <v>100</v>
      </c>
      <c r="BN2541" s="8">
        <f t="shared" si="2577"/>
        <v>8569.4525113838608</v>
      </c>
      <c r="BO2541" s="8">
        <f t="shared" ref="BO2541:BO2605" si="2580">(M2541+Q2541+S2541+U2541+W2541+Y2541+AA2541+AC2541+AG2541+AK2541+AO2541+AS2541+AW2541+BA2541+BE2541)</f>
        <v>419565</v>
      </c>
      <c r="BP2541" s="8">
        <f t="shared" si="2516"/>
        <v>4678.0664540138223</v>
      </c>
      <c r="BQ2541" s="12">
        <f t="shared" si="2517"/>
        <v>227080</v>
      </c>
    </row>
    <row r="2542" spans="1:69">
      <c r="A2542" s="28">
        <v>2001</v>
      </c>
      <c r="B2542" s="27" t="s">
        <v>110</v>
      </c>
      <c r="C2542" s="24">
        <f t="shared" si="2520"/>
        <v>2496</v>
      </c>
      <c r="D2542" s="7" t="e">
        <f t="shared" ca="1" si="2521"/>
        <v>#N/A</v>
      </c>
      <c r="E2542" s="26">
        <f t="array" aca="1" ref="E2542" ca="1">AVERAGE(IF(INDIRECT(DatCol&amp;"$"&amp;TEXT(C2542,"###")):INDIRECT(DatCol&amp;"$"&amp;TEXT(C2542+57,"###"))&gt;0,INDIRECT(DatCol&amp;"$"&amp;TEXT(C2542,"###")):INDIRECT(DatCol&amp;"$"&amp;TEXT(C2542+57,"###"))))</f>
        <v>3263.6363636363635</v>
      </c>
      <c r="F2542" s="26" t="str">
        <f t="shared" si="2522"/>
        <v>B</v>
      </c>
      <c r="G2542" s="9">
        <v>0</v>
      </c>
      <c r="H2542" s="9">
        <v>169</v>
      </c>
      <c r="I2542" s="9">
        <v>34</v>
      </c>
      <c r="J2542" s="9">
        <v>1796</v>
      </c>
      <c r="K2542" s="9">
        <f t="shared" ref="K2542:K2606" si="2581">G2542+H2542+J2542</f>
        <v>1965</v>
      </c>
      <c r="L2542" s="10">
        <f t="shared" si="2576"/>
        <v>61.52</v>
      </c>
      <c r="M2542" s="11">
        <v>3076</v>
      </c>
      <c r="O2542" s="11">
        <v>49900</v>
      </c>
      <c r="P2542" s="10">
        <v>0</v>
      </c>
      <c r="Q2542" s="11">
        <v>0</v>
      </c>
      <c r="R2542" s="10">
        <f t="shared" ref="R2542:R2548" si="2582">S2542/75</f>
        <v>1129.5999999999999</v>
      </c>
      <c r="S2542" s="11">
        <v>84720</v>
      </c>
      <c r="T2542" s="10">
        <f t="shared" ref="T2542:T2548" si="2583">U2542/75</f>
        <v>505.6</v>
      </c>
      <c r="U2542" s="11">
        <v>37920</v>
      </c>
      <c r="V2542" s="10">
        <f t="shared" ref="V2542:V2548" si="2584">W2542/75</f>
        <v>263.17333333333335</v>
      </c>
      <c r="W2542" s="11">
        <v>19738</v>
      </c>
      <c r="X2542" s="10">
        <f t="shared" ref="X2542:X2548" si="2585">Y2542/75</f>
        <v>2395.1999999999998</v>
      </c>
      <c r="Y2542" s="11">
        <v>179640</v>
      </c>
      <c r="Z2542" s="10">
        <v>0</v>
      </c>
      <c r="AA2542" s="11">
        <v>0</v>
      </c>
      <c r="AB2542" s="10">
        <v>0</v>
      </c>
      <c r="AC2542" s="11">
        <v>0</v>
      </c>
      <c r="AD2542" s="10">
        <v>0</v>
      </c>
      <c r="AE2542" s="11">
        <v>0</v>
      </c>
      <c r="AF2542" s="10">
        <f t="shared" si="2578"/>
        <v>990.52631578947364</v>
      </c>
      <c r="AG2542" s="11">
        <v>47050</v>
      </c>
      <c r="AH2542" s="10">
        <f t="shared" si="2579"/>
        <v>263.15789473684208</v>
      </c>
      <c r="AI2542" s="11">
        <v>12500</v>
      </c>
      <c r="AJ2542" s="10">
        <f>AK2542/9</f>
        <v>221.55555555555554</v>
      </c>
      <c r="AK2542" s="13">
        <v>1994</v>
      </c>
      <c r="AL2542" s="10">
        <f>AM2542/9</f>
        <v>111.11111111111111</v>
      </c>
      <c r="AM2542" s="13">
        <v>1000</v>
      </c>
      <c r="AN2542" s="10">
        <v>0</v>
      </c>
      <c r="AO2542" s="11">
        <v>0</v>
      </c>
      <c r="AP2542" s="10">
        <v>0</v>
      </c>
      <c r="AQ2542" s="11">
        <v>0</v>
      </c>
      <c r="AR2542" s="10">
        <v>0</v>
      </c>
      <c r="AS2542" s="11">
        <v>0</v>
      </c>
      <c r="AT2542" s="10">
        <v>0</v>
      </c>
      <c r="AU2542" s="11">
        <v>0</v>
      </c>
      <c r="AV2542" s="10">
        <v>0</v>
      </c>
      <c r="AW2542" s="11">
        <v>0</v>
      </c>
      <c r="AX2542" s="10">
        <v>15</v>
      </c>
      <c r="AY2542" s="11">
        <v>600</v>
      </c>
      <c r="AZ2542" s="10">
        <v>0</v>
      </c>
      <c r="BA2542" s="11">
        <v>0</v>
      </c>
      <c r="BB2542" s="10">
        <v>0</v>
      </c>
      <c r="BC2542" s="11">
        <v>0</v>
      </c>
      <c r="BD2542" s="10">
        <v>0</v>
      </c>
      <c r="BE2542" s="11">
        <v>0</v>
      </c>
      <c r="BF2542" s="10">
        <v>0</v>
      </c>
      <c r="BG2542" s="11">
        <v>0</v>
      </c>
      <c r="BH2542" s="11">
        <v>0</v>
      </c>
      <c r="BI2542" s="11">
        <v>100</v>
      </c>
      <c r="BN2542" s="8">
        <f t="shared" si="2577"/>
        <v>5567.1752046783622</v>
      </c>
      <c r="BO2542" s="8">
        <f t="shared" si="2580"/>
        <v>374138</v>
      </c>
      <c r="BP2542" s="8">
        <f t="shared" si="2516"/>
        <v>2784.4690058479532</v>
      </c>
      <c r="BQ2542" s="12">
        <f t="shared" si="2517"/>
        <v>243640</v>
      </c>
    </row>
    <row r="2543" spans="1:69">
      <c r="A2543" s="28">
        <v>2002</v>
      </c>
      <c r="B2543" s="27" t="s">
        <v>110</v>
      </c>
      <c r="C2543" s="24">
        <f t="shared" si="2520"/>
        <v>2496</v>
      </c>
      <c r="D2543" s="7">
        <f t="shared" ca="1" si="2521"/>
        <v>0.49760445682451254</v>
      </c>
      <c r="E2543" s="26">
        <f t="array" aca="1" ref="E2543" ca="1">AVERAGE(IF(INDIRECT(DatCol&amp;"$"&amp;TEXT(C2543,"###")):INDIRECT(DatCol&amp;"$"&amp;TEXT(C2543+57,"###"))&gt;0,INDIRECT(DatCol&amp;"$"&amp;TEXT(C2543,"###")):INDIRECT(DatCol&amp;"$"&amp;TEXT(C2543+57,"###"))))</f>
        <v>3263.6363636363635</v>
      </c>
      <c r="F2543" s="26" t="str">
        <f t="shared" si="2522"/>
        <v>B</v>
      </c>
      <c r="G2543" s="9">
        <v>0</v>
      </c>
      <c r="H2543" s="9">
        <v>225</v>
      </c>
      <c r="I2543" s="9">
        <v>41</v>
      </c>
      <c r="J2543" s="9">
        <v>1940</v>
      </c>
      <c r="K2543" s="9">
        <f t="shared" si="2581"/>
        <v>2165</v>
      </c>
      <c r="L2543" s="10">
        <f t="shared" si="2576"/>
        <v>14.34</v>
      </c>
      <c r="M2543" s="11">
        <v>717</v>
      </c>
      <c r="N2543" s="10">
        <f t="shared" ref="N2543:N2548" si="2586">O2543/50</f>
        <v>1624</v>
      </c>
      <c r="O2543" s="11">
        <v>81200</v>
      </c>
      <c r="P2543" s="10">
        <v>0</v>
      </c>
      <c r="Q2543" s="11">
        <v>0</v>
      </c>
      <c r="R2543" s="10">
        <f t="shared" si="2582"/>
        <v>1058.4000000000001</v>
      </c>
      <c r="S2543" s="11">
        <v>79380</v>
      </c>
      <c r="T2543" s="10">
        <f t="shared" si="2583"/>
        <v>618.4</v>
      </c>
      <c r="U2543" s="11">
        <v>46380</v>
      </c>
      <c r="V2543" s="10">
        <f t="shared" si="2584"/>
        <v>381.2</v>
      </c>
      <c r="W2543" s="11">
        <v>28590</v>
      </c>
      <c r="X2543" s="10">
        <f t="shared" si="2585"/>
        <v>2598.4</v>
      </c>
      <c r="Y2543" s="11">
        <v>194880</v>
      </c>
      <c r="Z2543" s="10">
        <v>0</v>
      </c>
      <c r="AA2543" s="11">
        <v>0</v>
      </c>
      <c r="AB2543" s="10">
        <v>0</v>
      </c>
      <c r="AC2543" s="11">
        <v>0</v>
      </c>
      <c r="AD2543" s="10">
        <v>0</v>
      </c>
      <c r="AE2543" s="11">
        <v>0</v>
      </c>
      <c r="AF2543" s="10">
        <f t="shared" si="2578"/>
        <v>872.63157894736844</v>
      </c>
      <c r="AG2543" s="11">
        <v>41450</v>
      </c>
      <c r="AH2543" s="10">
        <f t="shared" si="2579"/>
        <v>284.21052631578948</v>
      </c>
      <c r="AI2543" s="11">
        <v>13500</v>
      </c>
      <c r="AJ2543" s="10">
        <f>AK2543/9</f>
        <v>2.6666666666666665</v>
      </c>
      <c r="AK2543" s="13">
        <v>24</v>
      </c>
      <c r="AL2543" s="10">
        <f>AM2543/9</f>
        <v>111.11111111111111</v>
      </c>
      <c r="AM2543" s="13">
        <v>1000</v>
      </c>
      <c r="AN2543" s="10">
        <v>0</v>
      </c>
      <c r="AO2543" s="11">
        <v>0</v>
      </c>
      <c r="AP2543" s="10">
        <v>0</v>
      </c>
      <c r="AQ2543" s="11">
        <v>0</v>
      </c>
      <c r="AR2543" s="10">
        <v>0</v>
      </c>
      <c r="AS2543" s="11">
        <v>0</v>
      </c>
      <c r="AT2543" s="10">
        <v>0</v>
      </c>
      <c r="AU2543" s="11">
        <v>0</v>
      </c>
      <c r="AV2543" s="10">
        <v>0</v>
      </c>
      <c r="AW2543" s="11">
        <v>0</v>
      </c>
      <c r="AX2543" s="10">
        <f>AY2543/40</f>
        <v>15</v>
      </c>
      <c r="AY2543" s="11">
        <v>600</v>
      </c>
      <c r="AZ2543" s="10">
        <v>0</v>
      </c>
      <c r="BA2543" s="11">
        <v>0</v>
      </c>
      <c r="BB2543" s="10">
        <v>0</v>
      </c>
      <c r="BC2543" s="11">
        <v>0</v>
      </c>
      <c r="BE2543" s="11">
        <v>0</v>
      </c>
      <c r="BF2543" s="10">
        <v>0</v>
      </c>
      <c r="BG2543" s="11">
        <v>0</v>
      </c>
      <c r="BH2543" s="11">
        <v>0</v>
      </c>
      <c r="BI2543" s="11">
        <v>100</v>
      </c>
      <c r="BN2543" s="8">
        <f t="shared" si="2577"/>
        <v>5546.0382456140351</v>
      </c>
      <c r="BO2543" s="8">
        <f t="shared" si="2580"/>
        <v>391421</v>
      </c>
      <c r="BP2543" s="8">
        <f t="shared" si="2516"/>
        <v>4632.7216374269001</v>
      </c>
      <c r="BQ2543" s="12">
        <f t="shared" si="2517"/>
        <v>291180</v>
      </c>
    </row>
    <row r="2544" spans="1:69">
      <c r="A2544" s="28">
        <v>2003</v>
      </c>
      <c r="B2544" s="27" t="s">
        <v>110</v>
      </c>
      <c r="C2544" s="24">
        <f t="shared" si="2520"/>
        <v>2496</v>
      </c>
      <c r="D2544" s="7">
        <f t="shared" ca="1" si="2521"/>
        <v>0.18353760445682452</v>
      </c>
      <c r="E2544" s="26">
        <f t="array" aca="1" ref="E2544" ca="1">AVERAGE(IF(INDIRECT(DatCol&amp;"$"&amp;TEXT(C2544,"###")):INDIRECT(DatCol&amp;"$"&amp;TEXT(C2544+57,"###"))&gt;0,INDIRECT(DatCol&amp;"$"&amp;TEXT(C2544,"###")):INDIRECT(DatCol&amp;"$"&amp;TEXT(C2544+57,"###"))))</f>
        <v>3263.6363636363635</v>
      </c>
      <c r="F2544" s="26" t="str">
        <f t="shared" si="2522"/>
        <v>B</v>
      </c>
      <c r="G2544" s="9">
        <v>0</v>
      </c>
      <c r="H2544" s="9">
        <v>118</v>
      </c>
      <c r="I2544" s="9">
        <v>31</v>
      </c>
      <c r="J2544" s="9">
        <v>1080</v>
      </c>
      <c r="K2544" s="9">
        <f t="shared" si="2581"/>
        <v>1198</v>
      </c>
      <c r="L2544" s="10">
        <f t="shared" si="2576"/>
        <v>46.5</v>
      </c>
      <c r="M2544" s="11">
        <v>2325</v>
      </c>
      <c r="N2544" s="10">
        <f t="shared" si="2586"/>
        <v>599</v>
      </c>
      <c r="O2544" s="11">
        <v>29950</v>
      </c>
      <c r="P2544" s="10">
        <v>0</v>
      </c>
      <c r="Q2544" s="11">
        <v>0</v>
      </c>
      <c r="R2544" s="10">
        <f t="shared" si="2582"/>
        <v>428.8</v>
      </c>
      <c r="S2544" s="11">
        <v>32160</v>
      </c>
      <c r="T2544" s="10">
        <f t="shared" si="2583"/>
        <v>841.6</v>
      </c>
      <c r="U2544" s="11">
        <v>63120</v>
      </c>
      <c r="V2544" s="10">
        <f t="shared" si="2584"/>
        <v>323.29333333333335</v>
      </c>
      <c r="W2544" s="11">
        <v>24247</v>
      </c>
      <c r="X2544" s="10">
        <f t="shared" si="2585"/>
        <v>1916.8</v>
      </c>
      <c r="Y2544" s="11">
        <v>143760</v>
      </c>
      <c r="Z2544" s="10">
        <v>0</v>
      </c>
      <c r="AA2544" s="11">
        <v>0</v>
      </c>
      <c r="AB2544" s="10">
        <v>0</v>
      </c>
      <c r="AC2544" s="11">
        <v>0</v>
      </c>
      <c r="AD2544" s="10">
        <v>0</v>
      </c>
      <c r="AE2544" s="11">
        <v>0</v>
      </c>
      <c r="AF2544" s="10">
        <f t="shared" si="2578"/>
        <v>384.21052631578948</v>
      </c>
      <c r="AG2544" s="11">
        <v>18250</v>
      </c>
      <c r="AH2544" s="10">
        <f t="shared" si="2579"/>
        <v>156.84210526315789</v>
      </c>
      <c r="AI2544" s="11">
        <v>7450</v>
      </c>
      <c r="AJ2544" s="10">
        <v>0</v>
      </c>
      <c r="AK2544" s="13">
        <v>0</v>
      </c>
      <c r="AL2544" s="10">
        <v>0</v>
      </c>
      <c r="AM2544" s="13">
        <v>0</v>
      </c>
      <c r="AN2544" s="10">
        <v>0</v>
      </c>
      <c r="AO2544" s="11">
        <v>0</v>
      </c>
      <c r="AP2544" s="10">
        <v>0</v>
      </c>
      <c r="AQ2544" s="11">
        <v>0</v>
      </c>
      <c r="AR2544" s="10">
        <v>0</v>
      </c>
      <c r="AS2544" s="11">
        <v>0</v>
      </c>
      <c r="AT2544" s="10">
        <v>0</v>
      </c>
      <c r="AU2544" s="11">
        <v>0</v>
      </c>
      <c r="AV2544" s="10">
        <v>0</v>
      </c>
      <c r="AW2544" s="11">
        <v>0</v>
      </c>
      <c r="AX2544" s="10">
        <v>0</v>
      </c>
      <c r="AY2544" s="11">
        <v>0</v>
      </c>
      <c r="AZ2544" s="10">
        <v>0</v>
      </c>
      <c r="BA2544" s="11">
        <v>0</v>
      </c>
      <c r="BB2544" s="10">
        <v>0</v>
      </c>
      <c r="BC2544" s="11">
        <v>0</v>
      </c>
      <c r="BD2544" s="10">
        <v>0</v>
      </c>
      <c r="BE2544" s="11">
        <v>0</v>
      </c>
      <c r="BF2544" s="10">
        <v>0</v>
      </c>
      <c r="BG2544" s="11">
        <v>0</v>
      </c>
      <c r="BH2544" s="11">
        <v>0</v>
      </c>
      <c r="BI2544" s="11">
        <v>0</v>
      </c>
      <c r="BN2544" s="8">
        <f t="shared" si="2577"/>
        <v>3941.2038596491229</v>
      </c>
      <c r="BO2544" s="8">
        <f t="shared" si="2580"/>
        <v>283862</v>
      </c>
      <c r="BP2544" s="8">
        <f t="shared" si="2516"/>
        <v>2672.6421052631581</v>
      </c>
      <c r="BQ2544" s="12">
        <f t="shared" si="2517"/>
        <v>181160</v>
      </c>
    </row>
    <row r="2545" spans="1:69">
      <c r="A2545" s="28">
        <v>2004</v>
      </c>
      <c r="B2545" s="27" t="s">
        <v>110</v>
      </c>
      <c r="C2545" s="24">
        <f t="shared" si="2520"/>
        <v>2496</v>
      </c>
      <c r="D2545" s="7">
        <f t="shared" ca="1" si="2521"/>
        <v>0.47401114206128137</v>
      </c>
      <c r="E2545" s="26">
        <f t="array" aca="1" ref="E2545" ca="1">AVERAGE(IF(INDIRECT(DatCol&amp;"$"&amp;TEXT(C2545,"###")):INDIRECT(DatCol&amp;"$"&amp;TEXT(C2545+57,"###"))&gt;0,INDIRECT(DatCol&amp;"$"&amp;TEXT(C2545,"###")):INDIRECT(DatCol&amp;"$"&amp;TEXT(C2545+57,"###"))))</f>
        <v>3263.6363636363635</v>
      </c>
      <c r="F2545" s="26" t="str">
        <f t="shared" si="2522"/>
        <v>B</v>
      </c>
      <c r="G2545" s="9">
        <v>0</v>
      </c>
      <c r="H2545" s="9">
        <v>181</v>
      </c>
      <c r="I2545" s="9">
        <v>23</v>
      </c>
      <c r="J2545" s="9">
        <v>1366</v>
      </c>
      <c r="K2545" s="9">
        <f t="shared" si="2581"/>
        <v>1547</v>
      </c>
      <c r="L2545" s="10">
        <f t="shared" si="2576"/>
        <v>52.52</v>
      </c>
      <c r="M2545" s="11">
        <v>2626</v>
      </c>
      <c r="N2545" s="10">
        <f t="shared" si="2586"/>
        <v>1547</v>
      </c>
      <c r="O2545" s="11">
        <v>77350</v>
      </c>
      <c r="P2545" s="10">
        <v>0</v>
      </c>
      <c r="Q2545" s="11">
        <v>0</v>
      </c>
      <c r="R2545" s="10">
        <f t="shared" si="2582"/>
        <v>224.8</v>
      </c>
      <c r="S2545" s="11">
        <v>16860</v>
      </c>
      <c r="T2545" s="10">
        <f t="shared" si="2583"/>
        <v>504.8</v>
      </c>
      <c r="U2545" s="11">
        <v>37860</v>
      </c>
      <c r="V2545" s="10">
        <f t="shared" si="2584"/>
        <v>205.85333333333332</v>
      </c>
      <c r="W2545" s="11">
        <v>15439</v>
      </c>
      <c r="X2545" s="10">
        <f t="shared" si="2585"/>
        <v>2475.1999999999998</v>
      </c>
      <c r="Y2545" s="11">
        <v>185640</v>
      </c>
      <c r="Z2545" s="10">
        <v>0</v>
      </c>
      <c r="AA2545" s="11">
        <v>0</v>
      </c>
      <c r="AB2545" s="10">
        <v>0</v>
      </c>
      <c r="AC2545" s="11">
        <v>0</v>
      </c>
      <c r="AD2545" s="10">
        <v>0</v>
      </c>
      <c r="AE2545" s="11">
        <v>0</v>
      </c>
      <c r="AF2545" s="10">
        <f t="shared" si="2578"/>
        <v>122.10526315789474</v>
      </c>
      <c r="AG2545" s="11">
        <v>5800</v>
      </c>
      <c r="AH2545" s="10">
        <f t="shared" si="2579"/>
        <v>203.15789473684211</v>
      </c>
      <c r="AI2545" s="11">
        <v>9650</v>
      </c>
      <c r="AJ2545" s="10">
        <v>0</v>
      </c>
      <c r="AK2545" s="13">
        <v>0</v>
      </c>
      <c r="AL2545" s="10">
        <v>0</v>
      </c>
      <c r="AM2545" s="13">
        <v>0</v>
      </c>
      <c r="AN2545" s="10">
        <v>0</v>
      </c>
      <c r="AO2545" s="11">
        <v>0</v>
      </c>
      <c r="AP2545" s="10">
        <v>0</v>
      </c>
      <c r="AQ2545" s="11">
        <v>0</v>
      </c>
      <c r="AR2545" s="10">
        <v>0</v>
      </c>
      <c r="AS2545" s="11">
        <v>0</v>
      </c>
      <c r="AT2545" s="10">
        <v>0</v>
      </c>
      <c r="AU2545" s="11">
        <v>0</v>
      </c>
      <c r="AV2545" s="10">
        <v>0</v>
      </c>
      <c r="AW2545" s="11">
        <v>0</v>
      </c>
      <c r="AX2545" s="10">
        <v>0</v>
      </c>
      <c r="AY2545" s="11">
        <v>0</v>
      </c>
      <c r="AZ2545" s="10">
        <v>0</v>
      </c>
      <c r="BA2545" s="11">
        <v>0</v>
      </c>
      <c r="BB2545" s="10">
        <v>0</v>
      </c>
      <c r="BC2545" s="11">
        <v>0</v>
      </c>
      <c r="BD2545" s="10">
        <v>0</v>
      </c>
      <c r="BE2545" s="11">
        <v>0</v>
      </c>
      <c r="BF2545" s="10">
        <v>0</v>
      </c>
      <c r="BG2545" s="11">
        <v>0</v>
      </c>
      <c r="BH2545" s="11">
        <v>0</v>
      </c>
      <c r="BI2545" s="11">
        <v>0</v>
      </c>
      <c r="BN2545" s="8">
        <f t="shared" si="2577"/>
        <v>3585.2785964912277</v>
      </c>
      <c r="BO2545" s="8">
        <f t="shared" si="2580"/>
        <v>264225</v>
      </c>
      <c r="BP2545" s="8">
        <f t="shared" si="2516"/>
        <v>4225.3578947368424</v>
      </c>
      <c r="BQ2545" s="12">
        <f t="shared" si="2517"/>
        <v>272640</v>
      </c>
    </row>
    <row r="2546" spans="1:69">
      <c r="A2546" s="28">
        <v>2005</v>
      </c>
      <c r="B2546" s="27" t="s">
        <v>110</v>
      </c>
      <c r="C2546" s="24">
        <f t="shared" si="2520"/>
        <v>2496</v>
      </c>
      <c r="D2546" s="7">
        <f t="shared" ca="1" si="2521"/>
        <v>0.38208913649025072</v>
      </c>
      <c r="E2546" s="26">
        <f t="array" aca="1" ref="E2546" ca="1">AVERAGE(IF(INDIRECT(DatCol&amp;"$"&amp;TEXT(C2546,"###")):INDIRECT(DatCol&amp;"$"&amp;TEXT(C2546+57,"###"))&gt;0,INDIRECT(DatCol&amp;"$"&amp;TEXT(C2546,"###")):INDIRECT(DatCol&amp;"$"&amp;TEXT(C2546+57,"###"))))</f>
        <v>3263.6363636363635</v>
      </c>
      <c r="F2546" s="26" t="str">
        <f t="shared" si="2522"/>
        <v>B</v>
      </c>
      <c r="H2546" s="9">
        <v>142</v>
      </c>
      <c r="I2546" s="9">
        <v>11</v>
      </c>
      <c r="J2546" s="9">
        <v>1105</v>
      </c>
      <c r="K2546" s="9">
        <f t="shared" si="2581"/>
        <v>1247</v>
      </c>
      <c r="L2546" s="10">
        <f t="shared" si="2576"/>
        <v>22.94</v>
      </c>
      <c r="M2546" s="11">
        <v>1147</v>
      </c>
      <c r="N2546" s="10">
        <f t="shared" si="2586"/>
        <v>1247</v>
      </c>
      <c r="O2546" s="11">
        <v>62350</v>
      </c>
      <c r="P2546" s="10">
        <v>0</v>
      </c>
      <c r="Q2546" s="11">
        <v>0</v>
      </c>
      <c r="R2546" s="10">
        <f t="shared" si="2582"/>
        <v>97.6</v>
      </c>
      <c r="S2546" s="11">
        <v>7320</v>
      </c>
      <c r="T2546" s="10">
        <f t="shared" si="2583"/>
        <v>230.4</v>
      </c>
      <c r="U2546" s="11">
        <v>17280</v>
      </c>
      <c r="V2546" s="10">
        <f t="shared" si="2584"/>
        <v>145.50666666666666</v>
      </c>
      <c r="W2546" s="11">
        <v>10913</v>
      </c>
      <c r="X2546" s="10">
        <f t="shared" si="2585"/>
        <v>1995.2</v>
      </c>
      <c r="Y2546" s="11">
        <v>149640</v>
      </c>
      <c r="Z2546" s="10">
        <v>0</v>
      </c>
      <c r="AA2546" s="11">
        <v>0</v>
      </c>
      <c r="AB2546" s="10">
        <v>0</v>
      </c>
      <c r="AC2546" s="11">
        <v>0</v>
      </c>
      <c r="AD2546" s="10">
        <v>0</v>
      </c>
      <c r="AE2546" s="11">
        <v>0</v>
      </c>
      <c r="AF2546" s="10">
        <f t="shared" si="2578"/>
        <v>83.15789473684211</v>
      </c>
      <c r="AG2546" s="11">
        <v>3950</v>
      </c>
      <c r="AH2546" s="10">
        <f t="shared" si="2579"/>
        <v>164.21052631578948</v>
      </c>
      <c r="AI2546" s="11">
        <v>7800</v>
      </c>
      <c r="AJ2546" s="10">
        <v>0</v>
      </c>
      <c r="AK2546" s="13">
        <v>0</v>
      </c>
      <c r="AL2546" s="10">
        <v>0</v>
      </c>
      <c r="AM2546" s="13">
        <v>0</v>
      </c>
      <c r="AN2546" s="10">
        <v>0</v>
      </c>
      <c r="AO2546" s="11">
        <v>0</v>
      </c>
      <c r="AP2546" s="10">
        <v>0</v>
      </c>
      <c r="AQ2546" s="11">
        <v>0</v>
      </c>
      <c r="AR2546" s="10">
        <v>0</v>
      </c>
      <c r="AS2546" s="11">
        <v>0</v>
      </c>
      <c r="AT2546" s="10">
        <v>0</v>
      </c>
      <c r="AU2546" s="11">
        <v>0</v>
      </c>
      <c r="AV2546" s="10">
        <v>0</v>
      </c>
      <c r="AW2546" s="11">
        <v>0</v>
      </c>
      <c r="AX2546" s="10">
        <v>0</v>
      </c>
      <c r="AY2546" s="11">
        <v>0</v>
      </c>
      <c r="AZ2546" s="10">
        <v>0</v>
      </c>
      <c r="BA2546" s="11">
        <v>0</v>
      </c>
      <c r="BB2546" s="10">
        <v>0</v>
      </c>
      <c r="BC2546" s="11">
        <v>0</v>
      </c>
      <c r="BD2546" s="10">
        <v>0</v>
      </c>
      <c r="BE2546" s="11">
        <v>0</v>
      </c>
      <c r="BF2546" s="10">
        <v>0</v>
      </c>
      <c r="BG2546" s="11">
        <v>0</v>
      </c>
      <c r="BN2546" s="8">
        <f t="shared" si="2577"/>
        <v>2574.8045614035086</v>
      </c>
      <c r="BO2546" s="8">
        <f t="shared" si="2580"/>
        <v>190250</v>
      </c>
      <c r="BP2546" s="8">
        <f t="shared" si="2516"/>
        <v>3406.4105263157894</v>
      </c>
      <c r="BQ2546" s="12">
        <f t="shared" si="2517"/>
        <v>219790</v>
      </c>
    </row>
    <row r="2547" spans="1:69">
      <c r="A2547" s="28">
        <v>2006</v>
      </c>
      <c r="B2547" s="27" t="s">
        <v>110</v>
      </c>
      <c r="C2547" s="24">
        <f t="shared" si="2520"/>
        <v>2496</v>
      </c>
      <c r="D2547" s="7">
        <f t="shared" ca="1" si="2521"/>
        <v>0.40813370473537608</v>
      </c>
      <c r="E2547" s="26">
        <f t="array" aca="1" ref="E2547" ca="1">AVERAGE(IF(INDIRECT(DatCol&amp;"$"&amp;TEXT(C2547,"###")):INDIRECT(DatCol&amp;"$"&amp;TEXT(C2547+57,"###"))&gt;0,INDIRECT(DatCol&amp;"$"&amp;TEXT(C2547,"###")):INDIRECT(DatCol&amp;"$"&amp;TEXT(C2547+57,"###"))))</f>
        <v>3263.6363636363635</v>
      </c>
      <c r="F2547" s="26" t="str">
        <f t="shared" si="2522"/>
        <v>B</v>
      </c>
      <c r="H2547" s="9">
        <v>146</v>
      </c>
      <c r="I2547" s="9">
        <v>20</v>
      </c>
      <c r="J2547" s="9">
        <v>1186</v>
      </c>
      <c r="K2547" s="9">
        <f t="shared" si="2581"/>
        <v>1332</v>
      </c>
      <c r="L2547" s="10">
        <f t="shared" si="2576"/>
        <v>72.2</v>
      </c>
      <c r="M2547" s="11">
        <v>3610</v>
      </c>
      <c r="N2547" s="10">
        <f t="shared" si="2586"/>
        <v>1332</v>
      </c>
      <c r="O2547" s="11">
        <v>66600</v>
      </c>
      <c r="P2547" s="10">
        <v>0</v>
      </c>
      <c r="Q2547" s="11">
        <v>0</v>
      </c>
      <c r="R2547" s="10">
        <f t="shared" si="2582"/>
        <v>99.2</v>
      </c>
      <c r="S2547" s="11">
        <v>7440</v>
      </c>
      <c r="T2547" s="10">
        <f t="shared" si="2583"/>
        <v>226.4</v>
      </c>
      <c r="U2547" s="11">
        <v>16980</v>
      </c>
      <c r="V2547" s="10">
        <f t="shared" si="2584"/>
        <v>80.306666666666672</v>
      </c>
      <c r="W2547" s="11">
        <v>6023</v>
      </c>
      <c r="X2547" s="10">
        <f t="shared" si="2585"/>
        <v>2131.1999999999998</v>
      </c>
      <c r="Y2547" s="11">
        <v>159840</v>
      </c>
      <c r="Z2547" s="10">
        <v>0</v>
      </c>
      <c r="AA2547" s="11">
        <v>0</v>
      </c>
      <c r="AB2547" s="10">
        <v>0</v>
      </c>
      <c r="AC2547" s="11">
        <v>0</v>
      </c>
      <c r="AD2547" s="10">
        <v>0</v>
      </c>
      <c r="AE2547" s="11">
        <v>0</v>
      </c>
      <c r="AF2547" s="10">
        <f t="shared" si="2578"/>
        <v>157.89473684210526</v>
      </c>
      <c r="AG2547" s="11">
        <v>7500</v>
      </c>
      <c r="AH2547" s="10">
        <f t="shared" si="2579"/>
        <v>175.78947368421052</v>
      </c>
      <c r="AI2547" s="11">
        <v>8350</v>
      </c>
      <c r="AJ2547" s="10">
        <v>0</v>
      </c>
      <c r="AK2547" s="13">
        <v>0</v>
      </c>
      <c r="AL2547" s="10">
        <v>0</v>
      </c>
      <c r="AM2547" s="13">
        <v>0</v>
      </c>
      <c r="AN2547" s="10">
        <v>0</v>
      </c>
      <c r="AO2547" s="11">
        <v>0</v>
      </c>
      <c r="AP2547" s="10">
        <v>0</v>
      </c>
      <c r="AQ2547" s="11">
        <v>0</v>
      </c>
      <c r="AR2547" s="10">
        <v>0</v>
      </c>
      <c r="AS2547" s="11">
        <v>0</v>
      </c>
      <c r="AT2547" s="10">
        <v>0</v>
      </c>
      <c r="AU2547" s="11">
        <v>0</v>
      </c>
      <c r="AV2547" s="10">
        <v>0</v>
      </c>
      <c r="AW2547" s="11">
        <v>0</v>
      </c>
      <c r="AX2547" s="10">
        <v>0</v>
      </c>
      <c r="AY2547" s="11">
        <v>0</v>
      </c>
      <c r="AZ2547" s="10">
        <v>0</v>
      </c>
      <c r="BA2547" s="11">
        <v>0</v>
      </c>
      <c r="BB2547" s="10">
        <v>0</v>
      </c>
      <c r="BC2547" s="11">
        <v>0</v>
      </c>
      <c r="BD2547" s="10">
        <v>0</v>
      </c>
      <c r="BE2547" s="11">
        <v>0</v>
      </c>
      <c r="BF2547" s="10">
        <v>0</v>
      </c>
      <c r="BG2547" s="11">
        <v>0</v>
      </c>
      <c r="BH2547" s="11">
        <v>0</v>
      </c>
      <c r="BI2547" s="11">
        <v>0</v>
      </c>
      <c r="BJ2547" s="10">
        <v>0</v>
      </c>
      <c r="BK2547" s="11">
        <v>0</v>
      </c>
      <c r="BL2547" s="10">
        <v>0</v>
      </c>
      <c r="BM2547" s="11">
        <v>0</v>
      </c>
      <c r="BN2547" s="8">
        <f t="shared" si="2577"/>
        <v>2767.2014035087718</v>
      </c>
      <c r="BO2547" s="8">
        <f t="shared" si="2580"/>
        <v>201393</v>
      </c>
      <c r="BP2547" s="8">
        <f t="shared" si="2516"/>
        <v>3638.9894736842102</v>
      </c>
      <c r="BQ2547" s="12">
        <f t="shared" si="2517"/>
        <v>234790</v>
      </c>
    </row>
    <row r="2548" spans="1:69">
      <c r="A2548" s="28">
        <v>2007</v>
      </c>
      <c r="B2548" s="27" t="s">
        <v>110</v>
      </c>
      <c r="C2548" s="24">
        <f t="shared" si="2520"/>
        <v>2496</v>
      </c>
      <c r="D2548" s="7">
        <f t="shared" ca="1" si="2521"/>
        <v>0.20713091922005572</v>
      </c>
      <c r="E2548" s="26">
        <f t="array" aca="1" ref="E2548" ca="1">AVERAGE(IF(INDIRECT(DatCol&amp;"$"&amp;TEXT(C2548,"###")):INDIRECT(DatCol&amp;"$"&amp;TEXT(C2548+57,"###"))&gt;0,INDIRECT(DatCol&amp;"$"&amp;TEXT(C2548,"###")):INDIRECT(DatCol&amp;"$"&amp;TEXT(C2548+57,"###"))))</f>
        <v>3263.6363636363635</v>
      </c>
      <c r="F2548" s="26" t="str">
        <f t="shared" si="2522"/>
        <v>B</v>
      </c>
      <c r="H2548" s="9">
        <v>153</v>
      </c>
      <c r="I2548" s="9">
        <v>22</v>
      </c>
      <c r="J2548" s="9">
        <v>1199</v>
      </c>
      <c r="K2548" s="9">
        <f t="shared" si="2581"/>
        <v>1352</v>
      </c>
      <c r="L2548" s="10">
        <f t="shared" si="2576"/>
        <v>0.88</v>
      </c>
      <c r="M2548" s="11">
        <v>44</v>
      </c>
      <c r="N2548" s="10">
        <f t="shared" si="2586"/>
        <v>676</v>
      </c>
      <c r="O2548" s="11">
        <v>33800</v>
      </c>
      <c r="P2548" s="10">
        <v>0</v>
      </c>
      <c r="Q2548" s="11">
        <v>0</v>
      </c>
      <c r="R2548" s="10">
        <f t="shared" si="2582"/>
        <v>201.6</v>
      </c>
      <c r="S2548" s="11">
        <v>15120</v>
      </c>
      <c r="T2548" s="10">
        <f t="shared" si="2583"/>
        <v>526.4</v>
      </c>
      <c r="U2548" s="11">
        <v>39480</v>
      </c>
      <c r="V2548" s="10">
        <f t="shared" si="2584"/>
        <v>172.45333333333335</v>
      </c>
      <c r="W2548" s="11">
        <v>12934</v>
      </c>
      <c r="X2548" s="10">
        <f t="shared" si="2585"/>
        <v>2163.1999999999998</v>
      </c>
      <c r="Y2548" s="11">
        <v>162240</v>
      </c>
      <c r="Z2548" s="10">
        <v>0</v>
      </c>
      <c r="AA2548" s="11">
        <v>0</v>
      </c>
      <c r="AB2548" s="10">
        <v>0</v>
      </c>
      <c r="AC2548" s="11">
        <v>0</v>
      </c>
      <c r="AD2548" s="10">
        <v>0</v>
      </c>
      <c r="AE2548" s="11">
        <v>0</v>
      </c>
      <c r="AF2548" s="10">
        <f t="shared" si="2578"/>
        <v>125.26315789473684</v>
      </c>
      <c r="AG2548" s="11">
        <v>5950</v>
      </c>
      <c r="AH2548" s="10">
        <f t="shared" si="2579"/>
        <v>89.473684210526315</v>
      </c>
      <c r="AI2548" s="11">
        <v>4250</v>
      </c>
      <c r="AJ2548" s="10">
        <f>AK2548/9</f>
        <v>6.8888888888888893</v>
      </c>
      <c r="AK2548" s="13">
        <v>62</v>
      </c>
      <c r="AL2548" s="10">
        <v>0</v>
      </c>
      <c r="AM2548" s="13">
        <v>0</v>
      </c>
      <c r="AN2548" s="10">
        <v>0</v>
      </c>
      <c r="AO2548" s="11">
        <v>0</v>
      </c>
      <c r="AP2548" s="10">
        <v>0</v>
      </c>
      <c r="AQ2548" s="11">
        <v>0</v>
      </c>
      <c r="AR2548" s="10">
        <v>0</v>
      </c>
      <c r="AS2548" s="11">
        <v>0</v>
      </c>
      <c r="AT2548" s="10">
        <v>0</v>
      </c>
      <c r="AU2548" s="11">
        <v>0</v>
      </c>
      <c r="AV2548" s="10">
        <v>0</v>
      </c>
      <c r="AW2548" s="11">
        <v>0</v>
      </c>
      <c r="AX2548" s="10">
        <v>0</v>
      </c>
      <c r="AY2548" s="11">
        <v>0</v>
      </c>
      <c r="AZ2548" s="10">
        <v>0</v>
      </c>
      <c r="BA2548" s="11">
        <v>0</v>
      </c>
      <c r="BB2548" s="10">
        <v>0</v>
      </c>
      <c r="BC2548" s="11">
        <v>0</v>
      </c>
      <c r="BD2548" s="10">
        <v>0</v>
      </c>
      <c r="BE2548" s="11">
        <v>0</v>
      </c>
      <c r="BF2548" s="10">
        <v>0</v>
      </c>
      <c r="BG2548" s="11">
        <v>0</v>
      </c>
      <c r="BH2548" s="11">
        <v>0</v>
      </c>
      <c r="BI2548" s="11">
        <v>0</v>
      </c>
      <c r="BJ2548" s="10">
        <v>0</v>
      </c>
      <c r="BK2548" s="11">
        <v>0</v>
      </c>
      <c r="BN2548" s="8">
        <f t="shared" si="2577"/>
        <v>3196.6853801169586</v>
      </c>
      <c r="BO2548" s="8">
        <f t="shared" si="2580"/>
        <v>235830</v>
      </c>
      <c r="BP2548" s="8">
        <f t="shared" si="2516"/>
        <v>2928.6736842105261</v>
      </c>
      <c r="BQ2548" s="12">
        <f t="shared" si="2517"/>
        <v>200290</v>
      </c>
    </row>
    <row r="2549" spans="1:69">
      <c r="A2549" s="28">
        <v>2008</v>
      </c>
      <c r="B2549" s="27" t="s">
        <v>110</v>
      </c>
      <c r="C2549" s="24">
        <f t="shared" si="2520"/>
        <v>2496</v>
      </c>
      <c r="D2549" s="7" t="e">
        <f t="shared" ca="1" si="2521"/>
        <v>#N/A</v>
      </c>
      <c r="E2549" s="26">
        <f t="array" aca="1" ref="E2549" ca="1">AVERAGE(IF(INDIRECT(DatCol&amp;"$"&amp;TEXT(C2549,"###")):INDIRECT(DatCol&amp;"$"&amp;TEXT(C2549+57,"###"))&gt;0,INDIRECT(DatCol&amp;"$"&amp;TEXT(C2549,"###")):INDIRECT(DatCol&amp;"$"&amp;TEXT(C2549+57,"###"))))</f>
        <v>3263.6363636363635</v>
      </c>
      <c r="F2549" s="26" t="str">
        <f t="shared" si="2522"/>
        <v>B</v>
      </c>
      <c r="K2549" s="9">
        <f t="shared" si="2581"/>
        <v>0</v>
      </c>
      <c r="AK2549" s="13"/>
      <c r="AM2549" s="13"/>
      <c r="BN2549" s="8">
        <f t="shared" si="2577"/>
        <v>0</v>
      </c>
      <c r="BO2549" s="8">
        <f t="shared" si="2580"/>
        <v>0</v>
      </c>
      <c r="BP2549" s="8">
        <f t="shared" si="2516"/>
        <v>0</v>
      </c>
      <c r="BQ2549" s="12">
        <f t="shared" si="2517"/>
        <v>0</v>
      </c>
    </row>
    <row r="2550" spans="1:69">
      <c r="A2550" s="28">
        <v>2009</v>
      </c>
      <c r="B2550" s="27" t="s">
        <v>110</v>
      </c>
      <c r="C2550" s="24">
        <f t="shared" si="2520"/>
        <v>2496</v>
      </c>
      <c r="D2550" s="7">
        <f t="shared" ca="1" si="2521"/>
        <v>0.18506963788300837</v>
      </c>
      <c r="E2550" s="26">
        <f t="array" aca="1" ref="E2550" ca="1">AVERAGE(IF(INDIRECT(DatCol&amp;"$"&amp;TEXT(C2550,"###")):INDIRECT(DatCol&amp;"$"&amp;TEXT(C2550+57,"###"))&gt;0,INDIRECT(DatCol&amp;"$"&amp;TEXT(C2550,"###")):INDIRECT(DatCol&amp;"$"&amp;TEXT(C2550+57,"###"))))</f>
        <v>3263.6363636363635</v>
      </c>
      <c r="F2550" s="26" t="str">
        <f t="shared" si="2522"/>
        <v>B</v>
      </c>
      <c r="H2550" s="9">
        <v>109</v>
      </c>
      <c r="I2550" s="9">
        <f>8+18</f>
        <v>26</v>
      </c>
      <c r="J2550" s="9">
        <v>1100</v>
      </c>
      <c r="K2550" s="9">
        <f t="shared" si="2581"/>
        <v>1209</v>
      </c>
      <c r="L2550" s="10">
        <f>M2550/50</f>
        <v>98.04</v>
      </c>
      <c r="M2550" s="11">
        <v>4902</v>
      </c>
      <c r="N2550" s="10">
        <f>O2550/50</f>
        <v>604</v>
      </c>
      <c r="O2550" s="11">
        <v>30200</v>
      </c>
      <c r="P2550" s="10">
        <v>0</v>
      </c>
      <c r="Q2550" s="11">
        <v>0</v>
      </c>
      <c r="R2550" s="10">
        <f>S2550/75</f>
        <v>305.60000000000002</v>
      </c>
      <c r="S2550" s="11">
        <v>22920</v>
      </c>
      <c r="T2550" s="10">
        <f>U2550/75</f>
        <v>578.4</v>
      </c>
      <c r="U2550" s="11">
        <v>43380</v>
      </c>
      <c r="V2550" s="10">
        <f>W2550/75</f>
        <v>349.70666666666665</v>
      </c>
      <c r="W2550" s="11">
        <v>26228</v>
      </c>
      <c r="X2550" s="10">
        <f>Y2550/75</f>
        <v>1934.4</v>
      </c>
      <c r="Y2550" s="11">
        <v>145080</v>
      </c>
      <c r="Z2550" s="10">
        <v>0</v>
      </c>
      <c r="AA2550" s="11">
        <v>0</v>
      </c>
      <c r="AB2550" s="10">
        <v>0</v>
      </c>
      <c r="AC2550" s="11">
        <v>0</v>
      </c>
      <c r="AD2550" s="10">
        <v>0</v>
      </c>
      <c r="AE2550" s="11">
        <v>0</v>
      </c>
      <c r="AF2550" s="10">
        <f>AG2550/47.5</f>
        <v>64.21052631578948</v>
      </c>
      <c r="AG2550" s="11">
        <v>3050</v>
      </c>
      <c r="AH2550" s="10">
        <f>AI2550/47.5</f>
        <v>78.94736842105263</v>
      </c>
      <c r="AI2550" s="11">
        <v>3750</v>
      </c>
      <c r="AJ2550" s="10">
        <f>AK2550/9</f>
        <v>234.44444444444446</v>
      </c>
      <c r="AK2550" s="13">
        <v>2110</v>
      </c>
      <c r="AL2550" s="10">
        <f>AM2550/9</f>
        <v>83.333333333333329</v>
      </c>
      <c r="AM2550" s="13">
        <v>750</v>
      </c>
      <c r="BN2550" s="8">
        <f t="shared" ref="BN2550:BN2615" si="2587">(L2550+P2550+R2550+T2550+V2550+X2550+Z2550+AB2550+AD2550+AF2550+AJ2550+AN2550+AR2550+AV2550+AZ2550+BD2550)</f>
        <v>3564.8016374269005</v>
      </c>
      <c r="BO2550" s="8">
        <f t="shared" si="2580"/>
        <v>247670</v>
      </c>
      <c r="BP2550" s="8">
        <f t="shared" si="2516"/>
        <v>2700.6807017543861</v>
      </c>
      <c r="BQ2550" s="12">
        <f t="shared" si="2517"/>
        <v>179780</v>
      </c>
    </row>
    <row r="2551" spans="1:69">
      <c r="A2551" s="28">
        <v>2010</v>
      </c>
      <c r="B2551" s="27" t="s">
        <v>110</v>
      </c>
      <c r="C2551" s="24">
        <f t="shared" si="2520"/>
        <v>2496</v>
      </c>
      <c r="D2551" s="7" t="e">
        <f t="shared" ca="1" si="2521"/>
        <v>#N/A</v>
      </c>
      <c r="E2551" s="26">
        <f t="array" aca="1" ref="E2551" ca="1">AVERAGE(IF(INDIRECT(DatCol&amp;"$"&amp;TEXT(C2551,"###")):INDIRECT(DatCol&amp;"$"&amp;TEXT(C2551+57,"###"))&gt;0,INDIRECT(DatCol&amp;"$"&amp;TEXT(C2551,"###")):INDIRECT(DatCol&amp;"$"&amp;TEXT(C2551+57,"###"))))</f>
        <v>3263.6363636363635</v>
      </c>
      <c r="F2551" s="26" t="str">
        <f t="shared" ref="F2551:F2553" si="2588">VLOOKUP(B2551,town_region,2,FALSE)</f>
        <v>B</v>
      </c>
      <c r="AK2551" s="13"/>
      <c r="AM2551" s="13"/>
      <c r="BN2551" s="8"/>
      <c r="BO2551" s="8"/>
      <c r="BP2551" s="8"/>
      <c r="BQ2551" s="12"/>
    </row>
    <row r="2552" spans="1:69">
      <c r="A2552" s="28">
        <v>2011</v>
      </c>
      <c r="B2552" s="27" t="s">
        <v>110</v>
      </c>
      <c r="C2552" s="24">
        <f t="shared" si="2520"/>
        <v>2496</v>
      </c>
      <c r="D2552" s="7" t="e">
        <f t="shared" ca="1" si="2521"/>
        <v>#N/A</v>
      </c>
      <c r="E2552" s="26">
        <f t="array" aca="1" ref="E2552" ca="1">AVERAGE(IF(INDIRECT(DatCol&amp;"$"&amp;TEXT(C2552,"###")):INDIRECT(DatCol&amp;"$"&amp;TEXT(C2552+57,"###"))&gt;0,INDIRECT(DatCol&amp;"$"&amp;TEXT(C2552,"###")):INDIRECT(DatCol&amp;"$"&amp;TEXT(C2552+57,"###"))))</f>
        <v>3263.6363636363635</v>
      </c>
      <c r="F2552" s="26" t="str">
        <f t="shared" si="2588"/>
        <v>B</v>
      </c>
      <c r="AK2552" s="13"/>
      <c r="AM2552" s="13"/>
      <c r="BN2552" s="8"/>
      <c r="BO2552" s="8"/>
      <c r="BP2552" s="8"/>
      <c r="BQ2552" s="12"/>
    </row>
    <row r="2553" spans="1:69">
      <c r="A2553" s="28">
        <v>2012</v>
      </c>
      <c r="B2553" s="27" t="s">
        <v>110</v>
      </c>
      <c r="C2553" s="24">
        <f t="shared" si="2520"/>
        <v>2496</v>
      </c>
      <c r="D2553" s="7" t="e">
        <f t="shared" ca="1" si="2521"/>
        <v>#N/A</v>
      </c>
      <c r="E2553" s="26">
        <f t="array" aca="1" ref="E2553" ca="1">AVERAGE(IF(INDIRECT(DatCol&amp;"$"&amp;TEXT(C2553,"###")):INDIRECT(DatCol&amp;"$"&amp;TEXT(C2553+57,"###"))&gt;0,INDIRECT(DatCol&amp;"$"&amp;TEXT(C2553,"###")):INDIRECT(DatCol&amp;"$"&amp;TEXT(C2553+57,"###"))))</f>
        <v>3263.6363636363635</v>
      </c>
      <c r="F2553" s="26" t="str">
        <f t="shared" si="2588"/>
        <v>B</v>
      </c>
      <c r="AK2553" s="13"/>
      <c r="AM2553" s="13"/>
      <c r="BN2553" s="8"/>
      <c r="BO2553" s="8"/>
      <c r="BP2553" s="8"/>
      <c r="BQ2553" s="12"/>
    </row>
    <row r="2554" spans="1:69">
      <c r="A2554" s="28">
        <v>1955</v>
      </c>
      <c r="B2554" s="27" t="s">
        <v>116</v>
      </c>
      <c r="C2554" s="24">
        <f>ROW()</f>
        <v>2554</v>
      </c>
      <c r="D2554" s="7" t="e">
        <f t="shared" ca="1" si="2521"/>
        <v>#N/A</v>
      </c>
      <c r="E2554" s="26">
        <f t="array" aca="1" ref="E2554" ca="1">AVERAGE(IF(INDIRECT(DatCol&amp;"$"&amp;TEXT(C2554,"###")):INDIRECT(DatCol&amp;"$"&amp;TEXT(C2554+57,"###"))&gt;0,INDIRECT(DatCol&amp;"$"&amp;TEXT(C2554,"###")):INDIRECT(DatCol&amp;"$"&amp;TEXT(C2554+57,"###"))))</f>
        <v>95.745405405405407</v>
      </c>
      <c r="F2554" s="26" t="str">
        <f t="shared" si="2522"/>
        <v>C</v>
      </c>
      <c r="G2554" s="8"/>
      <c r="H2554" s="8" t="s">
        <v>117</v>
      </c>
      <c r="I2554" s="8">
        <v>66</v>
      </c>
      <c r="J2554" s="8">
        <v>832</v>
      </c>
      <c r="K2554" s="9">
        <f t="shared" si="2581"/>
        <v>832</v>
      </c>
      <c r="M2554" s="11">
        <f t="shared" ref="M2554:M2566" si="2589">(L2554*50)</f>
        <v>0</v>
      </c>
      <c r="O2554" s="11">
        <f t="shared" si="2559"/>
        <v>0</v>
      </c>
      <c r="Q2554" s="11">
        <f t="shared" si="2560"/>
        <v>0</v>
      </c>
      <c r="Y2554" s="11">
        <f t="shared" si="2561"/>
        <v>0</v>
      </c>
      <c r="AG2554" s="11">
        <f t="shared" si="2562"/>
        <v>0</v>
      </c>
      <c r="AI2554" s="11">
        <f t="shared" si="2563"/>
        <v>0</v>
      </c>
      <c r="AK2554" s="13">
        <f t="shared" si="2564"/>
        <v>0</v>
      </c>
      <c r="AM2554" s="13">
        <f t="shared" si="2565"/>
        <v>0</v>
      </c>
      <c r="AO2554" s="11">
        <f t="shared" si="2566"/>
        <v>0</v>
      </c>
      <c r="AQ2554" s="11">
        <f t="shared" si="2567"/>
        <v>0</v>
      </c>
      <c r="AS2554" s="11">
        <f t="shared" si="2568"/>
        <v>0</v>
      </c>
      <c r="AU2554" s="11">
        <f t="shared" si="2569"/>
        <v>0</v>
      </c>
      <c r="AW2554" s="11">
        <f t="shared" si="2570"/>
        <v>0</v>
      </c>
      <c r="AY2554" s="11">
        <f t="shared" si="2571"/>
        <v>0</v>
      </c>
      <c r="BA2554" s="11">
        <f t="shared" si="2572"/>
        <v>0</v>
      </c>
      <c r="BC2554" s="11">
        <f t="shared" si="2573"/>
        <v>0</v>
      </c>
      <c r="BE2554" s="11">
        <f t="shared" si="2574"/>
        <v>0</v>
      </c>
      <c r="BG2554" s="11">
        <f t="shared" si="2575"/>
        <v>0</v>
      </c>
      <c r="BN2554" s="8">
        <f t="shared" si="2587"/>
        <v>0</v>
      </c>
      <c r="BO2554" s="8">
        <f t="shared" si="2580"/>
        <v>0</v>
      </c>
      <c r="BP2554" s="8">
        <f t="shared" ref="BP2554:BP2616" si="2590">(N2554+X2554+Z2554+AB2554+AD2554+AH2554+AL2554+AP2554+AT2554+AX2554+BB2554+BF2554)</f>
        <v>0</v>
      </c>
      <c r="BQ2554" s="12">
        <f t="shared" ref="BQ2554:BQ2616" si="2591">(O2554+Y2554+AA2554+AC2554+AE2554+AI2554+AM2554+AQ2554+AU2554+AY2554+BC2554+BG2554)</f>
        <v>0</v>
      </c>
    </row>
    <row r="2555" spans="1:69">
      <c r="A2555" s="28">
        <v>1956</v>
      </c>
      <c r="B2555" s="27" t="s">
        <v>116</v>
      </c>
      <c r="C2555" s="24">
        <f t="shared" ref="C2555:C2611" si="2592">C2554</f>
        <v>2554</v>
      </c>
      <c r="D2555" s="7" t="e">
        <f t="shared" ca="1" si="2521"/>
        <v>#N/A</v>
      </c>
      <c r="E2555" s="26">
        <f t="array" aca="1" ref="E2555" ca="1">AVERAGE(IF(INDIRECT(DatCol&amp;"$"&amp;TEXT(C2555,"###")):INDIRECT(DatCol&amp;"$"&amp;TEXT(C2555+57,"###"))&gt;0,INDIRECT(DatCol&amp;"$"&amp;TEXT(C2555,"###")):INDIRECT(DatCol&amp;"$"&amp;TEXT(C2555+57,"###"))))</f>
        <v>95.745405405405407</v>
      </c>
      <c r="F2555" s="26" t="str">
        <f t="shared" si="2522"/>
        <v>C</v>
      </c>
      <c r="G2555" s="8"/>
      <c r="H2555" s="8" t="s">
        <v>118</v>
      </c>
      <c r="I2555" s="8">
        <v>89</v>
      </c>
      <c r="J2555" s="8">
        <v>1075</v>
      </c>
      <c r="K2555" s="9">
        <f t="shared" si="2581"/>
        <v>1075</v>
      </c>
      <c r="M2555" s="11">
        <f t="shared" si="2589"/>
        <v>0</v>
      </c>
      <c r="O2555" s="11">
        <f t="shared" si="2559"/>
        <v>0</v>
      </c>
      <c r="Q2555" s="11">
        <f t="shared" si="2560"/>
        <v>0</v>
      </c>
      <c r="Y2555" s="11">
        <f t="shared" si="2561"/>
        <v>0</v>
      </c>
      <c r="AG2555" s="11">
        <f t="shared" si="2562"/>
        <v>0</v>
      </c>
      <c r="AI2555" s="11">
        <f t="shared" si="2563"/>
        <v>0</v>
      </c>
      <c r="AK2555" s="13">
        <f t="shared" si="2564"/>
        <v>0</v>
      </c>
      <c r="AM2555" s="13">
        <f t="shared" si="2565"/>
        <v>0</v>
      </c>
      <c r="AO2555" s="11">
        <f t="shared" si="2566"/>
        <v>0</v>
      </c>
      <c r="AQ2555" s="11">
        <f t="shared" si="2567"/>
        <v>0</v>
      </c>
      <c r="AS2555" s="11">
        <f t="shared" si="2568"/>
        <v>0</v>
      </c>
      <c r="AU2555" s="11">
        <f t="shared" si="2569"/>
        <v>0</v>
      </c>
      <c r="AW2555" s="11">
        <f t="shared" si="2570"/>
        <v>0</v>
      </c>
      <c r="AY2555" s="11">
        <f t="shared" si="2571"/>
        <v>0</v>
      </c>
      <c r="BA2555" s="11">
        <f t="shared" si="2572"/>
        <v>0</v>
      </c>
      <c r="BC2555" s="11">
        <f t="shared" si="2573"/>
        <v>0</v>
      </c>
      <c r="BE2555" s="11">
        <f t="shared" si="2574"/>
        <v>0</v>
      </c>
      <c r="BG2555" s="11">
        <f t="shared" si="2575"/>
        <v>0</v>
      </c>
      <c r="BN2555" s="8">
        <f t="shared" si="2587"/>
        <v>0</v>
      </c>
      <c r="BO2555" s="8">
        <f t="shared" si="2580"/>
        <v>0</v>
      </c>
      <c r="BP2555" s="8">
        <f t="shared" si="2590"/>
        <v>0</v>
      </c>
      <c r="BQ2555" s="12">
        <f t="shared" si="2591"/>
        <v>0</v>
      </c>
    </row>
    <row r="2556" spans="1:69">
      <c r="A2556" s="28">
        <v>1957</v>
      </c>
      <c r="B2556" s="27" t="s">
        <v>116</v>
      </c>
      <c r="C2556" s="24">
        <f t="shared" si="2592"/>
        <v>2554</v>
      </c>
      <c r="D2556" s="7" t="e">
        <f t="shared" ca="1" si="2521"/>
        <v>#N/A</v>
      </c>
      <c r="E2556" s="26">
        <f t="array" aca="1" ref="E2556" ca="1">AVERAGE(IF(INDIRECT(DatCol&amp;"$"&amp;TEXT(C2556,"###")):INDIRECT(DatCol&amp;"$"&amp;TEXT(C2556+57,"###"))&gt;0,INDIRECT(DatCol&amp;"$"&amp;TEXT(C2556,"###")):INDIRECT(DatCol&amp;"$"&amp;TEXT(C2556+57,"###"))))</f>
        <v>95.745405405405407</v>
      </c>
      <c r="F2556" s="26" t="str">
        <f t="shared" si="2522"/>
        <v>C</v>
      </c>
      <c r="G2556" s="8"/>
      <c r="I2556" s="8">
        <v>56</v>
      </c>
      <c r="J2556" s="8">
        <v>1462</v>
      </c>
      <c r="K2556" s="9">
        <f t="shared" si="2581"/>
        <v>1462</v>
      </c>
      <c r="L2556" s="12">
        <v>200</v>
      </c>
      <c r="M2556" s="11">
        <f t="shared" si="2589"/>
        <v>10000</v>
      </c>
      <c r="O2556" s="11">
        <f t="shared" si="2559"/>
        <v>0</v>
      </c>
      <c r="Q2556" s="11">
        <f t="shared" si="2560"/>
        <v>0</v>
      </c>
      <c r="X2556" s="12">
        <v>6000</v>
      </c>
      <c r="Y2556" s="11">
        <f t="shared" si="2561"/>
        <v>360000</v>
      </c>
      <c r="AG2556" s="11">
        <f t="shared" si="2562"/>
        <v>0</v>
      </c>
      <c r="AH2556" s="12">
        <v>3000</v>
      </c>
      <c r="AI2556" s="11">
        <f t="shared" si="2563"/>
        <v>195000</v>
      </c>
      <c r="AJ2556" s="12">
        <v>600</v>
      </c>
      <c r="AK2556" s="13">
        <f t="shared" si="2564"/>
        <v>5400</v>
      </c>
      <c r="AM2556" s="13">
        <f t="shared" si="2565"/>
        <v>0</v>
      </c>
      <c r="AO2556" s="11">
        <f t="shared" si="2566"/>
        <v>0</v>
      </c>
      <c r="AQ2556" s="11">
        <f t="shared" si="2567"/>
        <v>0</v>
      </c>
      <c r="AS2556" s="11">
        <f t="shared" si="2568"/>
        <v>0</v>
      </c>
      <c r="AU2556" s="11">
        <f t="shared" si="2569"/>
        <v>0</v>
      </c>
      <c r="AW2556" s="11">
        <f t="shared" si="2570"/>
        <v>0</v>
      </c>
      <c r="AY2556" s="11">
        <f t="shared" si="2571"/>
        <v>0</v>
      </c>
      <c r="BA2556" s="11">
        <f t="shared" si="2572"/>
        <v>0</v>
      </c>
      <c r="BC2556" s="11">
        <f t="shared" si="2573"/>
        <v>0</v>
      </c>
      <c r="BE2556" s="11">
        <f t="shared" si="2574"/>
        <v>0</v>
      </c>
      <c r="BG2556" s="11">
        <f t="shared" si="2575"/>
        <v>0</v>
      </c>
      <c r="BN2556" s="8">
        <f t="shared" si="2587"/>
        <v>6800</v>
      </c>
      <c r="BO2556" s="8">
        <f t="shared" si="2580"/>
        <v>375400</v>
      </c>
      <c r="BP2556" s="8">
        <f t="shared" si="2590"/>
        <v>9000</v>
      </c>
      <c r="BQ2556" s="12">
        <f t="shared" si="2591"/>
        <v>555000</v>
      </c>
    </row>
    <row r="2557" spans="1:69">
      <c r="A2557" s="28">
        <v>1958</v>
      </c>
      <c r="B2557" s="27" t="s">
        <v>116</v>
      </c>
      <c r="C2557" s="24">
        <f t="shared" si="2592"/>
        <v>2554</v>
      </c>
      <c r="D2557" s="7" t="e">
        <f t="shared" ca="1" si="2521"/>
        <v>#N/A</v>
      </c>
      <c r="E2557" s="26">
        <f t="array" aca="1" ref="E2557" ca="1">AVERAGE(IF(INDIRECT(DatCol&amp;"$"&amp;TEXT(C2557,"###")):INDIRECT(DatCol&amp;"$"&amp;TEXT(C2557+57,"###"))&gt;0,INDIRECT(DatCol&amp;"$"&amp;TEXT(C2557,"###")):INDIRECT(DatCol&amp;"$"&amp;TEXT(C2557+57,"###"))))</f>
        <v>95.745405405405407</v>
      </c>
      <c r="F2557" s="26" t="str">
        <f t="shared" si="2522"/>
        <v>C</v>
      </c>
      <c r="G2557" s="8"/>
      <c r="I2557" s="8">
        <v>98</v>
      </c>
      <c r="J2557" s="8">
        <v>1546</v>
      </c>
      <c r="K2557" s="9">
        <f t="shared" si="2581"/>
        <v>1546</v>
      </c>
      <c r="M2557" s="11">
        <f t="shared" si="2589"/>
        <v>0</v>
      </c>
      <c r="O2557" s="11">
        <f t="shared" si="2559"/>
        <v>0</v>
      </c>
      <c r="Q2557" s="11">
        <f t="shared" si="2560"/>
        <v>0</v>
      </c>
      <c r="X2557" s="12">
        <v>5500</v>
      </c>
      <c r="Y2557" s="11">
        <f t="shared" si="2561"/>
        <v>330000</v>
      </c>
      <c r="AG2557" s="11">
        <f t="shared" si="2562"/>
        <v>0</v>
      </c>
      <c r="AH2557" s="12">
        <v>3500</v>
      </c>
      <c r="AI2557" s="11">
        <f t="shared" si="2563"/>
        <v>227500</v>
      </c>
      <c r="AJ2557" s="12">
        <v>12500</v>
      </c>
      <c r="AK2557" s="13">
        <f t="shared" si="2564"/>
        <v>112500</v>
      </c>
      <c r="AM2557" s="13">
        <f t="shared" si="2565"/>
        <v>0</v>
      </c>
      <c r="AO2557" s="11">
        <f t="shared" si="2566"/>
        <v>0</v>
      </c>
      <c r="AQ2557" s="11">
        <f t="shared" si="2567"/>
        <v>0</v>
      </c>
      <c r="AS2557" s="11">
        <f t="shared" si="2568"/>
        <v>0</v>
      </c>
      <c r="AU2557" s="11">
        <f t="shared" si="2569"/>
        <v>0</v>
      </c>
      <c r="AW2557" s="11">
        <f t="shared" si="2570"/>
        <v>0</v>
      </c>
      <c r="AY2557" s="11">
        <f t="shared" si="2571"/>
        <v>0</v>
      </c>
      <c r="BA2557" s="11">
        <f t="shared" si="2572"/>
        <v>0</v>
      </c>
      <c r="BC2557" s="11">
        <f t="shared" si="2573"/>
        <v>0</v>
      </c>
      <c r="BE2557" s="11">
        <f t="shared" si="2574"/>
        <v>0</v>
      </c>
      <c r="BG2557" s="11">
        <f t="shared" si="2575"/>
        <v>0</v>
      </c>
      <c r="BN2557" s="8">
        <f t="shared" si="2587"/>
        <v>18000</v>
      </c>
      <c r="BO2557" s="8">
        <f t="shared" si="2580"/>
        <v>442500</v>
      </c>
      <c r="BP2557" s="8">
        <f t="shared" si="2590"/>
        <v>9000</v>
      </c>
      <c r="BQ2557" s="12">
        <f t="shared" si="2591"/>
        <v>557500</v>
      </c>
    </row>
    <row r="2558" spans="1:69">
      <c r="A2558" s="28">
        <v>1959</v>
      </c>
      <c r="B2558" s="27" t="s">
        <v>116</v>
      </c>
      <c r="C2558" s="24">
        <f t="shared" si="2592"/>
        <v>2554</v>
      </c>
      <c r="D2558" s="7" t="e">
        <f t="shared" ca="1" si="2521"/>
        <v>#N/A</v>
      </c>
      <c r="E2558" s="26">
        <f t="array" aca="1" ref="E2558" ca="1">AVERAGE(IF(INDIRECT(DatCol&amp;"$"&amp;TEXT(C2558,"###")):INDIRECT(DatCol&amp;"$"&amp;TEXT(C2558+57,"###"))&gt;0,INDIRECT(DatCol&amp;"$"&amp;TEXT(C2558,"###")):INDIRECT(DatCol&amp;"$"&amp;TEXT(C2558+57,"###"))))</f>
        <v>95.745405405405407</v>
      </c>
      <c r="F2558" s="26" t="str">
        <f t="shared" si="2522"/>
        <v>C</v>
      </c>
      <c r="G2558" s="8"/>
      <c r="I2558" s="8">
        <v>67</v>
      </c>
      <c r="J2558" s="8">
        <v>1816</v>
      </c>
      <c r="K2558" s="9">
        <f t="shared" si="2581"/>
        <v>1816</v>
      </c>
      <c r="L2558" s="12">
        <v>1000</v>
      </c>
      <c r="M2558" s="11">
        <f t="shared" si="2589"/>
        <v>50000</v>
      </c>
      <c r="O2558" s="11">
        <f t="shared" si="2559"/>
        <v>0</v>
      </c>
      <c r="Q2558" s="11">
        <f t="shared" si="2560"/>
        <v>0</v>
      </c>
      <c r="X2558" s="12">
        <v>6000</v>
      </c>
      <c r="Y2558" s="11">
        <f t="shared" si="2561"/>
        <v>360000</v>
      </c>
      <c r="AG2558" s="11">
        <f t="shared" si="2562"/>
        <v>0</v>
      </c>
      <c r="AH2558" s="12">
        <v>5000</v>
      </c>
      <c r="AI2558" s="11">
        <f t="shared" si="2563"/>
        <v>325000</v>
      </c>
      <c r="AJ2558" s="12">
        <v>3000</v>
      </c>
      <c r="AK2558" s="13">
        <f t="shared" si="2564"/>
        <v>27000</v>
      </c>
      <c r="AM2558" s="13">
        <f t="shared" si="2565"/>
        <v>0</v>
      </c>
      <c r="AO2558" s="11">
        <f t="shared" si="2566"/>
        <v>0</v>
      </c>
      <c r="AQ2558" s="11">
        <f t="shared" si="2567"/>
        <v>0</v>
      </c>
      <c r="AS2558" s="11">
        <f t="shared" si="2568"/>
        <v>0</v>
      </c>
      <c r="AU2558" s="11">
        <f t="shared" si="2569"/>
        <v>0</v>
      </c>
      <c r="AW2558" s="11">
        <f t="shared" si="2570"/>
        <v>0</v>
      </c>
      <c r="AY2558" s="11">
        <f t="shared" si="2571"/>
        <v>0</v>
      </c>
      <c r="BA2558" s="11">
        <f t="shared" si="2572"/>
        <v>0</v>
      </c>
      <c r="BC2558" s="11">
        <f t="shared" si="2573"/>
        <v>0</v>
      </c>
      <c r="BE2558" s="11">
        <f t="shared" si="2574"/>
        <v>0</v>
      </c>
      <c r="BG2558" s="11">
        <f t="shared" si="2575"/>
        <v>0</v>
      </c>
      <c r="BN2558" s="8">
        <f t="shared" si="2587"/>
        <v>10000</v>
      </c>
      <c r="BO2558" s="8">
        <f t="shared" si="2580"/>
        <v>437000</v>
      </c>
      <c r="BP2558" s="8">
        <f t="shared" si="2590"/>
        <v>11000</v>
      </c>
      <c r="BQ2558" s="12">
        <f t="shared" si="2591"/>
        <v>685000</v>
      </c>
    </row>
    <row r="2559" spans="1:69">
      <c r="A2559" s="28">
        <v>1960</v>
      </c>
      <c r="B2559" s="27" t="s">
        <v>116</v>
      </c>
      <c r="C2559" s="24">
        <f t="shared" si="2592"/>
        <v>2554</v>
      </c>
      <c r="D2559" s="7" t="e">
        <f t="shared" ca="1" si="2521"/>
        <v>#N/A</v>
      </c>
      <c r="E2559" s="26">
        <f t="array" aca="1" ref="E2559" ca="1">AVERAGE(IF(INDIRECT(DatCol&amp;"$"&amp;TEXT(C2559,"###")):INDIRECT(DatCol&amp;"$"&amp;TEXT(C2559+57,"###"))&gt;0,INDIRECT(DatCol&amp;"$"&amp;TEXT(C2559,"###")):INDIRECT(DatCol&amp;"$"&amp;TEXT(C2559+57,"###"))))</f>
        <v>95.745405405405407</v>
      </c>
      <c r="F2559" s="26" t="str">
        <f t="shared" si="2522"/>
        <v>C</v>
      </c>
      <c r="G2559" s="8"/>
      <c r="I2559" s="8">
        <v>81</v>
      </c>
      <c r="J2559" s="8">
        <v>2031</v>
      </c>
      <c r="K2559" s="9">
        <f t="shared" si="2581"/>
        <v>2031</v>
      </c>
      <c r="L2559" s="12">
        <v>1000</v>
      </c>
      <c r="M2559" s="11">
        <f t="shared" si="2589"/>
        <v>50000</v>
      </c>
      <c r="O2559" s="11">
        <f t="shared" si="2559"/>
        <v>0</v>
      </c>
      <c r="P2559" s="12">
        <v>10000</v>
      </c>
      <c r="Q2559" s="11">
        <f t="shared" si="2560"/>
        <v>600000</v>
      </c>
      <c r="Y2559" s="11">
        <f t="shared" si="2561"/>
        <v>0</v>
      </c>
      <c r="AF2559" s="12">
        <v>7000</v>
      </c>
      <c r="AG2559" s="11">
        <f t="shared" si="2562"/>
        <v>455000</v>
      </c>
      <c r="AI2559" s="11">
        <f t="shared" si="2563"/>
        <v>0</v>
      </c>
      <c r="AJ2559" s="12">
        <v>4000</v>
      </c>
      <c r="AK2559" s="13">
        <f t="shared" si="2564"/>
        <v>36000</v>
      </c>
      <c r="AM2559" s="13">
        <f t="shared" si="2565"/>
        <v>0</v>
      </c>
      <c r="AO2559" s="11">
        <f t="shared" si="2566"/>
        <v>0</v>
      </c>
      <c r="AQ2559" s="11">
        <f t="shared" si="2567"/>
        <v>0</v>
      </c>
      <c r="AS2559" s="11">
        <f t="shared" si="2568"/>
        <v>0</v>
      </c>
      <c r="AU2559" s="11">
        <f t="shared" si="2569"/>
        <v>0</v>
      </c>
      <c r="AW2559" s="11">
        <f t="shared" si="2570"/>
        <v>0</v>
      </c>
      <c r="AY2559" s="11">
        <f t="shared" si="2571"/>
        <v>0</v>
      </c>
      <c r="BA2559" s="11">
        <f t="shared" si="2572"/>
        <v>0</v>
      </c>
      <c r="BC2559" s="11">
        <f t="shared" si="2573"/>
        <v>0</v>
      </c>
      <c r="BE2559" s="11">
        <f t="shared" si="2574"/>
        <v>0</v>
      </c>
      <c r="BG2559" s="11">
        <f t="shared" si="2575"/>
        <v>0</v>
      </c>
      <c r="BN2559" s="8">
        <f t="shared" si="2587"/>
        <v>22000</v>
      </c>
      <c r="BO2559" s="8">
        <f t="shared" si="2580"/>
        <v>1141000</v>
      </c>
      <c r="BP2559" s="8">
        <f t="shared" si="2590"/>
        <v>0</v>
      </c>
      <c r="BQ2559" s="12">
        <f t="shared" si="2591"/>
        <v>0</v>
      </c>
    </row>
    <row r="2560" spans="1:69">
      <c r="A2560" s="28">
        <v>1961</v>
      </c>
      <c r="B2560" s="27" t="s">
        <v>116</v>
      </c>
      <c r="C2560" s="24">
        <f t="shared" si="2592"/>
        <v>2554</v>
      </c>
      <c r="D2560" s="7" t="e">
        <f t="shared" ca="1" si="2521"/>
        <v>#N/A</v>
      </c>
      <c r="E2560" s="26">
        <f t="array" aca="1" ref="E2560" ca="1">AVERAGE(IF(INDIRECT(DatCol&amp;"$"&amp;TEXT(C2560,"###")):INDIRECT(DatCol&amp;"$"&amp;TEXT(C2560+57,"###"))&gt;0,INDIRECT(DatCol&amp;"$"&amp;TEXT(C2560,"###")):INDIRECT(DatCol&amp;"$"&amp;TEXT(C2560+57,"###"))))</f>
        <v>95.745405405405407</v>
      </c>
      <c r="F2560" s="26" t="str">
        <f t="shared" si="2522"/>
        <v>C</v>
      </c>
      <c r="G2560" s="8"/>
      <c r="I2560" s="8">
        <v>98</v>
      </c>
      <c r="J2560" s="8">
        <v>2468</v>
      </c>
      <c r="K2560" s="9">
        <f t="shared" si="2581"/>
        <v>2468</v>
      </c>
      <c r="L2560" s="12">
        <v>2400</v>
      </c>
      <c r="M2560" s="11">
        <f t="shared" si="2589"/>
        <v>120000</v>
      </c>
      <c r="N2560" s="12">
        <v>250</v>
      </c>
      <c r="O2560" s="11">
        <f t="shared" si="2559"/>
        <v>12500</v>
      </c>
      <c r="P2560" s="12">
        <v>10500</v>
      </c>
      <c r="Q2560" s="11">
        <f t="shared" si="2560"/>
        <v>630000</v>
      </c>
      <c r="X2560" s="12">
        <v>2000</v>
      </c>
      <c r="Y2560" s="11">
        <f t="shared" si="2561"/>
        <v>120000</v>
      </c>
      <c r="AF2560" s="12">
        <v>3000</v>
      </c>
      <c r="AG2560" s="11">
        <f t="shared" si="2562"/>
        <v>195000</v>
      </c>
      <c r="AI2560" s="11">
        <f t="shared" si="2563"/>
        <v>0</v>
      </c>
      <c r="AJ2560" s="12">
        <v>5600</v>
      </c>
      <c r="AK2560" s="13">
        <f t="shared" si="2564"/>
        <v>50400</v>
      </c>
      <c r="AL2560" s="12">
        <v>200</v>
      </c>
      <c r="AM2560" s="13">
        <f t="shared" si="2565"/>
        <v>1800</v>
      </c>
      <c r="AO2560" s="11">
        <f t="shared" si="2566"/>
        <v>0</v>
      </c>
      <c r="AQ2560" s="11">
        <f t="shared" si="2567"/>
        <v>0</v>
      </c>
      <c r="AS2560" s="11">
        <f t="shared" si="2568"/>
        <v>0</v>
      </c>
      <c r="AU2560" s="11">
        <f t="shared" si="2569"/>
        <v>0</v>
      </c>
      <c r="AW2560" s="11">
        <f t="shared" si="2570"/>
        <v>0</v>
      </c>
      <c r="AY2560" s="11">
        <f t="shared" si="2571"/>
        <v>0</v>
      </c>
      <c r="BA2560" s="11">
        <f t="shared" si="2572"/>
        <v>0</v>
      </c>
      <c r="BC2560" s="11">
        <f t="shared" si="2573"/>
        <v>0</v>
      </c>
      <c r="BE2560" s="11">
        <f t="shared" si="2574"/>
        <v>0</v>
      </c>
      <c r="BG2560" s="11">
        <f t="shared" si="2575"/>
        <v>0</v>
      </c>
      <c r="BN2560" s="8">
        <f t="shared" si="2587"/>
        <v>23500</v>
      </c>
      <c r="BO2560" s="8">
        <f t="shared" si="2580"/>
        <v>1115400</v>
      </c>
      <c r="BP2560" s="8">
        <f t="shared" si="2590"/>
        <v>2450</v>
      </c>
      <c r="BQ2560" s="12">
        <f t="shared" si="2591"/>
        <v>134300</v>
      </c>
    </row>
    <row r="2561" spans="1:69">
      <c r="A2561" s="28">
        <v>1962</v>
      </c>
      <c r="B2561" s="27" t="s">
        <v>116</v>
      </c>
      <c r="C2561" s="24">
        <f t="shared" si="2592"/>
        <v>2554</v>
      </c>
      <c r="D2561" s="7" t="e">
        <f t="shared" ca="1" si="2521"/>
        <v>#N/A</v>
      </c>
      <c r="E2561" s="26">
        <f t="array" aca="1" ref="E2561" ca="1">AVERAGE(IF(INDIRECT(DatCol&amp;"$"&amp;TEXT(C2561,"###")):INDIRECT(DatCol&amp;"$"&amp;TEXT(C2561+57,"###"))&gt;0,INDIRECT(DatCol&amp;"$"&amp;TEXT(C2561,"###")):INDIRECT(DatCol&amp;"$"&amp;TEXT(C2561+57,"###"))))</f>
        <v>95.745405405405407</v>
      </c>
      <c r="F2561" s="26" t="str">
        <f t="shared" si="2522"/>
        <v>C</v>
      </c>
      <c r="G2561" s="8"/>
      <c r="I2561" s="8">
        <v>91</v>
      </c>
      <c r="J2561" s="8">
        <v>2815</v>
      </c>
      <c r="K2561" s="9">
        <f t="shared" si="2581"/>
        <v>2815</v>
      </c>
      <c r="M2561" s="11">
        <f t="shared" si="2589"/>
        <v>0</v>
      </c>
      <c r="O2561" s="11">
        <f t="shared" si="2559"/>
        <v>0</v>
      </c>
      <c r="Q2561" s="11">
        <f t="shared" si="2560"/>
        <v>0</v>
      </c>
      <c r="X2561" s="12">
        <v>2900</v>
      </c>
      <c r="Y2561" s="11">
        <f t="shared" si="2561"/>
        <v>174000</v>
      </c>
      <c r="AG2561" s="11">
        <f t="shared" si="2562"/>
        <v>0</v>
      </c>
      <c r="AH2561" s="12">
        <v>500</v>
      </c>
      <c r="AI2561" s="11">
        <f t="shared" si="2563"/>
        <v>32500</v>
      </c>
      <c r="AJ2561" s="12">
        <v>4108</v>
      </c>
      <c r="AK2561" s="13">
        <f t="shared" si="2564"/>
        <v>36972</v>
      </c>
      <c r="AM2561" s="13">
        <f t="shared" si="2565"/>
        <v>0</v>
      </c>
      <c r="AO2561" s="11">
        <f t="shared" si="2566"/>
        <v>0</v>
      </c>
      <c r="AQ2561" s="11">
        <f t="shared" si="2567"/>
        <v>0</v>
      </c>
      <c r="AS2561" s="11">
        <f t="shared" si="2568"/>
        <v>0</v>
      </c>
      <c r="AU2561" s="11">
        <f t="shared" si="2569"/>
        <v>0</v>
      </c>
      <c r="AW2561" s="11">
        <f t="shared" si="2570"/>
        <v>0</v>
      </c>
      <c r="AY2561" s="11">
        <f t="shared" si="2571"/>
        <v>0</v>
      </c>
      <c r="BA2561" s="11">
        <f t="shared" si="2572"/>
        <v>0</v>
      </c>
      <c r="BC2561" s="11">
        <f t="shared" si="2573"/>
        <v>0</v>
      </c>
      <c r="BE2561" s="11">
        <f t="shared" si="2574"/>
        <v>0</v>
      </c>
      <c r="BG2561" s="11">
        <f t="shared" si="2575"/>
        <v>0</v>
      </c>
      <c r="BN2561" s="8">
        <f t="shared" si="2587"/>
        <v>7008</v>
      </c>
      <c r="BO2561" s="8">
        <f t="shared" si="2580"/>
        <v>210972</v>
      </c>
      <c r="BP2561" s="8">
        <f t="shared" si="2590"/>
        <v>3400</v>
      </c>
      <c r="BQ2561" s="12">
        <f t="shared" si="2591"/>
        <v>206500</v>
      </c>
    </row>
    <row r="2562" spans="1:69">
      <c r="A2562" s="28">
        <v>1963</v>
      </c>
      <c r="B2562" s="27" t="s">
        <v>116</v>
      </c>
      <c r="C2562" s="24">
        <f t="shared" si="2592"/>
        <v>2554</v>
      </c>
      <c r="D2562" s="7" t="e">
        <f t="shared" ref="D2562:D2625" ca="1" si="2593">IF(AND((INDIRECT(DatCol&amp;TEXT(ROW(),"###"))&gt;0),((F2562=RegionSelect)+(RegionSelect="A"))),INDIRECT(DatCol&amp;TEXT(ROW(),"###"))/E2562,NA())</f>
        <v>#N/A</v>
      </c>
      <c r="E2562" s="26">
        <f t="array" aca="1" ref="E2562" ca="1">AVERAGE(IF(INDIRECT(DatCol&amp;"$"&amp;TEXT(C2562,"###")):INDIRECT(DatCol&amp;"$"&amp;TEXT(C2562+57,"###"))&gt;0,INDIRECT(DatCol&amp;"$"&amp;TEXT(C2562,"###")):INDIRECT(DatCol&amp;"$"&amp;TEXT(C2562+57,"###"))))</f>
        <v>95.745405405405407</v>
      </c>
      <c r="F2562" s="26" t="str">
        <f t="shared" si="2522"/>
        <v>C</v>
      </c>
      <c r="G2562" s="8"/>
      <c r="H2562" s="8">
        <v>2000</v>
      </c>
      <c r="I2562" s="8">
        <v>70</v>
      </c>
      <c r="J2562" s="8">
        <v>1060</v>
      </c>
      <c r="K2562" s="9">
        <f t="shared" si="2581"/>
        <v>3060</v>
      </c>
      <c r="L2562" s="12">
        <v>519</v>
      </c>
      <c r="M2562" s="11">
        <f t="shared" si="2589"/>
        <v>25950</v>
      </c>
      <c r="N2562" s="12">
        <v>92</v>
      </c>
      <c r="O2562" s="11">
        <f t="shared" si="2559"/>
        <v>4600</v>
      </c>
      <c r="P2562" s="12">
        <v>16103</v>
      </c>
      <c r="Q2562" s="11">
        <f t="shared" si="2560"/>
        <v>966180</v>
      </c>
      <c r="Y2562" s="11">
        <f t="shared" si="2561"/>
        <v>0</v>
      </c>
      <c r="AF2562" s="12">
        <v>1118</v>
      </c>
      <c r="AG2562" s="11">
        <f t="shared" si="2562"/>
        <v>72670</v>
      </c>
      <c r="AI2562" s="11">
        <f t="shared" si="2563"/>
        <v>0</v>
      </c>
      <c r="AJ2562" s="12">
        <v>229</v>
      </c>
      <c r="AK2562" s="13">
        <f t="shared" si="2564"/>
        <v>2061</v>
      </c>
      <c r="AM2562" s="13">
        <f t="shared" si="2565"/>
        <v>0</v>
      </c>
      <c r="AO2562" s="11">
        <f t="shared" si="2566"/>
        <v>0</v>
      </c>
      <c r="AQ2562" s="11">
        <f t="shared" si="2567"/>
        <v>0</v>
      </c>
      <c r="AS2562" s="11">
        <f t="shared" si="2568"/>
        <v>0</v>
      </c>
      <c r="AU2562" s="11">
        <f t="shared" si="2569"/>
        <v>0</v>
      </c>
      <c r="AW2562" s="11">
        <f t="shared" si="2570"/>
        <v>0</v>
      </c>
      <c r="AY2562" s="11">
        <f t="shared" si="2571"/>
        <v>0</v>
      </c>
      <c r="BA2562" s="11">
        <f t="shared" si="2572"/>
        <v>0</v>
      </c>
      <c r="BC2562" s="11">
        <f t="shared" si="2573"/>
        <v>0</v>
      </c>
      <c r="BE2562" s="11">
        <f t="shared" si="2574"/>
        <v>0</v>
      </c>
      <c r="BG2562" s="11">
        <f t="shared" si="2575"/>
        <v>0</v>
      </c>
      <c r="BN2562" s="8">
        <f t="shared" si="2587"/>
        <v>17969</v>
      </c>
      <c r="BO2562" s="8">
        <f t="shared" si="2580"/>
        <v>1066861</v>
      </c>
      <c r="BP2562" s="8">
        <f t="shared" si="2590"/>
        <v>92</v>
      </c>
      <c r="BQ2562" s="12">
        <f t="shared" si="2591"/>
        <v>4600</v>
      </c>
    </row>
    <row r="2563" spans="1:69">
      <c r="A2563" s="28">
        <v>1964</v>
      </c>
      <c r="B2563" s="27" t="s">
        <v>116</v>
      </c>
      <c r="C2563" s="24">
        <f t="shared" si="2592"/>
        <v>2554</v>
      </c>
      <c r="D2563" s="7" t="e">
        <f t="shared" ca="1" si="2593"/>
        <v>#N/A</v>
      </c>
      <c r="E2563" s="26">
        <f t="array" aca="1" ref="E2563" ca="1">AVERAGE(IF(INDIRECT(DatCol&amp;"$"&amp;TEXT(C2563,"###")):INDIRECT(DatCol&amp;"$"&amp;TEXT(C2563+57,"###"))&gt;0,INDIRECT(DatCol&amp;"$"&amp;TEXT(C2563,"###")):INDIRECT(DatCol&amp;"$"&amp;TEXT(C2563+57,"###"))))</f>
        <v>95.745405405405407</v>
      </c>
      <c r="F2563" s="26" t="str">
        <f t="shared" si="2522"/>
        <v>C</v>
      </c>
      <c r="G2563" s="8"/>
      <c r="I2563" s="8">
        <v>60</v>
      </c>
      <c r="J2563" s="8">
        <v>3314</v>
      </c>
      <c r="K2563" s="9">
        <f t="shared" si="2581"/>
        <v>3314</v>
      </c>
      <c r="M2563" s="11">
        <f t="shared" si="2589"/>
        <v>0</v>
      </c>
      <c r="N2563" s="12">
        <v>420</v>
      </c>
      <c r="O2563" s="11">
        <f t="shared" si="2559"/>
        <v>21000</v>
      </c>
      <c r="P2563" s="12">
        <v>16514</v>
      </c>
      <c r="Q2563" s="11">
        <f t="shared" si="2560"/>
        <v>990840</v>
      </c>
      <c r="Y2563" s="11">
        <f t="shared" si="2561"/>
        <v>0</v>
      </c>
      <c r="AG2563" s="11">
        <f t="shared" si="2562"/>
        <v>0</v>
      </c>
      <c r="AI2563" s="11">
        <f t="shared" si="2563"/>
        <v>0</v>
      </c>
      <c r="AJ2563" s="12" t="s">
        <v>0</v>
      </c>
      <c r="AK2563" s="13">
        <f t="shared" si="2564"/>
        <v>0</v>
      </c>
      <c r="AM2563" s="13">
        <f t="shared" si="2565"/>
        <v>0</v>
      </c>
      <c r="AO2563" s="11">
        <f t="shared" si="2566"/>
        <v>0</v>
      </c>
      <c r="AQ2563" s="11">
        <f t="shared" si="2567"/>
        <v>0</v>
      </c>
      <c r="AS2563" s="11">
        <f t="shared" si="2568"/>
        <v>0</v>
      </c>
      <c r="AU2563" s="11">
        <f t="shared" si="2569"/>
        <v>0</v>
      </c>
      <c r="AW2563" s="11">
        <f t="shared" si="2570"/>
        <v>0</v>
      </c>
      <c r="AY2563" s="11">
        <f t="shared" si="2571"/>
        <v>0</v>
      </c>
      <c r="BA2563" s="11">
        <f t="shared" si="2572"/>
        <v>0</v>
      </c>
      <c r="BC2563" s="11">
        <f t="shared" si="2573"/>
        <v>0</v>
      </c>
      <c r="BE2563" s="11">
        <f t="shared" si="2574"/>
        <v>0</v>
      </c>
      <c r="BG2563" s="11">
        <f t="shared" si="2575"/>
        <v>0</v>
      </c>
      <c r="BN2563" s="8">
        <f t="shared" si="2587"/>
        <v>16514</v>
      </c>
      <c r="BO2563" s="8">
        <f t="shared" si="2580"/>
        <v>990840</v>
      </c>
      <c r="BP2563" s="8">
        <f t="shared" si="2590"/>
        <v>420</v>
      </c>
      <c r="BQ2563" s="12">
        <f t="shared" si="2591"/>
        <v>21000</v>
      </c>
    </row>
    <row r="2564" spans="1:69">
      <c r="A2564" s="28">
        <v>1965</v>
      </c>
      <c r="B2564" s="27" t="s">
        <v>116</v>
      </c>
      <c r="C2564" s="24">
        <f t="shared" si="2592"/>
        <v>2554</v>
      </c>
      <c r="D2564" s="7" t="e">
        <f t="shared" ca="1" si="2593"/>
        <v>#N/A</v>
      </c>
      <c r="E2564" s="26">
        <f t="array" aca="1" ref="E2564" ca="1">AVERAGE(IF(INDIRECT(DatCol&amp;"$"&amp;TEXT(C2564,"###")):INDIRECT(DatCol&amp;"$"&amp;TEXT(C2564+57,"###"))&gt;0,INDIRECT(DatCol&amp;"$"&amp;TEXT(C2564,"###")):INDIRECT(DatCol&amp;"$"&amp;TEXT(C2564+57,"###"))))</f>
        <v>95.745405405405407</v>
      </c>
      <c r="F2564" s="26" t="str">
        <f t="shared" si="2522"/>
        <v>C</v>
      </c>
      <c r="G2564" s="8"/>
      <c r="H2564" s="8">
        <v>2291</v>
      </c>
      <c r="I2564" s="8">
        <v>55</v>
      </c>
      <c r="J2564" s="8">
        <v>1107</v>
      </c>
      <c r="K2564" s="9">
        <f t="shared" si="2581"/>
        <v>3398</v>
      </c>
      <c r="M2564" s="11">
        <f t="shared" si="2589"/>
        <v>0</v>
      </c>
      <c r="O2564" s="11">
        <f t="shared" si="2559"/>
        <v>0</v>
      </c>
      <c r="P2564" s="12" t="s">
        <v>119</v>
      </c>
      <c r="Q2564" s="11">
        <f t="shared" si="2560"/>
        <v>0</v>
      </c>
      <c r="Y2564" s="11">
        <f t="shared" si="2561"/>
        <v>0</v>
      </c>
      <c r="AG2564" s="11">
        <f t="shared" si="2562"/>
        <v>0</v>
      </c>
      <c r="AI2564" s="11">
        <f t="shared" si="2563"/>
        <v>0</v>
      </c>
      <c r="AJ2564" s="12" t="s">
        <v>0</v>
      </c>
      <c r="AK2564" s="13">
        <f t="shared" si="2564"/>
        <v>0</v>
      </c>
      <c r="AM2564" s="13">
        <f t="shared" si="2565"/>
        <v>0</v>
      </c>
      <c r="AO2564" s="11">
        <f t="shared" si="2566"/>
        <v>0</v>
      </c>
      <c r="AQ2564" s="11">
        <f t="shared" si="2567"/>
        <v>0</v>
      </c>
      <c r="AS2564" s="11">
        <f t="shared" si="2568"/>
        <v>0</v>
      </c>
      <c r="AU2564" s="11">
        <f t="shared" si="2569"/>
        <v>0</v>
      </c>
      <c r="AW2564" s="11">
        <f t="shared" si="2570"/>
        <v>0</v>
      </c>
      <c r="AY2564" s="11">
        <f t="shared" si="2571"/>
        <v>0</v>
      </c>
      <c r="BA2564" s="11">
        <f t="shared" si="2572"/>
        <v>0</v>
      </c>
      <c r="BC2564" s="11">
        <f t="shared" si="2573"/>
        <v>0</v>
      </c>
      <c r="BE2564" s="11">
        <f t="shared" si="2574"/>
        <v>0</v>
      </c>
      <c r="BG2564" s="11">
        <f t="shared" si="2575"/>
        <v>0</v>
      </c>
      <c r="BN2564" s="8">
        <f t="shared" si="2587"/>
        <v>0</v>
      </c>
      <c r="BO2564" s="8">
        <f t="shared" si="2580"/>
        <v>0</v>
      </c>
      <c r="BP2564" s="8">
        <f t="shared" si="2590"/>
        <v>0</v>
      </c>
      <c r="BQ2564" s="12">
        <f t="shared" si="2591"/>
        <v>0</v>
      </c>
    </row>
    <row r="2565" spans="1:69">
      <c r="A2565" s="28">
        <v>1966</v>
      </c>
      <c r="B2565" s="27" t="s">
        <v>116</v>
      </c>
      <c r="C2565" s="24">
        <f t="shared" si="2592"/>
        <v>2554</v>
      </c>
      <c r="D2565" s="7" t="e">
        <f t="shared" ca="1" si="2593"/>
        <v>#N/A</v>
      </c>
      <c r="E2565" s="26">
        <f t="array" aca="1" ref="E2565" ca="1">AVERAGE(IF(INDIRECT(DatCol&amp;"$"&amp;TEXT(C2565,"###")):INDIRECT(DatCol&amp;"$"&amp;TEXT(C2565+57,"###"))&gt;0,INDIRECT(DatCol&amp;"$"&amp;TEXT(C2565,"###")):INDIRECT(DatCol&amp;"$"&amp;TEXT(C2565+57,"###"))))</f>
        <v>95.745405405405407</v>
      </c>
      <c r="F2565" s="26" t="str">
        <f t="shared" si="2522"/>
        <v>C</v>
      </c>
      <c r="G2565" s="8"/>
      <c r="K2565" s="9">
        <f t="shared" si="2581"/>
        <v>0</v>
      </c>
      <c r="M2565" s="11">
        <f t="shared" si="2589"/>
        <v>0</v>
      </c>
      <c r="O2565" s="11">
        <f t="shared" si="2559"/>
        <v>0</v>
      </c>
      <c r="P2565" s="12" t="s">
        <v>120</v>
      </c>
      <c r="Q2565" s="11">
        <f t="shared" si="2560"/>
        <v>0</v>
      </c>
      <c r="Y2565" s="11">
        <f t="shared" si="2561"/>
        <v>0</v>
      </c>
      <c r="AG2565" s="11">
        <f t="shared" si="2562"/>
        <v>0</v>
      </c>
      <c r="AI2565" s="11">
        <f t="shared" si="2563"/>
        <v>0</v>
      </c>
      <c r="AJ2565" s="12" t="s">
        <v>0</v>
      </c>
      <c r="AK2565" s="13">
        <f t="shared" si="2564"/>
        <v>0</v>
      </c>
      <c r="AM2565" s="13">
        <f t="shared" si="2565"/>
        <v>0</v>
      </c>
      <c r="AO2565" s="11">
        <f t="shared" si="2566"/>
        <v>0</v>
      </c>
      <c r="AQ2565" s="11">
        <f t="shared" si="2567"/>
        <v>0</v>
      </c>
      <c r="AS2565" s="11">
        <f t="shared" si="2568"/>
        <v>0</v>
      </c>
      <c r="AU2565" s="11">
        <f t="shared" si="2569"/>
        <v>0</v>
      </c>
      <c r="AW2565" s="11">
        <f t="shared" si="2570"/>
        <v>0</v>
      </c>
      <c r="AY2565" s="11">
        <f t="shared" si="2571"/>
        <v>0</v>
      </c>
      <c r="BA2565" s="11">
        <f t="shared" si="2572"/>
        <v>0</v>
      </c>
      <c r="BC2565" s="11">
        <f t="shared" si="2573"/>
        <v>0</v>
      </c>
      <c r="BE2565" s="11">
        <f t="shared" si="2574"/>
        <v>0</v>
      </c>
      <c r="BG2565" s="11">
        <f t="shared" si="2575"/>
        <v>0</v>
      </c>
      <c r="BN2565" s="8">
        <f t="shared" si="2587"/>
        <v>0</v>
      </c>
      <c r="BO2565" s="8">
        <f t="shared" si="2580"/>
        <v>0</v>
      </c>
      <c r="BP2565" s="8">
        <f t="shared" si="2590"/>
        <v>0</v>
      </c>
      <c r="BQ2565" s="12">
        <f t="shared" si="2591"/>
        <v>0</v>
      </c>
    </row>
    <row r="2566" spans="1:69">
      <c r="A2566" s="28">
        <v>1967</v>
      </c>
      <c r="B2566" s="27" t="s">
        <v>116</v>
      </c>
      <c r="C2566" s="24">
        <f t="shared" si="2592"/>
        <v>2554</v>
      </c>
      <c r="D2566" s="7" t="e">
        <f t="shared" ca="1" si="2593"/>
        <v>#N/A</v>
      </c>
      <c r="E2566" s="26">
        <f t="array" aca="1" ref="E2566" ca="1">AVERAGE(IF(INDIRECT(DatCol&amp;"$"&amp;TEXT(C2566,"###")):INDIRECT(DatCol&amp;"$"&amp;TEXT(C2566+57,"###"))&gt;0,INDIRECT(DatCol&amp;"$"&amp;TEXT(C2566,"###")):INDIRECT(DatCol&amp;"$"&amp;TEXT(C2566+57,"###"))))</f>
        <v>95.745405405405407</v>
      </c>
      <c r="F2566" s="26" t="str">
        <f t="shared" ref="F2566:F2632" si="2594">VLOOKUP(B2566,town_region,2,FALSE)</f>
        <v>C</v>
      </c>
      <c r="G2566" s="8"/>
      <c r="H2566" s="8">
        <v>1029</v>
      </c>
      <c r="I2566" s="8">
        <v>1154</v>
      </c>
      <c r="K2566" s="9">
        <f t="shared" si="2581"/>
        <v>1029</v>
      </c>
      <c r="L2566" s="12">
        <v>362</v>
      </c>
      <c r="M2566" s="11">
        <f t="shared" si="2589"/>
        <v>18100</v>
      </c>
      <c r="N2566" s="12">
        <v>225</v>
      </c>
      <c r="O2566" s="11">
        <f t="shared" si="2559"/>
        <v>11250</v>
      </c>
      <c r="P2566" s="12">
        <v>10498</v>
      </c>
      <c r="Q2566" s="11">
        <f t="shared" si="2560"/>
        <v>629880</v>
      </c>
      <c r="X2566" s="12">
        <v>95</v>
      </c>
      <c r="Y2566" s="11">
        <f t="shared" si="2561"/>
        <v>5700</v>
      </c>
      <c r="AF2566" s="12">
        <v>1070</v>
      </c>
      <c r="AG2566" s="11">
        <f t="shared" si="2562"/>
        <v>69550</v>
      </c>
      <c r="AH2566" s="12">
        <v>100</v>
      </c>
      <c r="AI2566" s="11">
        <f t="shared" si="2563"/>
        <v>6500</v>
      </c>
      <c r="AJ2566" s="12">
        <v>2106</v>
      </c>
      <c r="AK2566" s="13">
        <f t="shared" si="2564"/>
        <v>18954</v>
      </c>
      <c r="AL2566" s="12">
        <v>0</v>
      </c>
      <c r="AM2566" s="13">
        <f t="shared" si="2565"/>
        <v>0</v>
      </c>
      <c r="AO2566" s="11">
        <f t="shared" si="2566"/>
        <v>0</v>
      </c>
      <c r="AQ2566" s="11">
        <f t="shared" si="2567"/>
        <v>0</v>
      </c>
      <c r="AS2566" s="11">
        <f t="shared" si="2568"/>
        <v>0</v>
      </c>
      <c r="AU2566" s="11">
        <f t="shared" si="2569"/>
        <v>0</v>
      </c>
      <c r="AW2566" s="11">
        <f t="shared" si="2570"/>
        <v>0</v>
      </c>
      <c r="AY2566" s="11">
        <f t="shared" si="2571"/>
        <v>0</v>
      </c>
      <c r="BA2566" s="11">
        <f t="shared" si="2572"/>
        <v>0</v>
      </c>
      <c r="BC2566" s="11">
        <f t="shared" si="2573"/>
        <v>0</v>
      </c>
      <c r="BE2566" s="11">
        <f t="shared" si="2574"/>
        <v>0</v>
      </c>
      <c r="BG2566" s="11">
        <f t="shared" si="2575"/>
        <v>0</v>
      </c>
      <c r="BN2566" s="8">
        <f t="shared" si="2587"/>
        <v>14131</v>
      </c>
      <c r="BO2566" s="8">
        <f t="shared" si="2580"/>
        <v>742184</v>
      </c>
      <c r="BP2566" s="8">
        <f t="shared" si="2590"/>
        <v>420</v>
      </c>
      <c r="BQ2566" s="12">
        <f t="shared" si="2591"/>
        <v>23450</v>
      </c>
    </row>
    <row r="2567" spans="1:69">
      <c r="A2567" s="28">
        <v>1968</v>
      </c>
      <c r="B2567" s="27" t="s">
        <v>116</v>
      </c>
      <c r="C2567" s="24">
        <f t="shared" si="2592"/>
        <v>2554</v>
      </c>
      <c r="D2567" s="7" t="e">
        <f t="shared" ca="1" si="2593"/>
        <v>#N/A</v>
      </c>
      <c r="E2567" s="26">
        <f t="array" aca="1" ref="E2567" ca="1">AVERAGE(IF(INDIRECT(DatCol&amp;"$"&amp;TEXT(C2567,"###")):INDIRECT(DatCol&amp;"$"&amp;TEXT(C2567+57,"###"))&gt;0,INDIRECT(DatCol&amp;"$"&amp;TEXT(C2567,"###")):INDIRECT(DatCol&amp;"$"&amp;TEXT(C2567+57,"###"))))</f>
        <v>95.745405405405407</v>
      </c>
      <c r="F2567" s="26" t="str">
        <f t="shared" si="2594"/>
        <v>C</v>
      </c>
      <c r="G2567" s="8"/>
      <c r="H2567" s="8">
        <v>2020</v>
      </c>
      <c r="I2567" s="8">
        <v>49</v>
      </c>
      <c r="J2567" s="8">
        <v>1139</v>
      </c>
      <c r="K2567" s="9">
        <f t="shared" si="2581"/>
        <v>3159</v>
      </c>
      <c r="L2567" s="12">
        <v>362</v>
      </c>
      <c r="M2567" s="11">
        <f t="shared" ref="M2567:M2582" si="2595">(L2567*50)</f>
        <v>18100</v>
      </c>
      <c r="N2567" s="12">
        <v>295</v>
      </c>
      <c r="O2567" s="11">
        <f t="shared" ref="O2567:O2582" si="2596">(N2567*50)</f>
        <v>14750</v>
      </c>
      <c r="P2567" s="12">
        <v>10498</v>
      </c>
      <c r="Q2567" s="11">
        <f t="shared" ref="Q2567:Q2582" si="2597">((P2567*330)/5.5)</f>
        <v>629880</v>
      </c>
      <c r="X2567" s="12">
        <v>275</v>
      </c>
      <c r="Y2567" s="11">
        <f t="shared" ref="Y2567:Y2582" si="2598">((X2567*330)/5.5)</f>
        <v>16500</v>
      </c>
      <c r="AF2567" s="12">
        <v>1070</v>
      </c>
      <c r="AG2567" s="11">
        <f t="shared" ref="AG2567:AG2582" si="2599">(AF2567*65)</f>
        <v>69550</v>
      </c>
      <c r="AH2567" s="12">
        <v>650</v>
      </c>
      <c r="AI2567" s="11">
        <f t="shared" ref="AI2567:AI2582" si="2600">(AH2567*65)</f>
        <v>42250</v>
      </c>
      <c r="AJ2567" s="12" t="s">
        <v>0</v>
      </c>
      <c r="AK2567" s="13">
        <f t="shared" ref="AK2567:AK2582" si="2601">(AJ2567*9)</f>
        <v>0</v>
      </c>
      <c r="AM2567" s="13">
        <f t="shared" ref="AM2567:AM2582" si="2602">(AL2567*9)</f>
        <v>0</v>
      </c>
      <c r="AO2567" s="11">
        <f t="shared" ref="AO2567:AO2582" si="2603">(AN2567*80)</f>
        <v>0</v>
      </c>
      <c r="AQ2567" s="11">
        <f t="shared" ref="AQ2567:AQ2582" si="2604">(AP2567*80)</f>
        <v>0</v>
      </c>
      <c r="AS2567" s="11">
        <f t="shared" ref="AS2567:AS2582" si="2605">(AR2567*50)</f>
        <v>0</v>
      </c>
      <c r="AU2567" s="11">
        <f t="shared" ref="AU2567:AU2582" si="2606">(AT2567*50)</f>
        <v>0</v>
      </c>
      <c r="AW2567" s="11">
        <f t="shared" ref="AW2567:AW2582" si="2607">(AV2567*60)</f>
        <v>0</v>
      </c>
      <c r="AY2567" s="11">
        <f t="shared" ref="AY2567:AY2582" si="2608">(AX2567*60)</f>
        <v>0</v>
      </c>
      <c r="BA2567" s="11">
        <f t="shared" ref="BA2567:BA2582" si="2609">(AZ2567*40)</f>
        <v>0</v>
      </c>
      <c r="BC2567" s="11">
        <f t="shared" ref="BC2567:BC2582" si="2610">(BB2567*40)</f>
        <v>0</v>
      </c>
      <c r="BE2567" s="11">
        <f t="shared" ref="BE2567:BE2582" si="2611">(BD2567*95)</f>
        <v>0</v>
      </c>
      <c r="BG2567" s="11">
        <f t="shared" ref="BG2567:BG2582" si="2612">(BF2567*95)</f>
        <v>0</v>
      </c>
      <c r="BN2567" s="8">
        <f t="shared" si="2587"/>
        <v>12205</v>
      </c>
      <c r="BO2567" s="8">
        <f t="shared" si="2580"/>
        <v>734030</v>
      </c>
      <c r="BP2567" s="8">
        <f t="shared" si="2590"/>
        <v>1220</v>
      </c>
      <c r="BQ2567" s="12">
        <f t="shared" si="2591"/>
        <v>73500</v>
      </c>
    </row>
    <row r="2568" spans="1:69">
      <c r="A2568" s="28">
        <v>1969</v>
      </c>
      <c r="B2568" s="27" t="s">
        <v>116</v>
      </c>
      <c r="C2568" s="24">
        <f t="shared" si="2592"/>
        <v>2554</v>
      </c>
      <c r="D2568" s="7" t="e">
        <f t="shared" ca="1" si="2593"/>
        <v>#N/A</v>
      </c>
      <c r="E2568" s="26">
        <f t="array" aca="1" ref="E2568" ca="1">AVERAGE(IF(INDIRECT(DatCol&amp;"$"&amp;TEXT(C2568,"###")):INDIRECT(DatCol&amp;"$"&amp;TEXT(C2568+57,"###"))&gt;0,INDIRECT(DatCol&amp;"$"&amp;TEXT(C2568,"###")):INDIRECT(DatCol&amp;"$"&amp;TEXT(C2568+57,"###"))))</f>
        <v>95.745405405405407</v>
      </c>
      <c r="F2568" s="26" t="str">
        <f t="shared" si="2594"/>
        <v>C</v>
      </c>
      <c r="G2568" s="8"/>
      <c r="H2568" s="8">
        <v>856</v>
      </c>
      <c r="I2568" s="8">
        <v>42</v>
      </c>
      <c r="J2568" s="8">
        <v>1344</v>
      </c>
      <c r="K2568" s="9">
        <f t="shared" si="2581"/>
        <v>2200</v>
      </c>
      <c r="L2568" s="12">
        <v>360</v>
      </c>
      <c r="M2568" s="11">
        <f t="shared" si="2595"/>
        <v>18000</v>
      </c>
      <c r="N2568" s="12">
        <v>360</v>
      </c>
      <c r="O2568" s="11">
        <f t="shared" si="2596"/>
        <v>18000</v>
      </c>
      <c r="P2568" s="12">
        <v>22900</v>
      </c>
      <c r="Q2568" s="11">
        <f t="shared" si="2597"/>
        <v>1374000</v>
      </c>
      <c r="X2568" s="12">
        <v>975</v>
      </c>
      <c r="Y2568" s="11">
        <f t="shared" si="2598"/>
        <v>58500</v>
      </c>
      <c r="AF2568" s="12">
        <v>1800</v>
      </c>
      <c r="AG2568" s="11">
        <f t="shared" si="2599"/>
        <v>117000</v>
      </c>
      <c r="AH2568" s="12">
        <v>600</v>
      </c>
      <c r="AI2568" s="11">
        <f t="shared" si="2600"/>
        <v>39000</v>
      </c>
      <c r="AK2568" s="13">
        <f t="shared" si="2601"/>
        <v>0</v>
      </c>
      <c r="AM2568" s="13">
        <f t="shared" si="2602"/>
        <v>0</v>
      </c>
      <c r="AO2568" s="11">
        <f t="shared" si="2603"/>
        <v>0</v>
      </c>
      <c r="AQ2568" s="11">
        <f t="shared" si="2604"/>
        <v>0</v>
      </c>
      <c r="AS2568" s="11">
        <f t="shared" si="2605"/>
        <v>0</v>
      </c>
      <c r="AU2568" s="11">
        <f t="shared" si="2606"/>
        <v>0</v>
      </c>
      <c r="AW2568" s="11">
        <f t="shared" si="2607"/>
        <v>0</v>
      </c>
      <c r="AY2568" s="11">
        <f t="shared" si="2608"/>
        <v>0</v>
      </c>
      <c r="BA2568" s="11">
        <f t="shared" si="2609"/>
        <v>0</v>
      </c>
      <c r="BC2568" s="11">
        <f t="shared" si="2610"/>
        <v>0</v>
      </c>
      <c r="BE2568" s="11">
        <f t="shared" si="2611"/>
        <v>0</v>
      </c>
      <c r="BG2568" s="11">
        <f t="shared" si="2612"/>
        <v>0</v>
      </c>
      <c r="BN2568" s="8">
        <f t="shared" si="2587"/>
        <v>26035</v>
      </c>
      <c r="BO2568" s="8">
        <f t="shared" si="2580"/>
        <v>1567500</v>
      </c>
      <c r="BP2568" s="8">
        <f t="shared" si="2590"/>
        <v>1935</v>
      </c>
      <c r="BQ2568" s="12">
        <f t="shared" si="2591"/>
        <v>115500</v>
      </c>
    </row>
    <row r="2569" spans="1:69">
      <c r="A2569" s="28">
        <v>1970</v>
      </c>
      <c r="B2569" s="27" t="s">
        <v>116</v>
      </c>
      <c r="C2569" s="24">
        <f t="shared" si="2592"/>
        <v>2554</v>
      </c>
      <c r="D2569" s="7" t="e">
        <f t="shared" ca="1" si="2593"/>
        <v>#N/A</v>
      </c>
      <c r="E2569" s="26">
        <f t="array" aca="1" ref="E2569" ca="1">AVERAGE(IF(INDIRECT(DatCol&amp;"$"&amp;TEXT(C2569,"###")):INDIRECT(DatCol&amp;"$"&amp;TEXT(C2569+57,"###"))&gt;0,INDIRECT(DatCol&amp;"$"&amp;TEXT(C2569,"###")):INDIRECT(DatCol&amp;"$"&amp;TEXT(C2569+57,"###"))))</f>
        <v>95.745405405405407</v>
      </c>
      <c r="F2569" s="26" t="str">
        <f t="shared" si="2594"/>
        <v>C</v>
      </c>
      <c r="G2569" s="8"/>
      <c r="H2569" s="8">
        <v>843</v>
      </c>
      <c r="I2569" s="8">
        <v>69</v>
      </c>
      <c r="J2569" s="8">
        <v>1343</v>
      </c>
      <c r="K2569" s="9">
        <f t="shared" si="2581"/>
        <v>2186</v>
      </c>
      <c r="L2569" s="12">
        <v>210</v>
      </c>
      <c r="M2569" s="11">
        <f t="shared" si="2595"/>
        <v>10500</v>
      </c>
      <c r="N2569" s="12">
        <v>275</v>
      </c>
      <c r="O2569" s="11">
        <f t="shared" si="2596"/>
        <v>13750</v>
      </c>
      <c r="P2569" s="12">
        <v>25425</v>
      </c>
      <c r="Q2569" s="11">
        <f t="shared" si="2597"/>
        <v>1525500</v>
      </c>
      <c r="X2569" s="12">
        <v>940</v>
      </c>
      <c r="Y2569" s="11">
        <f t="shared" si="2598"/>
        <v>56400</v>
      </c>
      <c r="AF2569" s="12">
        <v>1620</v>
      </c>
      <c r="AG2569" s="11">
        <f t="shared" si="2599"/>
        <v>105300</v>
      </c>
      <c r="AH2569" s="12">
        <v>480</v>
      </c>
      <c r="AI2569" s="11">
        <f t="shared" si="2600"/>
        <v>31200</v>
      </c>
      <c r="AJ2569" s="12" t="s">
        <v>0</v>
      </c>
      <c r="AK2569" s="13">
        <f t="shared" si="2601"/>
        <v>0</v>
      </c>
      <c r="AM2569" s="13">
        <f t="shared" si="2602"/>
        <v>0</v>
      </c>
      <c r="AO2569" s="11">
        <f t="shared" si="2603"/>
        <v>0</v>
      </c>
      <c r="AQ2569" s="11">
        <f t="shared" si="2604"/>
        <v>0</v>
      </c>
      <c r="AS2569" s="11">
        <f t="shared" si="2605"/>
        <v>0</v>
      </c>
      <c r="AU2569" s="11">
        <f t="shared" si="2606"/>
        <v>0</v>
      </c>
      <c r="AW2569" s="11">
        <f t="shared" si="2607"/>
        <v>0</v>
      </c>
      <c r="AY2569" s="11">
        <f t="shared" si="2608"/>
        <v>0</v>
      </c>
      <c r="BA2569" s="11">
        <f t="shared" si="2609"/>
        <v>0</v>
      </c>
      <c r="BC2569" s="11">
        <f t="shared" si="2610"/>
        <v>0</v>
      </c>
      <c r="BE2569" s="11">
        <f t="shared" si="2611"/>
        <v>0</v>
      </c>
      <c r="BG2569" s="11">
        <f t="shared" si="2612"/>
        <v>0</v>
      </c>
      <c r="BN2569" s="8">
        <f t="shared" si="2587"/>
        <v>28195</v>
      </c>
      <c r="BO2569" s="8">
        <f t="shared" si="2580"/>
        <v>1697700</v>
      </c>
      <c r="BP2569" s="8">
        <f t="shared" si="2590"/>
        <v>1695</v>
      </c>
      <c r="BQ2569" s="12">
        <f t="shared" si="2591"/>
        <v>101350</v>
      </c>
    </row>
    <row r="2570" spans="1:69">
      <c r="A2570" s="28">
        <v>1971</v>
      </c>
      <c r="B2570" s="27" t="s">
        <v>116</v>
      </c>
      <c r="C2570" s="24">
        <f t="shared" si="2592"/>
        <v>2554</v>
      </c>
      <c r="D2570" s="7" t="e">
        <f t="shared" ca="1" si="2593"/>
        <v>#N/A</v>
      </c>
      <c r="E2570" s="26">
        <f t="array" aca="1" ref="E2570" ca="1">AVERAGE(IF(INDIRECT(DatCol&amp;"$"&amp;TEXT(C2570,"###")):INDIRECT(DatCol&amp;"$"&amp;TEXT(C2570+57,"###"))&gt;0,INDIRECT(DatCol&amp;"$"&amp;TEXT(C2570,"###")):INDIRECT(DatCol&amp;"$"&amp;TEXT(C2570+57,"###"))))</f>
        <v>95.745405405405407</v>
      </c>
      <c r="F2570" s="26" t="str">
        <f t="shared" si="2594"/>
        <v>C</v>
      </c>
      <c r="G2570" s="8"/>
      <c r="H2570" s="8">
        <v>749</v>
      </c>
      <c r="I2570" s="8">
        <v>67</v>
      </c>
      <c r="J2570" s="8">
        <v>1850</v>
      </c>
      <c r="K2570" s="9">
        <f t="shared" si="2581"/>
        <v>2599</v>
      </c>
      <c r="L2570" s="12">
        <v>20</v>
      </c>
      <c r="M2570" s="11">
        <f t="shared" si="2595"/>
        <v>1000</v>
      </c>
      <c r="N2570" s="12">
        <v>26</v>
      </c>
      <c r="O2570" s="11">
        <f t="shared" si="2596"/>
        <v>1300</v>
      </c>
      <c r="P2570" s="12">
        <v>90328</v>
      </c>
      <c r="Q2570" s="11">
        <f t="shared" si="2597"/>
        <v>5419680</v>
      </c>
      <c r="X2570" s="12">
        <v>325</v>
      </c>
      <c r="Y2570" s="11">
        <f t="shared" si="2598"/>
        <v>19500</v>
      </c>
      <c r="AF2570" s="12">
        <v>825</v>
      </c>
      <c r="AG2570" s="11">
        <f t="shared" si="2599"/>
        <v>53625</v>
      </c>
      <c r="AH2570" s="12">
        <v>511</v>
      </c>
      <c r="AI2570" s="11">
        <f t="shared" si="2600"/>
        <v>33215</v>
      </c>
      <c r="AK2570" s="13">
        <f t="shared" si="2601"/>
        <v>0</v>
      </c>
      <c r="AM2570" s="13">
        <f t="shared" si="2602"/>
        <v>0</v>
      </c>
      <c r="AO2570" s="11">
        <f t="shared" si="2603"/>
        <v>0</v>
      </c>
      <c r="AQ2570" s="11">
        <f t="shared" si="2604"/>
        <v>0</v>
      </c>
      <c r="AS2570" s="11">
        <f t="shared" si="2605"/>
        <v>0</v>
      </c>
      <c r="AU2570" s="11">
        <f t="shared" si="2606"/>
        <v>0</v>
      </c>
      <c r="AW2570" s="11">
        <f t="shared" si="2607"/>
        <v>0</v>
      </c>
      <c r="AY2570" s="11">
        <f t="shared" si="2608"/>
        <v>0</v>
      </c>
      <c r="BA2570" s="11">
        <f t="shared" si="2609"/>
        <v>0</v>
      </c>
      <c r="BC2570" s="11">
        <f t="shared" si="2610"/>
        <v>0</v>
      </c>
      <c r="BE2570" s="11">
        <f t="shared" si="2611"/>
        <v>0</v>
      </c>
      <c r="BG2570" s="11">
        <f t="shared" si="2612"/>
        <v>0</v>
      </c>
      <c r="BN2570" s="8">
        <f t="shared" si="2587"/>
        <v>91498</v>
      </c>
      <c r="BO2570" s="8">
        <f t="shared" si="2580"/>
        <v>5493805</v>
      </c>
      <c r="BP2570" s="8">
        <f t="shared" si="2590"/>
        <v>862</v>
      </c>
      <c r="BQ2570" s="12">
        <f t="shared" si="2591"/>
        <v>54015</v>
      </c>
    </row>
    <row r="2571" spans="1:69">
      <c r="A2571" s="28">
        <v>1972</v>
      </c>
      <c r="B2571" s="27" t="s">
        <v>116</v>
      </c>
      <c r="C2571" s="24">
        <f t="shared" si="2592"/>
        <v>2554</v>
      </c>
      <c r="D2571" s="7" t="e">
        <f t="shared" ca="1" si="2593"/>
        <v>#N/A</v>
      </c>
      <c r="E2571" s="26">
        <f t="array" aca="1" ref="E2571" ca="1">AVERAGE(IF(INDIRECT(DatCol&amp;"$"&amp;TEXT(C2571,"###")):INDIRECT(DatCol&amp;"$"&amp;TEXT(C2571+57,"###"))&gt;0,INDIRECT(DatCol&amp;"$"&amp;TEXT(C2571,"###")):INDIRECT(DatCol&amp;"$"&amp;TEXT(C2571+57,"###"))))</f>
        <v>95.745405405405407</v>
      </c>
      <c r="F2571" s="26" t="str">
        <f t="shared" si="2594"/>
        <v>C</v>
      </c>
      <c r="G2571" s="8"/>
      <c r="H2571" s="8">
        <v>1747</v>
      </c>
      <c r="I2571" s="8">
        <v>99</v>
      </c>
      <c r="J2571" s="8">
        <v>982</v>
      </c>
      <c r="K2571" s="9">
        <f t="shared" si="2581"/>
        <v>2729</v>
      </c>
      <c r="M2571" s="11">
        <f t="shared" si="2595"/>
        <v>0</v>
      </c>
      <c r="N2571" s="12">
        <v>350</v>
      </c>
      <c r="O2571" s="11">
        <f t="shared" si="2596"/>
        <v>17500</v>
      </c>
      <c r="P2571" s="12">
        <v>1500</v>
      </c>
      <c r="Q2571" s="11">
        <f t="shared" si="2597"/>
        <v>90000</v>
      </c>
      <c r="X2571" s="12">
        <v>560</v>
      </c>
      <c r="Y2571" s="11">
        <f t="shared" si="2598"/>
        <v>33600</v>
      </c>
      <c r="AG2571" s="11">
        <f t="shared" si="2599"/>
        <v>0</v>
      </c>
      <c r="AH2571" s="12">
        <v>800</v>
      </c>
      <c r="AI2571" s="11">
        <f t="shared" si="2600"/>
        <v>52000</v>
      </c>
      <c r="AK2571" s="13">
        <f t="shared" si="2601"/>
        <v>0</v>
      </c>
      <c r="AM2571" s="13">
        <f t="shared" si="2602"/>
        <v>0</v>
      </c>
      <c r="AO2571" s="11">
        <f t="shared" si="2603"/>
        <v>0</v>
      </c>
      <c r="AQ2571" s="11">
        <f t="shared" si="2604"/>
        <v>0</v>
      </c>
      <c r="AS2571" s="11">
        <f t="shared" si="2605"/>
        <v>0</v>
      </c>
      <c r="AU2571" s="11">
        <f t="shared" si="2606"/>
        <v>0</v>
      </c>
      <c r="AW2571" s="11">
        <f t="shared" si="2607"/>
        <v>0</v>
      </c>
      <c r="AY2571" s="11">
        <f t="shared" si="2608"/>
        <v>0</v>
      </c>
      <c r="BA2571" s="11">
        <f t="shared" si="2609"/>
        <v>0</v>
      </c>
      <c r="BC2571" s="11">
        <f t="shared" si="2610"/>
        <v>0</v>
      </c>
      <c r="BE2571" s="11">
        <f t="shared" si="2611"/>
        <v>0</v>
      </c>
      <c r="BG2571" s="11">
        <f t="shared" si="2612"/>
        <v>0</v>
      </c>
      <c r="BN2571" s="8">
        <f t="shared" si="2587"/>
        <v>2060</v>
      </c>
      <c r="BO2571" s="8">
        <f t="shared" si="2580"/>
        <v>123600</v>
      </c>
      <c r="BP2571" s="8">
        <f t="shared" si="2590"/>
        <v>1710</v>
      </c>
      <c r="BQ2571" s="12">
        <f t="shared" si="2591"/>
        <v>103100</v>
      </c>
    </row>
    <row r="2572" spans="1:69">
      <c r="A2572" s="28">
        <v>1973</v>
      </c>
      <c r="B2572" s="27" t="s">
        <v>116</v>
      </c>
      <c r="C2572" s="24">
        <f t="shared" si="2592"/>
        <v>2554</v>
      </c>
      <c r="D2572" s="7" t="e">
        <f t="shared" ca="1" si="2593"/>
        <v>#N/A</v>
      </c>
      <c r="E2572" s="26">
        <f t="array" aca="1" ref="E2572" ca="1">AVERAGE(IF(INDIRECT(DatCol&amp;"$"&amp;TEXT(C2572,"###")):INDIRECT(DatCol&amp;"$"&amp;TEXT(C2572+57,"###"))&gt;0,INDIRECT(DatCol&amp;"$"&amp;TEXT(C2572,"###")):INDIRECT(DatCol&amp;"$"&amp;TEXT(C2572+57,"###"))))</f>
        <v>95.745405405405407</v>
      </c>
      <c r="F2572" s="26" t="str">
        <f t="shared" si="2594"/>
        <v>C</v>
      </c>
      <c r="G2572" s="8"/>
      <c r="H2572" s="8">
        <v>6</v>
      </c>
      <c r="I2572" s="8">
        <v>36</v>
      </c>
      <c r="J2572" s="8">
        <v>706</v>
      </c>
      <c r="K2572" s="9">
        <f t="shared" si="2581"/>
        <v>712</v>
      </c>
      <c r="M2572" s="11">
        <f t="shared" si="2595"/>
        <v>0</v>
      </c>
      <c r="N2572" s="12">
        <v>57</v>
      </c>
      <c r="O2572" s="11">
        <f t="shared" si="2596"/>
        <v>2850</v>
      </c>
      <c r="P2572" s="12">
        <v>2511</v>
      </c>
      <c r="Q2572" s="11">
        <f t="shared" si="2597"/>
        <v>150660</v>
      </c>
      <c r="X2572" s="12">
        <v>2880</v>
      </c>
      <c r="Y2572" s="11">
        <f t="shared" si="2598"/>
        <v>172800</v>
      </c>
      <c r="AF2572" s="12">
        <v>208</v>
      </c>
      <c r="AG2572" s="11">
        <f t="shared" si="2599"/>
        <v>13520</v>
      </c>
      <c r="AH2572" s="12">
        <v>12</v>
      </c>
      <c r="AI2572" s="11">
        <f t="shared" si="2600"/>
        <v>780</v>
      </c>
      <c r="AK2572" s="13">
        <f t="shared" si="2601"/>
        <v>0</v>
      </c>
      <c r="AL2572" s="12">
        <v>37</v>
      </c>
      <c r="AM2572" s="13">
        <f t="shared" si="2602"/>
        <v>333</v>
      </c>
      <c r="AO2572" s="11">
        <f t="shared" si="2603"/>
        <v>0</v>
      </c>
      <c r="AQ2572" s="11">
        <f t="shared" si="2604"/>
        <v>0</v>
      </c>
      <c r="AS2572" s="11">
        <f t="shared" si="2605"/>
        <v>0</v>
      </c>
      <c r="AU2572" s="11">
        <f t="shared" si="2606"/>
        <v>0</v>
      </c>
      <c r="AW2572" s="11">
        <f t="shared" si="2607"/>
        <v>0</v>
      </c>
      <c r="AY2572" s="11">
        <f t="shared" si="2608"/>
        <v>0</v>
      </c>
      <c r="BA2572" s="11">
        <f t="shared" si="2609"/>
        <v>0</v>
      </c>
      <c r="BC2572" s="11">
        <f t="shared" si="2610"/>
        <v>0</v>
      </c>
      <c r="BE2572" s="11">
        <f t="shared" si="2611"/>
        <v>0</v>
      </c>
      <c r="BG2572" s="11">
        <f t="shared" si="2612"/>
        <v>0</v>
      </c>
      <c r="BN2572" s="8">
        <f t="shared" si="2587"/>
        <v>5599</v>
      </c>
      <c r="BO2572" s="8">
        <f t="shared" si="2580"/>
        <v>336980</v>
      </c>
      <c r="BP2572" s="8">
        <f t="shared" si="2590"/>
        <v>2986</v>
      </c>
      <c r="BQ2572" s="12">
        <f t="shared" si="2591"/>
        <v>176763</v>
      </c>
    </row>
    <row r="2573" spans="1:69">
      <c r="A2573" s="28">
        <v>1974</v>
      </c>
      <c r="B2573" s="27" t="s">
        <v>116</v>
      </c>
      <c r="C2573" s="24">
        <f t="shared" si="2592"/>
        <v>2554</v>
      </c>
      <c r="D2573" s="7" t="e">
        <f t="shared" ca="1" si="2593"/>
        <v>#N/A</v>
      </c>
      <c r="E2573" s="26">
        <f t="array" aca="1" ref="E2573" ca="1">AVERAGE(IF(INDIRECT(DatCol&amp;"$"&amp;TEXT(C2573,"###")):INDIRECT(DatCol&amp;"$"&amp;TEXT(C2573+57,"###"))&gt;0,INDIRECT(DatCol&amp;"$"&amp;TEXT(C2573,"###")):INDIRECT(DatCol&amp;"$"&amp;TEXT(C2573+57,"###"))))</f>
        <v>95.745405405405407</v>
      </c>
      <c r="F2573" s="26" t="str">
        <f t="shared" si="2594"/>
        <v>C</v>
      </c>
      <c r="G2573" s="8"/>
      <c r="K2573" s="9">
        <f t="shared" si="2581"/>
        <v>0</v>
      </c>
      <c r="M2573" s="11">
        <f t="shared" si="2595"/>
        <v>0</v>
      </c>
      <c r="O2573" s="11">
        <f t="shared" si="2596"/>
        <v>0</v>
      </c>
      <c r="P2573" s="12">
        <v>18260</v>
      </c>
      <c r="Q2573" s="11">
        <f t="shared" si="2597"/>
        <v>1095600</v>
      </c>
      <c r="X2573" s="12" t="s">
        <v>121</v>
      </c>
      <c r="Y2573" s="11">
        <f t="shared" si="2598"/>
        <v>0</v>
      </c>
      <c r="AG2573" s="11">
        <f t="shared" si="2599"/>
        <v>0</v>
      </c>
      <c r="AI2573" s="11">
        <f t="shared" si="2600"/>
        <v>0</v>
      </c>
      <c r="AK2573" s="13">
        <f t="shared" si="2601"/>
        <v>0</v>
      </c>
      <c r="AM2573" s="13">
        <f t="shared" si="2602"/>
        <v>0</v>
      </c>
      <c r="AO2573" s="11">
        <f t="shared" si="2603"/>
        <v>0</v>
      </c>
      <c r="AQ2573" s="11">
        <f t="shared" si="2604"/>
        <v>0</v>
      </c>
      <c r="AS2573" s="11">
        <f t="shared" si="2605"/>
        <v>0</v>
      </c>
      <c r="AU2573" s="11">
        <f t="shared" si="2606"/>
        <v>0</v>
      </c>
      <c r="AW2573" s="11">
        <f t="shared" si="2607"/>
        <v>0</v>
      </c>
      <c r="AY2573" s="11">
        <f t="shared" si="2608"/>
        <v>0</v>
      </c>
      <c r="BA2573" s="11">
        <f t="shared" si="2609"/>
        <v>0</v>
      </c>
      <c r="BC2573" s="11">
        <f t="shared" si="2610"/>
        <v>0</v>
      </c>
      <c r="BE2573" s="11">
        <f t="shared" si="2611"/>
        <v>0</v>
      </c>
      <c r="BG2573" s="11">
        <f t="shared" si="2612"/>
        <v>0</v>
      </c>
      <c r="BN2573" s="8">
        <f t="shared" si="2587"/>
        <v>18260</v>
      </c>
      <c r="BO2573" s="8">
        <f t="shared" si="2580"/>
        <v>1095600</v>
      </c>
      <c r="BP2573" s="8">
        <f t="shared" si="2590"/>
        <v>0</v>
      </c>
      <c r="BQ2573" s="12">
        <f t="shared" si="2591"/>
        <v>0</v>
      </c>
    </row>
    <row r="2574" spans="1:69">
      <c r="A2574" s="28">
        <v>1975</v>
      </c>
      <c r="B2574" s="27" t="s">
        <v>116</v>
      </c>
      <c r="C2574" s="24">
        <f t="shared" si="2592"/>
        <v>2554</v>
      </c>
      <c r="D2574" s="7" t="e">
        <f t="shared" ca="1" si="2593"/>
        <v>#N/A</v>
      </c>
      <c r="E2574" s="26">
        <f t="array" aca="1" ref="E2574" ca="1">AVERAGE(IF(INDIRECT(DatCol&amp;"$"&amp;TEXT(C2574,"###")):INDIRECT(DatCol&amp;"$"&amp;TEXT(C2574+57,"###"))&gt;0,INDIRECT(DatCol&amp;"$"&amp;TEXT(C2574,"###")):INDIRECT(DatCol&amp;"$"&amp;TEXT(C2574+57,"###"))))</f>
        <v>95.745405405405407</v>
      </c>
      <c r="F2574" s="26" t="str">
        <f t="shared" si="2594"/>
        <v>C</v>
      </c>
      <c r="G2574" s="8"/>
      <c r="K2574" s="9">
        <f t="shared" si="2581"/>
        <v>0</v>
      </c>
      <c r="M2574" s="11">
        <f t="shared" si="2595"/>
        <v>0</v>
      </c>
      <c r="O2574" s="11">
        <f t="shared" si="2596"/>
        <v>0</v>
      </c>
      <c r="P2574" s="12">
        <v>11478</v>
      </c>
      <c r="Q2574" s="11">
        <f t="shared" si="2597"/>
        <v>688680</v>
      </c>
      <c r="X2574" s="12" t="s">
        <v>121</v>
      </c>
      <c r="Y2574" s="11">
        <f t="shared" si="2598"/>
        <v>0</v>
      </c>
      <c r="AG2574" s="11">
        <f t="shared" si="2599"/>
        <v>0</v>
      </c>
      <c r="AI2574" s="11">
        <f t="shared" si="2600"/>
        <v>0</v>
      </c>
      <c r="AK2574" s="13">
        <f t="shared" si="2601"/>
        <v>0</v>
      </c>
      <c r="AM2574" s="13">
        <f t="shared" si="2602"/>
        <v>0</v>
      </c>
      <c r="AO2574" s="11">
        <f t="shared" si="2603"/>
        <v>0</v>
      </c>
      <c r="AQ2574" s="11">
        <f t="shared" si="2604"/>
        <v>0</v>
      </c>
      <c r="AS2574" s="11">
        <f t="shared" si="2605"/>
        <v>0</v>
      </c>
      <c r="AU2574" s="11">
        <f t="shared" si="2606"/>
        <v>0</v>
      </c>
      <c r="AW2574" s="11">
        <f t="shared" si="2607"/>
        <v>0</v>
      </c>
      <c r="AY2574" s="11">
        <f t="shared" si="2608"/>
        <v>0</v>
      </c>
      <c r="BA2574" s="11">
        <f t="shared" si="2609"/>
        <v>0</v>
      </c>
      <c r="BC2574" s="11">
        <f t="shared" si="2610"/>
        <v>0</v>
      </c>
      <c r="BE2574" s="11">
        <f t="shared" si="2611"/>
        <v>0</v>
      </c>
      <c r="BG2574" s="11">
        <f t="shared" si="2612"/>
        <v>0</v>
      </c>
      <c r="BN2574" s="8">
        <f t="shared" si="2587"/>
        <v>11478</v>
      </c>
      <c r="BO2574" s="8">
        <f t="shared" si="2580"/>
        <v>688680</v>
      </c>
      <c r="BP2574" s="8">
        <f t="shared" si="2590"/>
        <v>0</v>
      </c>
      <c r="BQ2574" s="12">
        <f t="shared" si="2591"/>
        <v>0</v>
      </c>
    </row>
    <row r="2575" spans="1:69">
      <c r="A2575" s="28">
        <v>1976</v>
      </c>
      <c r="B2575" s="27" t="s">
        <v>116</v>
      </c>
      <c r="C2575" s="24">
        <f t="shared" si="2592"/>
        <v>2554</v>
      </c>
      <c r="D2575" s="7" t="e">
        <f t="shared" ca="1" si="2593"/>
        <v>#N/A</v>
      </c>
      <c r="E2575" s="26">
        <f t="array" aca="1" ref="E2575" ca="1">AVERAGE(IF(INDIRECT(DatCol&amp;"$"&amp;TEXT(C2575,"###")):INDIRECT(DatCol&amp;"$"&amp;TEXT(C2575+57,"###"))&gt;0,INDIRECT(DatCol&amp;"$"&amp;TEXT(C2575,"###")):INDIRECT(DatCol&amp;"$"&amp;TEXT(C2575+57,"###"))))</f>
        <v>95.745405405405407</v>
      </c>
      <c r="F2575" s="26" t="str">
        <f t="shared" si="2594"/>
        <v>C</v>
      </c>
      <c r="G2575" s="8"/>
      <c r="H2575" s="8">
        <v>99</v>
      </c>
      <c r="I2575" s="8">
        <v>258</v>
      </c>
      <c r="J2575" s="8">
        <v>676</v>
      </c>
      <c r="K2575" s="9">
        <f t="shared" si="2581"/>
        <v>775</v>
      </c>
      <c r="L2575" s="12">
        <v>123</v>
      </c>
      <c r="M2575" s="11">
        <f t="shared" si="2595"/>
        <v>6150</v>
      </c>
      <c r="N2575" s="12">
        <v>123</v>
      </c>
      <c r="O2575" s="11">
        <f t="shared" si="2596"/>
        <v>6150</v>
      </c>
      <c r="P2575" s="12">
        <v>3048</v>
      </c>
      <c r="Q2575" s="11">
        <f t="shared" si="2597"/>
        <v>182880</v>
      </c>
      <c r="X2575" s="12">
        <v>1500</v>
      </c>
      <c r="Y2575" s="11">
        <f t="shared" si="2598"/>
        <v>90000</v>
      </c>
      <c r="AF2575" s="12">
        <v>6407</v>
      </c>
      <c r="AG2575" s="11">
        <f t="shared" si="2599"/>
        <v>416455</v>
      </c>
      <c r="AH2575" s="12">
        <v>1986</v>
      </c>
      <c r="AI2575" s="11">
        <f t="shared" si="2600"/>
        <v>129090</v>
      </c>
      <c r="AJ2575" s="12">
        <v>180</v>
      </c>
      <c r="AK2575" s="13">
        <f t="shared" si="2601"/>
        <v>1620</v>
      </c>
      <c r="AM2575" s="13">
        <f t="shared" si="2602"/>
        <v>0</v>
      </c>
      <c r="AO2575" s="11">
        <f t="shared" si="2603"/>
        <v>0</v>
      </c>
      <c r="AQ2575" s="11">
        <f t="shared" si="2604"/>
        <v>0</v>
      </c>
      <c r="AS2575" s="11">
        <f t="shared" si="2605"/>
        <v>0</v>
      </c>
      <c r="AU2575" s="11">
        <f t="shared" si="2606"/>
        <v>0</v>
      </c>
      <c r="AW2575" s="11">
        <f t="shared" si="2607"/>
        <v>0</v>
      </c>
      <c r="AY2575" s="11">
        <f t="shared" si="2608"/>
        <v>0</v>
      </c>
      <c r="BA2575" s="11">
        <f t="shared" si="2609"/>
        <v>0</v>
      </c>
      <c r="BC2575" s="11">
        <f t="shared" si="2610"/>
        <v>0</v>
      </c>
      <c r="BE2575" s="11">
        <f t="shared" si="2611"/>
        <v>0</v>
      </c>
      <c r="BG2575" s="11">
        <f t="shared" si="2612"/>
        <v>0</v>
      </c>
      <c r="BN2575" s="8">
        <f t="shared" si="2587"/>
        <v>11258</v>
      </c>
      <c r="BO2575" s="8">
        <f t="shared" si="2580"/>
        <v>697105</v>
      </c>
      <c r="BP2575" s="8">
        <f t="shared" si="2590"/>
        <v>3609</v>
      </c>
      <c r="BQ2575" s="12">
        <f t="shared" si="2591"/>
        <v>225240</v>
      </c>
    </row>
    <row r="2576" spans="1:69">
      <c r="A2576" s="28">
        <v>1977</v>
      </c>
      <c r="B2576" s="27" t="s">
        <v>116</v>
      </c>
      <c r="C2576" s="24">
        <f t="shared" si="2592"/>
        <v>2554</v>
      </c>
      <c r="D2576" s="7" t="e">
        <f t="shared" ca="1" si="2593"/>
        <v>#N/A</v>
      </c>
      <c r="E2576" s="26">
        <f t="array" aca="1" ref="E2576" ca="1">AVERAGE(IF(INDIRECT(DatCol&amp;"$"&amp;TEXT(C2576,"###")):INDIRECT(DatCol&amp;"$"&amp;TEXT(C2576+57,"###"))&gt;0,INDIRECT(DatCol&amp;"$"&amp;TEXT(C2576,"###")):INDIRECT(DatCol&amp;"$"&amp;TEXT(C2576+57,"###"))))</f>
        <v>95.745405405405407</v>
      </c>
      <c r="F2576" s="26" t="str">
        <f t="shared" si="2594"/>
        <v>C</v>
      </c>
      <c r="G2576" s="8"/>
      <c r="H2576" s="8">
        <v>103</v>
      </c>
      <c r="I2576" s="8">
        <v>261</v>
      </c>
      <c r="J2576" s="8">
        <v>662</v>
      </c>
      <c r="K2576" s="9">
        <f t="shared" si="2581"/>
        <v>765</v>
      </c>
      <c r="L2576" s="12">
        <v>108</v>
      </c>
      <c r="M2576" s="11">
        <f t="shared" si="2595"/>
        <v>5400</v>
      </c>
      <c r="N2576" s="12">
        <v>108</v>
      </c>
      <c r="O2576" s="11">
        <f t="shared" si="2596"/>
        <v>5400</v>
      </c>
      <c r="P2576" s="12">
        <v>5322</v>
      </c>
      <c r="Q2576" s="11">
        <f t="shared" si="2597"/>
        <v>319320</v>
      </c>
      <c r="X2576" s="12">
        <v>649</v>
      </c>
      <c r="Y2576" s="11">
        <f t="shared" si="2598"/>
        <v>38940</v>
      </c>
      <c r="AF2576" s="12">
        <v>4768</v>
      </c>
      <c r="AG2576" s="11">
        <f t="shared" si="2599"/>
        <v>309920</v>
      </c>
      <c r="AH2576" s="12">
        <v>652</v>
      </c>
      <c r="AI2576" s="11">
        <f t="shared" si="2600"/>
        <v>42380</v>
      </c>
      <c r="AJ2576" s="12">
        <v>1687</v>
      </c>
      <c r="AK2576" s="13">
        <f t="shared" si="2601"/>
        <v>15183</v>
      </c>
      <c r="AM2576" s="13">
        <f t="shared" si="2602"/>
        <v>0</v>
      </c>
      <c r="AO2576" s="11">
        <f t="shared" si="2603"/>
        <v>0</v>
      </c>
      <c r="AQ2576" s="11">
        <f t="shared" si="2604"/>
        <v>0</v>
      </c>
      <c r="AS2576" s="11">
        <f t="shared" si="2605"/>
        <v>0</v>
      </c>
      <c r="AU2576" s="11">
        <f t="shared" si="2606"/>
        <v>0</v>
      </c>
      <c r="AW2576" s="11">
        <f t="shared" si="2607"/>
        <v>0</v>
      </c>
      <c r="AY2576" s="11">
        <f t="shared" si="2608"/>
        <v>0</v>
      </c>
      <c r="BA2576" s="11">
        <f t="shared" si="2609"/>
        <v>0</v>
      </c>
      <c r="BC2576" s="11">
        <f t="shared" si="2610"/>
        <v>0</v>
      </c>
      <c r="BE2576" s="11">
        <f t="shared" si="2611"/>
        <v>0</v>
      </c>
      <c r="BG2576" s="11">
        <f t="shared" si="2612"/>
        <v>0</v>
      </c>
      <c r="BN2576" s="8">
        <f t="shared" si="2587"/>
        <v>12534</v>
      </c>
      <c r="BO2576" s="8">
        <f t="shared" si="2580"/>
        <v>688763</v>
      </c>
      <c r="BP2576" s="8">
        <f t="shared" si="2590"/>
        <v>1409</v>
      </c>
      <c r="BQ2576" s="12">
        <f t="shared" si="2591"/>
        <v>86720</v>
      </c>
    </row>
    <row r="2577" spans="1:69">
      <c r="A2577" s="28">
        <v>1978</v>
      </c>
      <c r="B2577" s="27" t="s">
        <v>116</v>
      </c>
      <c r="C2577" s="24">
        <f t="shared" si="2592"/>
        <v>2554</v>
      </c>
      <c r="D2577" s="7" t="e">
        <f t="shared" ca="1" si="2593"/>
        <v>#N/A</v>
      </c>
      <c r="E2577" s="26">
        <f t="array" aca="1" ref="E2577" ca="1">AVERAGE(IF(INDIRECT(DatCol&amp;"$"&amp;TEXT(C2577,"###")):INDIRECT(DatCol&amp;"$"&amp;TEXT(C2577+57,"###"))&gt;0,INDIRECT(DatCol&amp;"$"&amp;TEXT(C2577,"###")):INDIRECT(DatCol&amp;"$"&amp;TEXT(C2577+57,"###"))))</f>
        <v>95.745405405405407</v>
      </c>
      <c r="F2577" s="26" t="str">
        <f t="shared" si="2594"/>
        <v>C</v>
      </c>
      <c r="G2577" s="8"/>
      <c r="H2577" s="8">
        <v>157</v>
      </c>
      <c r="I2577" s="8">
        <v>260</v>
      </c>
      <c r="J2577" s="8">
        <v>637</v>
      </c>
      <c r="K2577" s="9">
        <f t="shared" si="2581"/>
        <v>794</v>
      </c>
      <c r="M2577" s="11">
        <f t="shared" si="2595"/>
        <v>0</v>
      </c>
      <c r="N2577" s="12">
        <v>32</v>
      </c>
      <c r="O2577" s="11">
        <f t="shared" si="2596"/>
        <v>1600</v>
      </c>
      <c r="P2577" s="12">
        <v>3415</v>
      </c>
      <c r="Q2577" s="11">
        <f t="shared" si="2597"/>
        <v>204900</v>
      </c>
      <c r="X2577" s="12">
        <v>239</v>
      </c>
      <c r="Y2577" s="11">
        <f t="shared" si="2598"/>
        <v>14340</v>
      </c>
      <c r="AG2577" s="11">
        <f t="shared" si="2599"/>
        <v>0</v>
      </c>
      <c r="AH2577" s="12">
        <v>186</v>
      </c>
      <c r="AI2577" s="11">
        <f t="shared" si="2600"/>
        <v>12090</v>
      </c>
      <c r="AJ2577" s="12">
        <v>646</v>
      </c>
      <c r="AK2577" s="13">
        <f t="shared" si="2601"/>
        <v>5814</v>
      </c>
      <c r="AM2577" s="13">
        <f t="shared" si="2602"/>
        <v>0</v>
      </c>
      <c r="AO2577" s="11">
        <f t="shared" si="2603"/>
        <v>0</v>
      </c>
      <c r="AP2577" s="12">
        <v>25</v>
      </c>
      <c r="AQ2577" s="11">
        <f t="shared" si="2604"/>
        <v>2000</v>
      </c>
      <c r="AS2577" s="11">
        <f t="shared" si="2605"/>
        <v>0</v>
      </c>
      <c r="AU2577" s="11">
        <f t="shared" si="2606"/>
        <v>0</v>
      </c>
      <c r="AW2577" s="11">
        <f t="shared" si="2607"/>
        <v>0</v>
      </c>
      <c r="AY2577" s="11">
        <f t="shared" si="2608"/>
        <v>0</v>
      </c>
      <c r="BA2577" s="11">
        <f t="shared" si="2609"/>
        <v>0</v>
      </c>
      <c r="BC2577" s="11">
        <f t="shared" si="2610"/>
        <v>0</v>
      </c>
      <c r="BE2577" s="11">
        <f t="shared" si="2611"/>
        <v>0</v>
      </c>
      <c r="BG2577" s="11">
        <f t="shared" si="2612"/>
        <v>0</v>
      </c>
      <c r="BN2577" s="8">
        <f t="shared" si="2587"/>
        <v>4300</v>
      </c>
      <c r="BO2577" s="8">
        <f t="shared" si="2580"/>
        <v>225054</v>
      </c>
      <c r="BP2577" s="8">
        <f t="shared" si="2590"/>
        <v>482</v>
      </c>
      <c r="BQ2577" s="12">
        <f t="shared" si="2591"/>
        <v>30030</v>
      </c>
    </row>
    <row r="2578" spans="1:69">
      <c r="A2578" s="28">
        <v>1979</v>
      </c>
      <c r="B2578" s="27" t="s">
        <v>116</v>
      </c>
      <c r="C2578" s="24">
        <f t="shared" si="2592"/>
        <v>2554</v>
      </c>
      <c r="D2578" s="7" t="e">
        <f t="shared" ca="1" si="2593"/>
        <v>#N/A</v>
      </c>
      <c r="E2578" s="26">
        <f t="array" aca="1" ref="E2578" ca="1">AVERAGE(IF(INDIRECT(DatCol&amp;"$"&amp;TEXT(C2578,"###")):INDIRECT(DatCol&amp;"$"&amp;TEXT(C2578+57,"###"))&gt;0,INDIRECT(DatCol&amp;"$"&amp;TEXT(C2578,"###")):INDIRECT(DatCol&amp;"$"&amp;TEXT(C2578+57,"###"))))</f>
        <v>95.745405405405407</v>
      </c>
      <c r="F2578" s="26" t="str">
        <f t="shared" si="2594"/>
        <v>C</v>
      </c>
      <c r="G2578" s="8"/>
      <c r="H2578" s="8">
        <v>174</v>
      </c>
      <c r="I2578" s="8">
        <v>200</v>
      </c>
      <c r="J2578" s="8">
        <v>667</v>
      </c>
      <c r="K2578" s="9">
        <f t="shared" si="2581"/>
        <v>841</v>
      </c>
      <c r="L2578" s="12">
        <v>194</v>
      </c>
      <c r="M2578" s="11">
        <f t="shared" si="2595"/>
        <v>9700</v>
      </c>
      <c r="N2578" s="12">
        <v>64</v>
      </c>
      <c r="O2578" s="11">
        <f t="shared" si="2596"/>
        <v>3200</v>
      </c>
      <c r="P2578" s="12">
        <v>5085</v>
      </c>
      <c r="Q2578" s="11">
        <f t="shared" si="2597"/>
        <v>305100</v>
      </c>
      <c r="X2578" s="12">
        <v>144</v>
      </c>
      <c r="Y2578" s="11">
        <f t="shared" si="2598"/>
        <v>8640</v>
      </c>
      <c r="AF2578" s="12">
        <v>3686</v>
      </c>
      <c r="AG2578" s="11">
        <f t="shared" si="2599"/>
        <v>239590</v>
      </c>
      <c r="AI2578" s="11">
        <f t="shared" si="2600"/>
        <v>0</v>
      </c>
      <c r="AJ2578" s="12">
        <v>6407</v>
      </c>
      <c r="AK2578" s="13">
        <f t="shared" si="2601"/>
        <v>57663</v>
      </c>
      <c r="AL2578" s="12">
        <v>12</v>
      </c>
      <c r="AM2578" s="13">
        <f t="shared" si="2602"/>
        <v>108</v>
      </c>
      <c r="AN2578" s="12">
        <v>8000</v>
      </c>
      <c r="AO2578" s="11">
        <f t="shared" si="2603"/>
        <v>640000</v>
      </c>
      <c r="AP2578" s="12">
        <v>25</v>
      </c>
      <c r="AQ2578" s="11">
        <f t="shared" si="2604"/>
        <v>2000</v>
      </c>
      <c r="AS2578" s="11">
        <f t="shared" si="2605"/>
        <v>0</v>
      </c>
      <c r="AU2578" s="11">
        <f t="shared" si="2606"/>
        <v>0</v>
      </c>
      <c r="AW2578" s="11">
        <f t="shared" si="2607"/>
        <v>0</v>
      </c>
      <c r="AY2578" s="11">
        <f t="shared" si="2608"/>
        <v>0</v>
      </c>
      <c r="BA2578" s="11">
        <f t="shared" si="2609"/>
        <v>0</v>
      </c>
      <c r="BC2578" s="11">
        <f t="shared" si="2610"/>
        <v>0</v>
      </c>
      <c r="BE2578" s="11">
        <f t="shared" si="2611"/>
        <v>0</v>
      </c>
      <c r="BG2578" s="11">
        <f t="shared" si="2612"/>
        <v>0</v>
      </c>
      <c r="BJ2578" s="12" t="s">
        <v>122</v>
      </c>
      <c r="BK2578" s="13"/>
      <c r="BN2578" s="8">
        <f t="shared" si="2587"/>
        <v>23516</v>
      </c>
      <c r="BO2578" s="8">
        <f t="shared" si="2580"/>
        <v>1260693</v>
      </c>
      <c r="BP2578" s="8">
        <f t="shared" si="2590"/>
        <v>245</v>
      </c>
      <c r="BQ2578" s="12">
        <f t="shared" si="2591"/>
        <v>13948</v>
      </c>
    </row>
    <row r="2579" spans="1:69">
      <c r="A2579" s="28">
        <v>1980</v>
      </c>
      <c r="B2579" s="27" t="s">
        <v>116</v>
      </c>
      <c r="C2579" s="24">
        <f t="shared" si="2592"/>
        <v>2554</v>
      </c>
      <c r="D2579" s="7" t="e">
        <f t="shared" ca="1" si="2593"/>
        <v>#N/A</v>
      </c>
      <c r="E2579" s="26">
        <f t="array" aca="1" ref="E2579" ca="1">AVERAGE(IF(INDIRECT(DatCol&amp;"$"&amp;TEXT(C2579,"###")):INDIRECT(DatCol&amp;"$"&amp;TEXT(C2579+57,"###"))&gt;0,INDIRECT(DatCol&amp;"$"&amp;TEXT(C2579,"###")):INDIRECT(DatCol&amp;"$"&amp;TEXT(C2579+57,"###"))))</f>
        <v>95.745405405405407</v>
      </c>
      <c r="F2579" s="26" t="str">
        <f t="shared" si="2594"/>
        <v>C</v>
      </c>
      <c r="G2579" s="8"/>
      <c r="H2579" s="8">
        <v>320</v>
      </c>
      <c r="I2579" s="8">
        <v>229</v>
      </c>
      <c r="J2579" s="8">
        <v>865</v>
      </c>
      <c r="K2579" s="9">
        <f t="shared" si="2581"/>
        <v>1185</v>
      </c>
      <c r="L2579" s="12">
        <v>210</v>
      </c>
      <c r="M2579" s="11">
        <f t="shared" si="2595"/>
        <v>10500</v>
      </c>
      <c r="N2579" s="12">
        <v>63</v>
      </c>
      <c r="O2579" s="11">
        <f t="shared" si="2596"/>
        <v>3150</v>
      </c>
      <c r="P2579" s="12">
        <v>4460</v>
      </c>
      <c r="Q2579" s="11">
        <f t="shared" si="2597"/>
        <v>267600</v>
      </c>
      <c r="X2579" s="12">
        <v>84</v>
      </c>
      <c r="Y2579" s="11">
        <f t="shared" si="2598"/>
        <v>5040</v>
      </c>
      <c r="AF2579" s="12">
        <v>13500</v>
      </c>
      <c r="AG2579" s="11">
        <f t="shared" si="2599"/>
        <v>877500</v>
      </c>
      <c r="AH2579" s="12">
        <v>415</v>
      </c>
      <c r="AI2579" s="11">
        <f t="shared" si="2600"/>
        <v>26975</v>
      </c>
      <c r="AJ2579" s="12">
        <v>214</v>
      </c>
      <c r="AK2579" s="13">
        <f t="shared" si="2601"/>
        <v>1926</v>
      </c>
      <c r="AM2579" s="13">
        <f t="shared" si="2602"/>
        <v>0</v>
      </c>
      <c r="AN2579" s="12">
        <v>20000</v>
      </c>
      <c r="AO2579" s="11">
        <f t="shared" si="2603"/>
        <v>1600000</v>
      </c>
      <c r="AP2579" s="12">
        <v>50</v>
      </c>
      <c r="AQ2579" s="11">
        <f t="shared" si="2604"/>
        <v>4000</v>
      </c>
      <c r="AS2579" s="11">
        <f t="shared" si="2605"/>
        <v>0</v>
      </c>
      <c r="AU2579" s="11">
        <f t="shared" si="2606"/>
        <v>0</v>
      </c>
      <c r="AW2579" s="11">
        <f t="shared" si="2607"/>
        <v>0</v>
      </c>
      <c r="AY2579" s="11">
        <f t="shared" si="2608"/>
        <v>0</v>
      </c>
      <c r="BA2579" s="11">
        <f t="shared" si="2609"/>
        <v>0</v>
      </c>
      <c r="BC2579" s="11">
        <f t="shared" si="2610"/>
        <v>0</v>
      </c>
      <c r="BE2579" s="11">
        <f t="shared" si="2611"/>
        <v>0</v>
      </c>
      <c r="BG2579" s="11">
        <f t="shared" si="2612"/>
        <v>0</v>
      </c>
      <c r="BN2579" s="8">
        <f t="shared" si="2587"/>
        <v>38468</v>
      </c>
      <c r="BO2579" s="8">
        <f t="shared" si="2580"/>
        <v>2762566</v>
      </c>
      <c r="BP2579" s="8">
        <f t="shared" si="2590"/>
        <v>612</v>
      </c>
      <c r="BQ2579" s="12">
        <f t="shared" si="2591"/>
        <v>39165</v>
      </c>
    </row>
    <row r="2580" spans="1:69">
      <c r="A2580" s="28">
        <v>1981</v>
      </c>
      <c r="B2580" s="27" t="s">
        <v>116</v>
      </c>
      <c r="C2580" s="24">
        <f t="shared" si="2592"/>
        <v>2554</v>
      </c>
      <c r="D2580" s="7" t="e">
        <f t="shared" ca="1" si="2593"/>
        <v>#N/A</v>
      </c>
      <c r="E2580" s="26">
        <f t="array" aca="1" ref="E2580" ca="1">AVERAGE(IF(INDIRECT(DatCol&amp;"$"&amp;TEXT(C2580,"###")):INDIRECT(DatCol&amp;"$"&amp;TEXT(C2580+57,"###"))&gt;0,INDIRECT(DatCol&amp;"$"&amp;TEXT(C2580,"###")):INDIRECT(DatCol&amp;"$"&amp;TEXT(C2580+57,"###"))))</f>
        <v>95.745405405405407</v>
      </c>
      <c r="F2580" s="26" t="str">
        <f t="shared" si="2594"/>
        <v>C</v>
      </c>
      <c r="G2580" s="8"/>
      <c r="H2580" s="8">
        <v>364</v>
      </c>
      <c r="I2580" s="8">
        <v>187</v>
      </c>
      <c r="J2580" s="8">
        <v>771</v>
      </c>
      <c r="K2580" s="9">
        <f t="shared" si="2581"/>
        <v>1135</v>
      </c>
      <c r="L2580" s="12">
        <v>110</v>
      </c>
      <c r="M2580" s="11">
        <f t="shared" si="2595"/>
        <v>5500</v>
      </c>
      <c r="N2580" s="12">
        <v>10</v>
      </c>
      <c r="O2580" s="11">
        <f t="shared" si="2596"/>
        <v>500</v>
      </c>
      <c r="P2580" s="12">
        <v>6600</v>
      </c>
      <c r="Q2580" s="11">
        <f t="shared" si="2597"/>
        <v>396000</v>
      </c>
      <c r="X2580" s="12">
        <v>86</v>
      </c>
      <c r="Y2580" s="11">
        <f t="shared" si="2598"/>
        <v>5160</v>
      </c>
      <c r="AF2580" s="12">
        <v>16100</v>
      </c>
      <c r="AG2580" s="11">
        <f t="shared" si="2599"/>
        <v>1046500</v>
      </c>
      <c r="AH2580" s="12">
        <v>320</v>
      </c>
      <c r="AI2580" s="11">
        <f t="shared" si="2600"/>
        <v>20800</v>
      </c>
      <c r="AJ2580" s="12">
        <v>70</v>
      </c>
      <c r="AK2580" s="13">
        <f t="shared" si="2601"/>
        <v>630</v>
      </c>
      <c r="AL2580" s="12">
        <v>5</v>
      </c>
      <c r="AM2580" s="13">
        <f t="shared" si="2602"/>
        <v>45</v>
      </c>
      <c r="AN2580" s="12">
        <v>21000</v>
      </c>
      <c r="AO2580" s="11">
        <f t="shared" si="2603"/>
        <v>1680000</v>
      </c>
      <c r="AP2580" s="12">
        <v>25</v>
      </c>
      <c r="AQ2580" s="11">
        <f t="shared" si="2604"/>
        <v>2000</v>
      </c>
      <c r="AS2580" s="11">
        <f t="shared" si="2605"/>
        <v>0</v>
      </c>
      <c r="AU2580" s="11">
        <f t="shared" si="2606"/>
        <v>0</v>
      </c>
      <c r="AW2580" s="11">
        <f t="shared" si="2607"/>
        <v>0</v>
      </c>
      <c r="AY2580" s="11">
        <f t="shared" si="2608"/>
        <v>0</v>
      </c>
      <c r="BA2580" s="11">
        <f t="shared" si="2609"/>
        <v>0</v>
      </c>
      <c r="BC2580" s="11">
        <f t="shared" si="2610"/>
        <v>0</v>
      </c>
      <c r="BE2580" s="11">
        <f t="shared" si="2611"/>
        <v>0</v>
      </c>
      <c r="BG2580" s="11">
        <f t="shared" si="2612"/>
        <v>0</v>
      </c>
      <c r="BN2580" s="8">
        <f t="shared" si="2587"/>
        <v>43966</v>
      </c>
      <c r="BO2580" s="8">
        <f t="shared" si="2580"/>
        <v>3133790</v>
      </c>
      <c r="BP2580" s="8">
        <f t="shared" si="2590"/>
        <v>446</v>
      </c>
      <c r="BQ2580" s="12">
        <f t="shared" si="2591"/>
        <v>28505</v>
      </c>
    </row>
    <row r="2581" spans="1:69">
      <c r="A2581" s="28">
        <v>1982</v>
      </c>
      <c r="B2581" s="27" t="s">
        <v>116</v>
      </c>
      <c r="C2581" s="24">
        <f t="shared" si="2592"/>
        <v>2554</v>
      </c>
      <c r="D2581" s="7" t="e">
        <f t="shared" ca="1" si="2593"/>
        <v>#N/A</v>
      </c>
      <c r="E2581" s="26">
        <f t="array" aca="1" ref="E2581" ca="1">AVERAGE(IF(INDIRECT(DatCol&amp;"$"&amp;TEXT(C2581,"###")):INDIRECT(DatCol&amp;"$"&amp;TEXT(C2581+57,"###"))&gt;0,INDIRECT(DatCol&amp;"$"&amp;TEXT(C2581,"###")):INDIRECT(DatCol&amp;"$"&amp;TEXT(C2581+57,"###"))))</f>
        <v>95.745405405405407</v>
      </c>
      <c r="F2581" s="26" t="str">
        <f t="shared" si="2594"/>
        <v>C</v>
      </c>
      <c r="G2581" s="8"/>
      <c r="H2581" s="8">
        <v>364</v>
      </c>
      <c r="I2581" s="8">
        <v>235</v>
      </c>
      <c r="J2581" s="8">
        <v>996</v>
      </c>
      <c r="K2581" s="9">
        <f t="shared" si="2581"/>
        <v>1360</v>
      </c>
      <c r="L2581" s="12">
        <v>46</v>
      </c>
      <c r="M2581" s="11">
        <f t="shared" si="2595"/>
        <v>2300</v>
      </c>
      <c r="N2581" s="12">
        <v>20</v>
      </c>
      <c r="O2581" s="11">
        <f t="shared" si="2596"/>
        <v>1000</v>
      </c>
      <c r="P2581" s="12">
        <v>11528</v>
      </c>
      <c r="Q2581" s="11">
        <f t="shared" si="2597"/>
        <v>691680</v>
      </c>
      <c r="X2581" s="12">
        <v>449</v>
      </c>
      <c r="Y2581" s="11">
        <f t="shared" si="2598"/>
        <v>26940</v>
      </c>
      <c r="AF2581" s="12">
        <v>14664</v>
      </c>
      <c r="AG2581" s="11">
        <f t="shared" si="2599"/>
        <v>953160</v>
      </c>
      <c r="AH2581" s="12">
        <v>485</v>
      </c>
      <c r="AI2581" s="11">
        <f t="shared" si="2600"/>
        <v>31525</v>
      </c>
      <c r="AJ2581" s="12">
        <v>265</v>
      </c>
      <c r="AK2581" s="13">
        <f t="shared" si="2601"/>
        <v>2385</v>
      </c>
      <c r="AM2581" s="13">
        <f t="shared" si="2602"/>
        <v>0</v>
      </c>
      <c r="AN2581" s="12">
        <v>45000</v>
      </c>
      <c r="AO2581" s="11">
        <f t="shared" si="2603"/>
        <v>3600000</v>
      </c>
      <c r="AQ2581" s="11">
        <f t="shared" si="2604"/>
        <v>0</v>
      </c>
      <c r="AS2581" s="11">
        <f t="shared" si="2605"/>
        <v>0</v>
      </c>
      <c r="AU2581" s="11">
        <f t="shared" si="2606"/>
        <v>0</v>
      </c>
      <c r="AW2581" s="11">
        <f t="shared" si="2607"/>
        <v>0</v>
      </c>
      <c r="AY2581" s="11">
        <f t="shared" si="2608"/>
        <v>0</v>
      </c>
      <c r="BA2581" s="11">
        <f t="shared" si="2609"/>
        <v>0</v>
      </c>
      <c r="BC2581" s="11">
        <f t="shared" si="2610"/>
        <v>0</v>
      </c>
      <c r="BE2581" s="11">
        <f t="shared" si="2611"/>
        <v>0</v>
      </c>
      <c r="BG2581" s="11">
        <f t="shared" si="2612"/>
        <v>0</v>
      </c>
      <c r="BH2581" s="13" t="s">
        <v>123</v>
      </c>
      <c r="BN2581" s="8">
        <f t="shared" si="2587"/>
        <v>71952</v>
      </c>
      <c r="BO2581" s="8">
        <f t="shared" si="2580"/>
        <v>5276465</v>
      </c>
      <c r="BP2581" s="8">
        <f t="shared" si="2590"/>
        <v>954</v>
      </c>
      <c r="BQ2581" s="12">
        <f t="shared" si="2591"/>
        <v>59465</v>
      </c>
    </row>
    <row r="2582" spans="1:69">
      <c r="A2582" s="28">
        <v>1983</v>
      </c>
      <c r="B2582" s="27" t="s">
        <v>116</v>
      </c>
      <c r="C2582" s="24">
        <f t="shared" si="2592"/>
        <v>2554</v>
      </c>
      <c r="D2582" s="7" t="e">
        <f t="shared" ca="1" si="2593"/>
        <v>#N/A</v>
      </c>
      <c r="E2582" s="26">
        <f t="array" aca="1" ref="E2582" ca="1">AVERAGE(IF(INDIRECT(DatCol&amp;"$"&amp;TEXT(C2582,"###")):INDIRECT(DatCol&amp;"$"&amp;TEXT(C2582+57,"###"))&gt;0,INDIRECT(DatCol&amp;"$"&amp;TEXT(C2582,"###")):INDIRECT(DatCol&amp;"$"&amp;TEXT(C2582+57,"###"))))</f>
        <v>95.745405405405407</v>
      </c>
      <c r="F2582" s="26" t="str">
        <f t="shared" si="2594"/>
        <v>C</v>
      </c>
      <c r="G2582" s="8"/>
      <c r="H2582" s="8">
        <v>209</v>
      </c>
      <c r="I2582" s="8">
        <v>201</v>
      </c>
      <c r="J2582" s="8">
        <v>690</v>
      </c>
      <c r="K2582" s="9">
        <f t="shared" si="2581"/>
        <v>899</v>
      </c>
      <c r="L2582" s="12">
        <v>84</v>
      </c>
      <c r="M2582" s="11">
        <f t="shared" si="2595"/>
        <v>4200</v>
      </c>
      <c r="N2582" s="12">
        <v>59</v>
      </c>
      <c r="O2582" s="11">
        <f t="shared" si="2596"/>
        <v>2950</v>
      </c>
      <c r="P2582" s="12">
        <v>6059</v>
      </c>
      <c r="Q2582" s="11">
        <f t="shared" si="2597"/>
        <v>363540</v>
      </c>
      <c r="X2582" s="12">
        <v>354</v>
      </c>
      <c r="Y2582" s="11">
        <f t="shared" si="2598"/>
        <v>21240</v>
      </c>
      <c r="AF2582" s="12">
        <v>5736</v>
      </c>
      <c r="AG2582" s="11">
        <f t="shared" si="2599"/>
        <v>372840</v>
      </c>
      <c r="AH2582" s="12">
        <v>235</v>
      </c>
      <c r="AI2582" s="11">
        <f t="shared" si="2600"/>
        <v>15275</v>
      </c>
      <c r="AJ2582" s="12">
        <v>279</v>
      </c>
      <c r="AK2582" s="13">
        <f t="shared" si="2601"/>
        <v>2511</v>
      </c>
      <c r="AM2582" s="13">
        <f t="shared" si="2602"/>
        <v>0</v>
      </c>
      <c r="AN2582" s="12">
        <v>26027</v>
      </c>
      <c r="AO2582" s="11">
        <f t="shared" si="2603"/>
        <v>2082160</v>
      </c>
      <c r="AQ2582" s="11">
        <f t="shared" si="2604"/>
        <v>0</v>
      </c>
      <c r="AS2582" s="11">
        <f t="shared" si="2605"/>
        <v>0</v>
      </c>
      <c r="AU2582" s="11">
        <f t="shared" si="2606"/>
        <v>0</v>
      </c>
      <c r="AW2582" s="11">
        <f t="shared" si="2607"/>
        <v>0</v>
      </c>
      <c r="AY2582" s="11">
        <f t="shared" si="2608"/>
        <v>0</v>
      </c>
      <c r="BA2582" s="11">
        <f t="shared" si="2609"/>
        <v>0</v>
      </c>
      <c r="BC2582" s="11">
        <f t="shared" si="2610"/>
        <v>0</v>
      </c>
      <c r="BE2582" s="11">
        <f t="shared" si="2611"/>
        <v>0</v>
      </c>
      <c r="BG2582" s="11">
        <f t="shared" si="2612"/>
        <v>0</v>
      </c>
      <c r="BH2582" s="13" t="s">
        <v>124</v>
      </c>
      <c r="BN2582" s="8">
        <f t="shared" si="2587"/>
        <v>38539</v>
      </c>
      <c r="BO2582" s="8">
        <f t="shared" si="2580"/>
        <v>2846491</v>
      </c>
      <c r="BP2582" s="8">
        <f t="shared" si="2590"/>
        <v>648</v>
      </c>
      <c r="BQ2582" s="12">
        <f t="shared" si="2591"/>
        <v>39465</v>
      </c>
    </row>
    <row r="2583" spans="1:69">
      <c r="A2583" s="28">
        <v>1984</v>
      </c>
      <c r="B2583" s="27" t="s">
        <v>116</v>
      </c>
      <c r="C2583" s="24">
        <f t="shared" si="2592"/>
        <v>2554</v>
      </c>
      <c r="D2583" s="7" t="e">
        <f t="shared" ca="1" si="2593"/>
        <v>#N/A</v>
      </c>
      <c r="E2583" s="26">
        <f t="array" aca="1" ref="E2583" ca="1">AVERAGE(IF(INDIRECT(DatCol&amp;"$"&amp;TEXT(C2583,"###")):INDIRECT(DatCol&amp;"$"&amp;TEXT(C2583+57,"###"))&gt;0,INDIRECT(DatCol&amp;"$"&amp;TEXT(C2583,"###")):INDIRECT(DatCol&amp;"$"&amp;TEXT(C2583+57,"###"))))</f>
        <v>95.745405405405407</v>
      </c>
      <c r="F2583" s="26" t="str">
        <f t="shared" si="2594"/>
        <v>C</v>
      </c>
      <c r="G2583" s="8"/>
      <c r="H2583" s="8">
        <v>154</v>
      </c>
      <c r="I2583" s="8">
        <v>74</v>
      </c>
      <c r="J2583" s="8">
        <v>434</v>
      </c>
      <c r="K2583" s="9">
        <f t="shared" si="2581"/>
        <v>588</v>
      </c>
      <c r="L2583" s="12">
        <v>67</v>
      </c>
      <c r="M2583" s="11">
        <f t="shared" ref="M2583:M2613" si="2613">(L2583*50)</f>
        <v>3350</v>
      </c>
      <c r="N2583" s="12">
        <v>73</v>
      </c>
      <c r="O2583" s="11">
        <f t="shared" ref="O2583:O2613" si="2614">(N2583*50)</f>
        <v>3650</v>
      </c>
      <c r="P2583" s="12">
        <v>10276</v>
      </c>
      <c r="Q2583" s="11">
        <f t="shared" ref="Q2583:Q2613" si="2615">((P2583*330)/5.5)</f>
        <v>616560</v>
      </c>
      <c r="X2583" s="12">
        <v>537</v>
      </c>
      <c r="Y2583" s="11">
        <f t="shared" ref="Y2583:Y2613" si="2616">((X2583*330)/5.5)</f>
        <v>32220</v>
      </c>
      <c r="AF2583" s="12">
        <v>2743</v>
      </c>
      <c r="AG2583" s="11">
        <f t="shared" ref="AG2583:AG2613" si="2617">(AF2583*65)</f>
        <v>178295</v>
      </c>
      <c r="AH2583" s="12">
        <v>178</v>
      </c>
      <c r="AI2583" s="11">
        <f t="shared" ref="AI2583:AI2613" si="2618">(AH2583*65)</f>
        <v>11570</v>
      </c>
      <c r="AJ2583" s="12">
        <v>5927</v>
      </c>
      <c r="AK2583" s="13">
        <f t="shared" ref="AK2583:AK2613" si="2619">(AJ2583*9)</f>
        <v>53343</v>
      </c>
      <c r="AL2583" s="12">
        <v>27</v>
      </c>
      <c r="AM2583" s="13">
        <f t="shared" ref="AM2583:AM2613" si="2620">(AL2583*9)</f>
        <v>243</v>
      </c>
      <c r="AN2583" s="12">
        <v>23000</v>
      </c>
      <c r="AO2583" s="11">
        <f t="shared" ref="AO2583:AO2613" si="2621">(AN2583*80)</f>
        <v>1840000</v>
      </c>
      <c r="AP2583" s="12">
        <v>26</v>
      </c>
      <c r="AQ2583" s="11">
        <f t="shared" ref="AQ2583:AQ2613" si="2622">(AP2583*80)</f>
        <v>2080</v>
      </c>
      <c r="AS2583" s="11">
        <f t="shared" ref="AS2583:AS2613" si="2623">(AR2583*50)</f>
        <v>0</v>
      </c>
      <c r="AU2583" s="11">
        <f t="shared" ref="AU2583:AU2613" si="2624">(AT2583*50)</f>
        <v>0</v>
      </c>
      <c r="AW2583" s="11">
        <f t="shared" ref="AW2583:AW2613" si="2625">(AV2583*60)</f>
        <v>0</v>
      </c>
      <c r="AY2583" s="11">
        <f t="shared" ref="AY2583:AY2613" si="2626">(AX2583*60)</f>
        <v>0</v>
      </c>
      <c r="BA2583" s="11">
        <f t="shared" ref="BA2583:BA2613" si="2627">(AZ2583*40)</f>
        <v>0</v>
      </c>
      <c r="BC2583" s="11">
        <f t="shared" ref="BC2583:BC2613" si="2628">(BB2583*40)</f>
        <v>0</v>
      </c>
      <c r="BE2583" s="11">
        <f t="shared" ref="BE2583:BE2613" si="2629">(BD2583*95)</f>
        <v>0</v>
      </c>
      <c r="BG2583" s="11">
        <f t="shared" ref="BG2583:BG2613" si="2630">(BF2583*95)</f>
        <v>0</v>
      </c>
      <c r="BN2583" s="8">
        <f t="shared" si="2587"/>
        <v>42550</v>
      </c>
      <c r="BO2583" s="8">
        <f t="shared" si="2580"/>
        <v>2723768</v>
      </c>
      <c r="BP2583" s="8">
        <f t="shared" si="2590"/>
        <v>841</v>
      </c>
      <c r="BQ2583" s="12">
        <f t="shared" si="2591"/>
        <v>49763</v>
      </c>
    </row>
    <row r="2584" spans="1:69">
      <c r="A2584" s="28">
        <v>1985</v>
      </c>
      <c r="B2584" s="27" t="s">
        <v>116</v>
      </c>
      <c r="C2584" s="24">
        <f t="shared" si="2592"/>
        <v>2554</v>
      </c>
      <c r="D2584" s="7" t="e">
        <f t="shared" ca="1" si="2593"/>
        <v>#N/A</v>
      </c>
      <c r="E2584" s="26">
        <f t="array" aca="1" ref="E2584" ca="1">AVERAGE(IF(INDIRECT(DatCol&amp;"$"&amp;TEXT(C2584,"###")):INDIRECT(DatCol&amp;"$"&amp;TEXT(C2584+57,"###"))&gt;0,INDIRECT(DatCol&amp;"$"&amp;TEXT(C2584,"###")):INDIRECT(DatCol&amp;"$"&amp;TEXT(C2584+57,"###"))))</f>
        <v>95.745405405405407</v>
      </c>
      <c r="F2584" s="26" t="str">
        <f t="shared" si="2594"/>
        <v>C</v>
      </c>
      <c r="G2584" s="8"/>
      <c r="H2584" s="8">
        <v>175</v>
      </c>
      <c r="I2584" s="8">
        <v>221</v>
      </c>
      <c r="J2584" s="8">
        <v>520</v>
      </c>
      <c r="K2584" s="9">
        <f t="shared" si="2581"/>
        <v>695</v>
      </c>
      <c r="L2584" s="12">
        <v>98</v>
      </c>
      <c r="M2584" s="11">
        <f t="shared" si="2613"/>
        <v>4900</v>
      </c>
      <c r="N2584" s="12">
        <v>29</v>
      </c>
      <c r="O2584" s="11">
        <f t="shared" si="2614"/>
        <v>1450</v>
      </c>
      <c r="P2584" s="12">
        <v>5194</v>
      </c>
      <c r="Q2584" s="11">
        <f t="shared" si="2615"/>
        <v>311640</v>
      </c>
      <c r="X2584" s="12">
        <v>360</v>
      </c>
      <c r="Y2584" s="11">
        <f t="shared" si="2616"/>
        <v>21600</v>
      </c>
      <c r="AF2584" s="12">
        <v>6121</v>
      </c>
      <c r="AG2584" s="11">
        <f t="shared" si="2617"/>
        <v>397865</v>
      </c>
      <c r="AH2584" s="12">
        <v>208</v>
      </c>
      <c r="AI2584" s="11">
        <f t="shared" si="2618"/>
        <v>13520</v>
      </c>
      <c r="AJ2584" s="12">
        <v>1055</v>
      </c>
      <c r="AK2584" s="13">
        <f t="shared" si="2619"/>
        <v>9495</v>
      </c>
      <c r="AL2584" s="12">
        <v>56</v>
      </c>
      <c r="AM2584" s="13">
        <f t="shared" si="2620"/>
        <v>504</v>
      </c>
      <c r="AN2584" s="12">
        <v>50000</v>
      </c>
      <c r="AO2584" s="11">
        <f t="shared" si="2621"/>
        <v>4000000</v>
      </c>
      <c r="AQ2584" s="11">
        <f t="shared" si="2622"/>
        <v>0</v>
      </c>
      <c r="AS2584" s="11">
        <f t="shared" si="2623"/>
        <v>0</v>
      </c>
      <c r="AU2584" s="11">
        <f t="shared" si="2624"/>
        <v>0</v>
      </c>
      <c r="AW2584" s="11">
        <f t="shared" si="2625"/>
        <v>0</v>
      </c>
      <c r="AY2584" s="11">
        <f t="shared" si="2626"/>
        <v>0</v>
      </c>
      <c r="BA2584" s="11">
        <f t="shared" si="2627"/>
        <v>0</v>
      </c>
      <c r="BC2584" s="11">
        <f t="shared" si="2628"/>
        <v>0</v>
      </c>
      <c r="BE2584" s="11">
        <f t="shared" si="2629"/>
        <v>0</v>
      </c>
      <c r="BG2584" s="11">
        <f t="shared" si="2630"/>
        <v>0</v>
      </c>
      <c r="BN2584" s="8">
        <f t="shared" si="2587"/>
        <v>62828</v>
      </c>
      <c r="BO2584" s="8">
        <f t="shared" si="2580"/>
        <v>4745500</v>
      </c>
      <c r="BP2584" s="8">
        <f t="shared" si="2590"/>
        <v>653</v>
      </c>
      <c r="BQ2584" s="12">
        <f t="shared" si="2591"/>
        <v>37074</v>
      </c>
    </row>
    <row r="2585" spans="1:69">
      <c r="A2585" s="28">
        <v>1986</v>
      </c>
      <c r="B2585" s="27" t="s">
        <v>116</v>
      </c>
      <c r="C2585" s="24">
        <f t="shared" si="2592"/>
        <v>2554</v>
      </c>
      <c r="D2585" s="7" t="e">
        <f t="shared" ca="1" si="2593"/>
        <v>#N/A</v>
      </c>
      <c r="E2585" s="26">
        <f t="array" aca="1" ref="E2585" ca="1">AVERAGE(IF(INDIRECT(DatCol&amp;"$"&amp;TEXT(C2585,"###")):INDIRECT(DatCol&amp;"$"&amp;TEXT(C2585+57,"###"))&gt;0,INDIRECT(DatCol&amp;"$"&amp;TEXT(C2585,"###")):INDIRECT(DatCol&amp;"$"&amp;TEXT(C2585+57,"###"))))</f>
        <v>95.745405405405407</v>
      </c>
      <c r="F2585" s="26" t="str">
        <f t="shared" si="2594"/>
        <v>C</v>
      </c>
      <c r="G2585" s="8">
        <v>198</v>
      </c>
      <c r="H2585" s="8">
        <v>197</v>
      </c>
      <c r="I2585" s="8">
        <v>230</v>
      </c>
      <c r="J2585" s="8">
        <v>491</v>
      </c>
      <c r="K2585" s="9">
        <f t="shared" si="2581"/>
        <v>886</v>
      </c>
      <c r="L2585" s="12">
        <v>26</v>
      </c>
      <c r="M2585" s="11">
        <f t="shared" si="2613"/>
        <v>1300</v>
      </c>
      <c r="N2585" s="12">
        <v>17</v>
      </c>
      <c r="O2585" s="11">
        <f t="shared" si="2614"/>
        <v>850</v>
      </c>
      <c r="P2585" s="12">
        <v>3751</v>
      </c>
      <c r="Q2585" s="11">
        <f t="shared" si="2615"/>
        <v>225060</v>
      </c>
      <c r="X2585" s="12">
        <v>431</v>
      </c>
      <c r="Y2585" s="11">
        <f t="shared" si="2616"/>
        <v>25860</v>
      </c>
      <c r="AF2585" s="12">
        <v>1968</v>
      </c>
      <c r="AG2585" s="11">
        <f t="shared" si="2617"/>
        <v>127920</v>
      </c>
      <c r="AH2585" s="12">
        <v>175</v>
      </c>
      <c r="AI2585" s="11">
        <f t="shared" si="2618"/>
        <v>11375</v>
      </c>
      <c r="AJ2585" s="12">
        <v>2253</v>
      </c>
      <c r="AK2585" s="13">
        <f t="shared" si="2619"/>
        <v>20277</v>
      </c>
      <c r="AL2585" s="12">
        <v>12</v>
      </c>
      <c r="AM2585" s="13">
        <f t="shared" si="2620"/>
        <v>108</v>
      </c>
      <c r="AN2585" s="12">
        <v>52000</v>
      </c>
      <c r="AO2585" s="11">
        <f t="shared" si="2621"/>
        <v>4160000</v>
      </c>
      <c r="AQ2585" s="11">
        <f t="shared" si="2622"/>
        <v>0</v>
      </c>
      <c r="AS2585" s="11">
        <f t="shared" si="2623"/>
        <v>0</v>
      </c>
      <c r="AU2585" s="11">
        <f t="shared" si="2624"/>
        <v>0</v>
      </c>
      <c r="AW2585" s="11">
        <f t="shared" si="2625"/>
        <v>0</v>
      </c>
      <c r="AY2585" s="11">
        <f t="shared" si="2626"/>
        <v>0</v>
      </c>
      <c r="BA2585" s="11">
        <f t="shared" si="2627"/>
        <v>0</v>
      </c>
      <c r="BC2585" s="11">
        <f t="shared" si="2628"/>
        <v>0</v>
      </c>
      <c r="BE2585" s="11">
        <f t="shared" si="2629"/>
        <v>0</v>
      </c>
      <c r="BG2585" s="11">
        <f t="shared" si="2630"/>
        <v>0</v>
      </c>
      <c r="BN2585" s="8">
        <f t="shared" si="2587"/>
        <v>60429</v>
      </c>
      <c r="BO2585" s="8">
        <f t="shared" si="2580"/>
        <v>4560417</v>
      </c>
      <c r="BP2585" s="8">
        <f t="shared" si="2590"/>
        <v>635</v>
      </c>
      <c r="BQ2585" s="12">
        <f t="shared" si="2591"/>
        <v>38193</v>
      </c>
    </row>
    <row r="2586" spans="1:69">
      <c r="A2586" s="28">
        <v>1987</v>
      </c>
      <c r="B2586" s="27" t="s">
        <v>116</v>
      </c>
      <c r="C2586" s="24">
        <f t="shared" si="2592"/>
        <v>2554</v>
      </c>
      <c r="D2586" s="7" t="e">
        <f t="shared" ca="1" si="2593"/>
        <v>#N/A</v>
      </c>
      <c r="E2586" s="26">
        <f t="array" aca="1" ref="E2586" ca="1">AVERAGE(IF(INDIRECT(DatCol&amp;"$"&amp;TEXT(C2586,"###")):INDIRECT(DatCol&amp;"$"&amp;TEXT(C2586+57,"###"))&gt;0,INDIRECT(DatCol&amp;"$"&amp;TEXT(C2586,"###")):INDIRECT(DatCol&amp;"$"&amp;TEXT(C2586+57,"###"))))</f>
        <v>95.745405405405407</v>
      </c>
      <c r="F2586" s="26" t="str">
        <f t="shared" si="2594"/>
        <v>C</v>
      </c>
      <c r="G2586" s="8">
        <v>218</v>
      </c>
      <c r="H2586" s="8">
        <v>164</v>
      </c>
      <c r="I2586" s="8">
        <v>211</v>
      </c>
      <c r="J2586" s="8">
        <v>368</v>
      </c>
      <c r="K2586" s="9">
        <f t="shared" si="2581"/>
        <v>750</v>
      </c>
      <c r="L2586" s="12">
        <v>19</v>
      </c>
      <c r="M2586" s="11">
        <f t="shared" si="2613"/>
        <v>950</v>
      </c>
      <c r="N2586" s="12">
        <v>26</v>
      </c>
      <c r="O2586" s="11">
        <f t="shared" si="2614"/>
        <v>1300</v>
      </c>
      <c r="P2586" s="12">
        <v>3305</v>
      </c>
      <c r="Q2586" s="11">
        <f t="shared" si="2615"/>
        <v>198300</v>
      </c>
      <c r="X2586" s="12">
        <v>463</v>
      </c>
      <c r="Y2586" s="11">
        <f t="shared" si="2616"/>
        <v>27780</v>
      </c>
      <c r="AF2586" s="12">
        <v>2812</v>
      </c>
      <c r="AG2586" s="11">
        <f t="shared" si="2617"/>
        <v>182780</v>
      </c>
      <c r="AH2586" s="12">
        <v>106</v>
      </c>
      <c r="AI2586" s="11">
        <f t="shared" si="2618"/>
        <v>6890</v>
      </c>
      <c r="AJ2586" s="12">
        <v>1732</v>
      </c>
      <c r="AK2586" s="13">
        <f t="shared" si="2619"/>
        <v>15588</v>
      </c>
      <c r="AM2586" s="13">
        <f t="shared" si="2620"/>
        <v>0</v>
      </c>
      <c r="AO2586" s="11">
        <f t="shared" si="2621"/>
        <v>0</v>
      </c>
      <c r="AQ2586" s="11">
        <f t="shared" si="2622"/>
        <v>0</v>
      </c>
      <c r="AS2586" s="11">
        <f t="shared" si="2623"/>
        <v>0</v>
      </c>
      <c r="AU2586" s="11">
        <f t="shared" si="2624"/>
        <v>0</v>
      </c>
      <c r="AW2586" s="11">
        <f t="shared" si="2625"/>
        <v>0</v>
      </c>
      <c r="AY2586" s="11">
        <f t="shared" si="2626"/>
        <v>0</v>
      </c>
      <c r="BA2586" s="11">
        <f t="shared" si="2627"/>
        <v>0</v>
      </c>
      <c r="BC2586" s="11">
        <f t="shared" si="2628"/>
        <v>0</v>
      </c>
      <c r="BE2586" s="11">
        <f t="shared" si="2629"/>
        <v>0</v>
      </c>
      <c r="BG2586" s="11">
        <f t="shared" si="2630"/>
        <v>0</v>
      </c>
      <c r="BN2586" s="8">
        <f t="shared" si="2587"/>
        <v>8331</v>
      </c>
      <c r="BO2586" s="8">
        <f t="shared" si="2580"/>
        <v>425398</v>
      </c>
      <c r="BP2586" s="8">
        <f t="shared" si="2590"/>
        <v>595</v>
      </c>
      <c r="BQ2586" s="12">
        <f t="shared" si="2591"/>
        <v>35970</v>
      </c>
    </row>
    <row r="2587" spans="1:69">
      <c r="A2587" s="28">
        <v>1988</v>
      </c>
      <c r="B2587" s="27" t="s">
        <v>116</v>
      </c>
      <c r="C2587" s="24">
        <f t="shared" si="2592"/>
        <v>2554</v>
      </c>
      <c r="D2587" s="7" t="e">
        <f t="shared" ca="1" si="2593"/>
        <v>#N/A</v>
      </c>
      <c r="E2587" s="26">
        <f t="array" aca="1" ref="E2587" ca="1">AVERAGE(IF(INDIRECT(DatCol&amp;"$"&amp;TEXT(C2587,"###")):INDIRECT(DatCol&amp;"$"&amp;TEXT(C2587+57,"###"))&gt;0,INDIRECT(DatCol&amp;"$"&amp;TEXT(C2587,"###")):INDIRECT(DatCol&amp;"$"&amp;TEXT(C2587+57,"###"))))</f>
        <v>95.745405405405407</v>
      </c>
      <c r="F2587" s="26" t="str">
        <f t="shared" si="2594"/>
        <v>C</v>
      </c>
      <c r="G2587" s="8">
        <v>206</v>
      </c>
      <c r="H2587" s="8">
        <v>135</v>
      </c>
      <c r="I2587" s="8">
        <v>189</v>
      </c>
      <c r="J2587" s="8">
        <v>299</v>
      </c>
      <c r="K2587" s="9">
        <f t="shared" si="2581"/>
        <v>640</v>
      </c>
      <c r="L2587" s="12">
        <v>100</v>
      </c>
      <c r="M2587" s="11">
        <f t="shared" si="2613"/>
        <v>5000</v>
      </c>
      <c r="N2587" s="12">
        <v>40</v>
      </c>
      <c r="O2587" s="11">
        <f t="shared" si="2614"/>
        <v>2000</v>
      </c>
      <c r="P2587" s="12">
        <v>4018</v>
      </c>
      <c r="Q2587" s="11">
        <f t="shared" si="2615"/>
        <v>241080</v>
      </c>
      <c r="X2587" s="12">
        <v>564</v>
      </c>
      <c r="Y2587" s="11">
        <f t="shared" si="2616"/>
        <v>33840</v>
      </c>
      <c r="AF2587" s="12">
        <v>3222</v>
      </c>
      <c r="AG2587" s="11">
        <f t="shared" si="2617"/>
        <v>209430</v>
      </c>
      <c r="AH2587" s="12">
        <v>174</v>
      </c>
      <c r="AI2587" s="11">
        <f t="shared" si="2618"/>
        <v>11310</v>
      </c>
      <c r="AJ2587" s="12">
        <v>715</v>
      </c>
      <c r="AK2587" s="13">
        <f t="shared" si="2619"/>
        <v>6435</v>
      </c>
      <c r="AM2587" s="13">
        <f t="shared" si="2620"/>
        <v>0</v>
      </c>
      <c r="AO2587" s="11">
        <f t="shared" si="2621"/>
        <v>0</v>
      </c>
      <c r="AQ2587" s="11">
        <f t="shared" si="2622"/>
        <v>0</v>
      </c>
      <c r="AS2587" s="11">
        <f t="shared" si="2623"/>
        <v>0</v>
      </c>
      <c r="AU2587" s="11">
        <f t="shared" si="2624"/>
        <v>0</v>
      </c>
      <c r="AW2587" s="11">
        <f t="shared" si="2625"/>
        <v>0</v>
      </c>
      <c r="AY2587" s="11">
        <f t="shared" si="2626"/>
        <v>0</v>
      </c>
      <c r="BA2587" s="11">
        <f t="shared" si="2627"/>
        <v>0</v>
      </c>
      <c r="BC2587" s="11">
        <f t="shared" si="2628"/>
        <v>0</v>
      </c>
      <c r="BE2587" s="11">
        <f t="shared" si="2629"/>
        <v>0</v>
      </c>
      <c r="BG2587" s="11">
        <f t="shared" si="2630"/>
        <v>0</v>
      </c>
      <c r="BN2587" s="8">
        <f t="shared" si="2587"/>
        <v>8619</v>
      </c>
      <c r="BO2587" s="8">
        <f t="shared" si="2580"/>
        <v>495785</v>
      </c>
      <c r="BP2587" s="8">
        <f t="shared" si="2590"/>
        <v>778</v>
      </c>
      <c r="BQ2587" s="12">
        <f t="shared" si="2591"/>
        <v>47150</v>
      </c>
    </row>
    <row r="2588" spans="1:69">
      <c r="A2588" s="28">
        <v>1989</v>
      </c>
      <c r="B2588" s="27" t="s">
        <v>116</v>
      </c>
      <c r="C2588" s="24">
        <f t="shared" si="2592"/>
        <v>2554</v>
      </c>
      <c r="D2588" s="7" t="e">
        <f t="shared" ca="1" si="2593"/>
        <v>#N/A</v>
      </c>
      <c r="E2588" s="26">
        <f t="array" aca="1" ref="E2588" ca="1">AVERAGE(IF(INDIRECT(DatCol&amp;"$"&amp;TEXT(C2588,"###")):INDIRECT(DatCol&amp;"$"&amp;TEXT(C2588+57,"###"))&gt;0,INDIRECT(DatCol&amp;"$"&amp;TEXT(C2588,"###")):INDIRECT(DatCol&amp;"$"&amp;TEXT(C2588+57,"###"))))</f>
        <v>95.745405405405407</v>
      </c>
      <c r="F2588" s="26" t="str">
        <f t="shared" si="2594"/>
        <v>C</v>
      </c>
      <c r="G2588" s="8">
        <v>115</v>
      </c>
      <c r="H2588" s="8">
        <v>111</v>
      </c>
      <c r="I2588" s="8">
        <v>169</v>
      </c>
      <c r="J2588" s="8">
        <v>332</v>
      </c>
      <c r="K2588" s="9">
        <f t="shared" si="2581"/>
        <v>558</v>
      </c>
      <c r="L2588" s="12">
        <v>88</v>
      </c>
      <c r="M2588" s="11">
        <f t="shared" si="2613"/>
        <v>4400</v>
      </c>
      <c r="N2588" s="12">
        <v>50</v>
      </c>
      <c r="O2588" s="11">
        <f t="shared" si="2614"/>
        <v>2500</v>
      </c>
      <c r="P2588" s="12">
        <v>2437</v>
      </c>
      <c r="Q2588" s="11">
        <f t="shared" si="2615"/>
        <v>146220</v>
      </c>
      <c r="X2588" s="12">
        <v>528</v>
      </c>
      <c r="Y2588" s="11">
        <f t="shared" si="2616"/>
        <v>31680</v>
      </c>
      <c r="AF2588" s="12">
        <v>2350</v>
      </c>
      <c r="AG2588" s="11">
        <f t="shared" si="2617"/>
        <v>152750</v>
      </c>
      <c r="AH2588" s="12">
        <v>137</v>
      </c>
      <c r="AI2588" s="11">
        <f t="shared" si="2618"/>
        <v>8905</v>
      </c>
      <c r="AK2588" s="13">
        <f t="shared" si="2619"/>
        <v>0</v>
      </c>
      <c r="AM2588" s="13">
        <f t="shared" si="2620"/>
        <v>0</v>
      </c>
      <c r="AN2588" s="12">
        <v>16438</v>
      </c>
      <c r="AO2588" s="11">
        <f t="shared" si="2621"/>
        <v>1315040</v>
      </c>
      <c r="AQ2588" s="11">
        <f t="shared" si="2622"/>
        <v>0</v>
      </c>
      <c r="AS2588" s="11">
        <f t="shared" si="2623"/>
        <v>0</v>
      </c>
      <c r="AU2588" s="11">
        <f t="shared" si="2624"/>
        <v>0</v>
      </c>
      <c r="AW2588" s="11">
        <f t="shared" si="2625"/>
        <v>0</v>
      </c>
      <c r="AY2588" s="11">
        <f t="shared" si="2626"/>
        <v>0</v>
      </c>
      <c r="BA2588" s="11">
        <f t="shared" si="2627"/>
        <v>0</v>
      </c>
      <c r="BC2588" s="11">
        <f t="shared" si="2628"/>
        <v>0</v>
      </c>
      <c r="BE2588" s="11">
        <f t="shared" si="2629"/>
        <v>0</v>
      </c>
      <c r="BG2588" s="11">
        <f t="shared" si="2630"/>
        <v>0</v>
      </c>
      <c r="BN2588" s="8">
        <f t="shared" si="2587"/>
        <v>21841</v>
      </c>
      <c r="BO2588" s="8">
        <f t="shared" si="2580"/>
        <v>1650090</v>
      </c>
      <c r="BP2588" s="8">
        <f t="shared" si="2590"/>
        <v>715</v>
      </c>
      <c r="BQ2588" s="12">
        <f t="shared" si="2591"/>
        <v>43085</v>
      </c>
    </row>
    <row r="2589" spans="1:69">
      <c r="A2589" s="28">
        <v>1990</v>
      </c>
      <c r="B2589" s="27" t="s">
        <v>116</v>
      </c>
      <c r="C2589" s="24">
        <f t="shared" si="2592"/>
        <v>2554</v>
      </c>
      <c r="D2589" s="7" t="e">
        <f t="shared" ca="1" si="2593"/>
        <v>#N/A</v>
      </c>
      <c r="E2589" s="26">
        <f t="array" aca="1" ref="E2589" ca="1">AVERAGE(IF(INDIRECT(DatCol&amp;"$"&amp;TEXT(C2589,"###")):INDIRECT(DatCol&amp;"$"&amp;TEXT(C2589+57,"###"))&gt;0,INDIRECT(DatCol&amp;"$"&amp;TEXT(C2589,"###")):INDIRECT(DatCol&amp;"$"&amp;TEXT(C2589+57,"###"))))</f>
        <v>95.745405405405407</v>
      </c>
      <c r="F2589" s="26" t="str">
        <f t="shared" si="2594"/>
        <v>C</v>
      </c>
      <c r="G2589" s="8"/>
      <c r="H2589" s="8" t="s">
        <v>28</v>
      </c>
      <c r="K2589" s="9">
        <f t="shared" si="2581"/>
        <v>0</v>
      </c>
      <c r="M2589" s="11">
        <f t="shared" si="2613"/>
        <v>0</v>
      </c>
      <c r="O2589" s="11">
        <f t="shared" si="2614"/>
        <v>0</v>
      </c>
      <c r="Q2589" s="11">
        <f t="shared" si="2615"/>
        <v>0</v>
      </c>
      <c r="Y2589" s="11">
        <f t="shared" si="2616"/>
        <v>0</v>
      </c>
      <c r="AG2589" s="11">
        <f t="shared" si="2617"/>
        <v>0</v>
      </c>
      <c r="AI2589" s="11">
        <f t="shared" si="2618"/>
        <v>0</v>
      </c>
      <c r="AK2589" s="13">
        <f t="shared" si="2619"/>
        <v>0</v>
      </c>
      <c r="AM2589" s="13">
        <f t="shared" si="2620"/>
        <v>0</v>
      </c>
      <c r="AO2589" s="11">
        <f t="shared" si="2621"/>
        <v>0</v>
      </c>
      <c r="AQ2589" s="11">
        <f t="shared" si="2622"/>
        <v>0</v>
      </c>
      <c r="AS2589" s="11">
        <f t="shared" si="2623"/>
        <v>0</v>
      </c>
      <c r="AU2589" s="11">
        <f t="shared" si="2624"/>
        <v>0</v>
      </c>
      <c r="AW2589" s="11">
        <f t="shared" si="2625"/>
        <v>0</v>
      </c>
      <c r="AY2589" s="11">
        <f t="shared" si="2626"/>
        <v>0</v>
      </c>
      <c r="BA2589" s="11">
        <f t="shared" si="2627"/>
        <v>0</v>
      </c>
      <c r="BC2589" s="11">
        <f t="shared" si="2628"/>
        <v>0</v>
      </c>
      <c r="BE2589" s="11">
        <f t="shared" si="2629"/>
        <v>0</v>
      </c>
      <c r="BG2589" s="11">
        <f t="shared" si="2630"/>
        <v>0</v>
      </c>
      <c r="BN2589" s="8">
        <f t="shared" si="2587"/>
        <v>0</v>
      </c>
      <c r="BO2589" s="8">
        <f t="shared" si="2580"/>
        <v>0</v>
      </c>
      <c r="BP2589" s="8">
        <f t="shared" si="2590"/>
        <v>0</v>
      </c>
      <c r="BQ2589" s="12">
        <f t="shared" si="2591"/>
        <v>0</v>
      </c>
    </row>
    <row r="2590" spans="1:69">
      <c r="A2590" s="28">
        <v>1991</v>
      </c>
      <c r="B2590" s="27" t="s">
        <v>116</v>
      </c>
      <c r="C2590" s="24">
        <f t="shared" si="2592"/>
        <v>2554</v>
      </c>
      <c r="D2590" s="7" t="e">
        <f t="shared" ca="1" si="2593"/>
        <v>#N/A</v>
      </c>
      <c r="E2590" s="26">
        <f t="array" aca="1" ref="E2590" ca="1">AVERAGE(IF(INDIRECT(DatCol&amp;"$"&amp;TEXT(C2590,"###")):INDIRECT(DatCol&amp;"$"&amp;TEXT(C2590+57,"###"))&gt;0,INDIRECT(DatCol&amp;"$"&amp;TEXT(C2590,"###")):INDIRECT(DatCol&amp;"$"&amp;TEXT(C2590+57,"###"))))</f>
        <v>95.745405405405407</v>
      </c>
      <c r="F2590" s="26" t="str">
        <f t="shared" si="2594"/>
        <v>C</v>
      </c>
      <c r="G2590" s="8">
        <v>123</v>
      </c>
      <c r="H2590" s="8">
        <v>226</v>
      </c>
      <c r="I2590" s="8">
        <v>126</v>
      </c>
      <c r="J2590" s="8">
        <v>92</v>
      </c>
      <c r="K2590" s="9">
        <f t="shared" si="2581"/>
        <v>441</v>
      </c>
      <c r="L2590" s="12">
        <v>218</v>
      </c>
      <c r="M2590" s="11">
        <f t="shared" si="2613"/>
        <v>10900</v>
      </c>
      <c r="N2590" s="12">
        <v>74</v>
      </c>
      <c r="O2590" s="11">
        <f t="shared" si="2614"/>
        <v>3700</v>
      </c>
      <c r="P2590" s="12">
        <v>4928</v>
      </c>
      <c r="Q2590" s="11">
        <f t="shared" si="2615"/>
        <v>295680</v>
      </c>
      <c r="X2590" s="12">
        <v>514</v>
      </c>
      <c r="Y2590" s="11">
        <f t="shared" si="2616"/>
        <v>30840</v>
      </c>
      <c r="AF2590" s="12">
        <v>4454</v>
      </c>
      <c r="AG2590" s="11">
        <f t="shared" si="2617"/>
        <v>289510</v>
      </c>
      <c r="AH2590" s="12">
        <v>162</v>
      </c>
      <c r="AI2590" s="11">
        <f t="shared" si="2618"/>
        <v>10530</v>
      </c>
      <c r="AJ2590" s="12">
        <v>1720</v>
      </c>
      <c r="AK2590" s="13">
        <f t="shared" si="2619"/>
        <v>15480</v>
      </c>
      <c r="AL2590" s="12">
        <v>0</v>
      </c>
      <c r="AM2590" s="13">
        <f t="shared" si="2620"/>
        <v>0</v>
      </c>
      <c r="AO2590" s="11">
        <f t="shared" si="2621"/>
        <v>0</v>
      </c>
      <c r="AQ2590" s="11">
        <f t="shared" si="2622"/>
        <v>0</v>
      </c>
      <c r="AS2590" s="11">
        <f t="shared" si="2623"/>
        <v>0</v>
      </c>
      <c r="AU2590" s="11">
        <f t="shared" si="2624"/>
        <v>0</v>
      </c>
      <c r="AW2590" s="11">
        <f t="shared" si="2625"/>
        <v>0</v>
      </c>
      <c r="AY2590" s="11">
        <f t="shared" si="2626"/>
        <v>0</v>
      </c>
      <c r="BA2590" s="11">
        <f t="shared" si="2627"/>
        <v>0</v>
      </c>
      <c r="BC2590" s="11">
        <f t="shared" si="2628"/>
        <v>0</v>
      </c>
      <c r="BE2590" s="11">
        <f t="shared" si="2629"/>
        <v>0</v>
      </c>
      <c r="BG2590" s="11">
        <f t="shared" si="2630"/>
        <v>0</v>
      </c>
      <c r="BN2590" s="8">
        <f t="shared" si="2587"/>
        <v>11834</v>
      </c>
      <c r="BO2590" s="8">
        <f t="shared" si="2580"/>
        <v>642410</v>
      </c>
      <c r="BP2590" s="8">
        <f t="shared" si="2590"/>
        <v>750</v>
      </c>
      <c r="BQ2590" s="12">
        <f t="shared" si="2591"/>
        <v>45070</v>
      </c>
    </row>
    <row r="2591" spans="1:69">
      <c r="A2591" s="28">
        <v>1992</v>
      </c>
      <c r="B2591" s="27" t="s">
        <v>116</v>
      </c>
      <c r="C2591" s="24">
        <f t="shared" si="2592"/>
        <v>2554</v>
      </c>
      <c r="D2591" s="7" t="e">
        <f t="shared" ca="1" si="2593"/>
        <v>#N/A</v>
      </c>
      <c r="E2591" s="26">
        <f t="array" aca="1" ref="E2591" ca="1">AVERAGE(IF(INDIRECT(DatCol&amp;"$"&amp;TEXT(C2591,"###")):INDIRECT(DatCol&amp;"$"&amp;TEXT(C2591+57,"###"))&gt;0,INDIRECT(DatCol&amp;"$"&amp;TEXT(C2591,"###")):INDIRECT(DatCol&amp;"$"&amp;TEXT(C2591+57,"###"))))</f>
        <v>95.745405405405407</v>
      </c>
      <c r="F2591" s="26" t="str">
        <f t="shared" si="2594"/>
        <v>C</v>
      </c>
      <c r="G2591" s="8">
        <v>182</v>
      </c>
      <c r="H2591" s="8">
        <v>237</v>
      </c>
      <c r="I2591" s="8">
        <v>175</v>
      </c>
      <c r="J2591" s="8">
        <v>198</v>
      </c>
      <c r="K2591" s="9">
        <f t="shared" si="2581"/>
        <v>617</v>
      </c>
      <c r="L2591" s="12">
        <v>190</v>
      </c>
      <c r="M2591" s="11">
        <f t="shared" si="2613"/>
        <v>9500</v>
      </c>
      <c r="N2591" s="12">
        <v>55</v>
      </c>
      <c r="O2591" s="11">
        <f t="shared" si="2614"/>
        <v>2750</v>
      </c>
      <c r="P2591" s="12">
        <v>1312</v>
      </c>
      <c r="Q2591" s="11">
        <f t="shared" si="2615"/>
        <v>78720</v>
      </c>
      <c r="X2591" s="12">
        <v>410</v>
      </c>
      <c r="Y2591" s="11">
        <f t="shared" si="2616"/>
        <v>24600</v>
      </c>
      <c r="AF2591" s="12">
        <v>4340</v>
      </c>
      <c r="AG2591" s="11">
        <f t="shared" si="2617"/>
        <v>282100</v>
      </c>
      <c r="AH2591" s="12">
        <v>360</v>
      </c>
      <c r="AI2591" s="11">
        <f t="shared" si="2618"/>
        <v>23400</v>
      </c>
      <c r="AJ2591" s="12">
        <v>76</v>
      </c>
      <c r="AK2591" s="13">
        <f t="shared" si="2619"/>
        <v>684</v>
      </c>
      <c r="AL2591" s="12">
        <v>0</v>
      </c>
      <c r="AM2591" s="13">
        <f t="shared" si="2620"/>
        <v>0</v>
      </c>
      <c r="AN2591" s="12">
        <v>0</v>
      </c>
      <c r="AO2591" s="11">
        <f t="shared" si="2621"/>
        <v>0</v>
      </c>
      <c r="AP2591" s="12">
        <v>0</v>
      </c>
      <c r="AQ2591" s="11">
        <f t="shared" si="2622"/>
        <v>0</v>
      </c>
      <c r="AR2591" s="12">
        <v>0</v>
      </c>
      <c r="AS2591" s="11">
        <f t="shared" si="2623"/>
        <v>0</v>
      </c>
      <c r="AT2591" s="12">
        <v>0</v>
      </c>
      <c r="AU2591" s="11">
        <f t="shared" si="2624"/>
        <v>0</v>
      </c>
      <c r="AV2591" s="12">
        <v>0</v>
      </c>
      <c r="AW2591" s="11">
        <f t="shared" si="2625"/>
        <v>0</v>
      </c>
      <c r="AX2591" s="12">
        <v>0</v>
      </c>
      <c r="AY2591" s="11">
        <f t="shared" si="2626"/>
        <v>0</v>
      </c>
      <c r="AZ2591" s="12">
        <v>0</v>
      </c>
      <c r="BA2591" s="11">
        <f t="shared" si="2627"/>
        <v>0</v>
      </c>
      <c r="BB2591" s="12">
        <v>0</v>
      </c>
      <c r="BC2591" s="11">
        <f t="shared" si="2628"/>
        <v>0</v>
      </c>
      <c r="BD2591" s="12">
        <v>0</v>
      </c>
      <c r="BE2591" s="11">
        <f t="shared" si="2629"/>
        <v>0</v>
      </c>
      <c r="BF2591" s="12">
        <v>0</v>
      </c>
      <c r="BG2591" s="11">
        <f t="shared" si="2630"/>
        <v>0</v>
      </c>
      <c r="BH2591" s="13">
        <v>290</v>
      </c>
      <c r="BN2591" s="8">
        <f t="shared" si="2587"/>
        <v>6328</v>
      </c>
      <c r="BO2591" s="8">
        <f t="shared" si="2580"/>
        <v>395604</v>
      </c>
      <c r="BP2591" s="8">
        <f t="shared" si="2590"/>
        <v>825</v>
      </c>
      <c r="BQ2591" s="12">
        <f t="shared" si="2591"/>
        <v>50750</v>
      </c>
    </row>
    <row r="2592" spans="1:69">
      <c r="A2592" s="28">
        <v>1993</v>
      </c>
      <c r="B2592" s="27" t="s">
        <v>116</v>
      </c>
      <c r="C2592" s="24">
        <f t="shared" si="2592"/>
        <v>2554</v>
      </c>
      <c r="D2592" s="7" t="e">
        <f t="shared" ca="1" si="2593"/>
        <v>#N/A</v>
      </c>
      <c r="E2592" s="26">
        <f t="array" aca="1" ref="E2592" ca="1">AVERAGE(IF(INDIRECT(DatCol&amp;"$"&amp;TEXT(C2592,"###")):INDIRECT(DatCol&amp;"$"&amp;TEXT(C2592+57,"###"))&gt;0,INDIRECT(DatCol&amp;"$"&amp;TEXT(C2592,"###")):INDIRECT(DatCol&amp;"$"&amp;TEXT(C2592+57,"###"))))</f>
        <v>95.745405405405407</v>
      </c>
      <c r="F2592" s="26" t="str">
        <f t="shared" si="2594"/>
        <v>C</v>
      </c>
      <c r="G2592" s="8"/>
      <c r="H2592" s="9" t="s">
        <v>28</v>
      </c>
      <c r="K2592" s="9">
        <f t="shared" si="2581"/>
        <v>0</v>
      </c>
      <c r="M2592" s="11">
        <f t="shared" si="2613"/>
        <v>0</v>
      </c>
      <c r="O2592" s="11">
        <f t="shared" si="2614"/>
        <v>0</v>
      </c>
      <c r="Q2592" s="11">
        <f t="shared" si="2615"/>
        <v>0</v>
      </c>
      <c r="Y2592" s="11">
        <f t="shared" si="2616"/>
        <v>0</v>
      </c>
      <c r="AG2592" s="11">
        <f t="shared" si="2617"/>
        <v>0</v>
      </c>
      <c r="AI2592" s="11">
        <f t="shared" si="2618"/>
        <v>0</v>
      </c>
      <c r="AK2592" s="13">
        <f t="shared" si="2619"/>
        <v>0</v>
      </c>
      <c r="AM2592" s="13">
        <f t="shared" si="2620"/>
        <v>0</v>
      </c>
      <c r="AO2592" s="11">
        <f t="shared" si="2621"/>
        <v>0</v>
      </c>
      <c r="AQ2592" s="11">
        <f t="shared" si="2622"/>
        <v>0</v>
      </c>
      <c r="AS2592" s="11">
        <f t="shared" si="2623"/>
        <v>0</v>
      </c>
      <c r="AU2592" s="11">
        <f t="shared" si="2624"/>
        <v>0</v>
      </c>
      <c r="AW2592" s="11">
        <f t="shared" si="2625"/>
        <v>0</v>
      </c>
      <c r="AY2592" s="11">
        <f t="shared" si="2626"/>
        <v>0</v>
      </c>
      <c r="BA2592" s="11">
        <f t="shared" si="2627"/>
        <v>0</v>
      </c>
      <c r="BC2592" s="11">
        <f t="shared" si="2628"/>
        <v>0</v>
      </c>
      <c r="BE2592" s="11">
        <f t="shared" si="2629"/>
        <v>0</v>
      </c>
      <c r="BG2592" s="11">
        <f t="shared" si="2630"/>
        <v>0</v>
      </c>
      <c r="BN2592" s="8">
        <f t="shared" si="2587"/>
        <v>0</v>
      </c>
      <c r="BO2592" s="8">
        <f t="shared" si="2580"/>
        <v>0</v>
      </c>
      <c r="BP2592" s="8">
        <f t="shared" si="2590"/>
        <v>0</v>
      </c>
      <c r="BQ2592" s="12">
        <f t="shared" si="2591"/>
        <v>0</v>
      </c>
    </row>
    <row r="2593" spans="1:69">
      <c r="A2593" s="28">
        <v>1994</v>
      </c>
      <c r="B2593" s="27" t="s">
        <v>116</v>
      </c>
      <c r="C2593" s="24">
        <f t="shared" si="2592"/>
        <v>2554</v>
      </c>
      <c r="D2593" s="7" t="e">
        <f t="shared" ca="1" si="2593"/>
        <v>#N/A</v>
      </c>
      <c r="E2593" s="26">
        <f t="array" aca="1" ref="E2593" ca="1">AVERAGE(IF(INDIRECT(DatCol&amp;"$"&amp;TEXT(C2593,"###")):INDIRECT(DatCol&amp;"$"&amp;TEXT(C2593+57,"###"))&gt;0,INDIRECT(DatCol&amp;"$"&amp;TEXT(C2593,"###")):INDIRECT(DatCol&amp;"$"&amp;TEXT(C2593+57,"###"))))</f>
        <v>95.745405405405407</v>
      </c>
      <c r="F2593" s="26" t="str">
        <f t="shared" si="2594"/>
        <v>C</v>
      </c>
      <c r="G2593" s="8">
        <v>211</v>
      </c>
      <c r="H2593" s="8">
        <v>343</v>
      </c>
      <c r="I2593" s="8">
        <v>237</v>
      </c>
      <c r="J2593" s="8">
        <v>303</v>
      </c>
      <c r="K2593" s="9">
        <f t="shared" si="2581"/>
        <v>857</v>
      </c>
      <c r="L2593" s="12">
        <v>7258</v>
      </c>
      <c r="M2593" s="11">
        <f t="shared" si="2613"/>
        <v>362900</v>
      </c>
      <c r="N2593" s="12">
        <v>125</v>
      </c>
      <c r="O2593" s="11">
        <f t="shared" si="2614"/>
        <v>6250</v>
      </c>
      <c r="P2593" s="12">
        <v>8936</v>
      </c>
      <c r="Q2593" s="11">
        <f t="shared" si="2615"/>
        <v>536160</v>
      </c>
      <c r="X2593" s="12">
        <v>400</v>
      </c>
      <c r="Y2593" s="11">
        <f t="shared" si="2616"/>
        <v>24000</v>
      </c>
      <c r="AF2593" s="12">
        <v>6355</v>
      </c>
      <c r="AG2593" s="11">
        <f t="shared" si="2617"/>
        <v>413075</v>
      </c>
      <c r="AH2593" s="12">
        <v>500</v>
      </c>
      <c r="AI2593" s="11">
        <f t="shared" si="2618"/>
        <v>32500</v>
      </c>
      <c r="AJ2593" s="12">
        <v>1150</v>
      </c>
      <c r="AK2593" s="13">
        <f t="shared" si="2619"/>
        <v>10350</v>
      </c>
      <c r="AL2593" s="12">
        <v>10</v>
      </c>
      <c r="AM2593" s="13">
        <f t="shared" si="2620"/>
        <v>90</v>
      </c>
      <c r="AN2593" s="12">
        <v>0</v>
      </c>
      <c r="AO2593" s="11">
        <f t="shared" si="2621"/>
        <v>0</v>
      </c>
      <c r="AP2593" s="12">
        <v>50</v>
      </c>
      <c r="AQ2593" s="11">
        <f t="shared" si="2622"/>
        <v>4000</v>
      </c>
      <c r="AR2593" s="12">
        <v>0</v>
      </c>
      <c r="AS2593" s="11">
        <f t="shared" si="2623"/>
        <v>0</v>
      </c>
      <c r="AT2593" s="12">
        <v>10</v>
      </c>
      <c r="AU2593" s="11">
        <f t="shared" si="2624"/>
        <v>500</v>
      </c>
      <c r="AV2593" s="12">
        <v>400</v>
      </c>
      <c r="AW2593" s="11">
        <f t="shared" si="2625"/>
        <v>24000</v>
      </c>
      <c r="AX2593" s="12">
        <v>10</v>
      </c>
      <c r="AY2593" s="11">
        <f t="shared" si="2626"/>
        <v>600</v>
      </c>
      <c r="AZ2593" s="12">
        <v>0</v>
      </c>
      <c r="BA2593" s="11">
        <f t="shared" si="2627"/>
        <v>0</v>
      </c>
      <c r="BB2593" s="12">
        <v>0</v>
      </c>
      <c r="BC2593" s="11">
        <f t="shared" si="2628"/>
        <v>0</v>
      </c>
      <c r="BD2593" s="12">
        <v>0</v>
      </c>
      <c r="BE2593" s="11">
        <f t="shared" si="2629"/>
        <v>0</v>
      </c>
      <c r="BF2593" s="12">
        <v>0</v>
      </c>
      <c r="BG2593" s="11">
        <f t="shared" si="2630"/>
        <v>0</v>
      </c>
      <c r="BH2593" s="13">
        <v>1500</v>
      </c>
      <c r="BI2593" s="13">
        <v>200</v>
      </c>
      <c r="BN2593" s="8">
        <f t="shared" si="2587"/>
        <v>24499</v>
      </c>
      <c r="BO2593" s="8">
        <f t="shared" si="2580"/>
        <v>1370485</v>
      </c>
      <c r="BP2593" s="8">
        <f t="shared" si="2590"/>
        <v>1105</v>
      </c>
      <c r="BQ2593" s="12">
        <f t="shared" si="2591"/>
        <v>67940</v>
      </c>
    </row>
    <row r="2594" spans="1:69">
      <c r="A2594" s="28">
        <v>1995</v>
      </c>
      <c r="B2594" s="27" t="s">
        <v>116</v>
      </c>
      <c r="C2594" s="24">
        <f t="shared" si="2592"/>
        <v>2554</v>
      </c>
      <c r="D2594" s="7" t="e">
        <f t="shared" ca="1" si="2593"/>
        <v>#N/A</v>
      </c>
      <c r="E2594" s="26">
        <f t="array" aca="1" ref="E2594" ca="1">AVERAGE(IF(INDIRECT(DatCol&amp;"$"&amp;TEXT(C2594,"###")):INDIRECT(DatCol&amp;"$"&amp;TEXT(C2594+57,"###"))&gt;0,INDIRECT(DatCol&amp;"$"&amp;TEXT(C2594,"###")):INDIRECT(DatCol&amp;"$"&amp;TEXT(C2594+57,"###"))))</f>
        <v>95.745405405405407</v>
      </c>
      <c r="F2594" s="26" t="str">
        <f t="shared" si="2594"/>
        <v>C</v>
      </c>
      <c r="G2594" s="9">
        <v>170</v>
      </c>
      <c r="H2594" s="9">
        <v>222</v>
      </c>
      <c r="I2594" s="9">
        <f>198+93+6+7</f>
        <v>304</v>
      </c>
      <c r="J2594" s="9">
        <v>362</v>
      </c>
      <c r="K2594" s="9">
        <f t="shared" si="2581"/>
        <v>754</v>
      </c>
      <c r="L2594" s="10">
        <v>3216</v>
      </c>
      <c r="M2594" s="11">
        <f t="shared" si="2613"/>
        <v>160800</v>
      </c>
      <c r="N2594" s="10">
        <v>115</v>
      </c>
      <c r="O2594" s="11">
        <f t="shared" si="2614"/>
        <v>5750</v>
      </c>
      <c r="P2594" s="10">
        <v>9600</v>
      </c>
      <c r="Q2594" s="11">
        <f t="shared" si="2615"/>
        <v>576000</v>
      </c>
      <c r="X2594" s="10">
        <v>430</v>
      </c>
      <c r="Y2594" s="11">
        <f t="shared" si="2616"/>
        <v>25800</v>
      </c>
      <c r="AF2594" s="10">
        <v>3500</v>
      </c>
      <c r="AG2594" s="11">
        <f t="shared" si="2617"/>
        <v>227500</v>
      </c>
      <c r="AH2594" s="10">
        <v>600</v>
      </c>
      <c r="AI2594" s="11">
        <f t="shared" si="2618"/>
        <v>39000</v>
      </c>
      <c r="AJ2594" s="10">
        <v>575</v>
      </c>
      <c r="AK2594" s="13">
        <f t="shared" si="2619"/>
        <v>5175</v>
      </c>
      <c r="AL2594" s="10">
        <v>0</v>
      </c>
      <c r="AM2594" s="13">
        <f t="shared" si="2620"/>
        <v>0</v>
      </c>
      <c r="AN2594" s="10">
        <v>0</v>
      </c>
      <c r="AO2594" s="11">
        <f t="shared" si="2621"/>
        <v>0</v>
      </c>
      <c r="AP2594" s="10">
        <v>0</v>
      </c>
      <c r="AQ2594" s="11">
        <f t="shared" si="2622"/>
        <v>0</v>
      </c>
      <c r="AR2594" s="10">
        <v>0</v>
      </c>
      <c r="AS2594" s="11">
        <f t="shared" si="2623"/>
        <v>0</v>
      </c>
      <c r="AT2594" s="10">
        <v>0</v>
      </c>
      <c r="AU2594" s="11">
        <f t="shared" si="2624"/>
        <v>0</v>
      </c>
      <c r="AV2594" s="10">
        <v>0</v>
      </c>
      <c r="AW2594" s="11">
        <f t="shared" si="2625"/>
        <v>0</v>
      </c>
      <c r="AX2594" s="10">
        <v>0</v>
      </c>
      <c r="AY2594" s="11">
        <f t="shared" si="2626"/>
        <v>0</v>
      </c>
      <c r="AZ2594" s="10">
        <v>0</v>
      </c>
      <c r="BA2594" s="11">
        <f t="shared" si="2627"/>
        <v>0</v>
      </c>
      <c r="BB2594" s="10">
        <v>0</v>
      </c>
      <c r="BC2594" s="11">
        <f t="shared" si="2628"/>
        <v>0</v>
      </c>
      <c r="BD2594" s="10">
        <v>0</v>
      </c>
      <c r="BE2594" s="11">
        <f t="shared" si="2629"/>
        <v>0</v>
      </c>
      <c r="BF2594" s="10">
        <v>0</v>
      </c>
      <c r="BG2594" s="11">
        <f t="shared" si="2630"/>
        <v>0</v>
      </c>
      <c r="BH2594" s="11">
        <v>1110</v>
      </c>
      <c r="BI2594" s="11">
        <v>200</v>
      </c>
      <c r="BN2594" s="8">
        <f t="shared" si="2587"/>
        <v>17321</v>
      </c>
      <c r="BO2594" s="8">
        <f t="shared" si="2580"/>
        <v>995275</v>
      </c>
      <c r="BP2594" s="8">
        <f t="shared" si="2590"/>
        <v>1145</v>
      </c>
      <c r="BQ2594" s="12">
        <f t="shared" si="2591"/>
        <v>70550</v>
      </c>
    </row>
    <row r="2595" spans="1:69">
      <c r="A2595" s="28">
        <v>1996</v>
      </c>
      <c r="B2595" s="27" t="s">
        <v>116</v>
      </c>
      <c r="C2595" s="24">
        <f t="shared" si="2592"/>
        <v>2554</v>
      </c>
      <c r="D2595" s="7" t="e">
        <f t="shared" ca="1" si="2593"/>
        <v>#N/A</v>
      </c>
      <c r="E2595" s="26">
        <f t="array" aca="1" ref="E2595" ca="1">AVERAGE(IF(INDIRECT(DatCol&amp;"$"&amp;TEXT(C2595,"###")):INDIRECT(DatCol&amp;"$"&amp;TEXT(C2595+57,"###"))&gt;0,INDIRECT(DatCol&amp;"$"&amp;TEXT(C2595,"###")):INDIRECT(DatCol&amp;"$"&amp;TEXT(C2595+57,"###"))))</f>
        <v>95.745405405405407</v>
      </c>
      <c r="F2595" s="26" t="str">
        <f t="shared" si="2594"/>
        <v>C</v>
      </c>
      <c r="G2595" s="9">
        <v>199</v>
      </c>
      <c r="H2595" s="9">
        <v>320</v>
      </c>
      <c r="I2595" s="9">
        <v>286</v>
      </c>
      <c r="J2595" s="9">
        <v>387</v>
      </c>
      <c r="K2595" s="9">
        <f t="shared" si="2581"/>
        <v>906</v>
      </c>
      <c r="L2595" s="10">
        <v>300</v>
      </c>
      <c r="M2595" s="11">
        <f t="shared" si="2613"/>
        <v>15000</v>
      </c>
      <c r="N2595" s="10">
        <v>30</v>
      </c>
      <c r="O2595" s="11">
        <f t="shared" si="2614"/>
        <v>1500</v>
      </c>
      <c r="P2595" s="10">
        <f>(3680+2760+2760)</f>
        <v>9200</v>
      </c>
      <c r="Q2595" s="11">
        <f t="shared" si="2615"/>
        <v>552000</v>
      </c>
      <c r="X2595" s="10">
        <v>400</v>
      </c>
      <c r="Y2595" s="11">
        <f t="shared" si="2616"/>
        <v>24000</v>
      </c>
      <c r="AF2595" s="10">
        <v>4200</v>
      </c>
      <c r="AG2595" s="11">
        <f t="shared" si="2617"/>
        <v>273000</v>
      </c>
      <c r="AH2595" s="10">
        <v>900</v>
      </c>
      <c r="AI2595" s="11">
        <f t="shared" si="2618"/>
        <v>58500</v>
      </c>
      <c r="AJ2595" s="10">
        <v>1100</v>
      </c>
      <c r="AK2595" s="13">
        <f t="shared" si="2619"/>
        <v>9900</v>
      </c>
      <c r="AL2595" s="10">
        <v>0</v>
      </c>
      <c r="AM2595" s="13">
        <f t="shared" si="2620"/>
        <v>0</v>
      </c>
      <c r="AN2595" s="10">
        <v>0</v>
      </c>
      <c r="AO2595" s="11">
        <f t="shared" si="2621"/>
        <v>0</v>
      </c>
      <c r="AP2595" s="10">
        <v>0</v>
      </c>
      <c r="AQ2595" s="11">
        <f t="shared" si="2622"/>
        <v>0</v>
      </c>
      <c r="AR2595" s="10">
        <v>0</v>
      </c>
      <c r="AS2595" s="11">
        <f t="shared" si="2623"/>
        <v>0</v>
      </c>
      <c r="AT2595" s="10">
        <v>0</v>
      </c>
      <c r="AU2595" s="11">
        <f t="shared" si="2624"/>
        <v>0</v>
      </c>
      <c r="AV2595" s="10">
        <v>0</v>
      </c>
      <c r="AW2595" s="11">
        <f t="shared" si="2625"/>
        <v>0</v>
      </c>
      <c r="AX2595" s="10">
        <v>0</v>
      </c>
      <c r="AY2595" s="11">
        <f t="shared" si="2626"/>
        <v>0</v>
      </c>
      <c r="AZ2595" s="10">
        <v>6</v>
      </c>
      <c r="BA2595" s="11">
        <f t="shared" si="2627"/>
        <v>240</v>
      </c>
      <c r="BB2595" s="10">
        <v>0</v>
      </c>
      <c r="BC2595" s="11">
        <f t="shared" si="2628"/>
        <v>0</v>
      </c>
      <c r="BD2595" s="10">
        <v>0</v>
      </c>
      <c r="BE2595" s="11">
        <f t="shared" si="2629"/>
        <v>0</v>
      </c>
      <c r="BF2595" s="10">
        <v>0</v>
      </c>
      <c r="BG2595" s="11">
        <f t="shared" si="2630"/>
        <v>0</v>
      </c>
      <c r="BH2595" s="11">
        <v>400</v>
      </c>
      <c r="BI2595" s="11">
        <v>0</v>
      </c>
      <c r="BN2595" s="8">
        <f t="shared" si="2587"/>
        <v>15206</v>
      </c>
      <c r="BO2595" s="8">
        <f t="shared" si="2580"/>
        <v>874140</v>
      </c>
      <c r="BP2595" s="8">
        <f t="shared" si="2590"/>
        <v>1330</v>
      </c>
      <c r="BQ2595" s="12">
        <f t="shared" si="2591"/>
        <v>84000</v>
      </c>
    </row>
    <row r="2596" spans="1:69">
      <c r="A2596" s="28">
        <v>1997</v>
      </c>
      <c r="B2596" s="27" t="s">
        <v>116</v>
      </c>
      <c r="C2596" s="24">
        <f t="shared" si="2592"/>
        <v>2554</v>
      </c>
      <c r="D2596" s="7" t="e">
        <f t="shared" ca="1" si="2593"/>
        <v>#N/A</v>
      </c>
      <c r="E2596" s="26">
        <f t="array" aca="1" ref="E2596" ca="1">AVERAGE(IF(INDIRECT(DatCol&amp;"$"&amp;TEXT(C2596,"###")):INDIRECT(DatCol&amp;"$"&amp;TEXT(C2596+57,"###"))&gt;0,INDIRECT(DatCol&amp;"$"&amp;TEXT(C2596,"###")):INDIRECT(DatCol&amp;"$"&amp;TEXT(C2596+57,"###"))))</f>
        <v>95.745405405405407</v>
      </c>
      <c r="F2596" s="26" t="str">
        <f t="shared" si="2594"/>
        <v>C</v>
      </c>
      <c r="G2596" s="9">
        <v>0</v>
      </c>
      <c r="H2596" s="9">
        <v>631</v>
      </c>
      <c r="I2596" s="9">
        <v>281</v>
      </c>
      <c r="J2596" s="9">
        <v>676</v>
      </c>
      <c r="K2596" s="9">
        <f t="shared" si="2581"/>
        <v>1307</v>
      </c>
      <c r="L2596" s="10">
        <v>30</v>
      </c>
      <c r="M2596" s="11">
        <f t="shared" si="2613"/>
        <v>1500</v>
      </c>
      <c r="N2596" s="10">
        <v>5</v>
      </c>
      <c r="O2596" s="11">
        <f t="shared" si="2614"/>
        <v>250</v>
      </c>
      <c r="P2596" s="10">
        <v>10000</v>
      </c>
      <c r="Q2596" s="11">
        <f t="shared" si="2615"/>
        <v>600000</v>
      </c>
      <c r="X2596" s="10">
        <v>450</v>
      </c>
      <c r="Y2596" s="11">
        <f t="shared" si="2616"/>
        <v>27000</v>
      </c>
      <c r="AF2596" s="10">
        <v>6500</v>
      </c>
      <c r="AG2596" s="11">
        <f t="shared" si="2617"/>
        <v>422500</v>
      </c>
      <c r="AH2596" s="10">
        <v>1900</v>
      </c>
      <c r="AI2596" s="11">
        <f t="shared" si="2618"/>
        <v>123500</v>
      </c>
      <c r="AJ2596" s="10">
        <v>100</v>
      </c>
      <c r="AK2596" s="13">
        <f t="shared" si="2619"/>
        <v>900</v>
      </c>
      <c r="AL2596" s="10">
        <v>0</v>
      </c>
      <c r="AM2596" s="13">
        <f t="shared" si="2620"/>
        <v>0</v>
      </c>
      <c r="AN2596" s="10">
        <v>0</v>
      </c>
      <c r="AO2596" s="11">
        <f t="shared" si="2621"/>
        <v>0</v>
      </c>
      <c r="AP2596" s="10">
        <v>30</v>
      </c>
      <c r="AQ2596" s="11">
        <f t="shared" si="2622"/>
        <v>2400</v>
      </c>
      <c r="AR2596" s="10">
        <v>0</v>
      </c>
      <c r="AS2596" s="11">
        <f t="shared" si="2623"/>
        <v>0</v>
      </c>
      <c r="AT2596" s="10">
        <v>0</v>
      </c>
      <c r="AU2596" s="11">
        <f t="shared" si="2624"/>
        <v>0</v>
      </c>
      <c r="AV2596" s="10">
        <v>0</v>
      </c>
      <c r="AW2596" s="11">
        <f t="shared" si="2625"/>
        <v>0</v>
      </c>
      <c r="AX2596" s="10">
        <v>0</v>
      </c>
      <c r="AY2596" s="11">
        <f t="shared" si="2626"/>
        <v>0</v>
      </c>
      <c r="AZ2596" s="10">
        <v>6</v>
      </c>
      <c r="BA2596" s="11">
        <f t="shared" si="2627"/>
        <v>240</v>
      </c>
      <c r="BB2596" s="10">
        <v>0</v>
      </c>
      <c r="BC2596" s="11">
        <f t="shared" si="2628"/>
        <v>0</v>
      </c>
      <c r="BD2596" s="10">
        <v>0</v>
      </c>
      <c r="BE2596" s="11">
        <f t="shared" si="2629"/>
        <v>0</v>
      </c>
      <c r="BF2596" s="10">
        <v>0</v>
      </c>
      <c r="BG2596" s="11">
        <f t="shared" si="2630"/>
        <v>0</v>
      </c>
      <c r="BH2596" s="11">
        <v>400</v>
      </c>
      <c r="BI2596" s="11">
        <v>0</v>
      </c>
      <c r="BN2596" s="8">
        <f t="shared" si="2587"/>
        <v>17086</v>
      </c>
      <c r="BO2596" s="8">
        <f t="shared" si="2580"/>
        <v>1052140</v>
      </c>
      <c r="BP2596" s="8">
        <f t="shared" si="2590"/>
        <v>2385</v>
      </c>
      <c r="BQ2596" s="12">
        <f t="shared" si="2591"/>
        <v>153150</v>
      </c>
    </row>
    <row r="2597" spans="1:69">
      <c r="A2597" s="28">
        <v>1998</v>
      </c>
      <c r="B2597" s="27" t="s">
        <v>116</v>
      </c>
      <c r="C2597" s="24">
        <f t="shared" si="2592"/>
        <v>2554</v>
      </c>
      <c r="D2597" s="7" t="e">
        <f t="shared" ca="1" si="2593"/>
        <v>#N/A</v>
      </c>
      <c r="E2597" s="26">
        <f t="array" aca="1" ref="E2597" ca="1">AVERAGE(IF(INDIRECT(DatCol&amp;"$"&amp;TEXT(C2597,"###")):INDIRECT(DatCol&amp;"$"&amp;TEXT(C2597+57,"###"))&gt;0,INDIRECT(DatCol&amp;"$"&amp;TEXT(C2597,"###")):INDIRECT(DatCol&amp;"$"&amp;TEXT(C2597+57,"###"))))</f>
        <v>95.745405405405407</v>
      </c>
      <c r="F2597" s="26" t="str">
        <f t="shared" si="2594"/>
        <v>C</v>
      </c>
      <c r="G2597" s="9">
        <v>98</v>
      </c>
      <c r="H2597" s="9">
        <v>330</v>
      </c>
      <c r="I2597" s="9">
        <v>205</v>
      </c>
      <c r="J2597" s="9">
        <v>604</v>
      </c>
      <c r="K2597" s="9">
        <f t="shared" si="2581"/>
        <v>1032</v>
      </c>
      <c r="L2597" s="10">
        <f>(M2597/50)</f>
        <v>21</v>
      </c>
      <c r="M2597" s="11">
        <v>1050</v>
      </c>
      <c r="N2597" s="10">
        <v>15</v>
      </c>
      <c r="O2597" s="11">
        <v>750</v>
      </c>
      <c r="P2597" s="10">
        <f>(Q2597*5.5/330)</f>
        <v>12119</v>
      </c>
      <c r="Q2597" s="11">
        <v>727140</v>
      </c>
      <c r="R2597" s="10">
        <v>0</v>
      </c>
      <c r="S2597" s="11">
        <v>0</v>
      </c>
      <c r="T2597" s="10">
        <v>0</v>
      </c>
      <c r="U2597" s="11">
        <v>0</v>
      </c>
      <c r="V2597" s="10">
        <v>0</v>
      </c>
      <c r="W2597" s="11">
        <v>0</v>
      </c>
      <c r="X2597" s="10">
        <f>(Y2597*5.5/330)</f>
        <v>1521</v>
      </c>
      <c r="Y2597" s="11">
        <v>91260</v>
      </c>
      <c r="Z2597" s="10">
        <v>0</v>
      </c>
      <c r="AA2597" s="11">
        <v>0</v>
      </c>
      <c r="AB2597" s="10">
        <v>0</v>
      </c>
      <c r="AC2597" s="11">
        <v>0</v>
      </c>
      <c r="AD2597" s="10">
        <v>0</v>
      </c>
      <c r="AE2597" s="11">
        <v>0</v>
      </c>
      <c r="AF2597" s="10">
        <f>(AG2597/65)</f>
        <v>5229.2307692307695</v>
      </c>
      <c r="AG2597" s="11">
        <v>339900</v>
      </c>
      <c r="AH2597" s="10">
        <f>(AI2597/65)</f>
        <v>831.53846153846155</v>
      </c>
      <c r="AI2597" s="11">
        <v>54050</v>
      </c>
      <c r="AJ2597" s="10">
        <f>(AK2597/9)</f>
        <v>1527.7777777777778</v>
      </c>
      <c r="AK2597" s="13">
        <v>13750</v>
      </c>
      <c r="AL2597" s="10">
        <v>0</v>
      </c>
      <c r="AM2597" s="13">
        <v>0</v>
      </c>
      <c r="AN2597" s="10">
        <v>0</v>
      </c>
      <c r="AO2597" s="11">
        <v>0</v>
      </c>
      <c r="AP2597" s="10">
        <v>0</v>
      </c>
      <c r="AQ2597" s="11">
        <v>0</v>
      </c>
      <c r="AR2597" s="10">
        <v>0</v>
      </c>
      <c r="AS2597" s="11">
        <v>0</v>
      </c>
      <c r="AT2597" s="10">
        <v>0</v>
      </c>
      <c r="AU2597" s="11">
        <v>0</v>
      </c>
      <c r="AV2597" s="10">
        <v>0</v>
      </c>
      <c r="AW2597" s="11">
        <v>0</v>
      </c>
      <c r="AX2597" s="10">
        <v>0</v>
      </c>
      <c r="AY2597" s="11">
        <v>0</v>
      </c>
      <c r="AZ2597" s="10">
        <v>0</v>
      </c>
      <c r="BA2597" s="11">
        <v>0</v>
      </c>
      <c r="BB2597" s="10">
        <v>0</v>
      </c>
      <c r="BC2597" s="11">
        <v>0</v>
      </c>
      <c r="BD2597" s="10">
        <v>0</v>
      </c>
      <c r="BE2597" s="11">
        <v>0</v>
      </c>
      <c r="BF2597" s="10">
        <v>0</v>
      </c>
      <c r="BG2597" s="11">
        <v>0</v>
      </c>
      <c r="BH2597" s="11">
        <v>800</v>
      </c>
      <c r="BI2597" s="11">
        <v>200</v>
      </c>
      <c r="BN2597" s="8">
        <f t="shared" si="2587"/>
        <v>20418.008547008547</v>
      </c>
      <c r="BO2597" s="8">
        <f t="shared" si="2580"/>
        <v>1173100</v>
      </c>
      <c r="BP2597" s="8">
        <f t="shared" si="2590"/>
        <v>2367.5384615384614</v>
      </c>
      <c r="BQ2597" s="12">
        <f t="shared" si="2591"/>
        <v>146060</v>
      </c>
    </row>
    <row r="2598" spans="1:69">
      <c r="A2598" s="28">
        <v>1999</v>
      </c>
      <c r="B2598" s="27" t="s">
        <v>116</v>
      </c>
      <c r="C2598" s="24">
        <f t="shared" si="2592"/>
        <v>2554</v>
      </c>
      <c r="D2598" s="7" t="e">
        <f t="shared" ca="1" si="2593"/>
        <v>#N/A</v>
      </c>
      <c r="E2598" s="26">
        <f t="array" aca="1" ref="E2598" ca="1">AVERAGE(IF(INDIRECT(DatCol&amp;"$"&amp;TEXT(C2598,"###")):INDIRECT(DatCol&amp;"$"&amp;TEXT(C2598+57,"###"))&gt;0,INDIRECT(DatCol&amp;"$"&amp;TEXT(C2598,"###")):INDIRECT(DatCol&amp;"$"&amp;TEXT(C2598+57,"###"))))</f>
        <v>95.745405405405407</v>
      </c>
      <c r="F2598" s="26" t="str">
        <f t="shared" si="2594"/>
        <v>C</v>
      </c>
      <c r="G2598" s="9">
        <v>102</v>
      </c>
      <c r="H2598" s="9">
        <v>174</v>
      </c>
      <c r="I2598" s="9">
        <v>212</v>
      </c>
      <c r="J2598" s="9">
        <v>299</v>
      </c>
      <c r="K2598" s="9">
        <f t="shared" si="2581"/>
        <v>575</v>
      </c>
      <c r="L2598" s="10">
        <f>M2598/50</f>
        <v>76</v>
      </c>
      <c r="M2598" s="11">
        <v>3800</v>
      </c>
      <c r="N2598" s="10">
        <f>O2598/50</f>
        <v>5.0999999999999996</v>
      </c>
      <c r="O2598" s="11">
        <v>255</v>
      </c>
      <c r="P2598" s="10">
        <f>Q2598/60</f>
        <v>12933</v>
      </c>
      <c r="Q2598" s="11">
        <v>775980</v>
      </c>
      <c r="R2598" s="10">
        <v>0</v>
      </c>
      <c r="S2598" s="11">
        <v>0</v>
      </c>
      <c r="T2598" s="10">
        <v>0</v>
      </c>
      <c r="U2598" s="11">
        <v>0</v>
      </c>
      <c r="V2598" s="10">
        <v>0</v>
      </c>
      <c r="W2598" s="11">
        <v>0</v>
      </c>
      <c r="X2598" s="10">
        <f>Y2598/60</f>
        <v>554</v>
      </c>
      <c r="Y2598" s="11">
        <v>33240</v>
      </c>
      <c r="Z2598" s="10">
        <v>0</v>
      </c>
      <c r="AA2598" s="11">
        <v>0</v>
      </c>
      <c r="AB2598" s="10">
        <v>0</v>
      </c>
      <c r="AC2598" s="11">
        <v>0</v>
      </c>
      <c r="AD2598" s="10">
        <v>0</v>
      </c>
      <c r="AE2598" s="11">
        <v>0</v>
      </c>
      <c r="AF2598" s="10">
        <f>AG2598/50</f>
        <v>7042</v>
      </c>
      <c r="AG2598" s="11">
        <v>352100</v>
      </c>
      <c r="AH2598" s="10">
        <f>AI2598/50</f>
        <v>1414</v>
      </c>
      <c r="AI2598" s="11">
        <v>70700</v>
      </c>
      <c r="AJ2598" s="10">
        <f t="shared" ref="AJ2598:AJ2605" si="2631">AK2598/9</f>
        <v>6666.666666666667</v>
      </c>
      <c r="AK2598" s="13">
        <v>60000</v>
      </c>
      <c r="AM2598" s="13"/>
      <c r="BN2598" s="8">
        <f t="shared" si="2587"/>
        <v>27271.666666666668</v>
      </c>
      <c r="BO2598" s="8">
        <f t="shared" si="2580"/>
        <v>1225120</v>
      </c>
      <c r="BP2598" s="8">
        <f t="shared" si="2590"/>
        <v>1973.1</v>
      </c>
      <c r="BQ2598" s="12">
        <f t="shared" si="2591"/>
        <v>104195</v>
      </c>
    </row>
    <row r="2599" spans="1:69">
      <c r="A2599" s="28">
        <v>2000</v>
      </c>
      <c r="B2599" s="27" t="s">
        <v>116</v>
      </c>
      <c r="C2599" s="24">
        <f t="shared" si="2592"/>
        <v>2554</v>
      </c>
      <c r="D2599" s="7" t="e">
        <f t="shared" ca="1" si="2593"/>
        <v>#N/A</v>
      </c>
      <c r="E2599" s="26">
        <f t="array" aca="1" ref="E2599" ca="1">AVERAGE(IF(INDIRECT(DatCol&amp;"$"&amp;TEXT(C2599,"###")):INDIRECT(DatCol&amp;"$"&amp;TEXT(C2599+57,"###"))&gt;0,INDIRECT(DatCol&amp;"$"&amp;TEXT(C2599,"###")):INDIRECT(DatCol&amp;"$"&amp;TEXT(C2599+57,"###"))))</f>
        <v>95.745405405405407</v>
      </c>
      <c r="F2599" s="26" t="str">
        <f t="shared" si="2594"/>
        <v>C</v>
      </c>
      <c r="G2599" s="9">
        <v>310</v>
      </c>
      <c r="H2599" s="9">
        <v>302</v>
      </c>
      <c r="I2599" s="9">
        <v>315</v>
      </c>
      <c r="J2599" s="9">
        <v>646</v>
      </c>
      <c r="K2599" s="9">
        <f t="shared" si="2581"/>
        <v>1258</v>
      </c>
      <c r="L2599" s="10">
        <f>M2599/50</f>
        <v>27</v>
      </c>
      <c r="M2599" s="11">
        <v>1350</v>
      </c>
      <c r="N2599" s="10">
        <v>0</v>
      </c>
      <c r="O2599" s="11">
        <v>0</v>
      </c>
      <c r="P2599" s="10">
        <f>Q2599/49.5</f>
        <v>11244.444444444445</v>
      </c>
      <c r="Q2599" s="11">
        <v>556600</v>
      </c>
      <c r="X2599" s="10">
        <f>Y2599/49.5</f>
        <v>724.24242424242425</v>
      </c>
      <c r="Y2599" s="11">
        <v>35850</v>
      </c>
      <c r="AF2599" s="10">
        <f t="shared" ref="AF2599:AF2606" si="2632">AG2599/47.5</f>
        <v>7265.2631578947367</v>
      </c>
      <c r="AG2599" s="11">
        <v>345100</v>
      </c>
      <c r="AH2599" s="10">
        <f>AI2599/47.5</f>
        <v>1183.1578947368421</v>
      </c>
      <c r="AI2599" s="11">
        <v>56200</v>
      </c>
      <c r="AJ2599" s="10">
        <f t="shared" si="2631"/>
        <v>1047.7777777777778</v>
      </c>
      <c r="AK2599" s="13">
        <v>9430</v>
      </c>
      <c r="AL2599" s="10">
        <f>AM2599/9</f>
        <v>22.222222222222221</v>
      </c>
      <c r="AM2599" s="13">
        <v>200</v>
      </c>
      <c r="BN2599" s="8">
        <f t="shared" si="2587"/>
        <v>20308.727804359383</v>
      </c>
      <c r="BO2599" s="8">
        <f t="shared" si="2580"/>
        <v>948330</v>
      </c>
      <c r="BP2599" s="8">
        <f t="shared" si="2590"/>
        <v>1929.6225412014885</v>
      </c>
      <c r="BQ2599" s="12">
        <f t="shared" si="2591"/>
        <v>92250</v>
      </c>
    </row>
    <row r="2600" spans="1:69">
      <c r="A2600" s="28">
        <v>2001</v>
      </c>
      <c r="B2600" s="27" t="s">
        <v>116</v>
      </c>
      <c r="C2600" s="24">
        <f t="shared" si="2592"/>
        <v>2554</v>
      </c>
      <c r="D2600" s="7" t="e">
        <f t="shared" ca="1" si="2593"/>
        <v>#N/A</v>
      </c>
      <c r="E2600" s="26">
        <f t="array" aca="1" ref="E2600" ca="1">AVERAGE(IF(INDIRECT(DatCol&amp;"$"&amp;TEXT(C2600,"###")):INDIRECT(DatCol&amp;"$"&amp;TEXT(C2600+57,"###"))&gt;0,INDIRECT(DatCol&amp;"$"&amp;TEXT(C2600,"###")):INDIRECT(DatCol&amp;"$"&amp;TEXT(C2600+57,"###"))))</f>
        <v>95.745405405405407</v>
      </c>
      <c r="F2600" s="26" t="str">
        <f t="shared" si="2594"/>
        <v>C</v>
      </c>
      <c r="H2600" s="9">
        <v>374</v>
      </c>
      <c r="I2600" s="9">
        <v>319</v>
      </c>
      <c r="J2600" s="9">
        <v>739</v>
      </c>
      <c r="K2600" s="9">
        <f t="shared" si="2581"/>
        <v>1113</v>
      </c>
      <c r="L2600" s="10">
        <f>M2600/50</f>
        <v>20.52</v>
      </c>
      <c r="M2600" s="11">
        <v>1026</v>
      </c>
      <c r="N2600" s="10">
        <f>O2600/50</f>
        <v>1.68</v>
      </c>
      <c r="O2600" s="11">
        <v>84</v>
      </c>
      <c r="P2600" s="10">
        <f t="shared" ref="P2600:P2606" si="2633">Q2600/75</f>
        <v>3130.4</v>
      </c>
      <c r="Q2600" s="11">
        <v>234780</v>
      </c>
      <c r="X2600" s="10">
        <f>Y2600/75</f>
        <v>155.96</v>
      </c>
      <c r="Y2600" s="11">
        <v>11697</v>
      </c>
      <c r="AF2600" s="10">
        <f t="shared" si="2632"/>
        <v>2057.5368421052631</v>
      </c>
      <c r="AG2600" s="11">
        <v>97733</v>
      </c>
      <c r="AH2600" s="10">
        <f>AI2600/47.5</f>
        <v>401.7684210526316</v>
      </c>
      <c r="AI2600" s="11">
        <v>19084</v>
      </c>
      <c r="AJ2600" s="10">
        <f t="shared" si="2631"/>
        <v>7264.8888888888887</v>
      </c>
      <c r="AK2600" s="13">
        <v>65384</v>
      </c>
      <c r="AM2600" s="13">
        <v>0</v>
      </c>
      <c r="BN2600" s="8">
        <f t="shared" si="2587"/>
        <v>12629.305730994152</v>
      </c>
      <c r="BO2600" s="8">
        <f t="shared" si="2580"/>
        <v>410620</v>
      </c>
      <c r="BP2600" s="8">
        <f t="shared" si="2590"/>
        <v>559.40842105263164</v>
      </c>
      <c r="BQ2600" s="12">
        <f t="shared" si="2591"/>
        <v>30865</v>
      </c>
    </row>
    <row r="2601" spans="1:69">
      <c r="A2601" s="28">
        <v>2002</v>
      </c>
      <c r="B2601" s="27" t="s">
        <v>116</v>
      </c>
      <c r="C2601" s="24">
        <f t="shared" si="2592"/>
        <v>2554</v>
      </c>
      <c r="D2601" s="7" t="e">
        <f t="shared" ca="1" si="2593"/>
        <v>#N/A</v>
      </c>
      <c r="E2601" s="26">
        <f t="array" aca="1" ref="E2601" ca="1">AVERAGE(IF(INDIRECT(DatCol&amp;"$"&amp;TEXT(C2601,"###")):INDIRECT(DatCol&amp;"$"&amp;TEXT(C2601+57,"###"))&gt;0,INDIRECT(DatCol&amp;"$"&amp;TEXT(C2601,"###")):INDIRECT(DatCol&amp;"$"&amp;TEXT(C2601+57,"###"))))</f>
        <v>95.745405405405407</v>
      </c>
      <c r="F2601" s="26" t="str">
        <f t="shared" si="2594"/>
        <v>C</v>
      </c>
      <c r="G2601" s="9">
        <v>0</v>
      </c>
      <c r="H2601" s="9">
        <v>236</v>
      </c>
      <c r="I2601" s="9">
        <v>310</v>
      </c>
      <c r="J2601" s="9">
        <v>728</v>
      </c>
      <c r="K2601" s="9">
        <f t="shared" si="2581"/>
        <v>964</v>
      </c>
      <c r="L2601" s="10">
        <f>M2601/50</f>
        <v>1.6</v>
      </c>
      <c r="M2601" s="11">
        <v>80</v>
      </c>
      <c r="N2601" s="10">
        <f>O2601/50</f>
        <v>12.8</v>
      </c>
      <c r="O2601" s="11">
        <v>640</v>
      </c>
      <c r="P2601" s="10">
        <f t="shared" si="2633"/>
        <v>5264</v>
      </c>
      <c r="Q2601" s="11">
        <v>394800</v>
      </c>
      <c r="R2601" s="10">
        <v>0</v>
      </c>
      <c r="S2601" s="11">
        <v>0</v>
      </c>
      <c r="T2601" s="10">
        <v>0</v>
      </c>
      <c r="U2601" s="11">
        <v>0</v>
      </c>
      <c r="V2601" s="10">
        <v>0</v>
      </c>
      <c r="W2601" s="11">
        <v>0</v>
      </c>
      <c r="X2601" s="10">
        <f>Y2601/75</f>
        <v>218.13333333333333</v>
      </c>
      <c r="Y2601" s="11">
        <v>16360</v>
      </c>
      <c r="Z2601" s="10">
        <v>0</v>
      </c>
      <c r="AA2601" s="11">
        <v>0</v>
      </c>
      <c r="AB2601" s="10">
        <v>0</v>
      </c>
      <c r="AC2601" s="11">
        <v>0</v>
      </c>
      <c r="AD2601" s="10">
        <v>0</v>
      </c>
      <c r="AE2601" s="11">
        <v>0</v>
      </c>
      <c r="AF2601" s="10">
        <f t="shared" si="2632"/>
        <v>2152.4210526315787</v>
      </c>
      <c r="AG2601" s="11">
        <v>102240</v>
      </c>
      <c r="AH2601" s="10">
        <f>AI2601/47.5</f>
        <v>270.31578947368422</v>
      </c>
      <c r="AI2601" s="11">
        <v>12840</v>
      </c>
      <c r="AJ2601" s="10">
        <f t="shared" si="2631"/>
        <v>4000</v>
      </c>
      <c r="AK2601" s="13">
        <v>36000</v>
      </c>
      <c r="AL2601" s="10">
        <v>0</v>
      </c>
      <c r="AM2601" s="13">
        <v>0</v>
      </c>
      <c r="BN2601" s="8">
        <f t="shared" si="2587"/>
        <v>11636.154385964912</v>
      </c>
      <c r="BO2601" s="8">
        <f t="shared" si="2580"/>
        <v>549480</v>
      </c>
      <c r="BP2601" s="8">
        <f t="shared" si="2590"/>
        <v>501.24912280701756</v>
      </c>
      <c r="BQ2601" s="12">
        <f t="shared" si="2591"/>
        <v>29840</v>
      </c>
    </row>
    <row r="2602" spans="1:69">
      <c r="A2602" s="28">
        <v>2003</v>
      </c>
      <c r="B2602" s="27" t="s">
        <v>116</v>
      </c>
      <c r="C2602" s="24">
        <f t="shared" si="2592"/>
        <v>2554</v>
      </c>
      <c r="D2602" s="7" t="e">
        <f t="shared" ca="1" si="2593"/>
        <v>#N/A</v>
      </c>
      <c r="E2602" s="26">
        <f t="array" aca="1" ref="E2602" ca="1">AVERAGE(IF(INDIRECT(DatCol&amp;"$"&amp;TEXT(C2602,"###")):INDIRECT(DatCol&amp;"$"&amp;TEXT(C2602+57,"###"))&gt;0,INDIRECT(DatCol&amp;"$"&amp;TEXT(C2602,"###")):INDIRECT(DatCol&amp;"$"&amp;TEXT(C2602+57,"###"))))</f>
        <v>95.745405405405407</v>
      </c>
      <c r="F2602" s="26" t="str">
        <f t="shared" si="2594"/>
        <v>C</v>
      </c>
      <c r="G2602" s="9">
        <v>0</v>
      </c>
      <c r="H2602" s="9">
        <v>139</v>
      </c>
      <c r="I2602" s="9">
        <v>288</v>
      </c>
      <c r="J2602" s="9">
        <v>688</v>
      </c>
      <c r="K2602" s="9">
        <f t="shared" si="2581"/>
        <v>827</v>
      </c>
      <c r="L2602" s="10">
        <f>M2602/50</f>
        <v>0.4</v>
      </c>
      <c r="M2602" s="11">
        <v>20</v>
      </c>
      <c r="N2602" s="10">
        <f>O2602/50</f>
        <v>18</v>
      </c>
      <c r="O2602" s="11">
        <v>900</v>
      </c>
      <c r="P2602" s="10">
        <f t="shared" si="2633"/>
        <v>8666.6666666666661</v>
      </c>
      <c r="Q2602" s="11">
        <v>650000</v>
      </c>
      <c r="R2602" s="10">
        <v>0</v>
      </c>
      <c r="S2602" s="11">
        <v>0</v>
      </c>
      <c r="T2602" s="10">
        <v>0</v>
      </c>
      <c r="U2602" s="11">
        <v>0</v>
      </c>
      <c r="V2602" s="10">
        <v>0</v>
      </c>
      <c r="W2602" s="11">
        <v>0</v>
      </c>
      <c r="X2602" s="10">
        <f>Y2602/75</f>
        <v>350</v>
      </c>
      <c r="Y2602" s="11">
        <v>26250</v>
      </c>
      <c r="Z2602" s="10">
        <v>0</v>
      </c>
      <c r="AA2602" s="11">
        <v>0</v>
      </c>
      <c r="AB2602" s="10">
        <v>0</v>
      </c>
      <c r="AC2602" s="11">
        <v>0</v>
      </c>
      <c r="AD2602" s="10">
        <v>0</v>
      </c>
      <c r="AE2602" s="11">
        <v>0</v>
      </c>
      <c r="AF2602" s="10">
        <f t="shared" si="2632"/>
        <v>3789.4736842105262</v>
      </c>
      <c r="AG2602" s="11">
        <v>180000</v>
      </c>
      <c r="AH2602" s="10">
        <v>300</v>
      </c>
      <c r="AI2602" s="11">
        <f>AH2602*47.5</f>
        <v>14250</v>
      </c>
      <c r="AJ2602" s="10">
        <f t="shared" si="2631"/>
        <v>11111.111111111111</v>
      </c>
      <c r="AK2602" s="13">
        <v>100000</v>
      </c>
      <c r="AL2602" s="10">
        <v>0</v>
      </c>
      <c r="AM2602" s="13">
        <v>0</v>
      </c>
      <c r="AN2602" s="10">
        <v>0</v>
      </c>
      <c r="AO2602" s="11">
        <v>0</v>
      </c>
      <c r="AP2602" s="10">
        <v>0</v>
      </c>
      <c r="AQ2602" s="11">
        <v>0</v>
      </c>
      <c r="AR2602" s="10">
        <v>0</v>
      </c>
      <c r="AS2602" s="11">
        <v>0</v>
      </c>
      <c r="AT2602" s="10">
        <v>0</v>
      </c>
      <c r="AU2602" s="11">
        <v>0</v>
      </c>
      <c r="AV2602" s="10">
        <v>0</v>
      </c>
      <c r="AW2602" s="11">
        <v>0</v>
      </c>
      <c r="AX2602" s="10">
        <v>0</v>
      </c>
      <c r="AY2602" s="11">
        <v>0</v>
      </c>
      <c r="AZ2602" s="10">
        <v>0</v>
      </c>
      <c r="BA2602" s="11">
        <v>0</v>
      </c>
      <c r="BB2602" s="10">
        <v>0</v>
      </c>
      <c r="BC2602" s="11">
        <v>0</v>
      </c>
      <c r="BD2602" s="10">
        <v>0</v>
      </c>
      <c r="BE2602" s="11">
        <v>0</v>
      </c>
      <c r="BF2602" s="10">
        <v>0</v>
      </c>
      <c r="BG2602" s="11">
        <v>0</v>
      </c>
      <c r="BN2602" s="8">
        <f t="shared" si="2587"/>
        <v>23917.651461988302</v>
      </c>
      <c r="BO2602" s="8">
        <f t="shared" si="2580"/>
        <v>956270</v>
      </c>
      <c r="BP2602" s="8">
        <f t="shared" si="2590"/>
        <v>668</v>
      </c>
      <c r="BQ2602" s="12">
        <f t="shared" si="2591"/>
        <v>41400</v>
      </c>
    </row>
    <row r="2603" spans="1:69">
      <c r="A2603" s="28">
        <v>2004</v>
      </c>
      <c r="B2603" s="27" t="s">
        <v>116</v>
      </c>
      <c r="C2603" s="24">
        <f t="shared" si="2592"/>
        <v>2554</v>
      </c>
      <c r="D2603" s="7" t="e">
        <f t="shared" ca="1" si="2593"/>
        <v>#N/A</v>
      </c>
      <c r="E2603" s="26">
        <f t="array" aca="1" ref="E2603" ca="1">AVERAGE(IF(INDIRECT(DatCol&amp;"$"&amp;TEXT(C2603,"###")):INDIRECT(DatCol&amp;"$"&amp;TEXT(C2603+57,"###"))&gt;0,INDIRECT(DatCol&amp;"$"&amp;TEXT(C2603,"###")):INDIRECT(DatCol&amp;"$"&amp;TEXT(C2603+57,"###"))))</f>
        <v>95.745405405405407</v>
      </c>
      <c r="F2603" s="26" t="str">
        <f t="shared" si="2594"/>
        <v>C</v>
      </c>
      <c r="G2603" s="9">
        <v>0</v>
      </c>
      <c r="H2603" s="9">
        <v>385</v>
      </c>
      <c r="I2603" s="9">
        <v>396</v>
      </c>
      <c r="J2603" s="9">
        <v>926</v>
      </c>
      <c r="K2603" s="9">
        <f t="shared" si="2581"/>
        <v>1311</v>
      </c>
      <c r="L2603" s="10">
        <v>0</v>
      </c>
      <c r="M2603" s="11">
        <v>0</v>
      </c>
      <c r="N2603" s="10">
        <f>O2603/50</f>
        <v>12</v>
      </c>
      <c r="O2603" s="11">
        <v>600</v>
      </c>
      <c r="P2603" s="10">
        <f t="shared" si="2633"/>
        <v>0</v>
      </c>
      <c r="Q2603" s="11">
        <v>0</v>
      </c>
      <c r="R2603" s="10">
        <f>S2603/75</f>
        <v>7466.666666666667</v>
      </c>
      <c r="S2603" s="11">
        <v>560000</v>
      </c>
      <c r="T2603" s="10">
        <v>0</v>
      </c>
      <c r="U2603" s="11">
        <v>0</v>
      </c>
      <c r="V2603" s="10">
        <v>0</v>
      </c>
      <c r="W2603" s="11">
        <v>0</v>
      </c>
      <c r="X2603" s="10">
        <f>Y2603/75</f>
        <v>433.33333333333331</v>
      </c>
      <c r="Y2603" s="11">
        <v>32500</v>
      </c>
      <c r="Z2603" s="10">
        <v>0</v>
      </c>
      <c r="AA2603" s="11">
        <v>0</v>
      </c>
      <c r="AB2603" s="10">
        <v>0</v>
      </c>
      <c r="AC2603" s="11">
        <v>0</v>
      </c>
      <c r="AD2603" s="10">
        <v>0</v>
      </c>
      <c r="AE2603" s="11">
        <v>0</v>
      </c>
      <c r="AF2603" s="10">
        <f t="shared" si="2632"/>
        <v>14736.842105263158</v>
      </c>
      <c r="AG2603" s="11">
        <v>700000</v>
      </c>
      <c r="AH2603" s="10">
        <f>AI2603/47.5</f>
        <v>884.21052631578948</v>
      </c>
      <c r="AI2603" s="11">
        <v>42000</v>
      </c>
      <c r="AJ2603" s="10">
        <f t="shared" si="2631"/>
        <v>13333.333333333334</v>
      </c>
      <c r="AK2603" s="13">
        <v>120000</v>
      </c>
      <c r="AL2603" s="10">
        <v>0</v>
      </c>
      <c r="AM2603" s="13">
        <v>0</v>
      </c>
      <c r="BN2603" s="8">
        <f t="shared" si="2587"/>
        <v>35970.175438596496</v>
      </c>
      <c r="BO2603" s="8">
        <f t="shared" si="2580"/>
        <v>1412500</v>
      </c>
      <c r="BP2603" s="8">
        <f t="shared" si="2590"/>
        <v>1329.5438596491229</v>
      </c>
      <c r="BQ2603" s="12">
        <f t="shared" si="2591"/>
        <v>75100</v>
      </c>
    </row>
    <row r="2604" spans="1:69">
      <c r="A2604" s="28">
        <v>2005</v>
      </c>
      <c r="B2604" s="27" t="s">
        <v>116</v>
      </c>
      <c r="C2604" s="24">
        <f t="shared" si="2592"/>
        <v>2554</v>
      </c>
      <c r="D2604" s="7" t="e">
        <f t="shared" ca="1" si="2593"/>
        <v>#N/A</v>
      </c>
      <c r="E2604" s="26">
        <f t="array" aca="1" ref="E2604" ca="1">AVERAGE(IF(INDIRECT(DatCol&amp;"$"&amp;TEXT(C2604,"###")):INDIRECT(DatCol&amp;"$"&amp;TEXT(C2604+57,"###"))&gt;0,INDIRECT(DatCol&amp;"$"&amp;TEXT(C2604,"###")):INDIRECT(DatCol&amp;"$"&amp;TEXT(C2604+57,"###"))))</f>
        <v>95.745405405405407</v>
      </c>
      <c r="F2604" s="26" t="str">
        <f t="shared" si="2594"/>
        <v>C</v>
      </c>
      <c r="H2604" s="9">
        <v>316</v>
      </c>
      <c r="I2604" s="9">
        <f>3+74+206</f>
        <v>283</v>
      </c>
      <c r="J2604" s="9">
        <v>729</v>
      </c>
      <c r="K2604" s="9">
        <f t="shared" si="2581"/>
        <v>1045</v>
      </c>
      <c r="L2604" s="10">
        <f>M2604/50</f>
        <v>24</v>
      </c>
      <c r="M2604" s="11">
        <v>1200</v>
      </c>
      <c r="N2604" s="10">
        <v>0</v>
      </c>
      <c r="O2604" s="11">
        <v>0</v>
      </c>
      <c r="P2604" s="10">
        <f t="shared" si="2633"/>
        <v>499.2</v>
      </c>
      <c r="Q2604" s="11">
        <v>37440</v>
      </c>
      <c r="R2604" s="10">
        <v>0</v>
      </c>
      <c r="S2604" s="11">
        <v>0</v>
      </c>
      <c r="T2604" s="10">
        <v>0</v>
      </c>
      <c r="U2604" s="11">
        <v>0</v>
      </c>
      <c r="V2604" s="10">
        <v>0</v>
      </c>
      <c r="W2604" s="11">
        <v>0</v>
      </c>
      <c r="X2604" s="10">
        <v>0</v>
      </c>
      <c r="Y2604" s="11">
        <v>0</v>
      </c>
      <c r="Z2604" s="10">
        <f>AA2604/75</f>
        <v>277.33333333333331</v>
      </c>
      <c r="AA2604" s="11">
        <v>20800</v>
      </c>
      <c r="AB2604" s="10">
        <f>AC2604/75</f>
        <v>133.33333333333334</v>
      </c>
      <c r="AC2604" s="11">
        <v>10000</v>
      </c>
      <c r="AD2604" s="10">
        <f>AE2604/75</f>
        <v>28</v>
      </c>
      <c r="AE2604" s="11">
        <v>2100</v>
      </c>
      <c r="AF2604" s="10">
        <f t="shared" si="2632"/>
        <v>7356.6315789473683</v>
      </c>
      <c r="AG2604" s="11">
        <v>349440</v>
      </c>
      <c r="AH2604" s="10">
        <f>AI2604/47.5</f>
        <v>328.42105263157896</v>
      </c>
      <c r="AI2604" s="11">
        <v>15600</v>
      </c>
      <c r="AJ2604" s="10">
        <f t="shared" si="2631"/>
        <v>533.33333333333337</v>
      </c>
      <c r="AK2604" s="13">
        <v>4800</v>
      </c>
      <c r="AL2604" s="10">
        <v>0</v>
      </c>
      <c r="AM2604" s="13">
        <v>0</v>
      </c>
      <c r="AP2604" s="10">
        <v>0</v>
      </c>
      <c r="AQ2604" s="11">
        <v>0</v>
      </c>
      <c r="AT2604" s="10">
        <v>0</v>
      </c>
      <c r="AU2604" s="11">
        <v>0</v>
      </c>
      <c r="AX2604" s="10">
        <v>0</v>
      </c>
      <c r="AY2604" s="11">
        <v>0</v>
      </c>
      <c r="BB2604" s="10">
        <v>0</v>
      </c>
      <c r="BC2604" s="11">
        <v>0</v>
      </c>
      <c r="BF2604" s="10">
        <v>0</v>
      </c>
      <c r="BG2604" s="11">
        <v>0</v>
      </c>
      <c r="BN2604" s="8">
        <f t="shared" si="2587"/>
        <v>8851.8315789473691</v>
      </c>
      <c r="BO2604" s="8">
        <f t="shared" si="2580"/>
        <v>423680</v>
      </c>
      <c r="BP2604" s="8">
        <f t="shared" si="2590"/>
        <v>767.08771929824559</v>
      </c>
      <c r="BQ2604" s="12">
        <f t="shared" si="2591"/>
        <v>48500</v>
      </c>
    </row>
    <row r="2605" spans="1:69">
      <c r="A2605" s="28">
        <v>2006</v>
      </c>
      <c r="B2605" s="27" t="s">
        <v>116</v>
      </c>
      <c r="C2605" s="24">
        <f t="shared" si="2592"/>
        <v>2554</v>
      </c>
      <c r="D2605" s="7" t="e">
        <f t="shared" ca="1" si="2593"/>
        <v>#N/A</v>
      </c>
      <c r="E2605" s="26">
        <f t="array" aca="1" ref="E2605" ca="1">AVERAGE(IF(INDIRECT(DatCol&amp;"$"&amp;TEXT(C2605,"###")):INDIRECT(DatCol&amp;"$"&amp;TEXT(C2605+57,"###"))&gt;0,INDIRECT(DatCol&amp;"$"&amp;TEXT(C2605,"###")):INDIRECT(DatCol&amp;"$"&amp;TEXT(C2605+57,"###"))))</f>
        <v>95.745405405405407</v>
      </c>
      <c r="F2605" s="26" t="str">
        <f t="shared" si="2594"/>
        <v>C</v>
      </c>
      <c r="H2605" s="9">
        <f>144+181</f>
        <v>325</v>
      </c>
      <c r="I2605" s="9">
        <f>8+67+215</f>
        <v>290</v>
      </c>
      <c r="J2605" s="9">
        <f>297+393+199</f>
        <v>889</v>
      </c>
      <c r="K2605" s="9">
        <f t="shared" si="2581"/>
        <v>1214</v>
      </c>
      <c r="L2605" s="10">
        <v>0</v>
      </c>
      <c r="M2605" s="11">
        <v>0</v>
      </c>
      <c r="N2605" s="10">
        <v>0</v>
      </c>
      <c r="O2605" s="11">
        <v>0</v>
      </c>
      <c r="P2605" s="10">
        <f t="shared" si="2633"/>
        <v>384</v>
      </c>
      <c r="Q2605" s="11">
        <v>28800</v>
      </c>
      <c r="R2605" s="10">
        <v>0</v>
      </c>
      <c r="S2605" s="11">
        <v>0</v>
      </c>
      <c r="T2605" s="10">
        <v>0</v>
      </c>
      <c r="U2605" s="11">
        <v>0</v>
      </c>
      <c r="V2605" s="10">
        <v>0</v>
      </c>
      <c r="W2605" s="11">
        <v>0</v>
      </c>
      <c r="X2605" s="10">
        <f>Y2605/75</f>
        <v>716.8</v>
      </c>
      <c r="Y2605" s="11">
        <v>53760</v>
      </c>
      <c r="Z2605" s="10">
        <v>0</v>
      </c>
      <c r="AA2605" s="11">
        <v>0</v>
      </c>
      <c r="AB2605" s="10">
        <v>0</v>
      </c>
      <c r="AC2605" s="11">
        <v>0</v>
      </c>
      <c r="AD2605" s="10">
        <v>0</v>
      </c>
      <c r="AE2605" s="11">
        <v>0</v>
      </c>
      <c r="AF2605" s="10">
        <f t="shared" si="2632"/>
        <v>9054.3157894736851</v>
      </c>
      <c r="AG2605" s="11">
        <v>430080</v>
      </c>
      <c r="AH2605" s="10">
        <f>AI2605/47.5</f>
        <v>1697.6842105263158</v>
      </c>
      <c r="AI2605" s="11">
        <v>80640</v>
      </c>
      <c r="AJ2605" s="10">
        <f t="shared" si="2631"/>
        <v>400</v>
      </c>
      <c r="AK2605" s="13">
        <v>3600</v>
      </c>
      <c r="AL2605" s="10">
        <v>0</v>
      </c>
      <c r="AM2605" s="13">
        <v>0</v>
      </c>
      <c r="AN2605" s="10">
        <v>0</v>
      </c>
      <c r="AO2605" s="11">
        <v>0</v>
      </c>
      <c r="AP2605" s="10">
        <v>0</v>
      </c>
      <c r="AQ2605" s="11">
        <v>0</v>
      </c>
      <c r="AR2605" s="10">
        <v>0</v>
      </c>
      <c r="AS2605" s="11">
        <v>0</v>
      </c>
      <c r="AT2605" s="10">
        <v>0</v>
      </c>
      <c r="AU2605" s="11">
        <v>0</v>
      </c>
      <c r="AV2605" s="10">
        <v>0</v>
      </c>
      <c r="AW2605" s="11">
        <v>0</v>
      </c>
      <c r="AX2605" s="10">
        <v>0</v>
      </c>
      <c r="AY2605" s="11">
        <v>0</v>
      </c>
      <c r="AZ2605" s="10">
        <v>0</v>
      </c>
      <c r="BA2605" s="11">
        <v>0</v>
      </c>
      <c r="BB2605" s="10">
        <v>0</v>
      </c>
      <c r="BC2605" s="11">
        <v>0</v>
      </c>
      <c r="BD2605" s="10">
        <v>0</v>
      </c>
      <c r="BE2605" s="11">
        <v>0</v>
      </c>
      <c r="BF2605" s="10">
        <v>0</v>
      </c>
      <c r="BG2605" s="11">
        <v>0</v>
      </c>
      <c r="BN2605" s="8">
        <f t="shared" si="2587"/>
        <v>10555.115789473684</v>
      </c>
      <c r="BO2605" s="8">
        <f t="shared" si="2580"/>
        <v>516240</v>
      </c>
      <c r="BP2605" s="8">
        <f t="shared" si="2590"/>
        <v>2414.484210526316</v>
      </c>
      <c r="BQ2605" s="12">
        <f t="shared" si="2591"/>
        <v>134400</v>
      </c>
    </row>
    <row r="2606" spans="1:69">
      <c r="A2606" s="28">
        <v>2007</v>
      </c>
      <c r="B2606" s="27" t="s">
        <v>116</v>
      </c>
      <c r="C2606" s="24">
        <f t="shared" si="2592"/>
        <v>2554</v>
      </c>
      <c r="D2606" s="7" t="e">
        <f t="shared" ca="1" si="2593"/>
        <v>#N/A</v>
      </c>
      <c r="E2606" s="26">
        <f t="array" aca="1" ref="E2606" ca="1">AVERAGE(IF(INDIRECT(DatCol&amp;"$"&amp;TEXT(C2606,"###")):INDIRECT(DatCol&amp;"$"&amp;TEXT(C2606+57,"###"))&gt;0,INDIRECT(DatCol&amp;"$"&amp;TEXT(C2606,"###")):INDIRECT(DatCol&amp;"$"&amp;TEXT(C2606+57,"###"))))</f>
        <v>95.745405405405407</v>
      </c>
      <c r="F2606" s="26" t="str">
        <f t="shared" si="2594"/>
        <v>C</v>
      </c>
      <c r="H2606" s="9">
        <v>157</v>
      </c>
      <c r="I2606" s="9">
        <v>364</v>
      </c>
      <c r="J2606" s="9">
        <v>151</v>
      </c>
      <c r="K2606" s="9">
        <f t="shared" si="2581"/>
        <v>308</v>
      </c>
      <c r="L2606" s="10">
        <f>M2606/50</f>
        <v>16</v>
      </c>
      <c r="M2606" s="11">
        <v>800</v>
      </c>
      <c r="N2606" s="10">
        <f>O2606/50</f>
        <v>10</v>
      </c>
      <c r="O2606" s="11">
        <v>500</v>
      </c>
      <c r="P2606" s="10">
        <f t="shared" si="2633"/>
        <v>1360</v>
      </c>
      <c r="Q2606" s="11">
        <v>102000</v>
      </c>
      <c r="R2606" s="10">
        <v>0</v>
      </c>
      <c r="S2606" s="11">
        <v>0</v>
      </c>
      <c r="T2606" s="10">
        <v>0</v>
      </c>
      <c r="U2606" s="11">
        <v>0</v>
      </c>
      <c r="V2606" s="10">
        <v>0</v>
      </c>
      <c r="W2606" s="11">
        <v>0</v>
      </c>
      <c r="X2606" s="10">
        <f>Y2606/75</f>
        <v>986.66666666666663</v>
      </c>
      <c r="Y2606" s="11">
        <v>74000</v>
      </c>
      <c r="Z2606" s="10">
        <v>0</v>
      </c>
      <c r="AA2606" s="11">
        <v>0</v>
      </c>
      <c r="AB2606" s="10">
        <v>0</v>
      </c>
      <c r="AC2606" s="11">
        <v>0</v>
      </c>
      <c r="AD2606" s="10">
        <v>0</v>
      </c>
      <c r="AE2606" s="11">
        <v>0</v>
      </c>
      <c r="AF2606" s="10">
        <f t="shared" si="2632"/>
        <v>19200</v>
      </c>
      <c r="AG2606" s="11">
        <v>912000</v>
      </c>
      <c r="AH2606" s="10">
        <f>AI2606/47.5</f>
        <v>1157.8947368421052</v>
      </c>
      <c r="AI2606" s="11">
        <v>55000</v>
      </c>
      <c r="AJ2606" s="10">
        <f>AK2606/9</f>
        <v>533.33333333333337</v>
      </c>
      <c r="AK2606" s="13">
        <v>4800</v>
      </c>
      <c r="AL2606" s="10">
        <v>0</v>
      </c>
      <c r="AM2606" s="13">
        <v>0</v>
      </c>
      <c r="AN2606" s="10">
        <v>0</v>
      </c>
      <c r="AO2606" s="11">
        <v>0</v>
      </c>
      <c r="AP2606" s="10">
        <v>0</v>
      </c>
      <c r="AQ2606" s="11">
        <v>0</v>
      </c>
      <c r="AR2606" s="10">
        <v>0</v>
      </c>
      <c r="AS2606" s="11">
        <v>0</v>
      </c>
      <c r="AT2606" s="10">
        <v>0</v>
      </c>
      <c r="AU2606" s="11">
        <v>0</v>
      </c>
      <c r="AV2606" s="10">
        <v>0</v>
      </c>
      <c r="AW2606" s="11">
        <v>0</v>
      </c>
      <c r="AX2606" s="10">
        <v>0</v>
      </c>
      <c r="AY2606" s="11">
        <v>0</v>
      </c>
      <c r="AZ2606" s="10">
        <v>0</v>
      </c>
      <c r="BA2606" s="11">
        <v>0</v>
      </c>
      <c r="BB2606" s="10">
        <v>0</v>
      </c>
      <c r="BC2606" s="11">
        <v>0</v>
      </c>
      <c r="BD2606" s="10">
        <v>0</v>
      </c>
      <c r="BE2606" s="11">
        <v>0</v>
      </c>
      <c r="BF2606" s="10">
        <v>0</v>
      </c>
      <c r="BG2606" s="11">
        <v>0</v>
      </c>
      <c r="BN2606" s="8">
        <f t="shared" si="2587"/>
        <v>22096</v>
      </c>
      <c r="BO2606" s="8">
        <f t="shared" ref="BO2606:BO2671" si="2634">(M2606+Q2606+S2606+U2606+W2606+Y2606+AA2606+AC2606+AG2606+AK2606+AO2606+AS2606+AW2606+BA2606+BE2606)</f>
        <v>1093600</v>
      </c>
      <c r="BP2606" s="8">
        <f t="shared" si="2590"/>
        <v>2154.5614035087719</v>
      </c>
      <c r="BQ2606" s="12">
        <f t="shared" si="2591"/>
        <v>129500</v>
      </c>
    </row>
    <row r="2607" spans="1:69">
      <c r="A2607" s="28">
        <v>2008</v>
      </c>
      <c r="B2607" s="27" t="s">
        <v>116</v>
      </c>
      <c r="C2607" s="24">
        <f t="shared" si="2592"/>
        <v>2554</v>
      </c>
      <c r="D2607" s="7" t="e">
        <f t="shared" ca="1" si="2593"/>
        <v>#N/A</v>
      </c>
      <c r="E2607" s="26">
        <f t="array" aca="1" ref="E2607" ca="1">AVERAGE(IF(INDIRECT(DatCol&amp;"$"&amp;TEXT(C2607,"###")):INDIRECT(DatCol&amp;"$"&amp;TEXT(C2607+57,"###"))&gt;0,INDIRECT(DatCol&amp;"$"&amp;TEXT(C2607,"###")):INDIRECT(DatCol&amp;"$"&amp;TEXT(C2607+57,"###"))))</f>
        <v>95.745405405405407</v>
      </c>
      <c r="F2607" s="26" t="str">
        <f t="shared" si="2594"/>
        <v>C</v>
      </c>
      <c r="K2607" s="9">
        <f t="shared" ref="K2607:K2672" si="2635">G2607+H2607+J2607</f>
        <v>0</v>
      </c>
      <c r="AK2607" s="13"/>
      <c r="AM2607" s="13"/>
      <c r="BN2607" s="8">
        <f t="shared" si="2587"/>
        <v>0</v>
      </c>
      <c r="BO2607" s="8">
        <f t="shared" si="2634"/>
        <v>0</v>
      </c>
      <c r="BP2607" s="8">
        <f t="shared" si="2590"/>
        <v>0</v>
      </c>
      <c r="BQ2607" s="12">
        <f t="shared" si="2591"/>
        <v>0</v>
      </c>
    </row>
    <row r="2608" spans="1:69">
      <c r="A2608" s="28">
        <v>2009</v>
      </c>
      <c r="B2608" s="27" t="s">
        <v>116</v>
      </c>
      <c r="C2608" s="24">
        <f t="shared" si="2592"/>
        <v>2554</v>
      </c>
      <c r="D2608" s="7" t="e">
        <f t="shared" ca="1" si="2593"/>
        <v>#N/A</v>
      </c>
      <c r="E2608" s="26">
        <f t="array" aca="1" ref="E2608" ca="1">AVERAGE(IF(INDIRECT(DatCol&amp;"$"&amp;TEXT(C2608,"###")):INDIRECT(DatCol&amp;"$"&amp;TEXT(C2608+57,"###"))&gt;0,INDIRECT(DatCol&amp;"$"&amp;TEXT(C2608,"###")):INDIRECT(DatCol&amp;"$"&amp;TEXT(C2608+57,"###"))))</f>
        <v>95.745405405405407</v>
      </c>
      <c r="F2608" s="26" t="str">
        <f t="shared" si="2594"/>
        <v>C</v>
      </c>
      <c r="K2608" s="9">
        <f t="shared" si="2635"/>
        <v>0</v>
      </c>
      <c r="AH2608" s="10" t="s">
        <v>21</v>
      </c>
      <c r="AK2608" s="13"/>
      <c r="AM2608" s="13"/>
      <c r="BN2608" s="8">
        <f t="shared" si="2587"/>
        <v>0</v>
      </c>
      <c r="BO2608" s="8">
        <f t="shared" si="2634"/>
        <v>0</v>
      </c>
      <c r="BP2608" s="8">
        <f t="shared" si="2590"/>
        <v>0</v>
      </c>
      <c r="BQ2608" s="12">
        <f t="shared" si="2591"/>
        <v>0</v>
      </c>
    </row>
    <row r="2609" spans="1:69">
      <c r="A2609" s="28">
        <v>2010</v>
      </c>
      <c r="B2609" s="27" t="s">
        <v>116</v>
      </c>
      <c r="C2609" s="24">
        <f t="shared" si="2592"/>
        <v>2554</v>
      </c>
      <c r="D2609" s="7" t="e">
        <f t="shared" ca="1" si="2593"/>
        <v>#N/A</v>
      </c>
      <c r="E2609" s="26">
        <f t="array" aca="1" ref="E2609" ca="1">AVERAGE(IF(INDIRECT(DatCol&amp;"$"&amp;TEXT(C2609,"###")):INDIRECT(DatCol&amp;"$"&amp;TEXT(C2609+57,"###"))&gt;0,INDIRECT(DatCol&amp;"$"&amp;TEXT(C2609,"###")):INDIRECT(DatCol&amp;"$"&amp;TEXT(C2609+57,"###"))))</f>
        <v>95.745405405405407</v>
      </c>
      <c r="F2609" s="26" t="str">
        <f t="shared" ref="F2609:F2611" si="2636">VLOOKUP(B2609,town_region,2,FALSE)</f>
        <v>C</v>
      </c>
      <c r="AK2609" s="13"/>
      <c r="AM2609" s="13"/>
      <c r="BN2609" s="8"/>
      <c r="BO2609" s="8"/>
      <c r="BP2609" s="8"/>
      <c r="BQ2609" s="12"/>
    </row>
    <row r="2610" spans="1:69">
      <c r="A2610" s="28">
        <v>2011</v>
      </c>
      <c r="B2610" s="27" t="s">
        <v>116</v>
      </c>
      <c r="C2610" s="24">
        <f t="shared" si="2592"/>
        <v>2554</v>
      </c>
      <c r="D2610" s="7" t="e">
        <f t="shared" ca="1" si="2593"/>
        <v>#N/A</v>
      </c>
      <c r="E2610" s="26">
        <f t="array" aca="1" ref="E2610" ca="1">AVERAGE(IF(INDIRECT(DatCol&amp;"$"&amp;TEXT(C2610,"###")):INDIRECT(DatCol&amp;"$"&amp;TEXT(C2610+57,"###"))&gt;0,INDIRECT(DatCol&amp;"$"&amp;TEXT(C2610,"###")):INDIRECT(DatCol&amp;"$"&amp;TEXT(C2610+57,"###"))))</f>
        <v>95.745405405405407</v>
      </c>
      <c r="F2610" s="26" t="str">
        <f t="shared" si="2636"/>
        <v>C</v>
      </c>
      <c r="AK2610" s="13"/>
      <c r="AM2610" s="13"/>
      <c r="BN2610" s="8"/>
      <c r="BO2610" s="8"/>
      <c r="BP2610" s="8"/>
      <c r="BQ2610" s="12"/>
    </row>
    <row r="2611" spans="1:69">
      <c r="A2611" s="28">
        <v>2012</v>
      </c>
      <c r="B2611" s="27" t="s">
        <v>116</v>
      </c>
      <c r="C2611" s="24">
        <f t="shared" si="2592"/>
        <v>2554</v>
      </c>
      <c r="D2611" s="7" t="e">
        <f t="shared" ca="1" si="2593"/>
        <v>#N/A</v>
      </c>
      <c r="E2611" s="26">
        <f t="array" aca="1" ref="E2611" ca="1">AVERAGE(IF(INDIRECT(DatCol&amp;"$"&amp;TEXT(C2611,"###")):INDIRECT(DatCol&amp;"$"&amp;TEXT(C2611+57,"###"))&gt;0,INDIRECT(DatCol&amp;"$"&amp;TEXT(C2611,"###")):INDIRECT(DatCol&amp;"$"&amp;TEXT(C2611+57,"###"))))</f>
        <v>95.745405405405407</v>
      </c>
      <c r="F2611" s="26" t="str">
        <f t="shared" si="2636"/>
        <v>C</v>
      </c>
      <c r="AK2611" s="13"/>
      <c r="AM2611" s="13"/>
      <c r="BN2611" s="8"/>
      <c r="BO2611" s="8"/>
      <c r="BP2611" s="8"/>
      <c r="BQ2611" s="12"/>
    </row>
    <row r="2612" spans="1:69">
      <c r="A2612" s="28">
        <v>1955</v>
      </c>
      <c r="B2612" s="27" t="s">
        <v>125</v>
      </c>
      <c r="C2612" s="24">
        <f>ROW()</f>
        <v>2612</v>
      </c>
      <c r="D2612" s="7" t="e">
        <f t="shared" ca="1" si="2593"/>
        <v>#N/A</v>
      </c>
      <c r="E2612" s="26">
        <f t="array" aca="1" ref="E2612" ca="1">AVERAGE(IF(INDIRECT(DatCol&amp;"$"&amp;TEXT(C2612,"###")):INDIRECT(DatCol&amp;"$"&amp;TEXT(C2612+57,"###"))&gt;0,INDIRECT(DatCol&amp;"$"&amp;TEXT(C2612,"###")):INDIRECT(DatCol&amp;"$"&amp;TEXT(C2612+57,"###"))))</f>
        <v>279.21333333333331</v>
      </c>
      <c r="F2612" s="26" t="str">
        <f t="shared" si="2594"/>
        <v>B</v>
      </c>
      <c r="G2612" s="8"/>
      <c r="I2612" s="8">
        <v>146</v>
      </c>
      <c r="J2612" s="8">
        <v>1221</v>
      </c>
      <c r="K2612" s="9">
        <f t="shared" si="2635"/>
        <v>1221</v>
      </c>
      <c r="M2612" s="11">
        <f t="shared" si="2613"/>
        <v>0</v>
      </c>
      <c r="O2612" s="11">
        <f t="shared" si="2614"/>
        <v>0</v>
      </c>
      <c r="P2612" s="12">
        <v>494.5</v>
      </c>
      <c r="Q2612" s="11">
        <f t="shared" si="2615"/>
        <v>29670</v>
      </c>
      <c r="X2612" s="12">
        <v>4001.4</v>
      </c>
      <c r="Y2612" s="11">
        <f t="shared" si="2616"/>
        <v>240084</v>
      </c>
      <c r="AF2612" s="12">
        <v>140.4</v>
      </c>
      <c r="AG2612" s="11">
        <f t="shared" si="2617"/>
        <v>9126</v>
      </c>
      <c r="AH2612" s="12">
        <v>1135.5999999999999</v>
      </c>
      <c r="AI2612" s="11">
        <f t="shared" si="2618"/>
        <v>73814</v>
      </c>
      <c r="AJ2612" s="12">
        <v>247.5</v>
      </c>
      <c r="AK2612" s="13">
        <f t="shared" si="2619"/>
        <v>2227.5</v>
      </c>
      <c r="AL2612" s="12">
        <v>2002.5</v>
      </c>
      <c r="AM2612" s="13">
        <f t="shared" si="2620"/>
        <v>18022.5</v>
      </c>
      <c r="AN2612" s="12">
        <v>2076</v>
      </c>
      <c r="AO2612" s="11">
        <f t="shared" si="2621"/>
        <v>166080</v>
      </c>
      <c r="AQ2612" s="11">
        <f t="shared" si="2622"/>
        <v>0</v>
      </c>
      <c r="AS2612" s="11">
        <f t="shared" si="2623"/>
        <v>0</v>
      </c>
      <c r="AU2612" s="11">
        <f t="shared" si="2624"/>
        <v>0</v>
      </c>
      <c r="AW2612" s="11">
        <f t="shared" si="2625"/>
        <v>0</v>
      </c>
      <c r="AY2612" s="11">
        <f t="shared" si="2626"/>
        <v>0</v>
      </c>
      <c r="BA2612" s="11">
        <f t="shared" si="2627"/>
        <v>0</v>
      </c>
      <c r="BC2612" s="11">
        <f t="shared" si="2628"/>
        <v>0</v>
      </c>
      <c r="BE2612" s="11">
        <f t="shared" si="2629"/>
        <v>0</v>
      </c>
      <c r="BG2612" s="11">
        <f t="shared" si="2630"/>
        <v>0</v>
      </c>
      <c r="BN2612" s="8">
        <f t="shared" si="2587"/>
        <v>6959.7999999999993</v>
      </c>
      <c r="BO2612" s="8">
        <f t="shared" si="2634"/>
        <v>447187.5</v>
      </c>
      <c r="BP2612" s="8">
        <f t="shared" si="2590"/>
        <v>7139.5</v>
      </c>
      <c r="BQ2612" s="12">
        <f t="shared" si="2591"/>
        <v>331920.5</v>
      </c>
    </row>
    <row r="2613" spans="1:69">
      <c r="A2613" s="28">
        <v>1956</v>
      </c>
      <c r="B2613" s="27" t="s">
        <v>125</v>
      </c>
      <c r="C2613" s="24">
        <f t="shared" ref="C2613:C2669" si="2637">C2612</f>
        <v>2612</v>
      </c>
      <c r="D2613" s="7" t="e">
        <f t="shared" ca="1" si="2593"/>
        <v>#N/A</v>
      </c>
      <c r="E2613" s="26">
        <f t="array" aca="1" ref="E2613" ca="1">AVERAGE(IF(INDIRECT(DatCol&amp;"$"&amp;TEXT(C2613,"###")):INDIRECT(DatCol&amp;"$"&amp;TEXT(C2613+57,"###"))&gt;0,INDIRECT(DatCol&amp;"$"&amp;TEXT(C2613,"###")):INDIRECT(DatCol&amp;"$"&amp;TEXT(C2613+57,"###"))))</f>
        <v>279.21333333333331</v>
      </c>
      <c r="F2613" s="26" t="str">
        <f t="shared" si="2594"/>
        <v>B</v>
      </c>
      <c r="G2613" s="8"/>
      <c r="I2613" s="8">
        <v>47</v>
      </c>
      <c r="J2613" s="8">
        <v>968</v>
      </c>
      <c r="K2613" s="9">
        <f t="shared" si="2635"/>
        <v>968</v>
      </c>
      <c r="M2613" s="11">
        <f t="shared" si="2613"/>
        <v>0</v>
      </c>
      <c r="O2613" s="11">
        <f t="shared" si="2614"/>
        <v>0</v>
      </c>
      <c r="P2613" s="12">
        <v>340</v>
      </c>
      <c r="Q2613" s="11">
        <f t="shared" si="2615"/>
        <v>20400</v>
      </c>
      <c r="X2613" s="12">
        <v>8160</v>
      </c>
      <c r="Y2613" s="11">
        <f t="shared" si="2616"/>
        <v>489600</v>
      </c>
      <c r="AF2613" s="12">
        <v>28</v>
      </c>
      <c r="AG2613" s="11">
        <f t="shared" si="2617"/>
        <v>1820</v>
      </c>
      <c r="AH2613" s="12">
        <v>52</v>
      </c>
      <c r="AI2613" s="11">
        <f t="shared" si="2618"/>
        <v>3380</v>
      </c>
      <c r="AJ2613" s="12">
        <v>8</v>
      </c>
      <c r="AK2613" s="13">
        <f t="shared" si="2619"/>
        <v>72</v>
      </c>
      <c r="AL2613" s="12">
        <v>192</v>
      </c>
      <c r="AM2613" s="13">
        <f t="shared" si="2620"/>
        <v>1728</v>
      </c>
      <c r="AN2613" s="12">
        <v>7000</v>
      </c>
      <c r="AO2613" s="11">
        <f t="shared" si="2621"/>
        <v>560000</v>
      </c>
      <c r="AQ2613" s="11">
        <f t="shared" si="2622"/>
        <v>0</v>
      </c>
      <c r="AS2613" s="11">
        <f t="shared" si="2623"/>
        <v>0</v>
      </c>
      <c r="AU2613" s="11">
        <f t="shared" si="2624"/>
        <v>0</v>
      </c>
      <c r="AW2613" s="11">
        <f t="shared" si="2625"/>
        <v>0</v>
      </c>
      <c r="AY2613" s="11">
        <f t="shared" si="2626"/>
        <v>0</v>
      </c>
      <c r="BA2613" s="11">
        <f t="shared" si="2627"/>
        <v>0</v>
      </c>
      <c r="BC2613" s="11">
        <f t="shared" si="2628"/>
        <v>0</v>
      </c>
      <c r="BE2613" s="11">
        <f t="shared" si="2629"/>
        <v>0</v>
      </c>
      <c r="BG2613" s="11">
        <f t="shared" si="2630"/>
        <v>0</v>
      </c>
      <c r="BN2613" s="8">
        <f t="shared" si="2587"/>
        <v>15536</v>
      </c>
      <c r="BO2613" s="8">
        <f t="shared" si="2634"/>
        <v>1071892</v>
      </c>
      <c r="BP2613" s="8">
        <f t="shared" si="2590"/>
        <v>8404</v>
      </c>
      <c r="BQ2613" s="12">
        <f t="shared" si="2591"/>
        <v>494708</v>
      </c>
    </row>
    <row r="2614" spans="1:69">
      <c r="A2614" s="28">
        <v>1957</v>
      </c>
      <c r="B2614" s="27" t="s">
        <v>125</v>
      </c>
      <c r="C2614" s="24">
        <f t="shared" si="2637"/>
        <v>2612</v>
      </c>
      <c r="D2614" s="7" t="e">
        <f t="shared" ca="1" si="2593"/>
        <v>#N/A</v>
      </c>
      <c r="E2614" s="26">
        <f t="array" aca="1" ref="E2614" ca="1">AVERAGE(IF(INDIRECT(DatCol&amp;"$"&amp;TEXT(C2614,"###")):INDIRECT(DatCol&amp;"$"&amp;TEXT(C2614+57,"###"))&gt;0,INDIRECT(DatCol&amp;"$"&amp;TEXT(C2614,"###")):INDIRECT(DatCol&amp;"$"&amp;TEXT(C2614+57,"###"))))</f>
        <v>279.21333333333331</v>
      </c>
      <c r="F2614" s="26" t="str">
        <f t="shared" si="2594"/>
        <v>B</v>
      </c>
      <c r="G2614" s="8"/>
      <c r="I2614" s="8">
        <v>89</v>
      </c>
      <c r="J2614" s="8">
        <v>1096</v>
      </c>
      <c r="K2614" s="9">
        <f t="shared" si="2635"/>
        <v>1096</v>
      </c>
      <c r="M2614" s="11">
        <f t="shared" ref="M2614:M2629" si="2638">(L2614*50)</f>
        <v>0</v>
      </c>
      <c r="O2614" s="11">
        <f t="shared" ref="O2614:O2629" si="2639">(N2614*50)</f>
        <v>0</v>
      </c>
      <c r="P2614" s="12">
        <v>480</v>
      </c>
      <c r="Q2614" s="11">
        <f t="shared" ref="Q2614:Q2629" si="2640">((P2614*330)/5.5)</f>
        <v>28800</v>
      </c>
      <c r="X2614" s="12">
        <v>5520</v>
      </c>
      <c r="Y2614" s="11">
        <f t="shared" ref="Y2614:Y2629" si="2641">((X2614*330)/5.5)</f>
        <v>331200</v>
      </c>
      <c r="AF2614" s="12">
        <v>128</v>
      </c>
      <c r="AG2614" s="11">
        <f t="shared" ref="AG2614:AG2629" si="2642">(AF2614*65)</f>
        <v>8320</v>
      </c>
      <c r="AH2614" s="12">
        <v>1472</v>
      </c>
      <c r="AI2614" s="11">
        <f t="shared" ref="AI2614:AI2629" si="2643">(AH2614*65)</f>
        <v>95680</v>
      </c>
      <c r="AJ2614" s="12">
        <v>440</v>
      </c>
      <c r="AK2614" s="13">
        <f t="shared" ref="AK2614:AK2629" si="2644">(AJ2614*9)</f>
        <v>3960</v>
      </c>
      <c r="AL2614" s="12">
        <v>5060</v>
      </c>
      <c r="AM2614" s="13">
        <f t="shared" ref="AM2614:AM2629" si="2645">(AL2614*9)</f>
        <v>45540</v>
      </c>
      <c r="AO2614" s="11">
        <f t="shared" ref="AO2614:AO2629" si="2646">(AN2614*80)</f>
        <v>0</v>
      </c>
      <c r="AQ2614" s="11">
        <f t="shared" ref="AQ2614:AQ2629" si="2647">(AP2614*80)</f>
        <v>0</v>
      </c>
      <c r="AS2614" s="11">
        <f t="shared" ref="AS2614:AS2629" si="2648">(AR2614*50)</f>
        <v>0</v>
      </c>
      <c r="AU2614" s="11">
        <f t="shared" ref="AU2614:AU2629" si="2649">(AT2614*50)</f>
        <v>0</v>
      </c>
      <c r="AW2614" s="11">
        <f t="shared" ref="AW2614:AW2629" si="2650">(AV2614*60)</f>
        <v>0</v>
      </c>
      <c r="AY2614" s="11">
        <f t="shared" ref="AY2614:AY2629" si="2651">(AX2614*60)</f>
        <v>0</v>
      </c>
      <c r="BA2614" s="11">
        <f t="shared" ref="BA2614:BA2629" si="2652">(AZ2614*40)</f>
        <v>0</v>
      </c>
      <c r="BC2614" s="11">
        <f t="shared" ref="BC2614:BC2629" si="2653">(BB2614*40)</f>
        <v>0</v>
      </c>
      <c r="BE2614" s="11">
        <f t="shared" ref="BE2614:BE2629" si="2654">(BD2614*95)</f>
        <v>0</v>
      </c>
      <c r="BG2614" s="11">
        <f t="shared" ref="BG2614:BG2629" si="2655">(BF2614*95)</f>
        <v>0</v>
      </c>
      <c r="BN2614" s="8">
        <f t="shared" si="2587"/>
        <v>6568</v>
      </c>
      <c r="BO2614" s="8">
        <f t="shared" si="2634"/>
        <v>372280</v>
      </c>
      <c r="BP2614" s="8">
        <f t="shared" si="2590"/>
        <v>12052</v>
      </c>
      <c r="BQ2614" s="12">
        <f t="shared" si="2591"/>
        <v>472420</v>
      </c>
    </row>
    <row r="2615" spans="1:69">
      <c r="A2615" s="28">
        <v>1958</v>
      </c>
      <c r="B2615" s="27" t="s">
        <v>125</v>
      </c>
      <c r="C2615" s="24">
        <f t="shared" si="2637"/>
        <v>2612</v>
      </c>
      <c r="D2615" s="7" t="e">
        <f t="shared" ca="1" si="2593"/>
        <v>#N/A</v>
      </c>
      <c r="E2615" s="26">
        <f t="array" aca="1" ref="E2615" ca="1">AVERAGE(IF(INDIRECT(DatCol&amp;"$"&amp;TEXT(C2615,"###")):INDIRECT(DatCol&amp;"$"&amp;TEXT(C2615+57,"###"))&gt;0,INDIRECT(DatCol&amp;"$"&amp;TEXT(C2615,"###")):INDIRECT(DatCol&amp;"$"&amp;TEXT(C2615+57,"###"))))</f>
        <v>279.21333333333331</v>
      </c>
      <c r="F2615" s="26" t="str">
        <f t="shared" si="2594"/>
        <v>B</v>
      </c>
      <c r="G2615" s="8"/>
      <c r="I2615" s="8">
        <v>126</v>
      </c>
      <c r="J2615" s="8">
        <v>1052</v>
      </c>
      <c r="K2615" s="9">
        <f t="shared" si="2635"/>
        <v>1052</v>
      </c>
      <c r="M2615" s="11">
        <f t="shared" si="2638"/>
        <v>0</v>
      </c>
      <c r="O2615" s="11">
        <f t="shared" si="2639"/>
        <v>0</v>
      </c>
      <c r="P2615" s="12">
        <v>600</v>
      </c>
      <c r="Q2615" s="11">
        <f t="shared" si="2640"/>
        <v>36000</v>
      </c>
      <c r="X2615" s="12">
        <v>4400</v>
      </c>
      <c r="Y2615" s="11">
        <f t="shared" si="2641"/>
        <v>264000</v>
      </c>
      <c r="AF2615" s="12">
        <v>240</v>
      </c>
      <c r="AG2615" s="11">
        <f t="shared" si="2642"/>
        <v>15600</v>
      </c>
      <c r="AH2615" s="12">
        <v>1760</v>
      </c>
      <c r="AI2615" s="11">
        <f t="shared" si="2643"/>
        <v>114400</v>
      </c>
      <c r="AJ2615" s="12">
        <v>1200</v>
      </c>
      <c r="AK2615" s="13">
        <f t="shared" si="2644"/>
        <v>10800</v>
      </c>
      <c r="AL2615" s="12">
        <v>8800</v>
      </c>
      <c r="AM2615" s="13">
        <f t="shared" si="2645"/>
        <v>79200</v>
      </c>
      <c r="AO2615" s="11">
        <f t="shared" si="2646"/>
        <v>0</v>
      </c>
      <c r="AQ2615" s="11">
        <f t="shared" si="2647"/>
        <v>0</v>
      </c>
      <c r="AS2615" s="11">
        <f t="shared" si="2648"/>
        <v>0</v>
      </c>
      <c r="AU2615" s="11">
        <f t="shared" si="2649"/>
        <v>0</v>
      </c>
      <c r="AW2615" s="11">
        <f t="shared" si="2650"/>
        <v>0</v>
      </c>
      <c r="AY2615" s="11">
        <f t="shared" si="2651"/>
        <v>0</v>
      </c>
      <c r="BA2615" s="11">
        <f t="shared" si="2652"/>
        <v>0</v>
      </c>
      <c r="BC2615" s="11">
        <f t="shared" si="2653"/>
        <v>0</v>
      </c>
      <c r="BE2615" s="11">
        <f t="shared" si="2654"/>
        <v>0</v>
      </c>
      <c r="BG2615" s="11">
        <f t="shared" si="2655"/>
        <v>0</v>
      </c>
      <c r="BN2615" s="8">
        <f t="shared" si="2587"/>
        <v>6440</v>
      </c>
      <c r="BO2615" s="8">
        <f t="shared" si="2634"/>
        <v>326400</v>
      </c>
      <c r="BP2615" s="8">
        <f t="shared" si="2590"/>
        <v>14960</v>
      </c>
      <c r="BQ2615" s="12">
        <f t="shared" si="2591"/>
        <v>457600</v>
      </c>
    </row>
    <row r="2616" spans="1:69">
      <c r="A2616" s="28">
        <v>1959</v>
      </c>
      <c r="B2616" s="27" t="s">
        <v>125</v>
      </c>
      <c r="C2616" s="24">
        <f t="shared" si="2637"/>
        <v>2612</v>
      </c>
      <c r="D2616" s="7" t="e">
        <f t="shared" ca="1" si="2593"/>
        <v>#N/A</v>
      </c>
      <c r="E2616" s="26">
        <f t="array" aca="1" ref="E2616" ca="1">AVERAGE(IF(INDIRECT(DatCol&amp;"$"&amp;TEXT(C2616,"###")):INDIRECT(DatCol&amp;"$"&amp;TEXT(C2616+57,"###"))&gt;0,INDIRECT(DatCol&amp;"$"&amp;TEXT(C2616,"###")):INDIRECT(DatCol&amp;"$"&amp;TEXT(C2616+57,"###"))))</f>
        <v>279.21333333333331</v>
      </c>
      <c r="F2616" s="26" t="str">
        <f t="shared" si="2594"/>
        <v>B</v>
      </c>
      <c r="G2616" s="8"/>
      <c r="I2616" s="8">
        <v>42</v>
      </c>
      <c r="J2616" s="8">
        <v>700</v>
      </c>
      <c r="K2616" s="9">
        <f t="shared" si="2635"/>
        <v>700</v>
      </c>
      <c r="M2616" s="11">
        <f t="shared" si="2638"/>
        <v>0</v>
      </c>
      <c r="O2616" s="11">
        <f t="shared" si="2639"/>
        <v>0</v>
      </c>
      <c r="P2616" s="12">
        <v>210</v>
      </c>
      <c r="Q2616" s="11">
        <f t="shared" si="2640"/>
        <v>12600</v>
      </c>
      <c r="X2616" s="12">
        <v>3290</v>
      </c>
      <c r="Y2616" s="11">
        <f t="shared" si="2641"/>
        <v>197400</v>
      </c>
      <c r="AF2616" s="12">
        <v>120</v>
      </c>
      <c r="AG2616" s="11">
        <f t="shared" si="2642"/>
        <v>7800</v>
      </c>
      <c r="AH2616" s="12">
        <v>1880</v>
      </c>
      <c r="AI2616" s="11">
        <f t="shared" si="2643"/>
        <v>122200</v>
      </c>
      <c r="AJ2616" s="12">
        <v>12</v>
      </c>
      <c r="AK2616" s="13">
        <f t="shared" si="2644"/>
        <v>108</v>
      </c>
      <c r="AL2616" s="12">
        <v>188</v>
      </c>
      <c r="AM2616" s="13">
        <f t="shared" si="2645"/>
        <v>1692</v>
      </c>
      <c r="AO2616" s="11">
        <f t="shared" si="2646"/>
        <v>0</v>
      </c>
      <c r="AQ2616" s="11">
        <f t="shared" si="2647"/>
        <v>0</v>
      </c>
      <c r="AS2616" s="11">
        <f t="shared" si="2648"/>
        <v>0</v>
      </c>
      <c r="AU2616" s="11">
        <f t="shared" si="2649"/>
        <v>0</v>
      </c>
      <c r="AW2616" s="11">
        <f t="shared" si="2650"/>
        <v>0</v>
      </c>
      <c r="AY2616" s="11">
        <f t="shared" si="2651"/>
        <v>0</v>
      </c>
      <c r="BA2616" s="11">
        <f t="shared" si="2652"/>
        <v>0</v>
      </c>
      <c r="BC2616" s="11">
        <f t="shared" si="2653"/>
        <v>0</v>
      </c>
      <c r="BE2616" s="11">
        <f t="shared" si="2654"/>
        <v>0</v>
      </c>
      <c r="BG2616" s="11">
        <f t="shared" si="2655"/>
        <v>0</v>
      </c>
      <c r="BN2616" s="8">
        <f t="shared" ref="BN2616:BN2680" si="2656">(L2616+P2616+R2616+T2616+V2616+X2616+Z2616+AB2616+AD2616+AF2616+AJ2616+AN2616+AR2616+AV2616+AZ2616+BD2616)</f>
        <v>3632</v>
      </c>
      <c r="BO2616" s="8">
        <f t="shared" si="2634"/>
        <v>217908</v>
      </c>
      <c r="BP2616" s="8">
        <f t="shared" si="2590"/>
        <v>5358</v>
      </c>
      <c r="BQ2616" s="12">
        <f t="shared" si="2591"/>
        <v>321292</v>
      </c>
    </row>
    <row r="2617" spans="1:69">
      <c r="A2617" s="28">
        <v>1960</v>
      </c>
      <c r="B2617" s="27" t="s">
        <v>125</v>
      </c>
      <c r="C2617" s="24">
        <f t="shared" si="2637"/>
        <v>2612</v>
      </c>
      <c r="D2617" s="7" t="e">
        <f t="shared" ca="1" si="2593"/>
        <v>#N/A</v>
      </c>
      <c r="E2617" s="26">
        <f t="array" aca="1" ref="E2617" ca="1">AVERAGE(IF(INDIRECT(DatCol&amp;"$"&amp;TEXT(C2617,"###")):INDIRECT(DatCol&amp;"$"&amp;TEXT(C2617+57,"###"))&gt;0,INDIRECT(DatCol&amp;"$"&amp;TEXT(C2617,"###")):INDIRECT(DatCol&amp;"$"&amp;TEXT(C2617+57,"###"))))</f>
        <v>279.21333333333331</v>
      </c>
      <c r="F2617" s="26" t="str">
        <f t="shared" si="2594"/>
        <v>B</v>
      </c>
      <c r="G2617" s="8"/>
      <c r="I2617" s="8">
        <v>86</v>
      </c>
      <c r="J2617" s="8">
        <v>848</v>
      </c>
      <c r="K2617" s="9">
        <f t="shared" si="2635"/>
        <v>848</v>
      </c>
      <c r="M2617" s="11">
        <f t="shared" si="2638"/>
        <v>0</v>
      </c>
      <c r="O2617" s="11">
        <f t="shared" si="2639"/>
        <v>0</v>
      </c>
      <c r="P2617" s="12">
        <v>450</v>
      </c>
      <c r="Q2617" s="11">
        <f t="shared" si="2640"/>
        <v>27000</v>
      </c>
      <c r="X2617" s="12">
        <v>4050</v>
      </c>
      <c r="Y2617" s="11">
        <f t="shared" si="2641"/>
        <v>243000</v>
      </c>
      <c r="AF2617" s="12">
        <v>160</v>
      </c>
      <c r="AG2617" s="11">
        <f t="shared" si="2642"/>
        <v>10400</v>
      </c>
      <c r="AH2617" s="12">
        <v>1440</v>
      </c>
      <c r="AI2617" s="11">
        <f t="shared" si="2643"/>
        <v>93600</v>
      </c>
      <c r="AJ2617" s="12">
        <v>1000</v>
      </c>
      <c r="AK2617" s="13">
        <f t="shared" si="2644"/>
        <v>9000</v>
      </c>
      <c r="AL2617" s="12">
        <v>9000</v>
      </c>
      <c r="AM2617" s="13">
        <f t="shared" si="2645"/>
        <v>81000</v>
      </c>
      <c r="AO2617" s="11">
        <f t="shared" si="2646"/>
        <v>0</v>
      </c>
      <c r="AQ2617" s="11">
        <f t="shared" si="2647"/>
        <v>0</v>
      </c>
      <c r="AS2617" s="11">
        <f t="shared" si="2648"/>
        <v>0</v>
      </c>
      <c r="AU2617" s="11">
        <f t="shared" si="2649"/>
        <v>0</v>
      </c>
      <c r="AW2617" s="11">
        <f t="shared" si="2650"/>
        <v>0</v>
      </c>
      <c r="AY2617" s="11">
        <f t="shared" si="2651"/>
        <v>0</v>
      </c>
      <c r="BA2617" s="11">
        <f t="shared" si="2652"/>
        <v>0</v>
      </c>
      <c r="BC2617" s="11">
        <f t="shared" si="2653"/>
        <v>0</v>
      </c>
      <c r="BE2617" s="11">
        <f t="shared" si="2654"/>
        <v>0</v>
      </c>
      <c r="BG2617" s="11">
        <f t="shared" si="2655"/>
        <v>0</v>
      </c>
      <c r="BN2617" s="8">
        <f t="shared" si="2656"/>
        <v>5660</v>
      </c>
      <c r="BO2617" s="8">
        <f t="shared" si="2634"/>
        <v>289400</v>
      </c>
      <c r="BP2617" s="8">
        <f t="shared" ref="BP2617:BP2681" si="2657">(N2617+X2617+Z2617+AB2617+AD2617+AH2617+AL2617+AP2617+AT2617+AX2617+BB2617+BF2617)</f>
        <v>14490</v>
      </c>
      <c r="BQ2617" s="12">
        <f t="shared" ref="BQ2617:BQ2681" si="2658">(O2617+Y2617+AA2617+AC2617+AE2617+AI2617+AM2617+AQ2617+AU2617+AY2617+BC2617+BG2617)</f>
        <v>417600</v>
      </c>
    </row>
    <row r="2618" spans="1:69">
      <c r="A2618" s="28">
        <v>1961</v>
      </c>
      <c r="B2618" s="27" t="s">
        <v>125</v>
      </c>
      <c r="C2618" s="24">
        <f t="shared" si="2637"/>
        <v>2612</v>
      </c>
      <c r="D2618" s="7" t="e">
        <f t="shared" ca="1" si="2593"/>
        <v>#N/A</v>
      </c>
      <c r="E2618" s="26">
        <f t="array" aca="1" ref="E2618" ca="1">AVERAGE(IF(INDIRECT(DatCol&amp;"$"&amp;TEXT(C2618,"###")):INDIRECT(DatCol&amp;"$"&amp;TEXT(C2618+57,"###"))&gt;0,INDIRECT(DatCol&amp;"$"&amp;TEXT(C2618,"###")):INDIRECT(DatCol&amp;"$"&amp;TEXT(C2618+57,"###"))))</f>
        <v>279.21333333333331</v>
      </c>
      <c r="F2618" s="26" t="str">
        <f t="shared" si="2594"/>
        <v>B</v>
      </c>
      <c r="G2618" s="8"/>
      <c r="I2618" s="8">
        <v>25</v>
      </c>
      <c r="J2618" s="8">
        <v>674</v>
      </c>
      <c r="K2618" s="9">
        <f t="shared" si="2635"/>
        <v>674</v>
      </c>
      <c r="M2618" s="11">
        <f t="shared" si="2638"/>
        <v>0</v>
      </c>
      <c r="O2618" s="11">
        <f t="shared" si="2639"/>
        <v>0</v>
      </c>
      <c r="P2618" s="12">
        <v>166</v>
      </c>
      <c r="Q2618" s="11">
        <f t="shared" si="2640"/>
        <v>9960</v>
      </c>
      <c r="X2618" s="12">
        <v>3984</v>
      </c>
      <c r="Y2618" s="11">
        <f t="shared" si="2641"/>
        <v>239040</v>
      </c>
      <c r="AF2618" s="12">
        <v>40</v>
      </c>
      <c r="AG2618" s="11">
        <f t="shared" si="2642"/>
        <v>2600</v>
      </c>
      <c r="AH2618" s="12">
        <v>960</v>
      </c>
      <c r="AI2618" s="11">
        <f t="shared" si="2643"/>
        <v>62400</v>
      </c>
      <c r="AK2618" s="13">
        <f t="shared" si="2644"/>
        <v>0</v>
      </c>
      <c r="AM2618" s="13">
        <f t="shared" si="2645"/>
        <v>0</v>
      </c>
      <c r="AO2618" s="11">
        <f t="shared" si="2646"/>
        <v>0</v>
      </c>
      <c r="AQ2618" s="11">
        <f t="shared" si="2647"/>
        <v>0</v>
      </c>
      <c r="AS2618" s="11">
        <f t="shared" si="2648"/>
        <v>0</v>
      </c>
      <c r="AU2618" s="11">
        <f t="shared" si="2649"/>
        <v>0</v>
      </c>
      <c r="AW2618" s="11">
        <f t="shared" si="2650"/>
        <v>0</v>
      </c>
      <c r="AY2618" s="11">
        <f t="shared" si="2651"/>
        <v>0</v>
      </c>
      <c r="BA2618" s="11">
        <f t="shared" si="2652"/>
        <v>0</v>
      </c>
      <c r="BC2618" s="11">
        <f t="shared" si="2653"/>
        <v>0</v>
      </c>
      <c r="BE2618" s="11">
        <f t="shared" si="2654"/>
        <v>0</v>
      </c>
      <c r="BG2618" s="11">
        <f t="shared" si="2655"/>
        <v>0</v>
      </c>
      <c r="BN2618" s="8">
        <f t="shared" si="2656"/>
        <v>4190</v>
      </c>
      <c r="BO2618" s="8">
        <f t="shared" si="2634"/>
        <v>251600</v>
      </c>
      <c r="BP2618" s="8">
        <f t="shared" si="2657"/>
        <v>4944</v>
      </c>
      <c r="BQ2618" s="12">
        <f t="shared" si="2658"/>
        <v>301440</v>
      </c>
    </row>
    <row r="2619" spans="1:69">
      <c r="A2619" s="28">
        <v>1962</v>
      </c>
      <c r="B2619" s="27" t="s">
        <v>125</v>
      </c>
      <c r="C2619" s="24">
        <f t="shared" si="2637"/>
        <v>2612</v>
      </c>
      <c r="D2619" s="7" t="e">
        <f t="shared" ca="1" si="2593"/>
        <v>#N/A</v>
      </c>
      <c r="E2619" s="26">
        <f t="array" aca="1" ref="E2619" ca="1">AVERAGE(IF(INDIRECT(DatCol&amp;"$"&amp;TEXT(C2619,"###")):INDIRECT(DatCol&amp;"$"&amp;TEXT(C2619+57,"###"))&gt;0,INDIRECT(DatCol&amp;"$"&amp;TEXT(C2619,"###")):INDIRECT(DatCol&amp;"$"&amp;TEXT(C2619+57,"###"))))</f>
        <v>279.21333333333331</v>
      </c>
      <c r="F2619" s="26" t="str">
        <f t="shared" si="2594"/>
        <v>B</v>
      </c>
      <c r="G2619" s="8"/>
      <c r="I2619" s="8">
        <v>23</v>
      </c>
      <c r="J2619" s="8">
        <v>643</v>
      </c>
      <c r="K2619" s="9">
        <f t="shared" si="2635"/>
        <v>643</v>
      </c>
      <c r="M2619" s="11">
        <f t="shared" si="2638"/>
        <v>0</v>
      </c>
      <c r="O2619" s="11">
        <f t="shared" si="2639"/>
        <v>0</v>
      </c>
      <c r="P2619" s="12">
        <v>160</v>
      </c>
      <c r="Q2619" s="11">
        <f t="shared" si="2640"/>
        <v>9600</v>
      </c>
      <c r="X2619" s="12">
        <v>3840</v>
      </c>
      <c r="Y2619" s="11">
        <f t="shared" si="2641"/>
        <v>230400</v>
      </c>
      <c r="AF2619" s="12">
        <v>36</v>
      </c>
      <c r="AG2619" s="11">
        <f t="shared" si="2642"/>
        <v>2340</v>
      </c>
      <c r="AH2619" s="12">
        <v>864</v>
      </c>
      <c r="AI2619" s="11">
        <f t="shared" si="2643"/>
        <v>56160</v>
      </c>
      <c r="AK2619" s="13">
        <f t="shared" si="2644"/>
        <v>0</v>
      </c>
      <c r="AM2619" s="13">
        <f t="shared" si="2645"/>
        <v>0</v>
      </c>
      <c r="AO2619" s="11">
        <f t="shared" si="2646"/>
        <v>0</v>
      </c>
      <c r="AQ2619" s="11">
        <f t="shared" si="2647"/>
        <v>0</v>
      </c>
      <c r="AS2619" s="11">
        <f t="shared" si="2648"/>
        <v>0</v>
      </c>
      <c r="AU2619" s="11">
        <f t="shared" si="2649"/>
        <v>0</v>
      </c>
      <c r="AW2619" s="11">
        <f t="shared" si="2650"/>
        <v>0</v>
      </c>
      <c r="AY2619" s="11">
        <f t="shared" si="2651"/>
        <v>0</v>
      </c>
      <c r="BA2619" s="11">
        <f t="shared" si="2652"/>
        <v>0</v>
      </c>
      <c r="BC2619" s="11">
        <f t="shared" si="2653"/>
        <v>0</v>
      </c>
      <c r="BE2619" s="11">
        <f t="shared" si="2654"/>
        <v>0</v>
      </c>
      <c r="BG2619" s="11">
        <f t="shared" si="2655"/>
        <v>0</v>
      </c>
      <c r="BN2619" s="8">
        <f t="shared" si="2656"/>
        <v>4036</v>
      </c>
      <c r="BO2619" s="8">
        <f t="shared" si="2634"/>
        <v>242340</v>
      </c>
      <c r="BP2619" s="8">
        <f t="shared" si="2657"/>
        <v>4704</v>
      </c>
      <c r="BQ2619" s="12">
        <f t="shared" si="2658"/>
        <v>286560</v>
      </c>
    </row>
    <row r="2620" spans="1:69">
      <c r="A2620" s="28">
        <v>1963</v>
      </c>
      <c r="B2620" s="27" t="s">
        <v>125</v>
      </c>
      <c r="C2620" s="24">
        <f t="shared" si="2637"/>
        <v>2612</v>
      </c>
      <c r="D2620" s="7" t="e">
        <f t="shared" ca="1" si="2593"/>
        <v>#N/A</v>
      </c>
      <c r="E2620" s="26">
        <f t="array" aca="1" ref="E2620" ca="1">AVERAGE(IF(INDIRECT(DatCol&amp;"$"&amp;TEXT(C2620,"###")):INDIRECT(DatCol&amp;"$"&amp;TEXT(C2620+57,"###"))&gt;0,INDIRECT(DatCol&amp;"$"&amp;TEXT(C2620,"###")):INDIRECT(DatCol&amp;"$"&amp;TEXT(C2620+57,"###"))))</f>
        <v>279.21333333333331</v>
      </c>
      <c r="F2620" s="26" t="str">
        <f t="shared" si="2594"/>
        <v>B</v>
      </c>
      <c r="G2620" s="8"/>
      <c r="I2620" s="8">
        <v>23</v>
      </c>
      <c r="J2620" s="8">
        <v>675</v>
      </c>
      <c r="K2620" s="9">
        <f t="shared" si="2635"/>
        <v>675</v>
      </c>
      <c r="M2620" s="11">
        <f t="shared" si="2638"/>
        <v>0</v>
      </c>
      <c r="O2620" s="11">
        <f t="shared" si="2639"/>
        <v>0</v>
      </c>
      <c r="P2620" s="12">
        <v>105</v>
      </c>
      <c r="Q2620" s="11">
        <f t="shared" si="2640"/>
        <v>6300</v>
      </c>
      <c r="X2620" s="12">
        <v>3395</v>
      </c>
      <c r="Y2620" s="11">
        <f t="shared" si="2641"/>
        <v>203700</v>
      </c>
      <c r="AF2620" s="12">
        <v>22.5</v>
      </c>
      <c r="AG2620" s="11">
        <f t="shared" si="2642"/>
        <v>1462.5</v>
      </c>
      <c r="AH2620" s="12">
        <v>727.5</v>
      </c>
      <c r="AI2620" s="11">
        <f t="shared" si="2643"/>
        <v>47287.5</v>
      </c>
      <c r="AK2620" s="13">
        <f t="shared" si="2644"/>
        <v>0</v>
      </c>
      <c r="AM2620" s="13">
        <f t="shared" si="2645"/>
        <v>0</v>
      </c>
      <c r="AO2620" s="11">
        <f t="shared" si="2646"/>
        <v>0</v>
      </c>
      <c r="AQ2620" s="11">
        <f t="shared" si="2647"/>
        <v>0</v>
      </c>
      <c r="AS2620" s="11">
        <f t="shared" si="2648"/>
        <v>0</v>
      </c>
      <c r="AU2620" s="11">
        <f t="shared" si="2649"/>
        <v>0</v>
      </c>
      <c r="AW2620" s="11">
        <f t="shared" si="2650"/>
        <v>0</v>
      </c>
      <c r="AY2620" s="11">
        <f t="shared" si="2651"/>
        <v>0</v>
      </c>
      <c r="BA2620" s="11">
        <f t="shared" si="2652"/>
        <v>0</v>
      </c>
      <c r="BC2620" s="11">
        <f t="shared" si="2653"/>
        <v>0</v>
      </c>
      <c r="BE2620" s="11">
        <f t="shared" si="2654"/>
        <v>0</v>
      </c>
      <c r="BG2620" s="11">
        <f t="shared" si="2655"/>
        <v>0</v>
      </c>
      <c r="BN2620" s="8">
        <f t="shared" si="2656"/>
        <v>3522.5</v>
      </c>
      <c r="BO2620" s="8">
        <f t="shared" si="2634"/>
        <v>211462.5</v>
      </c>
      <c r="BP2620" s="8">
        <f t="shared" si="2657"/>
        <v>4122.5</v>
      </c>
      <c r="BQ2620" s="12">
        <f t="shared" si="2658"/>
        <v>250987.5</v>
      </c>
    </row>
    <row r="2621" spans="1:69">
      <c r="A2621" s="28">
        <v>1964</v>
      </c>
      <c r="B2621" s="27" t="s">
        <v>125</v>
      </c>
      <c r="C2621" s="24">
        <f t="shared" si="2637"/>
        <v>2612</v>
      </c>
      <c r="D2621" s="7" t="e">
        <f t="shared" ca="1" si="2593"/>
        <v>#N/A</v>
      </c>
      <c r="E2621" s="26">
        <f t="array" aca="1" ref="E2621" ca="1">AVERAGE(IF(INDIRECT(DatCol&amp;"$"&amp;TEXT(C2621,"###")):INDIRECT(DatCol&amp;"$"&amp;TEXT(C2621+57,"###"))&gt;0,INDIRECT(DatCol&amp;"$"&amp;TEXT(C2621,"###")):INDIRECT(DatCol&amp;"$"&amp;TEXT(C2621+57,"###"))))</f>
        <v>279.21333333333331</v>
      </c>
      <c r="F2621" s="26" t="str">
        <f t="shared" si="2594"/>
        <v>B</v>
      </c>
      <c r="G2621" s="8"/>
      <c r="I2621" s="8">
        <v>19</v>
      </c>
      <c r="J2621" s="8">
        <v>663</v>
      </c>
      <c r="K2621" s="9">
        <f t="shared" si="2635"/>
        <v>663</v>
      </c>
      <c r="M2621" s="11">
        <f t="shared" si="2638"/>
        <v>0</v>
      </c>
      <c r="O2621" s="11">
        <f t="shared" si="2639"/>
        <v>0</v>
      </c>
      <c r="P2621" s="12">
        <v>990</v>
      </c>
      <c r="Q2621" s="11">
        <f t="shared" si="2640"/>
        <v>59400</v>
      </c>
      <c r="X2621" s="12">
        <v>32010</v>
      </c>
      <c r="Y2621" s="11">
        <f t="shared" si="2641"/>
        <v>1920600</v>
      </c>
      <c r="AF2621" s="12">
        <v>21</v>
      </c>
      <c r="AG2621" s="11">
        <f t="shared" si="2642"/>
        <v>1365</v>
      </c>
      <c r="AH2621" s="12">
        <v>679</v>
      </c>
      <c r="AI2621" s="11">
        <f t="shared" si="2643"/>
        <v>44135</v>
      </c>
      <c r="AK2621" s="13">
        <f t="shared" si="2644"/>
        <v>0</v>
      </c>
      <c r="AM2621" s="13">
        <f t="shared" si="2645"/>
        <v>0</v>
      </c>
      <c r="AO2621" s="11">
        <f t="shared" si="2646"/>
        <v>0</v>
      </c>
      <c r="AQ2621" s="11">
        <f t="shared" si="2647"/>
        <v>0</v>
      </c>
      <c r="AS2621" s="11">
        <f t="shared" si="2648"/>
        <v>0</v>
      </c>
      <c r="AU2621" s="11">
        <f t="shared" si="2649"/>
        <v>0</v>
      </c>
      <c r="AW2621" s="11">
        <f t="shared" si="2650"/>
        <v>0</v>
      </c>
      <c r="AY2621" s="11">
        <f t="shared" si="2651"/>
        <v>0</v>
      </c>
      <c r="BA2621" s="11">
        <f t="shared" si="2652"/>
        <v>0</v>
      </c>
      <c r="BC2621" s="11">
        <f t="shared" si="2653"/>
        <v>0</v>
      </c>
      <c r="BE2621" s="11">
        <f t="shared" si="2654"/>
        <v>0</v>
      </c>
      <c r="BG2621" s="11">
        <f t="shared" si="2655"/>
        <v>0</v>
      </c>
      <c r="BN2621" s="8">
        <f t="shared" si="2656"/>
        <v>33021</v>
      </c>
      <c r="BO2621" s="8">
        <f t="shared" si="2634"/>
        <v>1981365</v>
      </c>
      <c r="BP2621" s="8">
        <f t="shared" si="2657"/>
        <v>32689</v>
      </c>
      <c r="BQ2621" s="12">
        <f t="shared" si="2658"/>
        <v>1964735</v>
      </c>
    </row>
    <row r="2622" spans="1:69">
      <c r="A2622" s="28">
        <v>1965</v>
      </c>
      <c r="B2622" s="27" t="s">
        <v>125</v>
      </c>
      <c r="C2622" s="24">
        <f t="shared" si="2637"/>
        <v>2612</v>
      </c>
      <c r="D2622" s="7">
        <f t="shared" ca="1" si="2593"/>
        <v>1.074447256578005</v>
      </c>
      <c r="E2622" s="26">
        <f t="array" aca="1" ref="E2622" ca="1">AVERAGE(IF(INDIRECT(DatCol&amp;"$"&amp;TEXT(C2622,"###")):INDIRECT(DatCol&amp;"$"&amp;TEXT(C2622+57,"###"))&gt;0,INDIRECT(DatCol&amp;"$"&amp;TEXT(C2622,"###")):INDIRECT(DatCol&amp;"$"&amp;TEXT(C2622+57,"###"))))</f>
        <v>279.21333333333331</v>
      </c>
      <c r="F2622" s="26" t="str">
        <f t="shared" si="2594"/>
        <v>B</v>
      </c>
      <c r="G2622" s="8"/>
      <c r="I2622" s="8">
        <v>27</v>
      </c>
      <c r="J2622" s="8">
        <v>769</v>
      </c>
      <c r="K2622" s="9">
        <f t="shared" si="2635"/>
        <v>769</v>
      </c>
      <c r="M2622" s="11">
        <f t="shared" si="2638"/>
        <v>0</v>
      </c>
      <c r="N2622" s="12">
        <v>300</v>
      </c>
      <c r="O2622" s="11">
        <f t="shared" si="2639"/>
        <v>15000</v>
      </c>
      <c r="P2622" s="12">
        <v>3000</v>
      </c>
      <c r="Q2622" s="11">
        <f t="shared" si="2640"/>
        <v>180000</v>
      </c>
      <c r="X2622" s="12">
        <v>1860</v>
      </c>
      <c r="Y2622" s="11">
        <f t="shared" si="2641"/>
        <v>111600</v>
      </c>
      <c r="AF2622" s="12">
        <v>400</v>
      </c>
      <c r="AG2622" s="11">
        <f t="shared" si="2642"/>
        <v>26000</v>
      </c>
      <c r="AH2622" s="12">
        <v>50</v>
      </c>
      <c r="AI2622" s="11">
        <f t="shared" si="2643"/>
        <v>3250</v>
      </c>
      <c r="AJ2622" s="12">
        <v>4250</v>
      </c>
      <c r="AK2622" s="13">
        <f t="shared" si="2644"/>
        <v>38250</v>
      </c>
      <c r="AL2622" s="12">
        <v>1490</v>
      </c>
      <c r="AM2622" s="13">
        <f t="shared" si="2645"/>
        <v>13410</v>
      </c>
      <c r="AO2622" s="11">
        <f t="shared" si="2646"/>
        <v>0</v>
      </c>
      <c r="AQ2622" s="11">
        <f t="shared" si="2647"/>
        <v>0</v>
      </c>
      <c r="AS2622" s="11">
        <f t="shared" si="2648"/>
        <v>0</v>
      </c>
      <c r="AU2622" s="11">
        <f t="shared" si="2649"/>
        <v>0</v>
      </c>
      <c r="AW2622" s="11">
        <f t="shared" si="2650"/>
        <v>0</v>
      </c>
      <c r="AY2622" s="11">
        <f t="shared" si="2651"/>
        <v>0</v>
      </c>
      <c r="BA2622" s="11">
        <f t="shared" si="2652"/>
        <v>0</v>
      </c>
      <c r="BC2622" s="11">
        <f t="shared" si="2653"/>
        <v>0</v>
      </c>
      <c r="BE2622" s="11">
        <f t="shared" si="2654"/>
        <v>0</v>
      </c>
      <c r="BG2622" s="11">
        <f t="shared" si="2655"/>
        <v>0</v>
      </c>
      <c r="BN2622" s="8">
        <f t="shared" si="2656"/>
        <v>9510</v>
      </c>
      <c r="BO2622" s="8">
        <f t="shared" si="2634"/>
        <v>355850</v>
      </c>
      <c r="BP2622" s="8">
        <f t="shared" si="2657"/>
        <v>3700</v>
      </c>
      <c r="BQ2622" s="12">
        <f t="shared" si="2658"/>
        <v>143260</v>
      </c>
    </row>
    <row r="2623" spans="1:69">
      <c r="A2623" s="28">
        <v>1966</v>
      </c>
      <c r="B2623" s="27" t="s">
        <v>125</v>
      </c>
      <c r="C2623" s="24">
        <f t="shared" si="2637"/>
        <v>2612</v>
      </c>
      <c r="D2623" s="7">
        <f t="shared" ca="1" si="2593"/>
        <v>1.0422138388806648</v>
      </c>
      <c r="E2623" s="26">
        <f t="array" aca="1" ref="E2623" ca="1">AVERAGE(IF(INDIRECT(DatCol&amp;"$"&amp;TEXT(C2623,"###")):INDIRECT(DatCol&amp;"$"&amp;TEXT(C2623+57,"###"))&gt;0,INDIRECT(DatCol&amp;"$"&amp;TEXT(C2623,"###")):INDIRECT(DatCol&amp;"$"&amp;TEXT(C2623+57,"###"))))</f>
        <v>279.21333333333331</v>
      </c>
      <c r="F2623" s="26" t="str">
        <f t="shared" si="2594"/>
        <v>B</v>
      </c>
      <c r="G2623" s="8"/>
      <c r="H2623" s="8">
        <v>6</v>
      </c>
      <c r="I2623" s="8">
        <v>9</v>
      </c>
      <c r="J2623" s="8">
        <v>365</v>
      </c>
      <c r="K2623" s="9">
        <f t="shared" si="2635"/>
        <v>371</v>
      </c>
      <c r="M2623" s="11">
        <f t="shared" si="2638"/>
        <v>0</v>
      </c>
      <c r="N2623" s="12">
        <v>291</v>
      </c>
      <c r="O2623" s="11">
        <f t="shared" si="2639"/>
        <v>14550</v>
      </c>
      <c r="P2623" s="12">
        <v>723</v>
      </c>
      <c r="Q2623" s="11">
        <f t="shared" si="2640"/>
        <v>43380</v>
      </c>
      <c r="X2623" s="12">
        <v>1024</v>
      </c>
      <c r="Y2623" s="11">
        <f t="shared" si="2641"/>
        <v>61440</v>
      </c>
      <c r="AF2623" s="12">
        <v>614</v>
      </c>
      <c r="AG2623" s="11">
        <f t="shared" si="2642"/>
        <v>39910</v>
      </c>
      <c r="AH2623" s="12">
        <v>94</v>
      </c>
      <c r="AI2623" s="11">
        <f t="shared" si="2643"/>
        <v>6110</v>
      </c>
      <c r="AJ2623" s="12">
        <v>35011</v>
      </c>
      <c r="AK2623" s="13">
        <f t="shared" si="2644"/>
        <v>315099</v>
      </c>
      <c r="AL2623" s="12">
        <v>3484</v>
      </c>
      <c r="AM2623" s="13">
        <f t="shared" si="2645"/>
        <v>31356</v>
      </c>
      <c r="AO2623" s="11">
        <f t="shared" si="2646"/>
        <v>0</v>
      </c>
      <c r="AQ2623" s="11">
        <f t="shared" si="2647"/>
        <v>0</v>
      </c>
      <c r="AS2623" s="11">
        <f t="shared" si="2648"/>
        <v>0</v>
      </c>
      <c r="AU2623" s="11">
        <f t="shared" si="2649"/>
        <v>0</v>
      </c>
      <c r="AW2623" s="11">
        <f t="shared" si="2650"/>
        <v>0</v>
      </c>
      <c r="AY2623" s="11">
        <f t="shared" si="2651"/>
        <v>0</v>
      </c>
      <c r="BA2623" s="11">
        <f t="shared" si="2652"/>
        <v>0</v>
      </c>
      <c r="BC2623" s="11">
        <f t="shared" si="2653"/>
        <v>0</v>
      </c>
      <c r="BE2623" s="11">
        <f t="shared" si="2654"/>
        <v>0</v>
      </c>
      <c r="BG2623" s="11">
        <f t="shared" si="2655"/>
        <v>0</v>
      </c>
      <c r="BN2623" s="8">
        <f t="shared" si="2656"/>
        <v>37372</v>
      </c>
      <c r="BO2623" s="8">
        <f t="shared" si="2634"/>
        <v>459829</v>
      </c>
      <c r="BP2623" s="8">
        <f t="shared" si="2657"/>
        <v>4893</v>
      </c>
      <c r="BQ2623" s="12">
        <f t="shared" si="2658"/>
        <v>113456</v>
      </c>
    </row>
    <row r="2624" spans="1:69">
      <c r="A2624" s="28">
        <v>1967</v>
      </c>
      <c r="B2624" s="27" t="s">
        <v>125</v>
      </c>
      <c r="C2624" s="24">
        <f t="shared" si="2637"/>
        <v>2612</v>
      </c>
      <c r="D2624" s="7">
        <f t="shared" ca="1" si="2593"/>
        <v>0.61601642710472282</v>
      </c>
      <c r="E2624" s="26">
        <f t="array" aca="1" ref="E2624" ca="1">AVERAGE(IF(INDIRECT(DatCol&amp;"$"&amp;TEXT(C2624,"###")):INDIRECT(DatCol&amp;"$"&amp;TEXT(C2624+57,"###"))&gt;0,INDIRECT(DatCol&amp;"$"&amp;TEXT(C2624,"###")):INDIRECT(DatCol&amp;"$"&amp;TEXT(C2624+57,"###"))))</f>
        <v>279.21333333333331</v>
      </c>
      <c r="F2624" s="26" t="str">
        <f t="shared" si="2594"/>
        <v>B</v>
      </c>
      <c r="G2624" s="8"/>
      <c r="H2624" s="8">
        <v>6</v>
      </c>
      <c r="I2624" s="8">
        <v>8</v>
      </c>
      <c r="J2624" s="8">
        <v>311</v>
      </c>
      <c r="K2624" s="9">
        <f t="shared" si="2635"/>
        <v>317</v>
      </c>
      <c r="M2624" s="11">
        <f t="shared" si="2638"/>
        <v>0</v>
      </c>
      <c r="N2624" s="12">
        <v>172</v>
      </c>
      <c r="O2624" s="11">
        <f t="shared" si="2639"/>
        <v>8600</v>
      </c>
      <c r="P2624" s="12">
        <v>992</v>
      </c>
      <c r="Q2624" s="11">
        <f t="shared" si="2640"/>
        <v>59520</v>
      </c>
      <c r="X2624" s="12">
        <v>812</v>
      </c>
      <c r="Y2624" s="11">
        <f t="shared" si="2641"/>
        <v>48720</v>
      </c>
      <c r="AF2624" s="12">
        <v>1644</v>
      </c>
      <c r="AG2624" s="11">
        <f t="shared" si="2642"/>
        <v>106860</v>
      </c>
      <c r="AH2624" s="12">
        <v>10</v>
      </c>
      <c r="AI2624" s="11">
        <f t="shared" si="2643"/>
        <v>650</v>
      </c>
      <c r="AK2624" s="13">
        <f t="shared" si="2644"/>
        <v>0</v>
      </c>
      <c r="AM2624" s="13">
        <f t="shared" si="2645"/>
        <v>0</v>
      </c>
      <c r="AO2624" s="11">
        <f t="shared" si="2646"/>
        <v>0</v>
      </c>
      <c r="AQ2624" s="11">
        <f t="shared" si="2647"/>
        <v>0</v>
      </c>
      <c r="AR2624" s="12">
        <v>179</v>
      </c>
      <c r="AS2624" s="11">
        <f t="shared" si="2648"/>
        <v>8950</v>
      </c>
      <c r="AU2624" s="11">
        <f t="shared" si="2649"/>
        <v>0</v>
      </c>
      <c r="AW2624" s="11">
        <f t="shared" si="2650"/>
        <v>0</v>
      </c>
      <c r="AY2624" s="11">
        <f t="shared" si="2651"/>
        <v>0</v>
      </c>
      <c r="BA2624" s="11">
        <f t="shared" si="2652"/>
        <v>0</v>
      </c>
      <c r="BC2624" s="11">
        <f t="shared" si="2653"/>
        <v>0</v>
      </c>
      <c r="BE2624" s="11">
        <f t="shared" si="2654"/>
        <v>0</v>
      </c>
      <c r="BG2624" s="11">
        <f t="shared" si="2655"/>
        <v>0</v>
      </c>
      <c r="BN2624" s="8">
        <f t="shared" si="2656"/>
        <v>3627</v>
      </c>
      <c r="BO2624" s="8">
        <f t="shared" si="2634"/>
        <v>224050</v>
      </c>
      <c r="BP2624" s="8">
        <f t="shared" si="2657"/>
        <v>994</v>
      </c>
      <c r="BQ2624" s="12">
        <f t="shared" si="2658"/>
        <v>57970</v>
      </c>
    </row>
    <row r="2625" spans="1:69">
      <c r="A2625" s="28">
        <v>1968</v>
      </c>
      <c r="B2625" s="27" t="s">
        <v>125</v>
      </c>
      <c r="C2625" s="24">
        <f t="shared" si="2637"/>
        <v>2612</v>
      </c>
      <c r="D2625" s="7">
        <f t="shared" ca="1" si="2593"/>
        <v>0.37963803065756174</v>
      </c>
      <c r="E2625" s="26">
        <f t="array" aca="1" ref="E2625" ca="1">AVERAGE(IF(INDIRECT(DatCol&amp;"$"&amp;TEXT(C2625,"###")):INDIRECT(DatCol&amp;"$"&amp;TEXT(C2625+57,"###"))&gt;0,INDIRECT(DatCol&amp;"$"&amp;TEXT(C2625,"###")):INDIRECT(DatCol&amp;"$"&amp;TEXT(C2625+57,"###"))))</f>
        <v>279.21333333333331</v>
      </c>
      <c r="F2625" s="26" t="str">
        <f t="shared" si="2594"/>
        <v>B</v>
      </c>
      <c r="G2625" s="8"/>
      <c r="H2625" s="8">
        <v>7</v>
      </c>
      <c r="I2625" s="8">
        <v>10</v>
      </c>
      <c r="J2625" s="8">
        <v>337</v>
      </c>
      <c r="K2625" s="9">
        <f t="shared" si="2635"/>
        <v>344</v>
      </c>
      <c r="M2625" s="11">
        <f t="shared" si="2638"/>
        <v>0</v>
      </c>
      <c r="N2625" s="12">
        <v>106</v>
      </c>
      <c r="O2625" s="11">
        <f t="shared" si="2639"/>
        <v>5300</v>
      </c>
      <c r="P2625" s="12">
        <v>879</v>
      </c>
      <c r="Q2625" s="11">
        <f t="shared" si="2640"/>
        <v>52740</v>
      </c>
      <c r="X2625" s="12">
        <v>1199</v>
      </c>
      <c r="Y2625" s="11">
        <f t="shared" si="2641"/>
        <v>71940</v>
      </c>
      <c r="AF2625" s="12">
        <v>322</v>
      </c>
      <c r="AG2625" s="11">
        <f t="shared" si="2642"/>
        <v>20930</v>
      </c>
      <c r="AH2625" s="12">
        <v>4</v>
      </c>
      <c r="AI2625" s="11">
        <f t="shared" si="2643"/>
        <v>260</v>
      </c>
      <c r="AK2625" s="13">
        <f t="shared" si="2644"/>
        <v>0</v>
      </c>
      <c r="AM2625" s="13">
        <f t="shared" si="2645"/>
        <v>0</v>
      </c>
      <c r="AO2625" s="11">
        <f t="shared" si="2646"/>
        <v>0</v>
      </c>
      <c r="AQ2625" s="11">
        <f t="shared" si="2647"/>
        <v>0</v>
      </c>
      <c r="AR2625" s="12">
        <v>38</v>
      </c>
      <c r="AS2625" s="11">
        <f t="shared" si="2648"/>
        <v>1900</v>
      </c>
      <c r="AU2625" s="11">
        <f t="shared" si="2649"/>
        <v>0</v>
      </c>
      <c r="AW2625" s="11">
        <f t="shared" si="2650"/>
        <v>0</v>
      </c>
      <c r="AY2625" s="11">
        <f t="shared" si="2651"/>
        <v>0</v>
      </c>
      <c r="BA2625" s="11">
        <f t="shared" si="2652"/>
        <v>0</v>
      </c>
      <c r="BC2625" s="11">
        <f t="shared" si="2653"/>
        <v>0</v>
      </c>
      <c r="BE2625" s="11">
        <f t="shared" si="2654"/>
        <v>0</v>
      </c>
      <c r="BG2625" s="11">
        <f t="shared" si="2655"/>
        <v>0</v>
      </c>
      <c r="BN2625" s="8">
        <f t="shared" si="2656"/>
        <v>2438</v>
      </c>
      <c r="BO2625" s="8">
        <f t="shared" si="2634"/>
        <v>147510</v>
      </c>
      <c r="BP2625" s="8">
        <f t="shared" si="2657"/>
        <v>1309</v>
      </c>
      <c r="BQ2625" s="12">
        <f t="shared" si="2658"/>
        <v>77500</v>
      </c>
    </row>
    <row r="2626" spans="1:69">
      <c r="A2626" s="28">
        <v>1969</v>
      </c>
      <c r="B2626" s="27" t="s">
        <v>125</v>
      </c>
      <c r="C2626" s="24">
        <f t="shared" si="2637"/>
        <v>2612</v>
      </c>
      <c r="D2626" s="7">
        <f t="shared" ref="D2626:D2689" ca="1" si="2659">IF(AND((INDIRECT(DatCol&amp;TEXT(ROW(),"###"))&gt;0),((F2626=RegionSelect)+(RegionSelect="A"))),INDIRECT(DatCol&amp;TEXT(ROW(),"###"))/E2626,NA())</f>
        <v>0.31158970440762146</v>
      </c>
      <c r="E2626" s="26">
        <f t="array" aca="1" ref="E2626" ca="1">AVERAGE(IF(INDIRECT(DatCol&amp;"$"&amp;TEXT(C2626,"###")):INDIRECT(DatCol&amp;"$"&amp;TEXT(C2626+57,"###"))&gt;0,INDIRECT(DatCol&amp;"$"&amp;TEXT(C2626,"###")):INDIRECT(DatCol&amp;"$"&amp;TEXT(C2626+57,"###"))))</f>
        <v>279.21333333333331</v>
      </c>
      <c r="F2626" s="26" t="str">
        <f t="shared" si="2594"/>
        <v>B</v>
      </c>
      <c r="G2626" s="8"/>
      <c r="H2626" s="8">
        <v>5</v>
      </c>
      <c r="I2626" s="8">
        <v>22</v>
      </c>
      <c r="J2626" s="8">
        <v>440</v>
      </c>
      <c r="K2626" s="9">
        <f t="shared" si="2635"/>
        <v>445</v>
      </c>
      <c r="M2626" s="11">
        <f t="shared" si="2638"/>
        <v>0</v>
      </c>
      <c r="N2626" s="12">
        <v>87</v>
      </c>
      <c r="O2626" s="11">
        <f t="shared" si="2639"/>
        <v>4350</v>
      </c>
      <c r="P2626" s="12">
        <v>960</v>
      </c>
      <c r="Q2626" s="11">
        <f t="shared" si="2640"/>
        <v>57600</v>
      </c>
      <c r="X2626" s="12">
        <v>1346</v>
      </c>
      <c r="Y2626" s="11">
        <f t="shared" si="2641"/>
        <v>80760</v>
      </c>
      <c r="AF2626" s="12">
        <v>0</v>
      </c>
      <c r="AG2626" s="11">
        <f t="shared" si="2642"/>
        <v>0</v>
      </c>
      <c r="AH2626" s="12">
        <v>0</v>
      </c>
      <c r="AI2626" s="11">
        <f t="shared" si="2643"/>
        <v>0</v>
      </c>
      <c r="AJ2626" s="12">
        <v>720</v>
      </c>
      <c r="AK2626" s="13">
        <f t="shared" si="2644"/>
        <v>6480</v>
      </c>
      <c r="AL2626" s="12">
        <v>204</v>
      </c>
      <c r="AM2626" s="13">
        <f t="shared" si="2645"/>
        <v>1836</v>
      </c>
      <c r="AO2626" s="11">
        <f t="shared" si="2646"/>
        <v>0</v>
      </c>
      <c r="AQ2626" s="11">
        <f t="shared" si="2647"/>
        <v>0</v>
      </c>
      <c r="AR2626" s="12">
        <v>30</v>
      </c>
      <c r="AS2626" s="11">
        <f t="shared" si="2648"/>
        <v>1500</v>
      </c>
      <c r="AU2626" s="11">
        <f t="shared" si="2649"/>
        <v>0</v>
      </c>
      <c r="AW2626" s="11">
        <f t="shared" si="2650"/>
        <v>0</v>
      </c>
      <c r="AY2626" s="11">
        <f t="shared" si="2651"/>
        <v>0</v>
      </c>
      <c r="BA2626" s="11">
        <f t="shared" si="2652"/>
        <v>0</v>
      </c>
      <c r="BC2626" s="11">
        <f t="shared" si="2653"/>
        <v>0</v>
      </c>
      <c r="BE2626" s="11">
        <f t="shared" si="2654"/>
        <v>0</v>
      </c>
      <c r="BG2626" s="11">
        <f t="shared" si="2655"/>
        <v>0</v>
      </c>
      <c r="BN2626" s="8">
        <f t="shared" si="2656"/>
        <v>3056</v>
      </c>
      <c r="BO2626" s="8">
        <f t="shared" si="2634"/>
        <v>146340</v>
      </c>
      <c r="BP2626" s="8">
        <f t="shared" si="2657"/>
        <v>1637</v>
      </c>
      <c r="BQ2626" s="12">
        <f t="shared" si="2658"/>
        <v>86946</v>
      </c>
    </row>
    <row r="2627" spans="1:69">
      <c r="A2627" s="28">
        <v>1970</v>
      </c>
      <c r="B2627" s="27" t="s">
        <v>125</v>
      </c>
      <c r="C2627" s="24">
        <f t="shared" si="2637"/>
        <v>2612</v>
      </c>
      <c r="D2627" s="7">
        <f t="shared" ca="1" si="2659"/>
        <v>8.5955780526240394E-2</v>
      </c>
      <c r="E2627" s="26">
        <f t="array" aca="1" ref="E2627" ca="1">AVERAGE(IF(INDIRECT(DatCol&amp;"$"&amp;TEXT(C2627,"###")):INDIRECT(DatCol&amp;"$"&amp;TEXT(C2627+57,"###"))&gt;0,INDIRECT(DatCol&amp;"$"&amp;TEXT(C2627,"###")):INDIRECT(DatCol&amp;"$"&amp;TEXT(C2627+57,"###"))))</f>
        <v>279.21333333333331</v>
      </c>
      <c r="F2627" s="26" t="str">
        <f t="shared" si="2594"/>
        <v>B</v>
      </c>
      <c r="G2627" s="8"/>
      <c r="H2627" s="8">
        <v>30</v>
      </c>
      <c r="I2627" s="8">
        <v>41</v>
      </c>
      <c r="J2627" s="8">
        <v>548</v>
      </c>
      <c r="K2627" s="9">
        <f t="shared" si="2635"/>
        <v>578</v>
      </c>
      <c r="M2627" s="11">
        <f t="shared" si="2638"/>
        <v>0</v>
      </c>
      <c r="N2627" s="12">
        <v>24</v>
      </c>
      <c r="O2627" s="11">
        <f t="shared" si="2639"/>
        <v>1200</v>
      </c>
      <c r="P2627" s="12">
        <v>1280</v>
      </c>
      <c r="Q2627" s="11">
        <f t="shared" si="2640"/>
        <v>76800</v>
      </c>
      <c r="X2627" s="12">
        <v>1620</v>
      </c>
      <c r="Y2627" s="11">
        <f t="shared" si="2641"/>
        <v>97200</v>
      </c>
      <c r="AF2627" s="12">
        <v>70</v>
      </c>
      <c r="AG2627" s="11">
        <f t="shared" si="2642"/>
        <v>4550</v>
      </c>
      <c r="AH2627" s="12">
        <v>20</v>
      </c>
      <c r="AI2627" s="11">
        <f t="shared" si="2643"/>
        <v>1300</v>
      </c>
      <c r="AK2627" s="13">
        <f t="shared" si="2644"/>
        <v>0</v>
      </c>
      <c r="AL2627" s="12">
        <v>1040</v>
      </c>
      <c r="AM2627" s="13">
        <f t="shared" si="2645"/>
        <v>9360</v>
      </c>
      <c r="AO2627" s="11">
        <f t="shared" si="2646"/>
        <v>0</v>
      </c>
      <c r="AQ2627" s="11">
        <f t="shared" si="2647"/>
        <v>0</v>
      </c>
      <c r="AR2627" s="12">
        <v>30</v>
      </c>
      <c r="AS2627" s="11">
        <f t="shared" si="2648"/>
        <v>1500</v>
      </c>
      <c r="AU2627" s="11">
        <f t="shared" si="2649"/>
        <v>0</v>
      </c>
      <c r="AW2627" s="11">
        <f t="shared" si="2650"/>
        <v>0</v>
      </c>
      <c r="AY2627" s="11">
        <f t="shared" si="2651"/>
        <v>0</v>
      </c>
      <c r="BA2627" s="11">
        <f t="shared" si="2652"/>
        <v>0</v>
      </c>
      <c r="BC2627" s="11">
        <f t="shared" si="2653"/>
        <v>0</v>
      </c>
      <c r="BE2627" s="11">
        <f t="shared" si="2654"/>
        <v>0</v>
      </c>
      <c r="BG2627" s="11">
        <f t="shared" si="2655"/>
        <v>0</v>
      </c>
      <c r="BN2627" s="8">
        <f t="shared" si="2656"/>
        <v>3000</v>
      </c>
      <c r="BO2627" s="8">
        <f t="shared" si="2634"/>
        <v>180050</v>
      </c>
      <c r="BP2627" s="8">
        <f t="shared" si="2657"/>
        <v>2704</v>
      </c>
      <c r="BQ2627" s="12">
        <f t="shared" si="2658"/>
        <v>109060</v>
      </c>
    </row>
    <row r="2628" spans="1:69">
      <c r="A2628" s="28">
        <v>1971</v>
      </c>
      <c r="B2628" s="27" t="s">
        <v>125</v>
      </c>
      <c r="C2628" s="24">
        <f t="shared" si="2637"/>
        <v>2612</v>
      </c>
      <c r="D2628" s="7">
        <f t="shared" ca="1" si="2659"/>
        <v>0.1540041067761807</v>
      </c>
      <c r="E2628" s="26">
        <f t="array" aca="1" ref="E2628" ca="1">AVERAGE(IF(INDIRECT(DatCol&amp;"$"&amp;TEXT(C2628,"###")):INDIRECT(DatCol&amp;"$"&amp;TEXT(C2628+57,"###"))&gt;0,INDIRECT(DatCol&amp;"$"&amp;TEXT(C2628,"###")):INDIRECT(DatCol&amp;"$"&amp;TEXT(C2628+57,"###"))))</f>
        <v>279.21333333333331</v>
      </c>
      <c r="F2628" s="26" t="str">
        <f t="shared" si="2594"/>
        <v>B</v>
      </c>
      <c r="G2628" s="8"/>
      <c r="H2628" s="8">
        <v>51</v>
      </c>
      <c r="I2628" s="8">
        <v>34</v>
      </c>
      <c r="J2628" s="8">
        <v>551</v>
      </c>
      <c r="K2628" s="9">
        <f t="shared" si="2635"/>
        <v>602</v>
      </c>
      <c r="M2628" s="11">
        <f t="shared" si="2638"/>
        <v>0</v>
      </c>
      <c r="N2628" s="12">
        <v>43</v>
      </c>
      <c r="O2628" s="11">
        <f t="shared" si="2639"/>
        <v>2150</v>
      </c>
      <c r="P2628" s="12">
        <v>1560</v>
      </c>
      <c r="Q2628" s="11">
        <f t="shared" si="2640"/>
        <v>93600</v>
      </c>
      <c r="X2628" s="12">
        <v>2000</v>
      </c>
      <c r="Y2628" s="11">
        <f t="shared" si="2641"/>
        <v>120000</v>
      </c>
      <c r="AF2628" s="12">
        <v>185</v>
      </c>
      <c r="AG2628" s="11">
        <f t="shared" si="2642"/>
        <v>12025</v>
      </c>
      <c r="AH2628" s="12">
        <v>35</v>
      </c>
      <c r="AI2628" s="11">
        <f t="shared" si="2643"/>
        <v>2275</v>
      </c>
      <c r="AJ2628" s="12">
        <v>5600</v>
      </c>
      <c r="AK2628" s="13">
        <f t="shared" si="2644"/>
        <v>50400</v>
      </c>
      <c r="AL2628" s="12">
        <v>1552</v>
      </c>
      <c r="AM2628" s="13">
        <f t="shared" si="2645"/>
        <v>13968</v>
      </c>
      <c r="AO2628" s="11">
        <f t="shared" si="2646"/>
        <v>0</v>
      </c>
      <c r="AQ2628" s="11">
        <f t="shared" si="2647"/>
        <v>0</v>
      </c>
      <c r="AR2628" s="12">
        <v>40</v>
      </c>
      <c r="AS2628" s="11">
        <f t="shared" si="2648"/>
        <v>2000</v>
      </c>
      <c r="AU2628" s="11">
        <f t="shared" si="2649"/>
        <v>0</v>
      </c>
      <c r="AW2628" s="11">
        <f t="shared" si="2650"/>
        <v>0</v>
      </c>
      <c r="AY2628" s="11">
        <f t="shared" si="2651"/>
        <v>0</v>
      </c>
      <c r="BA2628" s="11">
        <f t="shared" si="2652"/>
        <v>0</v>
      </c>
      <c r="BC2628" s="11">
        <f t="shared" si="2653"/>
        <v>0</v>
      </c>
      <c r="BE2628" s="11">
        <f t="shared" si="2654"/>
        <v>0</v>
      </c>
      <c r="BG2628" s="11">
        <f t="shared" si="2655"/>
        <v>0</v>
      </c>
      <c r="BN2628" s="8">
        <f t="shared" si="2656"/>
        <v>9385</v>
      </c>
      <c r="BO2628" s="8">
        <f t="shared" si="2634"/>
        <v>278025</v>
      </c>
      <c r="BP2628" s="8">
        <f t="shared" si="2657"/>
        <v>3630</v>
      </c>
      <c r="BQ2628" s="12">
        <f t="shared" si="2658"/>
        <v>138393</v>
      </c>
    </row>
    <row r="2629" spans="1:69">
      <c r="A2629" s="28">
        <v>1972</v>
      </c>
      <c r="B2629" s="27" t="s">
        <v>125</v>
      </c>
      <c r="C2629" s="24">
        <f t="shared" si="2637"/>
        <v>2612</v>
      </c>
      <c r="D2629" s="7">
        <f t="shared" ca="1" si="2659"/>
        <v>0.18623752447352085</v>
      </c>
      <c r="E2629" s="26">
        <f t="array" aca="1" ref="E2629" ca="1">AVERAGE(IF(INDIRECT(DatCol&amp;"$"&amp;TEXT(C2629,"###")):INDIRECT(DatCol&amp;"$"&amp;TEXT(C2629+57,"###"))&gt;0,INDIRECT(DatCol&amp;"$"&amp;TEXT(C2629,"###")):INDIRECT(DatCol&amp;"$"&amp;TEXT(C2629+57,"###"))))</f>
        <v>279.21333333333331</v>
      </c>
      <c r="F2629" s="26" t="str">
        <f t="shared" si="2594"/>
        <v>B</v>
      </c>
      <c r="G2629" s="8"/>
      <c r="H2629" s="8">
        <v>14</v>
      </c>
      <c r="I2629" s="8">
        <v>24</v>
      </c>
      <c r="J2629" s="8">
        <v>557</v>
      </c>
      <c r="K2629" s="9">
        <f t="shared" si="2635"/>
        <v>571</v>
      </c>
      <c r="M2629" s="11">
        <f t="shared" si="2638"/>
        <v>0</v>
      </c>
      <c r="N2629" s="12">
        <v>52</v>
      </c>
      <c r="O2629" s="11">
        <f t="shared" si="2639"/>
        <v>2600</v>
      </c>
      <c r="P2629" s="12">
        <v>2184</v>
      </c>
      <c r="Q2629" s="11">
        <f t="shared" si="2640"/>
        <v>131040</v>
      </c>
      <c r="X2629" s="12">
        <v>2400</v>
      </c>
      <c r="Y2629" s="11">
        <f t="shared" si="2641"/>
        <v>144000</v>
      </c>
      <c r="AF2629" s="12">
        <v>740</v>
      </c>
      <c r="AG2629" s="11">
        <f t="shared" si="2642"/>
        <v>48100</v>
      </c>
      <c r="AH2629" s="12">
        <v>42</v>
      </c>
      <c r="AI2629" s="11">
        <f t="shared" si="2643"/>
        <v>2730</v>
      </c>
      <c r="AK2629" s="13">
        <f t="shared" si="2644"/>
        <v>0</v>
      </c>
      <c r="AL2629" s="12">
        <v>10</v>
      </c>
      <c r="AM2629" s="13">
        <f t="shared" si="2645"/>
        <v>90</v>
      </c>
      <c r="AN2629" s="12">
        <v>150</v>
      </c>
      <c r="AO2629" s="11">
        <f t="shared" si="2646"/>
        <v>12000</v>
      </c>
      <c r="AQ2629" s="11">
        <f t="shared" si="2647"/>
        <v>0</v>
      </c>
      <c r="AS2629" s="11">
        <f t="shared" si="2648"/>
        <v>0</v>
      </c>
      <c r="AU2629" s="11">
        <f t="shared" si="2649"/>
        <v>0</v>
      </c>
      <c r="AW2629" s="11">
        <f t="shared" si="2650"/>
        <v>0</v>
      </c>
      <c r="AY2629" s="11">
        <f t="shared" si="2651"/>
        <v>0</v>
      </c>
      <c r="BA2629" s="11">
        <f t="shared" si="2652"/>
        <v>0</v>
      </c>
      <c r="BC2629" s="11">
        <f t="shared" si="2653"/>
        <v>0</v>
      </c>
      <c r="BE2629" s="11">
        <f t="shared" si="2654"/>
        <v>0</v>
      </c>
      <c r="BG2629" s="11">
        <f t="shared" si="2655"/>
        <v>0</v>
      </c>
      <c r="BN2629" s="8">
        <f t="shared" si="2656"/>
        <v>5474</v>
      </c>
      <c r="BO2629" s="8">
        <f t="shared" si="2634"/>
        <v>335140</v>
      </c>
      <c r="BP2629" s="8">
        <f t="shared" si="2657"/>
        <v>2504</v>
      </c>
      <c r="BQ2629" s="12">
        <f t="shared" si="2658"/>
        <v>149420</v>
      </c>
    </row>
    <row r="2630" spans="1:69">
      <c r="A2630" s="28">
        <v>1973</v>
      </c>
      <c r="B2630" s="27" t="s">
        <v>125</v>
      </c>
      <c r="C2630" s="24">
        <f t="shared" si="2637"/>
        <v>2612</v>
      </c>
      <c r="D2630" s="7">
        <f t="shared" ca="1" si="2659"/>
        <v>0.20414497874982093</v>
      </c>
      <c r="E2630" s="26">
        <f t="array" aca="1" ref="E2630" ca="1">AVERAGE(IF(INDIRECT(DatCol&amp;"$"&amp;TEXT(C2630,"###")):INDIRECT(DatCol&amp;"$"&amp;TEXT(C2630+57,"###"))&gt;0,INDIRECT(DatCol&amp;"$"&amp;TEXT(C2630,"###")):INDIRECT(DatCol&amp;"$"&amp;TEXT(C2630+57,"###"))))</f>
        <v>279.21333333333331</v>
      </c>
      <c r="F2630" s="26" t="str">
        <f t="shared" si="2594"/>
        <v>B</v>
      </c>
      <c r="G2630" s="8"/>
      <c r="H2630" s="8">
        <v>6</v>
      </c>
      <c r="I2630" s="8">
        <v>36</v>
      </c>
      <c r="J2630" s="8">
        <v>706</v>
      </c>
      <c r="K2630" s="9">
        <f t="shared" si="2635"/>
        <v>712</v>
      </c>
      <c r="M2630" s="11">
        <f t="shared" ref="M2630:M2645" si="2660">(L2630*50)</f>
        <v>0</v>
      </c>
      <c r="N2630" s="12">
        <v>57</v>
      </c>
      <c r="O2630" s="11">
        <f t="shared" ref="O2630:O2645" si="2661">(N2630*50)</f>
        <v>2850</v>
      </c>
      <c r="P2630" s="12">
        <v>2511</v>
      </c>
      <c r="Q2630" s="11">
        <f t="shared" ref="Q2630:Q2645" si="2662">((P2630*330)/5.5)</f>
        <v>150660</v>
      </c>
      <c r="X2630" s="12">
        <v>2880</v>
      </c>
      <c r="Y2630" s="11">
        <f t="shared" ref="Y2630:Y2645" si="2663">((X2630*330)/5.5)</f>
        <v>172800</v>
      </c>
      <c r="AF2630" s="12">
        <v>208</v>
      </c>
      <c r="AG2630" s="11">
        <f t="shared" ref="AG2630:AG2645" si="2664">(AF2630*65)</f>
        <v>13520</v>
      </c>
      <c r="AH2630" s="12">
        <v>23</v>
      </c>
      <c r="AI2630" s="11">
        <f t="shared" ref="AI2630:AI2645" si="2665">(AH2630*65)</f>
        <v>1495</v>
      </c>
      <c r="AJ2630" s="12">
        <v>0</v>
      </c>
      <c r="AK2630" s="13">
        <f t="shared" ref="AK2630:AK2645" si="2666">(AJ2630*9)</f>
        <v>0</v>
      </c>
      <c r="AL2630" s="12">
        <v>37</v>
      </c>
      <c r="AM2630" s="13">
        <f t="shared" ref="AM2630:AM2645" si="2667">(AL2630*9)</f>
        <v>333</v>
      </c>
      <c r="AO2630" s="11">
        <f t="shared" ref="AO2630:AO2645" si="2668">(AN2630*80)</f>
        <v>0</v>
      </c>
      <c r="AQ2630" s="11">
        <f t="shared" ref="AQ2630:AQ2645" si="2669">(AP2630*80)</f>
        <v>0</v>
      </c>
      <c r="AS2630" s="11">
        <f t="shared" ref="AS2630:AS2645" si="2670">(AR2630*50)</f>
        <v>0</v>
      </c>
      <c r="AU2630" s="11">
        <f t="shared" ref="AU2630:AU2645" si="2671">(AT2630*50)</f>
        <v>0</v>
      </c>
      <c r="AW2630" s="11">
        <f t="shared" ref="AW2630:AW2645" si="2672">(AV2630*60)</f>
        <v>0</v>
      </c>
      <c r="AY2630" s="11">
        <f t="shared" ref="AY2630:AY2645" si="2673">(AX2630*60)</f>
        <v>0</v>
      </c>
      <c r="BA2630" s="11">
        <f t="shared" ref="BA2630:BA2645" si="2674">(AZ2630*40)</f>
        <v>0</v>
      </c>
      <c r="BC2630" s="11">
        <f t="shared" ref="BC2630:BC2645" si="2675">(BB2630*40)</f>
        <v>0</v>
      </c>
      <c r="BE2630" s="11">
        <f t="shared" ref="BE2630:BE2645" si="2676">(BD2630*95)</f>
        <v>0</v>
      </c>
      <c r="BG2630" s="11">
        <f t="shared" ref="BG2630:BG2645" si="2677">(BF2630*95)</f>
        <v>0</v>
      </c>
      <c r="BN2630" s="8">
        <f t="shared" si="2656"/>
        <v>5599</v>
      </c>
      <c r="BO2630" s="8">
        <f t="shared" si="2634"/>
        <v>336980</v>
      </c>
      <c r="BP2630" s="8">
        <f t="shared" si="2657"/>
        <v>2997</v>
      </c>
      <c r="BQ2630" s="12">
        <f t="shared" si="2658"/>
        <v>177478</v>
      </c>
    </row>
    <row r="2631" spans="1:69">
      <c r="A2631" s="28">
        <v>1974</v>
      </c>
      <c r="B2631" s="27" t="s">
        <v>125</v>
      </c>
      <c r="C2631" s="24">
        <f t="shared" si="2637"/>
        <v>2612</v>
      </c>
      <c r="D2631" s="7">
        <f t="shared" ca="1" si="2659"/>
        <v>0.61243493624946288</v>
      </c>
      <c r="E2631" s="26">
        <f t="array" aca="1" ref="E2631" ca="1">AVERAGE(IF(INDIRECT(DatCol&amp;"$"&amp;TEXT(C2631,"###")):INDIRECT(DatCol&amp;"$"&amp;TEXT(C2631+57,"###"))&gt;0,INDIRECT(DatCol&amp;"$"&amp;TEXT(C2631,"###")):INDIRECT(DatCol&amp;"$"&amp;TEXT(C2631+57,"###"))))</f>
        <v>279.21333333333331</v>
      </c>
      <c r="F2631" s="26" t="str">
        <f t="shared" si="2594"/>
        <v>B</v>
      </c>
      <c r="G2631" s="8"/>
      <c r="H2631" s="8">
        <v>12</v>
      </c>
      <c r="I2631" s="8">
        <v>34</v>
      </c>
      <c r="J2631" s="8">
        <v>743</v>
      </c>
      <c r="K2631" s="9">
        <f t="shared" si="2635"/>
        <v>755</v>
      </c>
      <c r="M2631" s="11">
        <f t="shared" si="2660"/>
        <v>0</v>
      </c>
      <c r="N2631" s="12">
        <v>171</v>
      </c>
      <c r="O2631" s="11">
        <f t="shared" si="2661"/>
        <v>8550</v>
      </c>
      <c r="P2631" s="12">
        <v>2340</v>
      </c>
      <c r="Q2631" s="11">
        <f t="shared" si="2662"/>
        <v>140400</v>
      </c>
      <c r="X2631" s="12">
        <v>2924</v>
      </c>
      <c r="Y2631" s="11">
        <f t="shared" si="2663"/>
        <v>175440</v>
      </c>
      <c r="AF2631" s="12">
        <v>455</v>
      </c>
      <c r="AG2631" s="11">
        <f t="shared" si="2664"/>
        <v>29575</v>
      </c>
      <c r="AH2631" s="12">
        <v>86</v>
      </c>
      <c r="AI2631" s="11">
        <f t="shared" si="2665"/>
        <v>5590</v>
      </c>
      <c r="AJ2631" s="12">
        <v>90</v>
      </c>
      <c r="AK2631" s="13">
        <f t="shared" si="2666"/>
        <v>810</v>
      </c>
      <c r="AL2631" s="12">
        <v>224</v>
      </c>
      <c r="AM2631" s="13">
        <f t="shared" si="2667"/>
        <v>2016</v>
      </c>
      <c r="AO2631" s="11">
        <f t="shared" si="2668"/>
        <v>0</v>
      </c>
      <c r="AQ2631" s="11">
        <f t="shared" si="2669"/>
        <v>0</v>
      </c>
      <c r="AS2631" s="11">
        <f t="shared" si="2670"/>
        <v>0</v>
      </c>
      <c r="AU2631" s="11">
        <f t="shared" si="2671"/>
        <v>0</v>
      </c>
      <c r="AW2631" s="11">
        <f t="shared" si="2672"/>
        <v>0</v>
      </c>
      <c r="AY2631" s="11">
        <f t="shared" si="2673"/>
        <v>0</v>
      </c>
      <c r="BA2631" s="11">
        <f t="shared" si="2674"/>
        <v>0</v>
      </c>
      <c r="BC2631" s="11">
        <f t="shared" si="2675"/>
        <v>0</v>
      </c>
      <c r="BE2631" s="11">
        <f t="shared" si="2676"/>
        <v>0</v>
      </c>
      <c r="BG2631" s="11">
        <f t="shared" si="2677"/>
        <v>0</v>
      </c>
      <c r="BN2631" s="8">
        <f t="shared" si="2656"/>
        <v>5809</v>
      </c>
      <c r="BO2631" s="8">
        <f t="shared" si="2634"/>
        <v>346225</v>
      </c>
      <c r="BP2631" s="8">
        <f t="shared" si="2657"/>
        <v>3405</v>
      </c>
      <c r="BQ2631" s="12">
        <f t="shared" si="2658"/>
        <v>191596</v>
      </c>
    </row>
    <row r="2632" spans="1:69">
      <c r="A2632" s="28">
        <v>1975</v>
      </c>
      <c r="B2632" s="27" t="s">
        <v>125</v>
      </c>
      <c r="C2632" s="24">
        <f t="shared" si="2637"/>
        <v>2612</v>
      </c>
      <c r="D2632" s="7">
        <f t="shared" ca="1" si="2659"/>
        <v>0.65899431736784309</v>
      </c>
      <c r="E2632" s="26">
        <f t="array" aca="1" ref="E2632" ca="1">AVERAGE(IF(INDIRECT(DatCol&amp;"$"&amp;TEXT(C2632,"###")):INDIRECT(DatCol&amp;"$"&amp;TEXT(C2632+57,"###"))&gt;0,INDIRECT(DatCol&amp;"$"&amp;TEXT(C2632,"###")):INDIRECT(DatCol&amp;"$"&amp;TEXT(C2632+57,"###"))))</f>
        <v>279.21333333333331</v>
      </c>
      <c r="F2632" s="26" t="str">
        <f t="shared" si="2594"/>
        <v>B</v>
      </c>
      <c r="G2632" s="8"/>
      <c r="H2632" s="8">
        <v>9</v>
      </c>
      <c r="I2632" s="8">
        <v>22</v>
      </c>
      <c r="J2632" s="8">
        <v>765</v>
      </c>
      <c r="K2632" s="9">
        <f t="shared" si="2635"/>
        <v>774</v>
      </c>
      <c r="M2632" s="11">
        <f t="shared" si="2660"/>
        <v>0</v>
      </c>
      <c r="N2632" s="12">
        <v>184</v>
      </c>
      <c r="O2632" s="11">
        <f t="shared" si="2661"/>
        <v>9200</v>
      </c>
      <c r="P2632" s="12">
        <v>1290</v>
      </c>
      <c r="Q2632" s="11">
        <f t="shared" si="2662"/>
        <v>77400</v>
      </c>
      <c r="X2632" s="12">
        <v>1680</v>
      </c>
      <c r="Y2632" s="11">
        <f t="shared" si="2663"/>
        <v>100800</v>
      </c>
      <c r="AF2632" s="12">
        <v>445</v>
      </c>
      <c r="AG2632" s="11">
        <f t="shared" si="2664"/>
        <v>28925</v>
      </c>
      <c r="AH2632" s="12">
        <v>26</v>
      </c>
      <c r="AI2632" s="11">
        <f t="shared" si="2665"/>
        <v>1690</v>
      </c>
      <c r="AK2632" s="13">
        <f t="shared" si="2666"/>
        <v>0</v>
      </c>
      <c r="AL2632" s="12">
        <v>310</v>
      </c>
      <c r="AM2632" s="13">
        <f t="shared" si="2667"/>
        <v>2790</v>
      </c>
      <c r="AO2632" s="11">
        <f t="shared" si="2668"/>
        <v>0</v>
      </c>
      <c r="AQ2632" s="11">
        <f t="shared" si="2669"/>
        <v>0</v>
      </c>
      <c r="AS2632" s="11">
        <f t="shared" si="2670"/>
        <v>0</v>
      </c>
      <c r="AU2632" s="11">
        <f t="shared" si="2671"/>
        <v>0</v>
      </c>
      <c r="AW2632" s="11">
        <f t="shared" si="2672"/>
        <v>0</v>
      </c>
      <c r="AY2632" s="11">
        <f t="shared" si="2673"/>
        <v>0</v>
      </c>
      <c r="BA2632" s="11">
        <f t="shared" si="2674"/>
        <v>0</v>
      </c>
      <c r="BC2632" s="11">
        <f t="shared" si="2675"/>
        <v>0</v>
      </c>
      <c r="BE2632" s="11">
        <f t="shared" si="2676"/>
        <v>0</v>
      </c>
      <c r="BG2632" s="11">
        <f t="shared" si="2677"/>
        <v>0</v>
      </c>
      <c r="BN2632" s="8">
        <f t="shared" si="2656"/>
        <v>3415</v>
      </c>
      <c r="BO2632" s="8">
        <f t="shared" si="2634"/>
        <v>207125</v>
      </c>
      <c r="BP2632" s="8">
        <f t="shared" si="2657"/>
        <v>2200</v>
      </c>
      <c r="BQ2632" s="12">
        <f t="shared" si="2658"/>
        <v>114480</v>
      </c>
    </row>
    <row r="2633" spans="1:69">
      <c r="A2633" s="28">
        <v>1976</v>
      </c>
      <c r="B2633" s="27" t="s">
        <v>125</v>
      </c>
      <c r="C2633" s="24">
        <f t="shared" si="2637"/>
        <v>2612</v>
      </c>
      <c r="D2633" s="7">
        <f t="shared" ca="1" si="2659"/>
        <v>0.37963803065756174</v>
      </c>
      <c r="E2633" s="26">
        <f t="array" aca="1" ref="E2633" ca="1">AVERAGE(IF(INDIRECT(DatCol&amp;"$"&amp;TEXT(C2633,"###")):INDIRECT(DatCol&amp;"$"&amp;TEXT(C2633+57,"###"))&gt;0,INDIRECT(DatCol&amp;"$"&amp;TEXT(C2633,"###")):INDIRECT(DatCol&amp;"$"&amp;TEXT(C2633+57,"###"))))</f>
        <v>279.21333333333331</v>
      </c>
      <c r="F2633" s="26" t="str">
        <f t="shared" ref="F2633:F2699" si="2678">VLOOKUP(B2633,town_region,2,FALSE)</f>
        <v>B</v>
      </c>
      <c r="G2633" s="8"/>
      <c r="H2633" s="8">
        <v>13</v>
      </c>
      <c r="I2633" s="8">
        <v>21</v>
      </c>
      <c r="J2633" s="8">
        <v>678</v>
      </c>
      <c r="K2633" s="9">
        <f t="shared" si="2635"/>
        <v>691</v>
      </c>
      <c r="M2633" s="11">
        <f t="shared" si="2660"/>
        <v>0</v>
      </c>
      <c r="N2633" s="12">
        <v>106</v>
      </c>
      <c r="O2633" s="11">
        <f t="shared" si="2661"/>
        <v>5300</v>
      </c>
      <c r="P2633" s="12">
        <v>1800</v>
      </c>
      <c r="Q2633" s="11">
        <f t="shared" si="2662"/>
        <v>108000</v>
      </c>
      <c r="X2633" s="12">
        <v>2025</v>
      </c>
      <c r="Y2633" s="11">
        <f t="shared" si="2663"/>
        <v>121500</v>
      </c>
      <c r="AF2633" s="12">
        <v>262</v>
      </c>
      <c r="AG2633" s="11">
        <f t="shared" si="2664"/>
        <v>17030</v>
      </c>
      <c r="AH2633" s="12">
        <v>42</v>
      </c>
      <c r="AI2633" s="11">
        <f t="shared" si="2665"/>
        <v>2730</v>
      </c>
      <c r="AJ2633" s="12">
        <v>0</v>
      </c>
      <c r="AK2633" s="13">
        <f t="shared" si="2666"/>
        <v>0</v>
      </c>
      <c r="AL2633" s="12">
        <v>0</v>
      </c>
      <c r="AM2633" s="13">
        <f t="shared" si="2667"/>
        <v>0</v>
      </c>
      <c r="AN2633" s="12">
        <v>1240</v>
      </c>
      <c r="AO2633" s="11">
        <f t="shared" si="2668"/>
        <v>99200</v>
      </c>
      <c r="AQ2633" s="11">
        <f t="shared" si="2669"/>
        <v>0</v>
      </c>
      <c r="AS2633" s="11">
        <f t="shared" si="2670"/>
        <v>0</v>
      </c>
      <c r="AU2633" s="11">
        <f t="shared" si="2671"/>
        <v>0</v>
      </c>
      <c r="AW2633" s="11">
        <f t="shared" si="2672"/>
        <v>0</v>
      </c>
      <c r="AY2633" s="11">
        <f t="shared" si="2673"/>
        <v>0</v>
      </c>
      <c r="BA2633" s="11">
        <f t="shared" si="2674"/>
        <v>0</v>
      </c>
      <c r="BC2633" s="11">
        <f t="shared" si="2675"/>
        <v>0</v>
      </c>
      <c r="BE2633" s="11">
        <f t="shared" si="2676"/>
        <v>0</v>
      </c>
      <c r="BG2633" s="11">
        <f t="shared" si="2677"/>
        <v>0</v>
      </c>
      <c r="BN2633" s="8">
        <f t="shared" si="2656"/>
        <v>5327</v>
      </c>
      <c r="BO2633" s="8">
        <f t="shared" si="2634"/>
        <v>345730</v>
      </c>
      <c r="BP2633" s="8">
        <f t="shared" si="2657"/>
        <v>2173</v>
      </c>
      <c r="BQ2633" s="12">
        <f t="shared" si="2658"/>
        <v>129530</v>
      </c>
    </row>
    <row r="2634" spans="1:69">
      <c r="A2634" s="28">
        <v>1977</v>
      </c>
      <c r="B2634" s="27" t="s">
        <v>125</v>
      </c>
      <c r="C2634" s="24">
        <f t="shared" si="2637"/>
        <v>2612</v>
      </c>
      <c r="D2634" s="7">
        <f t="shared" ca="1" si="2659"/>
        <v>0.3724750489470417</v>
      </c>
      <c r="E2634" s="26">
        <f t="array" aca="1" ref="E2634" ca="1">AVERAGE(IF(INDIRECT(DatCol&amp;"$"&amp;TEXT(C2634,"###")):INDIRECT(DatCol&amp;"$"&amp;TEXT(C2634+57,"###"))&gt;0,INDIRECT(DatCol&amp;"$"&amp;TEXT(C2634,"###")):INDIRECT(DatCol&amp;"$"&amp;TEXT(C2634+57,"###"))))</f>
        <v>279.21333333333331</v>
      </c>
      <c r="F2634" s="26" t="str">
        <f t="shared" si="2678"/>
        <v>B</v>
      </c>
      <c r="G2634" s="8"/>
      <c r="H2634" s="8">
        <v>29</v>
      </c>
      <c r="I2634" s="8">
        <v>204</v>
      </c>
      <c r="J2634" s="8">
        <v>875</v>
      </c>
      <c r="K2634" s="9">
        <f t="shared" si="2635"/>
        <v>904</v>
      </c>
      <c r="M2634" s="11">
        <f t="shared" si="2660"/>
        <v>0</v>
      </c>
      <c r="N2634" s="12">
        <v>104</v>
      </c>
      <c r="O2634" s="11">
        <f t="shared" si="2661"/>
        <v>5200</v>
      </c>
      <c r="P2634" s="12">
        <v>1462</v>
      </c>
      <c r="Q2634" s="11">
        <f t="shared" si="2662"/>
        <v>87720</v>
      </c>
      <c r="X2634" s="12">
        <v>1782</v>
      </c>
      <c r="Y2634" s="11">
        <f t="shared" si="2663"/>
        <v>106920</v>
      </c>
      <c r="AF2634" s="12">
        <v>480</v>
      </c>
      <c r="AG2634" s="11">
        <f t="shared" si="2664"/>
        <v>31200</v>
      </c>
      <c r="AH2634" s="12">
        <v>51</v>
      </c>
      <c r="AI2634" s="11">
        <f t="shared" si="2665"/>
        <v>3315</v>
      </c>
      <c r="AJ2634" s="12">
        <v>33285</v>
      </c>
      <c r="AK2634" s="13">
        <f t="shared" si="2666"/>
        <v>299565</v>
      </c>
      <c r="AL2634" s="12">
        <v>4200</v>
      </c>
      <c r="AM2634" s="13">
        <f t="shared" si="2667"/>
        <v>37800</v>
      </c>
      <c r="AN2634" s="12">
        <v>23000</v>
      </c>
      <c r="AO2634" s="11">
        <f t="shared" si="2668"/>
        <v>1840000</v>
      </c>
      <c r="AQ2634" s="11">
        <f t="shared" si="2669"/>
        <v>0</v>
      </c>
      <c r="AS2634" s="11">
        <f t="shared" si="2670"/>
        <v>0</v>
      </c>
      <c r="AU2634" s="11">
        <f t="shared" si="2671"/>
        <v>0</v>
      </c>
      <c r="AW2634" s="11">
        <f t="shared" si="2672"/>
        <v>0</v>
      </c>
      <c r="AY2634" s="11">
        <f t="shared" si="2673"/>
        <v>0</v>
      </c>
      <c r="BA2634" s="11">
        <f t="shared" si="2674"/>
        <v>0</v>
      </c>
      <c r="BC2634" s="11">
        <f t="shared" si="2675"/>
        <v>0</v>
      </c>
      <c r="BE2634" s="11">
        <f t="shared" si="2676"/>
        <v>0</v>
      </c>
      <c r="BG2634" s="11">
        <f t="shared" si="2677"/>
        <v>0</v>
      </c>
      <c r="BN2634" s="8">
        <f t="shared" si="2656"/>
        <v>60009</v>
      </c>
      <c r="BO2634" s="8">
        <f t="shared" si="2634"/>
        <v>2365405</v>
      </c>
      <c r="BP2634" s="8">
        <f t="shared" si="2657"/>
        <v>6137</v>
      </c>
      <c r="BQ2634" s="12">
        <f t="shared" si="2658"/>
        <v>153235</v>
      </c>
    </row>
    <row r="2635" spans="1:69">
      <c r="A2635" s="28">
        <v>1978</v>
      </c>
      <c r="B2635" s="27" t="s">
        <v>125</v>
      </c>
      <c r="C2635" s="24">
        <f t="shared" si="2637"/>
        <v>2612</v>
      </c>
      <c r="D2635" s="7">
        <f t="shared" ca="1" si="2659"/>
        <v>9.6700253092020447E-2</v>
      </c>
      <c r="E2635" s="26">
        <f t="array" aca="1" ref="E2635" ca="1">AVERAGE(IF(INDIRECT(DatCol&amp;"$"&amp;TEXT(C2635,"###")):INDIRECT(DatCol&amp;"$"&amp;TEXT(C2635+57,"###"))&gt;0,INDIRECT(DatCol&amp;"$"&amp;TEXT(C2635,"###")):INDIRECT(DatCol&amp;"$"&amp;TEXT(C2635+57,"###"))))</f>
        <v>279.21333333333331</v>
      </c>
      <c r="F2635" s="26" t="str">
        <f t="shared" si="2678"/>
        <v>B</v>
      </c>
      <c r="G2635" s="8"/>
      <c r="H2635" s="8">
        <v>17</v>
      </c>
      <c r="I2635" s="8">
        <v>46</v>
      </c>
      <c r="J2635" s="8">
        <v>865</v>
      </c>
      <c r="K2635" s="9">
        <f t="shared" si="2635"/>
        <v>882</v>
      </c>
      <c r="M2635" s="11">
        <f t="shared" si="2660"/>
        <v>0</v>
      </c>
      <c r="N2635" s="12">
        <v>27</v>
      </c>
      <c r="O2635" s="11">
        <f t="shared" si="2661"/>
        <v>1350</v>
      </c>
      <c r="P2635" s="12">
        <v>1316</v>
      </c>
      <c r="Q2635" s="11">
        <f t="shared" si="2662"/>
        <v>78960</v>
      </c>
      <c r="X2635" s="12">
        <v>1960</v>
      </c>
      <c r="Y2635" s="11">
        <f t="shared" si="2663"/>
        <v>117600</v>
      </c>
      <c r="AF2635" s="12">
        <v>730</v>
      </c>
      <c r="AG2635" s="11">
        <f t="shared" si="2664"/>
        <v>47450</v>
      </c>
      <c r="AH2635" s="12">
        <v>23</v>
      </c>
      <c r="AI2635" s="11">
        <f t="shared" si="2665"/>
        <v>1495</v>
      </c>
      <c r="AJ2635" s="12">
        <v>564</v>
      </c>
      <c r="AK2635" s="13">
        <f t="shared" si="2666"/>
        <v>5076</v>
      </c>
      <c r="AL2635" s="12">
        <v>124</v>
      </c>
      <c r="AM2635" s="13">
        <f t="shared" si="2667"/>
        <v>1116</v>
      </c>
      <c r="AN2635" s="12">
        <v>8966</v>
      </c>
      <c r="AO2635" s="11">
        <f t="shared" si="2668"/>
        <v>717280</v>
      </c>
      <c r="AQ2635" s="11">
        <f t="shared" si="2669"/>
        <v>0</v>
      </c>
      <c r="AS2635" s="11">
        <f t="shared" si="2670"/>
        <v>0</v>
      </c>
      <c r="AU2635" s="11">
        <f t="shared" si="2671"/>
        <v>0</v>
      </c>
      <c r="AW2635" s="11">
        <f t="shared" si="2672"/>
        <v>0</v>
      </c>
      <c r="AY2635" s="11">
        <f t="shared" si="2673"/>
        <v>0</v>
      </c>
      <c r="BA2635" s="11">
        <f t="shared" si="2674"/>
        <v>0</v>
      </c>
      <c r="BC2635" s="11">
        <f t="shared" si="2675"/>
        <v>0</v>
      </c>
      <c r="BE2635" s="11">
        <f t="shared" si="2676"/>
        <v>0</v>
      </c>
      <c r="BG2635" s="11">
        <f t="shared" si="2677"/>
        <v>0</v>
      </c>
      <c r="BN2635" s="8">
        <f t="shared" si="2656"/>
        <v>13536</v>
      </c>
      <c r="BO2635" s="8">
        <f t="shared" si="2634"/>
        <v>966366</v>
      </c>
      <c r="BP2635" s="8">
        <f t="shared" si="2657"/>
        <v>2134</v>
      </c>
      <c r="BQ2635" s="12">
        <f t="shared" si="2658"/>
        <v>121561</v>
      </c>
    </row>
    <row r="2636" spans="1:69">
      <c r="A2636" s="28">
        <v>1979</v>
      </c>
      <c r="B2636" s="27" t="s">
        <v>125</v>
      </c>
      <c r="C2636" s="24">
        <f t="shared" si="2637"/>
        <v>2612</v>
      </c>
      <c r="D2636" s="7">
        <f t="shared" ca="1" si="2659"/>
        <v>0.1074447256578005</v>
      </c>
      <c r="E2636" s="26">
        <f t="array" aca="1" ref="E2636" ca="1">AVERAGE(IF(INDIRECT(DatCol&amp;"$"&amp;TEXT(C2636,"###")):INDIRECT(DatCol&amp;"$"&amp;TEXT(C2636+57,"###"))&gt;0,INDIRECT(DatCol&amp;"$"&amp;TEXT(C2636,"###")):INDIRECT(DatCol&amp;"$"&amp;TEXT(C2636+57,"###"))))</f>
        <v>279.21333333333331</v>
      </c>
      <c r="F2636" s="26" t="str">
        <f t="shared" si="2678"/>
        <v>B</v>
      </c>
      <c r="G2636" s="8"/>
      <c r="H2636" s="8">
        <v>18</v>
      </c>
      <c r="I2636" s="8">
        <v>132</v>
      </c>
      <c r="J2636" s="8">
        <v>881</v>
      </c>
      <c r="K2636" s="9">
        <f t="shared" si="2635"/>
        <v>899</v>
      </c>
      <c r="L2636" s="12" t="s">
        <v>52</v>
      </c>
      <c r="M2636" s="11">
        <f t="shared" si="2660"/>
        <v>0</v>
      </c>
      <c r="N2636" s="12">
        <v>30</v>
      </c>
      <c r="O2636" s="11">
        <f t="shared" si="2661"/>
        <v>1500</v>
      </c>
      <c r="P2636" s="12">
        <v>1381</v>
      </c>
      <c r="Q2636" s="11">
        <f t="shared" si="2662"/>
        <v>82860</v>
      </c>
      <c r="X2636" s="12">
        <v>2156</v>
      </c>
      <c r="Y2636" s="11">
        <f t="shared" si="2663"/>
        <v>129360</v>
      </c>
      <c r="AF2636" s="12">
        <v>280</v>
      </c>
      <c r="AG2636" s="11">
        <f t="shared" si="2664"/>
        <v>18200</v>
      </c>
      <c r="AI2636" s="11">
        <f t="shared" si="2665"/>
        <v>0</v>
      </c>
      <c r="AK2636" s="13">
        <f t="shared" si="2666"/>
        <v>0</v>
      </c>
      <c r="AL2636" s="12">
        <v>226</v>
      </c>
      <c r="AM2636" s="13">
        <f t="shared" si="2667"/>
        <v>2034</v>
      </c>
      <c r="AN2636" s="12">
        <v>3630</v>
      </c>
      <c r="AO2636" s="11">
        <f t="shared" si="2668"/>
        <v>290400</v>
      </c>
      <c r="AQ2636" s="11">
        <f t="shared" si="2669"/>
        <v>0</v>
      </c>
      <c r="AS2636" s="11">
        <f t="shared" si="2670"/>
        <v>0</v>
      </c>
      <c r="AU2636" s="11">
        <f t="shared" si="2671"/>
        <v>0</v>
      </c>
      <c r="AW2636" s="11">
        <f t="shared" si="2672"/>
        <v>0</v>
      </c>
      <c r="AY2636" s="11">
        <f t="shared" si="2673"/>
        <v>0</v>
      </c>
      <c r="BA2636" s="11">
        <f t="shared" si="2674"/>
        <v>0</v>
      </c>
      <c r="BC2636" s="11">
        <f t="shared" si="2675"/>
        <v>0</v>
      </c>
      <c r="BE2636" s="11">
        <f t="shared" si="2676"/>
        <v>0</v>
      </c>
      <c r="BG2636" s="11">
        <f t="shared" si="2677"/>
        <v>0</v>
      </c>
      <c r="BN2636" s="8">
        <f t="shared" si="2656"/>
        <v>7447</v>
      </c>
      <c r="BO2636" s="8">
        <f t="shared" si="2634"/>
        <v>520820</v>
      </c>
      <c r="BP2636" s="8">
        <f t="shared" si="2657"/>
        <v>2412</v>
      </c>
      <c r="BQ2636" s="12">
        <f t="shared" si="2658"/>
        <v>132894</v>
      </c>
    </row>
    <row r="2637" spans="1:69">
      <c r="A2637" s="28">
        <v>1980</v>
      </c>
      <c r="B2637" s="27" t="s">
        <v>125</v>
      </c>
      <c r="C2637" s="24">
        <f t="shared" si="2637"/>
        <v>2612</v>
      </c>
      <c r="D2637" s="7">
        <f t="shared" ca="1" si="2659"/>
        <v>4.2977890263120197E-2</v>
      </c>
      <c r="E2637" s="26">
        <f t="array" aca="1" ref="E2637" ca="1">AVERAGE(IF(INDIRECT(DatCol&amp;"$"&amp;TEXT(C2637,"###")):INDIRECT(DatCol&amp;"$"&amp;TEXT(C2637+57,"###"))&gt;0,INDIRECT(DatCol&amp;"$"&amp;TEXT(C2637,"###")):INDIRECT(DatCol&amp;"$"&amp;TEXT(C2637+57,"###"))))</f>
        <v>279.21333333333331</v>
      </c>
      <c r="F2637" s="26" t="str">
        <f t="shared" si="2678"/>
        <v>B</v>
      </c>
      <c r="G2637" s="8"/>
      <c r="H2637" s="8">
        <v>21</v>
      </c>
      <c r="I2637" s="8">
        <v>30</v>
      </c>
      <c r="J2637" s="8">
        <v>669</v>
      </c>
      <c r="K2637" s="9">
        <f t="shared" si="2635"/>
        <v>690</v>
      </c>
      <c r="M2637" s="11">
        <f t="shared" si="2660"/>
        <v>0</v>
      </c>
      <c r="N2637" s="12">
        <v>12</v>
      </c>
      <c r="O2637" s="11">
        <f t="shared" si="2661"/>
        <v>600</v>
      </c>
      <c r="P2637" s="12">
        <v>1270</v>
      </c>
      <c r="Q2637" s="11">
        <f t="shared" si="2662"/>
        <v>76200</v>
      </c>
      <c r="X2637" s="12">
        <v>1510</v>
      </c>
      <c r="Y2637" s="11">
        <f t="shared" si="2663"/>
        <v>90600</v>
      </c>
      <c r="AF2637" s="12">
        <v>340</v>
      </c>
      <c r="AG2637" s="11">
        <f t="shared" si="2664"/>
        <v>22100</v>
      </c>
      <c r="AH2637" s="12">
        <v>60</v>
      </c>
      <c r="AI2637" s="11">
        <f t="shared" si="2665"/>
        <v>3900</v>
      </c>
      <c r="AJ2637" s="12">
        <v>310</v>
      </c>
      <c r="AK2637" s="13">
        <f t="shared" si="2666"/>
        <v>2790</v>
      </c>
      <c r="AL2637" s="12">
        <v>63</v>
      </c>
      <c r="AM2637" s="13">
        <f t="shared" si="2667"/>
        <v>567</v>
      </c>
      <c r="AN2637" s="12">
        <v>128</v>
      </c>
      <c r="AO2637" s="11">
        <f t="shared" si="2668"/>
        <v>10240</v>
      </c>
      <c r="AQ2637" s="11">
        <f t="shared" si="2669"/>
        <v>0</v>
      </c>
      <c r="AS2637" s="11">
        <f t="shared" si="2670"/>
        <v>0</v>
      </c>
      <c r="AT2637" s="12">
        <v>68</v>
      </c>
      <c r="AU2637" s="11">
        <f t="shared" si="2671"/>
        <v>3400</v>
      </c>
      <c r="AW2637" s="11">
        <f t="shared" si="2672"/>
        <v>0</v>
      </c>
      <c r="AY2637" s="11">
        <f t="shared" si="2673"/>
        <v>0</v>
      </c>
      <c r="BA2637" s="11">
        <f t="shared" si="2674"/>
        <v>0</v>
      </c>
      <c r="BC2637" s="11">
        <f t="shared" si="2675"/>
        <v>0</v>
      </c>
      <c r="BE2637" s="11">
        <f t="shared" si="2676"/>
        <v>0</v>
      </c>
      <c r="BG2637" s="11">
        <f t="shared" si="2677"/>
        <v>0</v>
      </c>
      <c r="BN2637" s="8">
        <f t="shared" si="2656"/>
        <v>3558</v>
      </c>
      <c r="BO2637" s="8">
        <f t="shared" si="2634"/>
        <v>201930</v>
      </c>
      <c r="BP2637" s="8">
        <f t="shared" si="2657"/>
        <v>1713</v>
      </c>
      <c r="BQ2637" s="12">
        <f t="shared" si="2658"/>
        <v>99067</v>
      </c>
    </row>
    <row r="2638" spans="1:69">
      <c r="A2638" s="28">
        <v>1981</v>
      </c>
      <c r="B2638" s="27" t="s">
        <v>125</v>
      </c>
      <c r="C2638" s="24">
        <f t="shared" si="2637"/>
        <v>2612</v>
      </c>
      <c r="D2638" s="7">
        <f t="shared" ca="1" si="2659"/>
        <v>7.8792798815720363E-2</v>
      </c>
      <c r="E2638" s="26">
        <f t="array" aca="1" ref="E2638" ca="1">AVERAGE(IF(INDIRECT(DatCol&amp;"$"&amp;TEXT(C2638,"###")):INDIRECT(DatCol&amp;"$"&amp;TEXT(C2638+57,"###"))&gt;0,INDIRECT(DatCol&amp;"$"&amp;TEXT(C2638,"###")):INDIRECT(DatCol&amp;"$"&amp;TEXT(C2638+57,"###"))))</f>
        <v>279.21333333333331</v>
      </c>
      <c r="F2638" s="26" t="str">
        <f t="shared" si="2678"/>
        <v>B</v>
      </c>
      <c r="G2638" s="8"/>
      <c r="H2638" s="8">
        <v>20</v>
      </c>
      <c r="I2638" s="8">
        <v>73</v>
      </c>
      <c r="J2638" s="8">
        <v>794</v>
      </c>
      <c r="K2638" s="9">
        <f t="shared" si="2635"/>
        <v>814</v>
      </c>
      <c r="M2638" s="11">
        <f t="shared" si="2660"/>
        <v>0</v>
      </c>
      <c r="N2638" s="12">
        <v>22</v>
      </c>
      <c r="O2638" s="11">
        <f t="shared" si="2661"/>
        <v>1100</v>
      </c>
      <c r="P2638" s="12">
        <v>1521</v>
      </c>
      <c r="Q2638" s="11">
        <f t="shared" si="2662"/>
        <v>91260</v>
      </c>
      <c r="X2638" s="12">
        <v>1736</v>
      </c>
      <c r="Y2638" s="11">
        <f t="shared" si="2663"/>
        <v>104160</v>
      </c>
      <c r="AF2638" s="12">
        <v>30</v>
      </c>
      <c r="AG2638" s="11">
        <f t="shared" si="2664"/>
        <v>1950</v>
      </c>
      <c r="AH2638" s="12">
        <v>10</v>
      </c>
      <c r="AI2638" s="11">
        <f t="shared" si="2665"/>
        <v>650</v>
      </c>
      <c r="AJ2638" s="12">
        <v>4015</v>
      </c>
      <c r="AK2638" s="13">
        <f t="shared" si="2666"/>
        <v>36135</v>
      </c>
      <c r="AL2638" s="12">
        <v>438</v>
      </c>
      <c r="AM2638" s="13">
        <f t="shared" si="2667"/>
        <v>3942</v>
      </c>
      <c r="AN2638" s="12">
        <v>267</v>
      </c>
      <c r="AO2638" s="11">
        <f t="shared" si="2668"/>
        <v>21360</v>
      </c>
      <c r="AP2638" s="12">
        <v>40</v>
      </c>
      <c r="AQ2638" s="11">
        <f t="shared" si="2669"/>
        <v>3200</v>
      </c>
      <c r="AS2638" s="11">
        <f t="shared" si="2670"/>
        <v>0</v>
      </c>
      <c r="AT2638" s="12">
        <v>250</v>
      </c>
      <c r="AU2638" s="11">
        <f t="shared" si="2671"/>
        <v>12500</v>
      </c>
      <c r="AW2638" s="11">
        <f t="shared" si="2672"/>
        <v>0</v>
      </c>
      <c r="AY2638" s="11">
        <f t="shared" si="2673"/>
        <v>0</v>
      </c>
      <c r="BA2638" s="11">
        <f t="shared" si="2674"/>
        <v>0</v>
      </c>
      <c r="BC2638" s="11">
        <f t="shared" si="2675"/>
        <v>0</v>
      </c>
      <c r="BE2638" s="11">
        <f t="shared" si="2676"/>
        <v>0</v>
      </c>
      <c r="BG2638" s="11">
        <f t="shared" si="2677"/>
        <v>0</v>
      </c>
      <c r="BN2638" s="8">
        <f t="shared" si="2656"/>
        <v>7569</v>
      </c>
      <c r="BO2638" s="8">
        <f t="shared" si="2634"/>
        <v>254865</v>
      </c>
      <c r="BP2638" s="8">
        <f t="shared" si="2657"/>
        <v>2496</v>
      </c>
      <c r="BQ2638" s="12">
        <f t="shared" si="2658"/>
        <v>125552</v>
      </c>
    </row>
    <row r="2639" spans="1:69">
      <c r="A2639" s="28">
        <v>1982</v>
      </c>
      <c r="B2639" s="27" t="s">
        <v>125</v>
      </c>
      <c r="C2639" s="24">
        <f t="shared" si="2637"/>
        <v>2612</v>
      </c>
      <c r="D2639" s="7">
        <f t="shared" ca="1" si="2659"/>
        <v>0.66615729907836307</v>
      </c>
      <c r="E2639" s="26">
        <f t="array" aca="1" ref="E2639" ca="1">AVERAGE(IF(INDIRECT(DatCol&amp;"$"&amp;TEXT(C2639,"###")):INDIRECT(DatCol&amp;"$"&amp;TEXT(C2639+57,"###"))&gt;0,INDIRECT(DatCol&amp;"$"&amp;TEXT(C2639,"###")):INDIRECT(DatCol&amp;"$"&amp;TEXT(C2639+57,"###"))))</f>
        <v>279.21333333333331</v>
      </c>
      <c r="F2639" s="26" t="str">
        <f t="shared" si="2678"/>
        <v>B</v>
      </c>
      <c r="G2639" s="8"/>
      <c r="H2639" s="8">
        <v>30</v>
      </c>
      <c r="I2639" s="8">
        <v>149</v>
      </c>
      <c r="J2639" s="8">
        <v>737</v>
      </c>
      <c r="K2639" s="9">
        <f t="shared" si="2635"/>
        <v>767</v>
      </c>
      <c r="M2639" s="11">
        <f t="shared" si="2660"/>
        <v>0</v>
      </c>
      <c r="N2639" s="12">
        <v>186</v>
      </c>
      <c r="O2639" s="11">
        <f t="shared" si="2661"/>
        <v>9300</v>
      </c>
      <c r="P2639" s="12">
        <v>2377</v>
      </c>
      <c r="Q2639" s="11">
        <f t="shared" si="2662"/>
        <v>142620</v>
      </c>
      <c r="X2639" s="12">
        <v>1186</v>
      </c>
      <c r="Y2639" s="11">
        <f t="shared" si="2663"/>
        <v>71160</v>
      </c>
      <c r="AF2639" s="12">
        <v>1435</v>
      </c>
      <c r="AG2639" s="11">
        <f t="shared" si="2664"/>
        <v>93275</v>
      </c>
      <c r="AH2639" s="12">
        <v>28</v>
      </c>
      <c r="AI2639" s="11">
        <f t="shared" si="2665"/>
        <v>1820</v>
      </c>
      <c r="AJ2639" s="12">
        <v>9968</v>
      </c>
      <c r="AK2639" s="13">
        <f t="shared" si="2666"/>
        <v>89712</v>
      </c>
      <c r="AL2639" s="12">
        <v>875</v>
      </c>
      <c r="AM2639" s="13">
        <f t="shared" si="2667"/>
        <v>7875</v>
      </c>
      <c r="AN2639" s="12">
        <v>4210</v>
      </c>
      <c r="AO2639" s="11">
        <f t="shared" si="2668"/>
        <v>336800</v>
      </c>
      <c r="AP2639" s="12">
        <v>30</v>
      </c>
      <c r="AQ2639" s="11">
        <f t="shared" si="2669"/>
        <v>2400</v>
      </c>
      <c r="AS2639" s="11">
        <f t="shared" si="2670"/>
        <v>0</v>
      </c>
      <c r="AT2639" s="12">
        <v>211</v>
      </c>
      <c r="AU2639" s="11">
        <f t="shared" si="2671"/>
        <v>10550</v>
      </c>
      <c r="AW2639" s="11">
        <f t="shared" si="2672"/>
        <v>0</v>
      </c>
      <c r="AY2639" s="11">
        <f t="shared" si="2673"/>
        <v>0</v>
      </c>
      <c r="AZ2639" s="12">
        <v>90</v>
      </c>
      <c r="BA2639" s="11">
        <f t="shared" si="2674"/>
        <v>3600</v>
      </c>
      <c r="BC2639" s="11">
        <f t="shared" si="2675"/>
        <v>0</v>
      </c>
      <c r="BE2639" s="11">
        <f t="shared" si="2676"/>
        <v>0</v>
      </c>
      <c r="BG2639" s="11">
        <f t="shared" si="2677"/>
        <v>0</v>
      </c>
      <c r="BN2639" s="8">
        <f t="shared" si="2656"/>
        <v>19266</v>
      </c>
      <c r="BO2639" s="8">
        <f t="shared" si="2634"/>
        <v>737167</v>
      </c>
      <c r="BP2639" s="8">
        <f t="shared" si="2657"/>
        <v>2516</v>
      </c>
      <c r="BQ2639" s="12">
        <f t="shared" si="2658"/>
        <v>103105</v>
      </c>
    </row>
    <row r="2640" spans="1:69">
      <c r="A2640" s="28">
        <v>1983</v>
      </c>
      <c r="B2640" s="27" t="s">
        <v>125</v>
      </c>
      <c r="C2640" s="24">
        <f t="shared" si="2637"/>
        <v>2612</v>
      </c>
      <c r="D2640" s="7">
        <f t="shared" ca="1" si="2659"/>
        <v>1.1783104913805453</v>
      </c>
      <c r="E2640" s="26">
        <f t="array" aca="1" ref="E2640" ca="1">AVERAGE(IF(INDIRECT(DatCol&amp;"$"&amp;TEXT(C2640,"###")):INDIRECT(DatCol&amp;"$"&amp;TEXT(C2640+57,"###"))&gt;0,INDIRECT(DatCol&amp;"$"&amp;TEXT(C2640,"###")):INDIRECT(DatCol&amp;"$"&amp;TEXT(C2640+57,"###"))))</f>
        <v>279.21333333333331</v>
      </c>
      <c r="F2640" s="26" t="str">
        <f t="shared" si="2678"/>
        <v>B</v>
      </c>
      <c r="G2640" s="8"/>
      <c r="H2640" s="8">
        <v>29</v>
      </c>
      <c r="I2640" s="8">
        <v>108</v>
      </c>
      <c r="J2640" s="8">
        <v>753</v>
      </c>
      <c r="K2640" s="9">
        <f t="shared" si="2635"/>
        <v>782</v>
      </c>
      <c r="L2640" s="12">
        <v>75</v>
      </c>
      <c r="M2640" s="11">
        <f t="shared" si="2660"/>
        <v>3750</v>
      </c>
      <c r="N2640" s="12">
        <v>329</v>
      </c>
      <c r="O2640" s="11">
        <f t="shared" si="2661"/>
        <v>16450</v>
      </c>
      <c r="P2640" s="12">
        <v>9191</v>
      </c>
      <c r="Q2640" s="11">
        <f t="shared" si="2662"/>
        <v>551460</v>
      </c>
      <c r="X2640" s="12">
        <v>3532</v>
      </c>
      <c r="Y2640" s="11">
        <f t="shared" si="2663"/>
        <v>211920</v>
      </c>
      <c r="AF2640" s="12">
        <v>0</v>
      </c>
      <c r="AG2640" s="11">
        <f t="shared" si="2664"/>
        <v>0</v>
      </c>
      <c r="AH2640" s="12">
        <v>27</v>
      </c>
      <c r="AI2640" s="11">
        <f t="shared" si="2665"/>
        <v>1755</v>
      </c>
      <c r="AJ2640" s="12">
        <v>2983</v>
      </c>
      <c r="AK2640" s="13">
        <f t="shared" si="2666"/>
        <v>26847</v>
      </c>
      <c r="AL2640" s="12">
        <v>658</v>
      </c>
      <c r="AM2640" s="13">
        <f t="shared" si="2667"/>
        <v>5922</v>
      </c>
      <c r="AN2640" s="12">
        <v>270</v>
      </c>
      <c r="AO2640" s="11">
        <f t="shared" si="2668"/>
        <v>21600</v>
      </c>
      <c r="AP2640" s="12">
        <v>0</v>
      </c>
      <c r="AQ2640" s="11">
        <f t="shared" si="2669"/>
        <v>0</v>
      </c>
      <c r="AR2640" s="12">
        <v>165</v>
      </c>
      <c r="AS2640" s="11">
        <f t="shared" si="2670"/>
        <v>8250</v>
      </c>
      <c r="AT2640" s="12">
        <v>144</v>
      </c>
      <c r="AU2640" s="11">
        <f t="shared" si="2671"/>
        <v>7200</v>
      </c>
      <c r="AW2640" s="11">
        <f t="shared" si="2672"/>
        <v>0</v>
      </c>
      <c r="AY2640" s="11">
        <f t="shared" si="2673"/>
        <v>0</v>
      </c>
      <c r="BA2640" s="11">
        <f t="shared" si="2674"/>
        <v>0</v>
      </c>
      <c r="BC2640" s="11">
        <f t="shared" si="2675"/>
        <v>0</v>
      </c>
      <c r="BE2640" s="11">
        <f t="shared" si="2676"/>
        <v>0</v>
      </c>
      <c r="BG2640" s="11">
        <f t="shared" si="2677"/>
        <v>0</v>
      </c>
      <c r="BN2640" s="8">
        <f t="shared" si="2656"/>
        <v>16216</v>
      </c>
      <c r="BO2640" s="8">
        <f t="shared" si="2634"/>
        <v>823827</v>
      </c>
      <c r="BP2640" s="8">
        <f t="shared" si="2657"/>
        <v>4690</v>
      </c>
      <c r="BQ2640" s="12">
        <f t="shared" si="2658"/>
        <v>243247</v>
      </c>
    </row>
    <row r="2641" spans="1:69">
      <c r="A2641" s="28">
        <v>1984</v>
      </c>
      <c r="B2641" s="27" t="s">
        <v>125</v>
      </c>
      <c r="C2641" s="24">
        <f t="shared" si="2637"/>
        <v>2612</v>
      </c>
      <c r="D2641" s="7">
        <f t="shared" ca="1" si="2659"/>
        <v>1.1317511102621651</v>
      </c>
      <c r="E2641" s="26">
        <f t="array" aca="1" ref="E2641" ca="1">AVERAGE(IF(INDIRECT(DatCol&amp;"$"&amp;TEXT(C2641,"###")):INDIRECT(DatCol&amp;"$"&amp;TEXT(C2641+57,"###"))&gt;0,INDIRECT(DatCol&amp;"$"&amp;TEXT(C2641,"###")):INDIRECT(DatCol&amp;"$"&amp;TEXT(C2641+57,"###"))))</f>
        <v>279.21333333333331</v>
      </c>
      <c r="F2641" s="26" t="str">
        <f t="shared" si="2678"/>
        <v>B</v>
      </c>
      <c r="G2641" s="8"/>
      <c r="H2641" s="8">
        <v>35</v>
      </c>
      <c r="I2641" s="8">
        <v>87</v>
      </c>
      <c r="J2641" s="8">
        <v>727</v>
      </c>
      <c r="K2641" s="9">
        <f t="shared" si="2635"/>
        <v>762</v>
      </c>
      <c r="L2641" s="12">
        <v>138</v>
      </c>
      <c r="M2641" s="11">
        <f t="shared" si="2660"/>
        <v>6900</v>
      </c>
      <c r="N2641" s="12">
        <v>316</v>
      </c>
      <c r="O2641" s="11">
        <f t="shared" si="2661"/>
        <v>15800</v>
      </c>
      <c r="P2641" s="12">
        <v>9340</v>
      </c>
      <c r="Q2641" s="11">
        <f t="shared" si="2662"/>
        <v>560400</v>
      </c>
      <c r="X2641" s="12">
        <v>3323</v>
      </c>
      <c r="Y2641" s="11">
        <f t="shared" si="2663"/>
        <v>199380</v>
      </c>
      <c r="AF2641" s="12">
        <v>0</v>
      </c>
      <c r="AG2641" s="11">
        <f t="shared" si="2664"/>
        <v>0</v>
      </c>
      <c r="AH2641" s="12">
        <v>0</v>
      </c>
      <c r="AI2641" s="11">
        <f t="shared" si="2665"/>
        <v>0</v>
      </c>
      <c r="AJ2641" s="12">
        <v>1204</v>
      </c>
      <c r="AK2641" s="13">
        <f t="shared" si="2666"/>
        <v>10836</v>
      </c>
      <c r="AL2641" s="12">
        <v>217</v>
      </c>
      <c r="AM2641" s="13">
        <f t="shared" si="2667"/>
        <v>1953</v>
      </c>
      <c r="AN2641" s="12">
        <v>1622</v>
      </c>
      <c r="AO2641" s="11">
        <f t="shared" si="2668"/>
        <v>129760</v>
      </c>
      <c r="AP2641" s="12">
        <v>55</v>
      </c>
      <c r="AQ2641" s="11">
        <f t="shared" si="2669"/>
        <v>4400</v>
      </c>
      <c r="AR2641" s="12">
        <v>225</v>
      </c>
      <c r="AS2641" s="11">
        <f t="shared" si="2670"/>
        <v>11250</v>
      </c>
      <c r="AT2641" s="12">
        <v>521</v>
      </c>
      <c r="AU2641" s="11">
        <f t="shared" si="2671"/>
        <v>26050</v>
      </c>
      <c r="AW2641" s="11">
        <f t="shared" si="2672"/>
        <v>0</v>
      </c>
      <c r="AY2641" s="11">
        <f t="shared" si="2673"/>
        <v>0</v>
      </c>
      <c r="BA2641" s="11">
        <f t="shared" si="2674"/>
        <v>0</v>
      </c>
      <c r="BC2641" s="11">
        <f t="shared" si="2675"/>
        <v>0</v>
      </c>
      <c r="BE2641" s="11">
        <f t="shared" si="2676"/>
        <v>0</v>
      </c>
      <c r="BG2641" s="11">
        <f t="shared" si="2677"/>
        <v>0</v>
      </c>
      <c r="BN2641" s="8">
        <f t="shared" si="2656"/>
        <v>15852</v>
      </c>
      <c r="BO2641" s="8">
        <f t="shared" si="2634"/>
        <v>918526</v>
      </c>
      <c r="BP2641" s="8">
        <f t="shared" si="2657"/>
        <v>4432</v>
      </c>
      <c r="BQ2641" s="12">
        <f t="shared" si="2658"/>
        <v>247583</v>
      </c>
    </row>
    <row r="2642" spans="1:69">
      <c r="A2642" s="28">
        <v>1985</v>
      </c>
      <c r="B2642" s="27" t="s">
        <v>125</v>
      </c>
      <c r="C2642" s="24">
        <f t="shared" si="2637"/>
        <v>2612</v>
      </c>
      <c r="D2642" s="7">
        <f t="shared" ca="1" si="2659"/>
        <v>4.8636645814431025</v>
      </c>
      <c r="E2642" s="26">
        <f t="array" aca="1" ref="E2642" ca="1">AVERAGE(IF(INDIRECT(DatCol&amp;"$"&amp;TEXT(C2642,"###")):INDIRECT(DatCol&amp;"$"&amp;TEXT(C2642+57,"###"))&gt;0,INDIRECT(DatCol&amp;"$"&amp;TEXT(C2642,"###")):INDIRECT(DatCol&amp;"$"&amp;TEXT(C2642+57,"###"))))</f>
        <v>279.21333333333331</v>
      </c>
      <c r="F2642" s="26" t="str">
        <f t="shared" si="2678"/>
        <v>B</v>
      </c>
      <c r="G2642" s="8">
        <v>221</v>
      </c>
      <c r="H2642" s="8">
        <v>65</v>
      </c>
      <c r="I2642" s="8">
        <v>224</v>
      </c>
      <c r="J2642" s="8">
        <v>894</v>
      </c>
      <c r="K2642" s="9">
        <f t="shared" si="2635"/>
        <v>1180</v>
      </c>
      <c r="L2642" s="12">
        <v>945</v>
      </c>
      <c r="M2642" s="11">
        <f t="shared" si="2660"/>
        <v>47250</v>
      </c>
      <c r="N2642" s="12">
        <v>1358</v>
      </c>
      <c r="O2642" s="11">
        <f t="shared" si="2661"/>
        <v>67900</v>
      </c>
      <c r="P2642" s="12">
        <v>9647</v>
      </c>
      <c r="Q2642" s="11">
        <f t="shared" si="2662"/>
        <v>578820</v>
      </c>
      <c r="X2642" s="12">
        <v>11440</v>
      </c>
      <c r="Y2642" s="11">
        <f t="shared" si="2663"/>
        <v>686400</v>
      </c>
      <c r="AF2642" s="12">
        <v>85</v>
      </c>
      <c r="AG2642" s="11">
        <f t="shared" si="2664"/>
        <v>5525</v>
      </c>
      <c r="AH2642" s="12">
        <v>158</v>
      </c>
      <c r="AI2642" s="11">
        <f t="shared" si="2665"/>
        <v>10270</v>
      </c>
      <c r="AJ2642" s="12">
        <v>50550</v>
      </c>
      <c r="AK2642" s="13">
        <f t="shared" si="2666"/>
        <v>454950</v>
      </c>
      <c r="AL2642" s="12">
        <v>9578</v>
      </c>
      <c r="AM2642" s="13">
        <f t="shared" si="2667"/>
        <v>86202</v>
      </c>
      <c r="AO2642" s="11">
        <f t="shared" si="2668"/>
        <v>0</v>
      </c>
      <c r="AP2642" s="12">
        <v>170</v>
      </c>
      <c r="AQ2642" s="11">
        <f t="shared" si="2669"/>
        <v>13600</v>
      </c>
      <c r="AR2642" s="12">
        <v>165</v>
      </c>
      <c r="AS2642" s="11">
        <f t="shared" si="2670"/>
        <v>8250</v>
      </c>
      <c r="AT2642" s="12">
        <v>178</v>
      </c>
      <c r="AU2642" s="11">
        <f t="shared" si="2671"/>
        <v>8900</v>
      </c>
      <c r="AW2642" s="11">
        <f t="shared" si="2672"/>
        <v>0</v>
      </c>
      <c r="AY2642" s="11">
        <f t="shared" si="2673"/>
        <v>0</v>
      </c>
      <c r="BA2642" s="11">
        <f t="shared" si="2674"/>
        <v>0</v>
      </c>
      <c r="BC2642" s="11">
        <f t="shared" si="2675"/>
        <v>0</v>
      </c>
      <c r="BE2642" s="11">
        <f t="shared" si="2676"/>
        <v>0</v>
      </c>
      <c r="BG2642" s="11">
        <f t="shared" si="2677"/>
        <v>0</v>
      </c>
      <c r="BN2642" s="8">
        <f t="shared" si="2656"/>
        <v>72832</v>
      </c>
      <c r="BO2642" s="8">
        <f t="shared" si="2634"/>
        <v>1781195</v>
      </c>
      <c r="BP2642" s="8">
        <f t="shared" si="2657"/>
        <v>22882</v>
      </c>
      <c r="BQ2642" s="12">
        <f t="shared" si="2658"/>
        <v>873272</v>
      </c>
    </row>
    <row r="2643" spans="1:69">
      <c r="A2643" s="28">
        <v>1986</v>
      </c>
      <c r="B2643" s="27" t="s">
        <v>125</v>
      </c>
      <c r="C2643" s="24">
        <f t="shared" si="2637"/>
        <v>2612</v>
      </c>
      <c r="D2643" s="7">
        <f t="shared" ca="1" si="2659"/>
        <v>6.1923976887445686</v>
      </c>
      <c r="E2643" s="26">
        <f t="array" aca="1" ref="E2643" ca="1">AVERAGE(IF(INDIRECT(DatCol&amp;"$"&amp;TEXT(C2643,"###")):INDIRECT(DatCol&amp;"$"&amp;TEXT(C2643+57,"###"))&gt;0,INDIRECT(DatCol&amp;"$"&amp;TEXT(C2643,"###")):INDIRECT(DatCol&amp;"$"&amp;TEXT(C2643+57,"###"))))</f>
        <v>279.21333333333331</v>
      </c>
      <c r="F2643" s="26" t="str">
        <f t="shared" si="2678"/>
        <v>B</v>
      </c>
      <c r="G2643" s="8">
        <v>177</v>
      </c>
      <c r="H2643" s="8">
        <v>58</v>
      </c>
      <c r="I2643" s="8">
        <v>91</v>
      </c>
      <c r="J2643" s="8">
        <v>547</v>
      </c>
      <c r="K2643" s="9">
        <f t="shared" si="2635"/>
        <v>782</v>
      </c>
      <c r="L2643" s="12">
        <v>1170</v>
      </c>
      <c r="M2643" s="11">
        <f t="shared" si="2660"/>
        <v>58500</v>
      </c>
      <c r="N2643" s="12">
        <v>1729</v>
      </c>
      <c r="O2643" s="11">
        <f t="shared" si="2661"/>
        <v>86450</v>
      </c>
      <c r="P2643" s="12">
        <v>9910</v>
      </c>
      <c r="Q2643" s="11">
        <f t="shared" si="2662"/>
        <v>594600</v>
      </c>
      <c r="X2643" s="12">
        <v>7730</v>
      </c>
      <c r="Y2643" s="11">
        <f t="shared" si="2663"/>
        <v>463800</v>
      </c>
      <c r="AG2643" s="11">
        <f t="shared" si="2664"/>
        <v>0</v>
      </c>
      <c r="AH2643" s="12">
        <v>312</v>
      </c>
      <c r="AI2643" s="11">
        <f t="shared" si="2665"/>
        <v>20280</v>
      </c>
      <c r="AJ2643" s="12">
        <v>855</v>
      </c>
      <c r="AK2643" s="13">
        <f t="shared" si="2666"/>
        <v>7695</v>
      </c>
      <c r="AL2643" s="12">
        <v>396</v>
      </c>
      <c r="AM2643" s="13">
        <f t="shared" si="2667"/>
        <v>3564</v>
      </c>
      <c r="AO2643" s="11">
        <f t="shared" si="2668"/>
        <v>0</v>
      </c>
      <c r="AQ2643" s="11">
        <f t="shared" si="2669"/>
        <v>0</v>
      </c>
      <c r="AR2643" s="12">
        <v>0</v>
      </c>
      <c r="AS2643" s="11">
        <f t="shared" si="2670"/>
        <v>0</v>
      </c>
      <c r="AT2643" s="12">
        <v>315</v>
      </c>
      <c r="AU2643" s="11">
        <f t="shared" si="2671"/>
        <v>15750</v>
      </c>
      <c r="AW2643" s="11">
        <f t="shared" si="2672"/>
        <v>0</v>
      </c>
      <c r="AY2643" s="11">
        <f t="shared" si="2673"/>
        <v>0</v>
      </c>
      <c r="BA2643" s="11">
        <f t="shared" si="2674"/>
        <v>0</v>
      </c>
      <c r="BC2643" s="11">
        <f t="shared" si="2675"/>
        <v>0</v>
      </c>
      <c r="BE2643" s="11">
        <f t="shared" si="2676"/>
        <v>0</v>
      </c>
      <c r="BG2643" s="11">
        <f t="shared" si="2677"/>
        <v>0</v>
      </c>
      <c r="BN2643" s="8">
        <f t="shared" si="2656"/>
        <v>19665</v>
      </c>
      <c r="BO2643" s="8">
        <f t="shared" si="2634"/>
        <v>1124595</v>
      </c>
      <c r="BP2643" s="8">
        <f t="shared" si="2657"/>
        <v>10482</v>
      </c>
      <c r="BQ2643" s="12">
        <f t="shared" si="2658"/>
        <v>589844</v>
      </c>
    </row>
    <row r="2644" spans="1:69">
      <c r="A2644" s="28">
        <v>1987</v>
      </c>
      <c r="B2644" s="27" t="s">
        <v>125</v>
      </c>
      <c r="C2644" s="24">
        <f t="shared" si="2637"/>
        <v>2612</v>
      </c>
      <c r="D2644" s="7">
        <f t="shared" ca="1" si="2659"/>
        <v>6.6973878993362312</v>
      </c>
      <c r="E2644" s="26">
        <f t="array" aca="1" ref="E2644" ca="1">AVERAGE(IF(INDIRECT(DatCol&amp;"$"&amp;TEXT(C2644,"###")):INDIRECT(DatCol&amp;"$"&amp;TEXT(C2644+57,"###"))&gt;0,INDIRECT(DatCol&amp;"$"&amp;TEXT(C2644,"###")):INDIRECT(DatCol&amp;"$"&amp;TEXT(C2644+57,"###"))))</f>
        <v>279.21333333333331</v>
      </c>
      <c r="F2644" s="26" t="str">
        <f t="shared" si="2678"/>
        <v>B</v>
      </c>
      <c r="G2644" s="8">
        <v>182</v>
      </c>
      <c r="H2644" s="8">
        <v>79</v>
      </c>
      <c r="I2644" s="8">
        <v>87</v>
      </c>
      <c r="J2644" s="8">
        <v>689</v>
      </c>
      <c r="K2644" s="9">
        <f t="shared" si="2635"/>
        <v>950</v>
      </c>
      <c r="L2644" s="12">
        <v>1350</v>
      </c>
      <c r="M2644" s="11">
        <f t="shared" si="2660"/>
        <v>67500</v>
      </c>
      <c r="N2644" s="12">
        <v>1870</v>
      </c>
      <c r="O2644" s="11">
        <f t="shared" si="2661"/>
        <v>93500</v>
      </c>
      <c r="P2644" s="12">
        <v>9794</v>
      </c>
      <c r="Q2644" s="11">
        <f t="shared" si="2662"/>
        <v>587640</v>
      </c>
      <c r="X2644" s="12">
        <v>11105</v>
      </c>
      <c r="Y2644" s="11">
        <f t="shared" si="2663"/>
        <v>666300</v>
      </c>
      <c r="AF2644" s="12">
        <v>0</v>
      </c>
      <c r="AG2644" s="11">
        <f t="shared" si="2664"/>
        <v>0</v>
      </c>
      <c r="AH2644" s="12">
        <v>100</v>
      </c>
      <c r="AI2644" s="11">
        <f t="shared" si="2665"/>
        <v>6500</v>
      </c>
      <c r="AJ2644" s="12">
        <v>1</v>
      </c>
      <c r="AK2644" s="13">
        <f t="shared" si="2666"/>
        <v>9</v>
      </c>
      <c r="AL2644" s="12">
        <v>0</v>
      </c>
      <c r="AM2644" s="13">
        <f t="shared" si="2667"/>
        <v>0</v>
      </c>
      <c r="AN2644" s="12" t="s">
        <v>52</v>
      </c>
      <c r="AO2644" s="11">
        <f t="shared" si="2668"/>
        <v>0</v>
      </c>
      <c r="AP2644" s="12">
        <v>55</v>
      </c>
      <c r="AQ2644" s="11">
        <f t="shared" si="2669"/>
        <v>4400</v>
      </c>
      <c r="AS2644" s="11">
        <f t="shared" si="2670"/>
        <v>0</v>
      </c>
      <c r="AU2644" s="11">
        <f t="shared" si="2671"/>
        <v>0</v>
      </c>
      <c r="AW2644" s="11">
        <f t="shared" si="2672"/>
        <v>0</v>
      </c>
      <c r="AY2644" s="11">
        <f t="shared" si="2673"/>
        <v>0</v>
      </c>
      <c r="BA2644" s="11">
        <f t="shared" si="2674"/>
        <v>0</v>
      </c>
      <c r="BC2644" s="11">
        <f t="shared" si="2675"/>
        <v>0</v>
      </c>
      <c r="BE2644" s="11">
        <f t="shared" si="2676"/>
        <v>0</v>
      </c>
      <c r="BG2644" s="11">
        <f t="shared" si="2677"/>
        <v>0</v>
      </c>
      <c r="BH2644" s="13">
        <v>5000</v>
      </c>
      <c r="BI2644" s="13">
        <v>150</v>
      </c>
      <c r="BN2644" s="8">
        <f t="shared" si="2656"/>
        <v>22250</v>
      </c>
      <c r="BO2644" s="8">
        <f t="shared" si="2634"/>
        <v>1321449</v>
      </c>
      <c r="BP2644" s="8">
        <f t="shared" si="2657"/>
        <v>13130</v>
      </c>
      <c r="BQ2644" s="12">
        <f t="shared" si="2658"/>
        <v>770700</v>
      </c>
    </row>
    <row r="2645" spans="1:69">
      <c r="A2645" s="28">
        <v>1988</v>
      </c>
      <c r="B2645" s="27" t="s">
        <v>125</v>
      </c>
      <c r="C2645" s="24">
        <f t="shared" si="2637"/>
        <v>2612</v>
      </c>
      <c r="D2645" s="7">
        <f t="shared" ca="1" si="2659"/>
        <v>4.1437849195358387</v>
      </c>
      <c r="E2645" s="26">
        <f t="array" aca="1" ref="E2645" ca="1">AVERAGE(IF(INDIRECT(DatCol&amp;"$"&amp;TEXT(C2645,"###")):INDIRECT(DatCol&amp;"$"&amp;TEXT(C2645+57,"###"))&gt;0,INDIRECT(DatCol&amp;"$"&amp;TEXT(C2645,"###")):INDIRECT(DatCol&amp;"$"&amp;TEXT(C2645+57,"###"))))</f>
        <v>279.21333333333331</v>
      </c>
      <c r="F2645" s="26" t="str">
        <f t="shared" si="2678"/>
        <v>B</v>
      </c>
      <c r="G2645" s="8">
        <v>177</v>
      </c>
      <c r="H2645" s="8">
        <v>87</v>
      </c>
      <c r="I2645" s="8">
        <v>113</v>
      </c>
      <c r="J2645" s="8">
        <v>811</v>
      </c>
      <c r="K2645" s="9">
        <f t="shared" si="2635"/>
        <v>1075</v>
      </c>
      <c r="L2645" s="12">
        <v>2000</v>
      </c>
      <c r="M2645" s="11">
        <f t="shared" si="2660"/>
        <v>100000</v>
      </c>
      <c r="N2645" s="12">
        <v>1157</v>
      </c>
      <c r="O2645" s="11">
        <f t="shared" si="2661"/>
        <v>57850</v>
      </c>
      <c r="P2645" s="12">
        <f>517+210+4657+1895</f>
        <v>7279</v>
      </c>
      <c r="Q2645" s="11">
        <f t="shared" si="2662"/>
        <v>436740</v>
      </c>
      <c r="X2645" s="12">
        <f>2498+3746</f>
        <v>6244</v>
      </c>
      <c r="Y2645" s="11">
        <f t="shared" si="2663"/>
        <v>374640</v>
      </c>
      <c r="AF2645" s="12">
        <v>10</v>
      </c>
      <c r="AG2645" s="11">
        <f t="shared" si="2664"/>
        <v>650</v>
      </c>
      <c r="AH2645" s="12">
        <v>2</v>
      </c>
      <c r="AI2645" s="11">
        <f t="shared" si="2665"/>
        <v>130</v>
      </c>
      <c r="AK2645" s="13">
        <f t="shared" si="2666"/>
        <v>0</v>
      </c>
      <c r="AM2645" s="13">
        <f t="shared" si="2667"/>
        <v>0</v>
      </c>
      <c r="AO2645" s="11">
        <f t="shared" si="2668"/>
        <v>0</v>
      </c>
      <c r="AP2645" s="12">
        <v>6</v>
      </c>
      <c r="AQ2645" s="11">
        <f t="shared" si="2669"/>
        <v>480</v>
      </c>
      <c r="AR2645" s="12">
        <v>5</v>
      </c>
      <c r="AS2645" s="11">
        <f t="shared" si="2670"/>
        <v>250</v>
      </c>
      <c r="AT2645" s="12">
        <v>18</v>
      </c>
      <c r="AU2645" s="11">
        <f t="shared" si="2671"/>
        <v>900</v>
      </c>
      <c r="AW2645" s="11">
        <f t="shared" si="2672"/>
        <v>0</v>
      </c>
      <c r="AY2645" s="11">
        <f t="shared" si="2673"/>
        <v>0</v>
      </c>
      <c r="BA2645" s="11">
        <f t="shared" si="2674"/>
        <v>0</v>
      </c>
      <c r="BC2645" s="11">
        <f t="shared" si="2675"/>
        <v>0</v>
      </c>
      <c r="BE2645" s="11">
        <f t="shared" si="2676"/>
        <v>0</v>
      </c>
      <c r="BG2645" s="11">
        <f t="shared" si="2677"/>
        <v>0</v>
      </c>
      <c r="BN2645" s="8">
        <f t="shared" si="2656"/>
        <v>15538</v>
      </c>
      <c r="BO2645" s="8">
        <f t="shared" si="2634"/>
        <v>912280</v>
      </c>
      <c r="BP2645" s="8">
        <f t="shared" si="2657"/>
        <v>7427</v>
      </c>
      <c r="BQ2645" s="12">
        <f t="shared" si="2658"/>
        <v>434000</v>
      </c>
    </row>
    <row r="2646" spans="1:69">
      <c r="A2646" s="28">
        <v>1989</v>
      </c>
      <c r="B2646" s="27" t="s">
        <v>125</v>
      </c>
      <c r="C2646" s="24">
        <f t="shared" si="2637"/>
        <v>2612</v>
      </c>
      <c r="D2646" s="7">
        <f t="shared" ca="1" si="2659"/>
        <v>4.3586743708514399</v>
      </c>
      <c r="E2646" s="26">
        <f t="array" aca="1" ref="E2646" ca="1">AVERAGE(IF(INDIRECT(DatCol&amp;"$"&amp;TEXT(C2646,"###")):INDIRECT(DatCol&amp;"$"&amp;TEXT(C2646+57,"###"))&gt;0,INDIRECT(DatCol&amp;"$"&amp;TEXT(C2646,"###")):INDIRECT(DatCol&amp;"$"&amp;TEXT(C2646+57,"###"))))</f>
        <v>279.21333333333331</v>
      </c>
      <c r="F2646" s="26" t="str">
        <f t="shared" si="2678"/>
        <v>B</v>
      </c>
      <c r="G2646" s="8">
        <v>347</v>
      </c>
      <c r="H2646" s="8">
        <v>49</v>
      </c>
      <c r="I2646" s="8">
        <v>74</v>
      </c>
      <c r="J2646" s="8">
        <v>432</v>
      </c>
      <c r="K2646" s="9">
        <f t="shared" si="2635"/>
        <v>828</v>
      </c>
      <c r="L2646" s="12">
        <v>1600</v>
      </c>
      <c r="M2646" s="11">
        <f t="shared" ref="M2646:M2676" si="2679">(L2646*50)</f>
        <v>80000</v>
      </c>
      <c r="N2646" s="12">
        <v>1217</v>
      </c>
      <c r="O2646" s="11">
        <f t="shared" ref="O2646:O2676" si="2680">(N2646*50)</f>
        <v>60850</v>
      </c>
      <c r="P2646" s="12">
        <v>5753</v>
      </c>
      <c r="Q2646" s="11">
        <f t="shared" ref="Q2646:Q2676" si="2681">((P2646*330)/5.5)</f>
        <v>345180</v>
      </c>
      <c r="X2646" s="12">
        <v>6752</v>
      </c>
      <c r="Y2646" s="11">
        <f t="shared" ref="Y2646:Y2676" si="2682">((X2646*330)/5.5)</f>
        <v>405120</v>
      </c>
      <c r="AF2646" s="12">
        <v>12</v>
      </c>
      <c r="AG2646" s="11">
        <f t="shared" ref="AG2646:AG2676" si="2683">(AF2646*65)</f>
        <v>780</v>
      </c>
      <c r="AH2646" s="12">
        <v>6</v>
      </c>
      <c r="AI2646" s="11">
        <f t="shared" ref="AI2646:AI2676" si="2684">(AH2646*65)</f>
        <v>390</v>
      </c>
      <c r="AJ2646" s="12">
        <v>1</v>
      </c>
      <c r="AK2646" s="13">
        <f t="shared" ref="AK2646:AK2676" si="2685">(AJ2646*9)</f>
        <v>9</v>
      </c>
      <c r="AL2646" s="12">
        <v>12</v>
      </c>
      <c r="AM2646" s="13">
        <f t="shared" ref="AM2646:AM2676" si="2686">(AL2646*9)</f>
        <v>108</v>
      </c>
      <c r="AN2646" s="12">
        <v>0</v>
      </c>
      <c r="AO2646" s="11">
        <f t="shared" ref="AO2646:AO2676" si="2687">(AN2646*80)</f>
        <v>0</v>
      </c>
      <c r="AP2646" s="12">
        <v>12</v>
      </c>
      <c r="AQ2646" s="11">
        <f t="shared" ref="AQ2646:AQ2676" si="2688">(AP2646*80)</f>
        <v>960</v>
      </c>
      <c r="AR2646" s="12">
        <v>8</v>
      </c>
      <c r="AS2646" s="11">
        <f t="shared" ref="AS2646:AS2676" si="2689">(AR2646*50)</f>
        <v>400</v>
      </c>
      <c r="AT2646" s="12">
        <v>14</v>
      </c>
      <c r="AU2646" s="11">
        <f t="shared" ref="AU2646:AU2676" si="2690">(AT2646*50)</f>
        <v>700</v>
      </c>
      <c r="AW2646" s="11">
        <f t="shared" ref="AW2646:AW2676" si="2691">(AV2646*60)</f>
        <v>0</v>
      </c>
      <c r="AY2646" s="11">
        <f t="shared" ref="AY2646:AY2676" si="2692">(AX2646*60)</f>
        <v>0</v>
      </c>
      <c r="BA2646" s="11">
        <f t="shared" ref="BA2646:BA2676" si="2693">(AZ2646*40)</f>
        <v>0</v>
      </c>
      <c r="BC2646" s="11">
        <f t="shared" ref="BC2646:BC2676" si="2694">(BB2646*40)</f>
        <v>0</v>
      </c>
      <c r="BE2646" s="11">
        <f t="shared" ref="BE2646:BE2676" si="2695">(BD2646*95)</f>
        <v>0</v>
      </c>
      <c r="BG2646" s="11">
        <f t="shared" ref="BG2646:BG2676" si="2696">(BF2646*95)</f>
        <v>0</v>
      </c>
      <c r="BN2646" s="8">
        <f t="shared" si="2656"/>
        <v>14126</v>
      </c>
      <c r="BO2646" s="8">
        <f t="shared" si="2634"/>
        <v>831489</v>
      </c>
      <c r="BP2646" s="8">
        <f t="shared" si="2657"/>
        <v>8013</v>
      </c>
      <c r="BQ2646" s="12">
        <f t="shared" si="2658"/>
        <v>468128</v>
      </c>
    </row>
    <row r="2647" spans="1:69">
      <c r="A2647" s="28">
        <v>1990</v>
      </c>
      <c r="B2647" s="27" t="s">
        <v>125</v>
      </c>
      <c r="C2647" s="24">
        <f t="shared" si="2637"/>
        <v>2612</v>
      </c>
      <c r="D2647" s="7">
        <f t="shared" ca="1" si="2659"/>
        <v>0.71629817105200333</v>
      </c>
      <c r="E2647" s="26">
        <f t="array" aca="1" ref="E2647" ca="1">AVERAGE(IF(INDIRECT(DatCol&amp;"$"&amp;TEXT(C2647,"###")):INDIRECT(DatCol&amp;"$"&amp;TEXT(C2647+57,"###"))&gt;0,INDIRECT(DatCol&amp;"$"&amp;TEXT(C2647,"###")):INDIRECT(DatCol&amp;"$"&amp;TEXT(C2647+57,"###"))))</f>
        <v>279.21333333333331</v>
      </c>
      <c r="F2647" s="26" t="str">
        <f t="shared" si="2678"/>
        <v>B</v>
      </c>
      <c r="G2647" s="8">
        <v>127</v>
      </c>
      <c r="H2647" s="8">
        <v>62</v>
      </c>
      <c r="I2647" s="8">
        <v>76</v>
      </c>
      <c r="J2647" s="8">
        <v>642</v>
      </c>
      <c r="K2647" s="9">
        <f t="shared" si="2635"/>
        <v>831</v>
      </c>
      <c r="L2647" s="12">
        <v>3503</v>
      </c>
      <c r="M2647" s="11">
        <f t="shared" si="2679"/>
        <v>175150</v>
      </c>
      <c r="N2647" s="12">
        <v>200</v>
      </c>
      <c r="O2647" s="11">
        <f t="shared" si="2680"/>
        <v>10000</v>
      </c>
      <c r="P2647" s="12">
        <v>6471</v>
      </c>
      <c r="Q2647" s="11">
        <f t="shared" si="2681"/>
        <v>388260</v>
      </c>
      <c r="X2647" s="12">
        <v>2800</v>
      </c>
      <c r="Y2647" s="11">
        <f t="shared" si="2682"/>
        <v>168000</v>
      </c>
      <c r="AF2647" s="12">
        <v>0</v>
      </c>
      <c r="AG2647" s="11">
        <f t="shared" si="2683"/>
        <v>0</v>
      </c>
      <c r="AH2647" s="12">
        <v>55</v>
      </c>
      <c r="AI2647" s="11">
        <f t="shared" si="2684"/>
        <v>3575</v>
      </c>
      <c r="AJ2647" s="12">
        <v>0</v>
      </c>
      <c r="AK2647" s="13">
        <f t="shared" si="2685"/>
        <v>0</v>
      </c>
      <c r="AL2647" s="12">
        <v>0</v>
      </c>
      <c r="AM2647" s="13">
        <f t="shared" si="2686"/>
        <v>0</v>
      </c>
      <c r="AN2647" s="12">
        <v>0</v>
      </c>
      <c r="AO2647" s="11">
        <f t="shared" si="2687"/>
        <v>0</v>
      </c>
      <c r="AP2647" s="12">
        <v>10</v>
      </c>
      <c r="AQ2647" s="11">
        <f t="shared" si="2688"/>
        <v>800</v>
      </c>
      <c r="AR2647" s="12">
        <v>10</v>
      </c>
      <c r="AS2647" s="11">
        <f t="shared" si="2689"/>
        <v>500</v>
      </c>
      <c r="AT2647" s="12">
        <v>18</v>
      </c>
      <c r="AU2647" s="11">
        <f t="shared" si="2690"/>
        <v>900</v>
      </c>
      <c r="AW2647" s="11">
        <f t="shared" si="2691"/>
        <v>0</v>
      </c>
      <c r="AY2647" s="11">
        <f t="shared" si="2692"/>
        <v>0</v>
      </c>
      <c r="BA2647" s="11">
        <f t="shared" si="2693"/>
        <v>0</v>
      </c>
      <c r="BC2647" s="11">
        <f t="shared" si="2694"/>
        <v>0</v>
      </c>
      <c r="BE2647" s="11">
        <f t="shared" si="2695"/>
        <v>0</v>
      </c>
      <c r="BG2647" s="11">
        <f t="shared" si="2696"/>
        <v>0</v>
      </c>
      <c r="BN2647" s="8">
        <f t="shared" si="2656"/>
        <v>12784</v>
      </c>
      <c r="BO2647" s="8">
        <f t="shared" si="2634"/>
        <v>731910</v>
      </c>
      <c r="BP2647" s="8">
        <f t="shared" si="2657"/>
        <v>3083</v>
      </c>
      <c r="BQ2647" s="12">
        <f t="shared" si="2658"/>
        <v>183275</v>
      </c>
    </row>
    <row r="2648" spans="1:69">
      <c r="A2648" s="28">
        <v>1991</v>
      </c>
      <c r="B2648" s="27" t="s">
        <v>125</v>
      </c>
      <c r="C2648" s="24">
        <f t="shared" si="2637"/>
        <v>2612</v>
      </c>
      <c r="D2648" s="7">
        <f t="shared" ca="1" si="2659"/>
        <v>1.4325963421040066E-2</v>
      </c>
      <c r="E2648" s="26">
        <f t="array" aca="1" ref="E2648" ca="1">AVERAGE(IF(INDIRECT(DatCol&amp;"$"&amp;TEXT(C2648,"###")):INDIRECT(DatCol&amp;"$"&amp;TEXT(C2648+57,"###"))&gt;0,INDIRECT(DatCol&amp;"$"&amp;TEXT(C2648,"###")):INDIRECT(DatCol&amp;"$"&amp;TEXT(C2648+57,"###"))))</f>
        <v>279.21333333333331</v>
      </c>
      <c r="F2648" s="26" t="str">
        <f t="shared" si="2678"/>
        <v>B</v>
      </c>
      <c r="G2648" s="8">
        <v>187</v>
      </c>
      <c r="H2648" s="8">
        <v>43</v>
      </c>
      <c r="I2648" s="8">
        <v>51</v>
      </c>
      <c r="J2648" s="8">
        <v>521</v>
      </c>
      <c r="K2648" s="9">
        <f t="shared" si="2635"/>
        <v>751</v>
      </c>
      <c r="L2648" s="12">
        <v>15</v>
      </c>
      <c r="M2648" s="11">
        <f t="shared" si="2679"/>
        <v>750</v>
      </c>
      <c r="N2648" s="12">
        <v>4</v>
      </c>
      <c r="O2648" s="11">
        <f t="shared" si="2680"/>
        <v>200</v>
      </c>
      <c r="P2648" s="12">
        <v>3781</v>
      </c>
      <c r="Q2648" s="11">
        <f t="shared" si="2681"/>
        <v>226860</v>
      </c>
      <c r="X2648" s="12">
        <v>1596</v>
      </c>
      <c r="Y2648" s="11">
        <f t="shared" si="2682"/>
        <v>95760</v>
      </c>
      <c r="AF2648" s="12">
        <v>34</v>
      </c>
      <c r="AG2648" s="11">
        <f t="shared" si="2683"/>
        <v>2210</v>
      </c>
      <c r="AH2648" s="12">
        <v>20</v>
      </c>
      <c r="AI2648" s="11">
        <f t="shared" si="2684"/>
        <v>1300</v>
      </c>
      <c r="AJ2648" s="12">
        <v>0</v>
      </c>
      <c r="AK2648" s="13">
        <f t="shared" si="2685"/>
        <v>0</v>
      </c>
      <c r="AL2648" s="12">
        <v>0</v>
      </c>
      <c r="AM2648" s="13">
        <f t="shared" si="2686"/>
        <v>0</v>
      </c>
      <c r="AN2648" s="12">
        <v>42</v>
      </c>
      <c r="AO2648" s="11">
        <f t="shared" si="2687"/>
        <v>3360</v>
      </c>
      <c r="AP2648" s="12">
        <v>19</v>
      </c>
      <c r="AQ2648" s="11">
        <f t="shared" si="2688"/>
        <v>1520</v>
      </c>
      <c r="AR2648" s="12">
        <v>37</v>
      </c>
      <c r="AS2648" s="11">
        <f t="shared" si="2689"/>
        <v>1850</v>
      </c>
      <c r="AT2648" s="12">
        <v>61</v>
      </c>
      <c r="AU2648" s="11">
        <f t="shared" si="2690"/>
        <v>3050</v>
      </c>
      <c r="AV2648" s="12">
        <v>700</v>
      </c>
      <c r="AW2648" s="11">
        <f t="shared" si="2691"/>
        <v>42000</v>
      </c>
      <c r="AX2648" s="12">
        <v>0</v>
      </c>
      <c r="AY2648" s="11">
        <f t="shared" si="2692"/>
        <v>0</v>
      </c>
      <c r="BA2648" s="11">
        <f t="shared" si="2693"/>
        <v>0</v>
      </c>
      <c r="BC2648" s="11">
        <f t="shared" si="2694"/>
        <v>0</v>
      </c>
      <c r="BE2648" s="11">
        <f t="shared" si="2695"/>
        <v>0</v>
      </c>
      <c r="BG2648" s="11">
        <f t="shared" si="2696"/>
        <v>0</v>
      </c>
      <c r="BN2648" s="8">
        <f t="shared" si="2656"/>
        <v>6205</v>
      </c>
      <c r="BO2648" s="8">
        <f t="shared" si="2634"/>
        <v>372790</v>
      </c>
      <c r="BP2648" s="8">
        <f t="shared" si="2657"/>
        <v>1700</v>
      </c>
      <c r="BQ2648" s="12">
        <f t="shared" si="2658"/>
        <v>101830</v>
      </c>
    </row>
    <row r="2649" spans="1:69">
      <c r="A2649" s="28">
        <v>1992</v>
      </c>
      <c r="B2649" s="27" t="s">
        <v>125</v>
      </c>
      <c r="C2649" s="24">
        <f t="shared" si="2637"/>
        <v>2612</v>
      </c>
      <c r="D2649" s="7">
        <f t="shared" ca="1" si="2659"/>
        <v>0.52647915572322246</v>
      </c>
      <c r="E2649" s="26">
        <f t="array" aca="1" ref="E2649" ca="1">AVERAGE(IF(INDIRECT(DatCol&amp;"$"&amp;TEXT(C2649,"###")):INDIRECT(DatCol&amp;"$"&amp;TEXT(C2649+57,"###"))&gt;0,INDIRECT(DatCol&amp;"$"&amp;TEXT(C2649,"###")):INDIRECT(DatCol&amp;"$"&amp;TEXT(C2649+57,"###"))))</f>
        <v>279.21333333333331</v>
      </c>
      <c r="F2649" s="26" t="str">
        <f t="shared" si="2678"/>
        <v>B</v>
      </c>
      <c r="G2649" s="8">
        <v>184</v>
      </c>
      <c r="H2649" s="8">
        <v>39</v>
      </c>
      <c r="I2649" s="8">
        <v>53</v>
      </c>
      <c r="J2649" s="8">
        <v>511</v>
      </c>
      <c r="K2649" s="9">
        <f t="shared" si="2635"/>
        <v>734</v>
      </c>
      <c r="L2649" s="12">
        <v>120</v>
      </c>
      <c r="M2649" s="11">
        <f t="shared" si="2679"/>
        <v>6000</v>
      </c>
      <c r="N2649" s="12">
        <v>147</v>
      </c>
      <c r="O2649" s="11">
        <f t="shared" si="2680"/>
        <v>7350</v>
      </c>
      <c r="P2649" s="12">
        <f>2303+1658+3961</f>
        <v>7922</v>
      </c>
      <c r="Q2649" s="11">
        <f t="shared" si="2681"/>
        <v>475320</v>
      </c>
      <c r="X2649" s="12">
        <f>483+440+600+1523</f>
        <v>3046</v>
      </c>
      <c r="Y2649" s="11">
        <f t="shared" si="2682"/>
        <v>182760</v>
      </c>
      <c r="AF2649" s="12">
        <v>575</v>
      </c>
      <c r="AG2649" s="11">
        <f t="shared" si="2683"/>
        <v>37375</v>
      </c>
      <c r="AH2649" s="12">
        <v>135</v>
      </c>
      <c r="AI2649" s="11">
        <f t="shared" si="2684"/>
        <v>8775</v>
      </c>
      <c r="AJ2649" s="12">
        <v>224</v>
      </c>
      <c r="AK2649" s="13">
        <f t="shared" si="2685"/>
        <v>2016</v>
      </c>
      <c r="AL2649" s="12">
        <v>340</v>
      </c>
      <c r="AM2649" s="13">
        <f t="shared" si="2686"/>
        <v>3060</v>
      </c>
      <c r="AN2649" s="12">
        <v>212</v>
      </c>
      <c r="AO2649" s="11">
        <f t="shared" si="2687"/>
        <v>16960</v>
      </c>
      <c r="AP2649" s="12">
        <v>17</v>
      </c>
      <c r="AQ2649" s="11">
        <f t="shared" si="2688"/>
        <v>1360</v>
      </c>
      <c r="AR2649" s="12">
        <v>46</v>
      </c>
      <c r="AS2649" s="11">
        <f t="shared" si="2689"/>
        <v>2300</v>
      </c>
      <c r="AT2649" s="12">
        <v>70</v>
      </c>
      <c r="AU2649" s="11">
        <f t="shared" si="2690"/>
        <v>3500</v>
      </c>
      <c r="AV2649" s="12">
        <v>200</v>
      </c>
      <c r="AW2649" s="11">
        <f t="shared" si="2691"/>
        <v>12000</v>
      </c>
      <c r="AX2649" s="12">
        <v>0</v>
      </c>
      <c r="AY2649" s="11">
        <f t="shared" si="2692"/>
        <v>0</v>
      </c>
      <c r="BA2649" s="11">
        <f t="shared" si="2693"/>
        <v>0</v>
      </c>
      <c r="BC2649" s="11">
        <f t="shared" si="2694"/>
        <v>0</v>
      </c>
      <c r="BE2649" s="11">
        <f t="shared" si="2695"/>
        <v>0</v>
      </c>
      <c r="BG2649" s="11">
        <f t="shared" si="2696"/>
        <v>0</v>
      </c>
      <c r="BN2649" s="8">
        <f t="shared" si="2656"/>
        <v>12345</v>
      </c>
      <c r="BO2649" s="8">
        <f t="shared" si="2634"/>
        <v>734731</v>
      </c>
      <c r="BP2649" s="8">
        <f t="shared" si="2657"/>
        <v>3755</v>
      </c>
      <c r="BQ2649" s="12">
        <f t="shared" si="2658"/>
        <v>206805</v>
      </c>
    </row>
    <row r="2650" spans="1:69">
      <c r="A2650" s="28">
        <v>1993</v>
      </c>
      <c r="B2650" s="27" t="s">
        <v>125</v>
      </c>
      <c r="C2650" s="24">
        <f t="shared" si="2637"/>
        <v>2612</v>
      </c>
      <c r="D2650" s="7">
        <f t="shared" ca="1" si="2659"/>
        <v>1.2535217993410057</v>
      </c>
      <c r="E2650" s="26">
        <f t="array" aca="1" ref="E2650" ca="1">AVERAGE(IF(INDIRECT(DatCol&amp;"$"&amp;TEXT(C2650,"###")):INDIRECT(DatCol&amp;"$"&amp;TEXT(C2650+57,"###"))&gt;0,INDIRECT(DatCol&amp;"$"&amp;TEXT(C2650,"###")):INDIRECT(DatCol&amp;"$"&amp;TEXT(C2650+57,"###"))))</f>
        <v>279.21333333333331</v>
      </c>
      <c r="F2650" s="26" t="str">
        <f t="shared" si="2678"/>
        <v>B</v>
      </c>
      <c r="G2650" s="8">
        <v>140</v>
      </c>
      <c r="H2650" s="8">
        <v>55</v>
      </c>
      <c r="I2650" s="8">
        <v>58</v>
      </c>
      <c r="J2650" s="8">
        <v>519</v>
      </c>
      <c r="K2650" s="9">
        <f t="shared" si="2635"/>
        <v>714</v>
      </c>
      <c r="L2650" s="12">
        <v>770</v>
      </c>
      <c r="M2650" s="11">
        <f t="shared" si="2679"/>
        <v>38500</v>
      </c>
      <c r="N2650" s="12">
        <v>350</v>
      </c>
      <c r="O2650" s="11">
        <f t="shared" si="2680"/>
        <v>17500</v>
      </c>
      <c r="P2650" s="12">
        <f>1290+827+2117</f>
        <v>4234</v>
      </c>
      <c r="Q2650" s="11">
        <f t="shared" si="2681"/>
        <v>254040</v>
      </c>
      <c r="X2650" s="12">
        <f>450+1003+1453</f>
        <v>2906</v>
      </c>
      <c r="Y2650" s="11">
        <f t="shared" si="2682"/>
        <v>174360</v>
      </c>
      <c r="AF2650" s="12">
        <v>110</v>
      </c>
      <c r="AG2650" s="11">
        <f t="shared" si="2683"/>
        <v>7150</v>
      </c>
      <c r="AH2650" s="12">
        <v>30</v>
      </c>
      <c r="AI2650" s="11">
        <f t="shared" si="2684"/>
        <v>1950</v>
      </c>
      <c r="AJ2650" s="12">
        <v>0</v>
      </c>
      <c r="AK2650" s="13">
        <f t="shared" si="2685"/>
        <v>0</v>
      </c>
      <c r="AL2650" s="12">
        <v>25</v>
      </c>
      <c r="AM2650" s="13">
        <f t="shared" si="2686"/>
        <v>225</v>
      </c>
      <c r="AN2650" s="12">
        <v>330</v>
      </c>
      <c r="AO2650" s="11">
        <f t="shared" si="2687"/>
        <v>26400</v>
      </c>
      <c r="AP2650" s="12">
        <v>20</v>
      </c>
      <c r="AQ2650" s="11">
        <f t="shared" si="2688"/>
        <v>1600</v>
      </c>
      <c r="AR2650" s="12">
        <v>40</v>
      </c>
      <c r="AS2650" s="11">
        <f t="shared" si="2689"/>
        <v>2000</v>
      </c>
      <c r="AT2650" s="12">
        <v>40</v>
      </c>
      <c r="AU2650" s="11">
        <f t="shared" si="2690"/>
        <v>2000</v>
      </c>
      <c r="AV2650" s="12">
        <v>250</v>
      </c>
      <c r="AW2650" s="11">
        <f t="shared" si="2691"/>
        <v>15000</v>
      </c>
      <c r="AX2650" s="12">
        <v>0</v>
      </c>
      <c r="AY2650" s="11">
        <f t="shared" si="2692"/>
        <v>0</v>
      </c>
      <c r="AZ2650" s="12">
        <v>0</v>
      </c>
      <c r="BA2650" s="11">
        <f t="shared" si="2693"/>
        <v>0</v>
      </c>
      <c r="BB2650" s="12">
        <v>0</v>
      </c>
      <c r="BC2650" s="11">
        <f t="shared" si="2694"/>
        <v>0</v>
      </c>
      <c r="BD2650" s="12">
        <v>0</v>
      </c>
      <c r="BE2650" s="11">
        <f t="shared" si="2695"/>
        <v>0</v>
      </c>
      <c r="BF2650" s="12">
        <v>0</v>
      </c>
      <c r="BG2650" s="11">
        <f t="shared" si="2696"/>
        <v>0</v>
      </c>
      <c r="BH2650" s="13">
        <v>1000</v>
      </c>
      <c r="BI2650" s="13">
        <v>0</v>
      </c>
      <c r="BJ2650" s="12">
        <v>0</v>
      </c>
      <c r="BK2650" s="13"/>
      <c r="BL2650" s="12">
        <v>0</v>
      </c>
      <c r="BN2650" s="8">
        <f t="shared" si="2656"/>
        <v>8640</v>
      </c>
      <c r="BO2650" s="8">
        <f t="shared" si="2634"/>
        <v>517450</v>
      </c>
      <c r="BP2650" s="8">
        <f t="shared" si="2657"/>
        <v>3371</v>
      </c>
      <c r="BQ2650" s="12">
        <f t="shared" si="2658"/>
        <v>197635</v>
      </c>
    </row>
    <row r="2651" spans="1:69">
      <c r="A2651" s="28">
        <v>1994</v>
      </c>
      <c r="B2651" s="27" t="s">
        <v>125</v>
      </c>
      <c r="C2651" s="24">
        <f t="shared" si="2637"/>
        <v>2612</v>
      </c>
      <c r="D2651" s="7">
        <f t="shared" ca="1" si="2659"/>
        <v>1.3967814335514064</v>
      </c>
      <c r="E2651" s="26">
        <f t="array" aca="1" ref="E2651" ca="1">AVERAGE(IF(INDIRECT(DatCol&amp;"$"&amp;TEXT(C2651,"###")):INDIRECT(DatCol&amp;"$"&amp;TEXT(C2651+57,"###"))&gt;0,INDIRECT(DatCol&amp;"$"&amp;TEXT(C2651,"###")):INDIRECT(DatCol&amp;"$"&amp;TEXT(C2651+57,"###"))))</f>
        <v>279.21333333333331</v>
      </c>
      <c r="F2651" s="26" t="str">
        <f t="shared" si="2678"/>
        <v>B</v>
      </c>
      <c r="G2651" s="8">
        <v>165</v>
      </c>
      <c r="H2651" s="8">
        <v>54</v>
      </c>
      <c r="I2651" s="8">
        <v>77</v>
      </c>
      <c r="J2651" s="8">
        <v>615</v>
      </c>
      <c r="K2651" s="9">
        <f t="shared" si="2635"/>
        <v>834</v>
      </c>
      <c r="L2651" s="12">
        <v>862</v>
      </c>
      <c r="M2651" s="11">
        <f t="shared" si="2679"/>
        <v>43100</v>
      </c>
      <c r="N2651" s="12">
        <v>390</v>
      </c>
      <c r="O2651" s="11">
        <f t="shared" si="2680"/>
        <v>19500</v>
      </c>
      <c r="P2651" s="12">
        <f>749+612+900+100</f>
        <v>2361</v>
      </c>
      <c r="Q2651" s="11">
        <f t="shared" si="2681"/>
        <v>141660</v>
      </c>
      <c r="X2651" s="12">
        <f>908+609</f>
        <v>1517</v>
      </c>
      <c r="Y2651" s="11">
        <f t="shared" si="2682"/>
        <v>91020</v>
      </c>
      <c r="AF2651" s="12">
        <v>27</v>
      </c>
      <c r="AG2651" s="11">
        <f t="shared" si="2683"/>
        <v>1755</v>
      </c>
      <c r="AH2651" s="12">
        <v>5</v>
      </c>
      <c r="AI2651" s="11">
        <f t="shared" si="2684"/>
        <v>325</v>
      </c>
      <c r="AJ2651" s="12">
        <v>229</v>
      </c>
      <c r="AK2651" s="13">
        <f t="shared" si="2685"/>
        <v>2061</v>
      </c>
      <c r="AL2651" s="12">
        <v>100</v>
      </c>
      <c r="AM2651" s="13">
        <f t="shared" si="2686"/>
        <v>900</v>
      </c>
      <c r="AN2651" s="12">
        <v>400</v>
      </c>
      <c r="AO2651" s="11">
        <f t="shared" si="2687"/>
        <v>32000</v>
      </c>
      <c r="AP2651" s="12">
        <v>31</v>
      </c>
      <c r="AQ2651" s="11">
        <f t="shared" si="2688"/>
        <v>2480</v>
      </c>
      <c r="AR2651" s="12">
        <v>42</v>
      </c>
      <c r="AS2651" s="11">
        <f t="shared" si="2689"/>
        <v>2100</v>
      </c>
      <c r="AT2651" s="12">
        <v>44</v>
      </c>
      <c r="AU2651" s="11">
        <f t="shared" si="2690"/>
        <v>2200</v>
      </c>
      <c r="AV2651" s="12">
        <v>800</v>
      </c>
      <c r="AW2651" s="11">
        <f t="shared" si="2691"/>
        <v>48000</v>
      </c>
      <c r="AX2651" s="12">
        <v>0</v>
      </c>
      <c r="AY2651" s="11">
        <f t="shared" si="2692"/>
        <v>0</v>
      </c>
      <c r="AZ2651" s="12">
        <v>0</v>
      </c>
      <c r="BA2651" s="11">
        <f t="shared" si="2693"/>
        <v>0</v>
      </c>
      <c r="BB2651" s="12">
        <v>0</v>
      </c>
      <c r="BC2651" s="11">
        <f t="shared" si="2694"/>
        <v>0</v>
      </c>
      <c r="BD2651" s="12">
        <v>0</v>
      </c>
      <c r="BE2651" s="11">
        <f t="shared" si="2695"/>
        <v>0</v>
      </c>
      <c r="BF2651" s="12">
        <v>0</v>
      </c>
      <c r="BG2651" s="11">
        <f t="shared" si="2696"/>
        <v>0</v>
      </c>
      <c r="BH2651" s="13">
        <v>500</v>
      </c>
      <c r="BN2651" s="8">
        <f t="shared" si="2656"/>
        <v>6238</v>
      </c>
      <c r="BO2651" s="8">
        <f t="shared" si="2634"/>
        <v>361696</v>
      </c>
      <c r="BP2651" s="8">
        <f t="shared" si="2657"/>
        <v>2087</v>
      </c>
      <c r="BQ2651" s="12">
        <f t="shared" si="2658"/>
        <v>116425</v>
      </c>
    </row>
    <row r="2652" spans="1:69">
      <c r="A2652" s="28">
        <v>1995</v>
      </c>
      <c r="B2652" s="27" t="s">
        <v>125</v>
      </c>
      <c r="C2652" s="24">
        <f t="shared" si="2637"/>
        <v>2612</v>
      </c>
      <c r="D2652" s="7">
        <f t="shared" ca="1" si="2659"/>
        <v>0.7521130796046035</v>
      </c>
      <c r="E2652" s="26">
        <f t="array" aca="1" ref="E2652" ca="1">AVERAGE(IF(INDIRECT(DatCol&amp;"$"&amp;TEXT(C2652,"###")):INDIRECT(DatCol&amp;"$"&amp;TEXT(C2652+57,"###"))&gt;0,INDIRECT(DatCol&amp;"$"&amp;TEXT(C2652,"###")):INDIRECT(DatCol&amp;"$"&amp;TEXT(C2652+57,"###"))))</f>
        <v>279.21333333333331</v>
      </c>
      <c r="F2652" s="26" t="str">
        <f t="shared" si="2678"/>
        <v>B</v>
      </c>
      <c r="G2652" s="9">
        <v>144</v>
      </c>
      <c r="H2652" s="9">
        <v>52</v>
      </c>
      <c r="I2652" s="9">
        <v>68</v>
      </c>
      <c r="J2652" s="9">
        <v>573</v>
      </c>
      <c r="K2652" s="9">
        <f t="shared" si="2635"/>
        <v>769</v>
      </c>
      <c r="L2652" s="10">
        <v>892</v>
      </c>
      <c r="M2652" s="11">
        <f t="shared" si="2679"/>
        <v>44600</v>
      </c>
      <c r="N2652" s="10">
        <v>210</v>
      </c>
      <c r="O2652" s="11">
        <f t="shared" si="2680"/>
        <v>10500</v>
      </c>
      <c r="P2652" s="10">
        <f>41+200+100+382+337+1100</f>
        <v>2160</v>
      </c>
      <c r="Q2652" s="11">
        <f t="shared" si="2681"/>
        <v>129600</v>
      </c>
      <c r="X2652" s="10">
        <f>254+510+512</f>
        <v>1276</v>
      </c>
      <c r="Y2652" s="11">
        <f t="shared" si="2682"/>
        <v>76560</v>
      </c>
      <c r="AF2652" s="10">
        <v>57</v>
      </c>
      <c r="AG2652" s="11">
        <f t="shared" si="2683"/>
        <v>3705</v>
      </c>
      <c r="AH2652" s="10">
        <v>15</v>
      </c>
      <c r="AI2652" s="11">
        <f t="shared" si="2684"/>
        <v>975</v>
      </c>
      <c r="AJ2652" s="10">
        <v>80</v>
      </c>
      <c r="AK2652" s="13">
        <f t="shared" si="2685"/>
        <v>720</v>
      </c>
      <c r="AL2652" s="10">
        <v>18</v>
      </c>
      <c r="AM2652" s="13">
        <f t="shared" si="2686"/>
        <v>162</v>
      </c>
      <c r="AN2652" s="10">
        <v>110</v>
      </c>
      <c r="AO2652" s="11">
        <f t="shared" si="2687"/>
        <v>8800</v>
      </c>
      <c r="AP2652" s="10">
        <v>16</v>
      </c>
      <c r="AQ2652" s="11">
        <f t="shared" si="2688"/>
        <v>1280</v>
      </c>
      <c r="AR2652" s="10">
        <f>10+22+10</f>
        <v>42</v>
      </c>
      <c r="AS2652" s="11">
        <f t="shared" si="2689"/>
        <v>2100</v>
      </c>
      <c r="AT2652" s="10">
        <f>10+17+10</f>
        <v>37</v>
      </c>
      <c r="AU2652" s="11">
        <f t="shared" si="2690"/>
        <v>1850</v>
      </c>
      <c r="AV2652" s="10">
        <v>0</v>
      </c>
      <c r="AW2652" s="11">
        <f t="shared" si="2691"/>
        <v>0</v>
      </c>
      <c r="AX2652" s="10">
        <v>0</v>
      </c>
      <c r="AY2652" s="11">
        <f t="shared" si="2692"/>
        <v>0</v>
      </c>
      <c r="AZ2652" s="10">
        <v>0</v>
      </c>
      <c r="BA2652" s="11">
        <f t="shared" si="2693"/>
        <v>0</v>
      </c>
      <c r="BB2652" s="10">
        <v>0</v>
      </c>
      <c r="BC2652" s="11">
        <f t="shared" si="2694"/>
        <v>0</v>
      </c>
      <c r="BD2652" s="10">
        <v>0</v>
      </c>
      <c r="BE2652" s="11">
        <f t="shared" si="2695"/>
        <v>0</v>
      </c>
      <c r="BF2652" s="10">
        <v>0</v>
      </c>
      <c r="BG2652" s="11">
        <f t="shared" si="2696"/>
        <v>0</v>
      </c>
      <c r="BH2652" s="11">
        <v>0</v>
      </c>
      <c r="BI2652" s="11">
        <v>0</v>
      </c>
      <c r="BJ2652" s="10">
        <v>0</v>
      </c>
      <c r="BL2652" s="10">
        <v>0</v>
      </c>
      <c r="BN2652" s="8">
        <f t="shared" si="2656"/>
        <v>4617</v>
      </c>
      <c r="BO2652" s="8">
        <f t="shared" si="2634"/>
        <v>266085</v>
      </c>
      <c r="BP2652" s="8">
        <f t="shared" si="2657"/>
        <v>1572</v>
      </c>
      <c r="BQ2652" s="12">
        <f t="shared" si="2658"/>
        <v>91327</v>
      </c>
    </row>
    <row r="2653" spans="1:69">
      <c r="A2653" s="28">
        <v>1996</v>
      </c>
      <c r="B2653" s="27" t="s">
        <v>125</v>
      </c>
      <c r="C2653" s="24">
        <f t="shared" si="2637"/>
        <v>2612</v>
      </c>
      <c r="D2653" s="7">
        <f t="shared" ca="1" si="2659"/>
        <v>0.18981901532878087</v>
      </c>
      <c r="E2653" s="26">
        <f t="array" aca="1" ref="E2653" ca="1">AVERAGE(IF(INDIRECT(DatCol&amp;"$"&amp;TEXT(C2653,"###")):INDIRECT(DatCol&amp;"$"&amp;TEXT(C2653+57,"###"))&gt;0,INDIRECT(DatCol&amp;"$"&amp;TEXT(C2653,"###")):INDIRECT(DatCol&amp;"$"&amp;TEXT(C2653+57,"###"))))</f>
        <v>279.21333333333331</v>
      </c>
      <c r="F2653" s="26" t="str">
        <f t="shared" si="2678"/>
        <v>B</v>
      </c>
      <c r="G2653" s="9">
        <v>150</v>
      </c>
      <c r="H2653" s="9">
        <v>79</v>
      </c>
      <c r="I2653" s="9">
        <v>119</v>
      </c>
      <c r="J2653" s="9">
        <v>646</v>
      </c>
      <c r="K2653" s="9">
        <f t="shared" si="2635"/>
        <v>875</v>
      </c>
      <c r="L2653" s="10">
        <v>476</v>
      </c>
      <c r="M2653" s="11">
        <f t="shared" si="2679"/>
        <v>23800</v>
      </c>
      <c r="N2653" s="10">
        <v>53</v>
      </c>
      <c r="O2653" s="11">
        <f t="shared" si="2680"/>
        <v>2650</v>
      </c>
      <c r="P2653" s="10">
        <f>463.5+184.5+1359</f>
        <v>2007</v>
      </c>
      <c r="Q2653" s="11">
        <f t="shared" si="2681"/>
        <v>120420</v>
      </c>
      <c r="X2653" s="10">
        <f>472+436</f>
        <v>908</v>
      </c>
      <c r="Y2653" s="11">
        <f t="shared" si="2682"/>
        <v>54480</v>
      </c>
      <c r="AF2653" s="10">
        <v>17</v>
      </c>
      <c r="AG2653" s="11">
        <f t="shared" si="2683"/>
        <v>1105</v>
      </c>
      <c r="AH2653" s="10">
        <v>7</v>
      </c>
      <c r="AI2653" s="11">
        <f t="shared" si="2684"/>
        <v>455</v>
      </c>
      <c r="AJ2653" s="10">
        <v>3312</v>
      </c>
      <c r="AK2653" s="13">
        <f t="shared" si="2685"/>
        <v>29808</v>
      </c>
      <c r="AL2653" s="10">
        <v>121</v>
      </c>
      <c r="AM2653" s="13">
        <f t="shared" si="2686"/>
        <v>1089</v>
      </c>
      <c r="AN2653" s="10">
        <v>219</v>
      </c>
      <c r="AO2653" s="11">
        <f t="shared" si="2687"/>
        <v>17520</v>
      </c>
      <c r="AP2653" s="10">
        <v>18</v>
      </c>
      <c r="AQ2653" s="11">
        <f t="shared" si="2688"/>
        <v>1440</v>
      </c>
      <c r="AR2653" s="10">
        <v>36</v>
      </c>
      <c r="AS2653" s="11">
        <f t="shared" si="2689"/>
        <v>1800</v>
      </c>
      <c r="AT2653" s="10">
        <v>21</v>
      </c>
      <c r="AU2653" s="11">
        <f t="shared" si="2690"/>
        <v>1050</v>
      </c>
      <c r="AV2653" s="10">
        <v>0</v>
      </c>
      <c r="AW2653" s="11">
        <f t="shared" si="2691"/>
        <v>0</v>
      </c>
      <c r="AX2653" s="10">
        <v>0</v>
      </c>
      <c r="AY2653" s="11">
        <f t="shared" si="2692"/>
        <v>0</v>
      </c>
      <c r="AZ2653" s="10">
        <v>0</v>
      </c>
      <c r="BA2653" s="11">
        <f t="shared" si="2693"/>
        <v>0</v>
      </c>
      <c r="BB2653" s="10">
        <v>0</v>
      </c>
      <c r="BC2653" s="11">
        <f t="shared" si="2694"/>
        <v>0</v>
      </c>
      <c r="BD2653" s="10">
        <v>0</v>
      </c>
      <c r="BE2653" s="11">
        <f t="shared" si="2695"/>
        <v>0</v>
      </c>
      <c r="BF2653" s="10">
        <v>0</v>
      </c>
      <c r="BG2653" s="11">
        <f t="shared" si="2696"/>
        <v>0</v>
      </c>
      <c r="BH2653" s="11">
        <v>1100</v>
      </c>
      <c r="BI2653" s="11">
        <v>500</v>
      </c>
      <c r="BJ2653" s="10">
        <v>0</v>
      </c>
      <c r="BL2653" s="10">
        <v>0</v>
      </c>
      <c r="BN2653" s="8">
        <f t="shared" si="2656"/>
        <v>6975</v>
      </c>
      <c r="BO2653" s="8">
        <f t="shared" si="2634"/>
        <v>248933</v>
      </c>
      <c r="BP2653" s="8">
        <f t="shared" si="2657"/>
        <v>1128</v>
      </c>
      <c r="BQ2653" s="12">
        <f t="shared" si="2658"/>
        <v>61164</v>
      </c>
    </row>
    <row r="2654" spans="1:69">
      <c r="A2654" s="28">
        <v>1997</v>
      </c>
      <c r="B2654" s="27" t="s">
        <v>125</v>
      </c>
      <c r="C2654" s="24">
        <f t="shared" si="2637"/>
        <v>2612</v>
      </c>
      <c r="D2654" s="7">
        <f t="shared" ca="1" si="2659"/>
        <v>0.21847094217086102</v>
      </c>
      <c r="E2654" s="26">
        <f t="array" aca="1" ref="E2654" ca="1">AVERAGE(IF(INDIRECT(DatCol&amp;"$"&amp;TEXT(C2654,"###")):INDIRECT(DatCol&amp;"$"&amp;TEXT(C2654+57,"###"))&gt;0,INDIRECT(DatCol&amp;"$"&amp;TEXT(C2654,"###")):INDIRECT(DatCol&amp;"$"&amp;TEXT(C2654+57,"###"))))</f>
        <v>279.21333333333331</v>
      </c>
      <c r="F2654" s="26" t="str">
        <f t="shared" si="2678"/>
        <v>B</v>
      </c>
      <c r="G2654" s="9">
        <v>138</v>
      </c>
      <c r="H2654" s="9">
        <v>59</v>
      </c>
      <c r="I2654" s="9">
        <v>78</v>
      </c>
      <c r="J2654" s="9">
        <v>581</v>
      </c>
      <c r="K2654" s="9">
        <f t="shared" si="2635"/>
        <v>778</v>
      </c>
      <c r="L2654" s="10">
        <v>379</v>
      </c>
      <c r="M2654" s="11">
        <f t="shared" si="2679"/>
        <v>18950</v>
      </c>
      <c r="N2654" s="10">
        <v>61</v>
      </c>
      <c r="O2654" s="11">
        <f t="shared" si="2680"/>
        <v>3050</v>
      </c>
      <c r="P2654" s="10">
        <f>741+1470</f>
        <v>2211</v>
      </c>
      <c r="Q2654" s="11">
        <f t="shared" si="2681"/>
        <v>132660</v>
      </c>
      <c r="X2654" s="10">
        <v>542</v>
      </c>
      <c r="Y2654" s="11">
        <f t="shared" si="2682"/>
        <v>32520</v>
      </c>
      <c r="AF2654" s="10">
        <v>35</v>
      </c>
      <c r="AG2654" s="11">
        <f t="shared" si="2683"/>
        <v>2275</v>
      </c>
      <c r="AH2654" s="10">
        <v>22</v>
      </c>
      <c r="AI2654" s="11">
        <f t="shared" si="2684"/>
        <v>1430</v>
      </c>
      <c r="AJ2654" s="10">
        <v>0</v>
      </c>
      <c r="AK2654" s="13">
        <f t="shared" si="2685"/>
        <v>0</v>
      </c>
      <c r="AL2654" s="10">
        <v>1</v>
      </c>
      <c r="AM2654" s="13">
        <f t="shared" si="2686"/>
        <v>9</v>
      </c>
      <c r="AN2654" s="10">
        <v>312</v>
      </c>
      <c r="AO2654" s="11">
        <f t="shared" si="2687"/>
        <v>24960</v>
      </c>
      <c r="AP2654" s="10">
        <v>14</v>
      </c>
      <c r="AQ2654" s="11">
        <f t="shared" si="2688"/>
        <v>1120</v>
      </c>
      <c r="AR2654" s="10">
        <v>30</v>
      </c>
      <c r="AS2654" s="11">
        <f t="shared" si="2689"/>
        <v>1500</v>
      </c>
      <c r="AT2654" s="10">
        <v>16</v>
      </c>
      <c r="AU2654" s="11">
        <f t="shared" si="2690"/>
        <v>800</v>
      </c>
      <c r="AV2654" s="10">
        <v>50</v>
      </c>
      <c r="AW2654" s="11">
        <f t="shared" si="2691"/>
        <v>3000</v>
      </c>
      <c r="AX2654" s="10">
        <v>0</v>
      </c>
      <c r="AY2654" s="11">
        <f t="shared" si="2692"/>
        <v>0</v>
      </c>
      <c r="AZ2654" s="10">
        <v>0</v>
      </c>
      <c r="BA2654" s="11">
        <f t="shared" si="2693"/>
        <v>0</v>
      </c>
      <c r="BB2654" s="10">
        <v>0</v>
      </c>
      <c r="BC2654" s="11">
        <f t="shared" si="2694"/>
        <v>0</v>
      </c>
      <c r="BD2654" s="10">
        <v>0</v>
      </c>
      <c r="BE2654" s="11">
        <f t="shared" si="2695"/>
        <v>0</v>
      </c>
      <c r="BF2654" s="10">
        <v>0</v>
      </c>
      <c r="BG2654" s="11">
        <f t="shared" si="2696"/>
        <v>0</v>
      </c>
      <c r="BH2654" s="11">
        <v>200</v>
      </c>
      <c r="BI2654" s="11">
        <v>0</v>
      </c>
      <c r="BJ2654" s="10">
        <v>0</v>
      </c>
      <c r="BL2654" s="10">
        <v>0</v>
      </c>
      <c r="BN2654" s="8">
        <f t="shared" si="2656"/>
        <v>3559</v>
      </c>
      <c r="BO2654" s="8">
        <f t="shared" si="2634"/>
        <v>215865</v>
      </c>
      <c r="BP2654" s="8">
        <f t="shared" si="2657"/>
        <v>656</v>
      </c>
      <c r="BQ2654" s="12">
        <f t="shared" si="2658"/>
        <v>38929</v>
      </c>
    </row>
    <row r="2655" spans="1:69">
      <c r="A2655" s="28">
        <v>1998</v>
      </c>
      <c r="B2655" s="27" t="s">
        <v>125</v>
      </c>
      <c r="C2655" s="24">
        <f t="shared" si="2637"/>
        <v>2612</v>
      </c>
      <c r="D2655" s="7">
        <f t="shared" ca="1" si="2659"/>
        <v>0.18623752447352085</v>
      </c>
      <c r="E2655" s="26">
        <f t="array" aca="1" ref="E2655" ca="1">AVERAGE(IF(INDIRECT(DatCol&amp;"$"&amp;TEXT(C2655,"###")):INDIRECT(DatCol&amp;"$"&amp;TEXT(C2655+57,"###"))&gt;0,INDIRECT(DatCol&amp;"$"&amp;TEXT(C2655,"###")):INDIRECT(DatCol&amp;"$"&amp;TEXT(C2655+57,"###"))))</f>
        <v>279.21333333333331</v>
      </c>
      <c r="F2655" s="26" t="str">
        <f t="shared" si="2678"/>
        <v>B</v>
      </c>
      <c r="G2655" s="9">
        <v>134</v>
      </c>
      <c r="H2655" s="9">
        <v>57</v>
      </c>
      <c r="I2655" s="9">
        <v>87</v>
      </c>
      <c r="J2655" s="9">
        <v>574</v>
      </c>
      <c r="K2655" s="9">
        <f t="shared" si="2635"/>
        <v>765</v>
      </c>
      <c r="L2655" s="10">
        <f>M2655/50</f>
        <v>45</v>
      </c>
      <c r="M2655" s="11">
        <v>2250</v>
      </c>
      <c r="N2655" s="10">
        <f>O2655/50</f>
        <v>52</v>
      </c>
      <c r="O2655" s="11">
        <v>2600</v>
      </c>
      <c r="P2655" s="10">
        <f>Q2655/60</f>
        <v>705</v>
      </c>
      <c r="Q2655" s="11">
        <v>42300</v>
      </c>
      <c r="R2655" s="10">
        <v>0</v>
      </c>
      <c r="S2655" s="11">
        <v>0</v>
      </c>
      <c r="T2655" s="10">
        <v>0</v>
      </c>
      <c r="U2655" s="11">
        <v>0</v>
      </c>
      <c r="V2655" s="10">
        <f>W2655/60</f>
        <v>1032</v>
      </c>
      <c r="W2655" s="11">
        <v>61920</v>
      </c>
      <c r="X2655" s="10">
        <f>Y2655/60</f>
        <v>325</v>
      </c>
      <c r="Y2655" s="11">
        <v>19500</v>
      </c>
      <c r="Z2655" s="10">
        <v>0</v>
      </c>
      <c r="AA2655" s="11">
        <v>0</v>
      </c>
      <c r="AB2655" s="10">
        <v>0</v>
      </c>
      <c r="AC2655" s="11">
        <v>0</v>
      </c>
      <c r="AD2655" s="10">
        <f>AE2655/60</f>
        <v>380</v>
      </c>
      <c r="AE2655" s="11">
        <v>22800</v>
      </c>
      <c r="AF2655" s="10">
        <f>AG2655/50</f>
        <v>13.8</v>
      </c>
      <c r="AG2655" s="11">
        <v>690</v>
      </c>
      <c r="AH2655" s="10">
        <f>AI2655/50</f>
        <v>10</v>
      </c>
      <c r="AI2655" s="11">
        <v>500</v>
      </c>
      <c r="AJ2655" s="10">
        <f>AK2655/9</f>
        <v>361.11111111111109</v>
      </c>
      <c r="AK2655" s="13">
        <v>3250</v>
      </c>
      <c r="AL2655" s="10">
        <f>AM2655/9</f>
        <v>55.555555555555557</v>
      </c>
      <c r="AM2655" s="13">
        <v>500</v>
      </c>
      <c r="AN2655" s="10">
        <f>AO2655/80</f>
        <v>10</v>
      </c>
      <c r="AO2655" s="11">
        <v>800</v>
      </c>
      <c r="AP2655" s="10">
        <f>AQ2655/80</f>
        <v>6</v>
      </c>
      <c r="AQ2655" s="11">
        <v>480</v>
      </c>
      <c r="AR2655" s="10">
        <f>AS2655/55</f>
        <v>17.454545454545453</v>
      </c>
      <c r="AS2655" s="11">
        <v>960</v>
      </c>
      <c r="AT2655" s="10">
        <f>AU2655/55</f>
        <v>10</v>
      </c>
      <c r="AU2655" s="11">
        <v>550</v>
      </c>
      <c r="AV2655" s="10">
        <v>0</v>
      </c>
      <c r="AW2655" s="11">
        <v>0</v>
      </c>
      <c r="AX2655" s="10">
        <v>0</v>
      </c>
      <c r="AY2655" s="11">
        <v>0</v>
      </c>
      <c r="AZ2655" s="10">
        <v>0</v>
      </c>
      <c r="BA2655" s="11">
        <v>0</v>
      </c>
      <c r="BB2655" s="10">
        <v>0</v>
      </c>
      <c r="BC2655" s="11">
        <v>0</v>
      </c>
      <c r="BD2655" s="10">
        <v>0</v>
      </c>
      <c r="BE2655" s="11">
        <v>0</v>
      </c>
      <c r="BF2655" s="10">
        <v>0</v>
      </c>
      <c r="BG2655" s="11">
        <v>0</v>
      </c>
      <c r="BH2655" s="11">
        <v>0</v>
      </c>
      <c r="BI2655" s="11">
        <v>0</v>
      </c>
      <c r="BJ2655" s="10">
        <v>0</v>
      </c>
      <c r="BK2655" s="11">
        <v>0</v>
      </c>
      <c r="BN2655" s="8">
        <f t="shared" si="2656"/>
        <v>2889.365656565657</v>
      </c>
      <c r="BO2655" s="8">
        <f t="shared" si="2634"/>
        <v>131670</v>
      </c>
      <c r="BP2655" s="8">
        <f t="shared" si="2657"/>
        <v>838.55555555555554</v>
      </c>
      <c r="BQ2655" s="12">
        <f t="shared" si="2658"/>
        <v>46930</v>
      </c>
    </row>
    <row r="2656" spans="1:69">
      <c r="A2656" s="28">
        <v>1999</v>
      </c>
      <c r="B2656" s="27" t="s">
        <v>125</v>
      </c>
      <c r="C2656" s="24">
        <f t="shared" si="2637"/>
        <v>2612</v>
      </c>
      <c r="D2656" s="7">
        <f t="shared" ca="1" si="2659"/>
        <v>0.2399598873024211</v>
      </c>
      <c r="E2656" s="26">
        <f t="array" aca="1" ref="E2656" ca="1">AVERAGE(IF(INDIRECT(DatCol&amp;"$"&amp;TEXT(C2656,"###")):INDIRECT(DatCol&amp;"$"&amp;TEXT(C2656+57,"###"))&gt;0,INDIRECT(DatCol&amp;"$"&amp;TEXT(C2656,"###")):INDIRECT(DatCol&amp;"$"&amp;TEXT(C2656+57,"###"))))</f>
        <v>279.21333333333331</v>
      </c>
      <c r="F2656" s="26" t="str">
        <f t="shared" si="2678"/>
        <v>B</v>
      </c>
      <c r="G2656" s="9">
        <v>140</v>
      </c>
      <c r="H2656" s="9">
        <v>96</v>
      </c>
      <c r="I2656" s="9">
        <v>82</v>
      </c>
      <c r="J2656" s="9">
        <v>664</v>
      </c>
      <c r="K2656" s="9">
        <f t="shared" si="2635"/>
        <v>900</v>
      </c>
      <c r="L2656" s="10">
        <f>M2656/50</f>
        <v>93</v>
      </c>
      <c r="M2656" s="11">
        <v>4650</v>
      </c>
      <c r="N2656" s="10">
        <f>O2656/50</f>
        <v>67</v>
      </c>
      <c r="O2656" s="11">
        <v>3350</v>
      </c>
      <c r="P2656" s="10">
        <f>Q2656/60</f>
        <v>2229</v>
      </c>
      <c r="Q2656" s="11">
        <v>133740</v>
      </c>
      <c r="R2656" s="10">
        <v>0</v>
      </c>
      <c r="S2656" s="11">
        <v>0</v>
      </c>
      <c r="T2656" s="10">
        <f>U2656/60</f>
        <v>982</v>
      </c>
      <c r="U2656" s="11">
        <v>58920</v>
      </c>
      <c r="V2656" s="10">
        <f>W2656/60</f>
        <v>1247</v>
      </c>
      <c r="W2656" s="11">
        <v>74820</v>
      </c>
      <c r="X2656" s="10">
        <f>Y2656/60</f>
        <v>891</v>
      </c>
      <c r="Y2656" s="11">
        <v>53460</v>
      </c>
      <c r="Z2656" s="10">
        <f>AA2656/60</f>
        <v>419</v>
      </c>
      <c r="AA2656" s="11">
        <v>25140</v>
      </c>
      <c r="AB2656" s="10">
        <f>AC2656/60</f>
        <v>472</v>
      </c>
      <c r="AC2656" s="11">
        <v>28320</v>
      </c>
      <c r="AD2656" s="10">
        <f>AE2656/60</f>
        <v>472</v>
      </c>
      <c r="AE2656" s="11">
        <v>28320</v>
      </c>
      <c r="AF2656" s="10">
        <f>AG2656/50</f>
        <v>272</v>
      </c>
      <c r="AG2656" s="11">
        <v>13600</v>
      </c>
      <c r="AH2656" s="10">
        <f>AI2656/50</f>
        <v>21</v>
      </c>
      <c r="AI2656" s="11">
        <v>1050</v>
      </c>
      <c r="AJ2656" s="10">
        <f>AK2656/9</f>
        <v>222.22222222222223</v>
      </c>
      <c r="AK2656" s="13">
        <v>2000</v>
      </c>
      <c r="AL2656" s="10">
        <f>AM2656/9</f>
        <v>66.666666666666671</v>
      </c>
      <c r="AM2656" s="13">
        <v>600</v>
      </c>
      <c r="AN2656" s="10">
        <f>AO2656/80</f>
        <v>14</v>
      </c>
      <c r="AO2656" s="11">
        <v>1120</v>
      </c>
      <c r="AP2656" s="10">
        <f>AQ2656/80</f>
        <v>6</v>
      </c>
      <c r="AQ2656" s="11">
        <v>480</v>
      </c>
      <c r="AR2656" s="10">
        <f>AS2656/55</f>
        <v>35</v>
      </c>
      <c r="AS2656" s="11">
        <v>1925</v>
      </c>
      <c r="AT2656" s="10">
        <f>AU2656/55</f>
        <v>180</v>
      </c>
      <c r="AU2656" s="11">
        <v>9900</v>
      </c>
      <c r="AV2656" s="10">
        <v>0</v>
      </c>
      <c r="AW2656" s="11">
        <v>0</v>
      </c>
      <c r="AX2656" s="10">
        <v>0</v>
      </c>
      <c r="AY2656" s="11">
        <v>0</v>
      </c>
      <c r="AZ2656" s="10">
        <v>0</v>
      </c>
      <c r="BA2656" s="11">
        <v>0</v>
      </c>
      <c r="BB2656" s="10">
        <v>0</v>
      </c>
      <c r="BC2656" s="11">
        <v>0</v>
      </c>
      <c r="BD2656" s="10">
        <v>0</v>
      </c>
      <c r="BE2656" s="11">
        <v>0</v>
      </c>
      <c r="BF2656" s="10">
        <v>0</v>
      </c>
      <c r="BG2656" s="11">
        <v>0</v>
      </c>
      <c r="BN2656" s="8">
        <f t="shared" si="2656"/>
        <v>7348.2222222222226</v>
      </c>
      <c r="BO2656" s="8">
        <f t="shared" si="2634"/>
        <v>397695</v>
      </c>
      <c r="BP2656" s="8">
        <f t="shared" si="2657"/>
        <v>2594.6666666666665</v>
      </c>
      <c r="BQ2656" s="12">
        <f t="shared" si="2658"/>
        <v>150620</v>
      </c>
    </row>
    <row r="2657" spans="1:69">
      <c r="A2657" s="28">
        <v>2000</v>
      </c>
      <c r="B2657" s="27" t="s">
        <v>125</v>
      </c>
      <c r="C2657" s="24">
        <f t="shared" si="2637"/>
        <v>2612</v>
      </c>
      <c r="D2657" s="7" t="e">
        <f t="shared" ca="1" si="2659"/>
        <v>#N/A</v>
      </c>
      <c r="E2657" s="26">
        <f t="array" aca="1" ref="E2657" ca="1">AVERAGE(IF(INDIRECT(DatCol&amp;"$"&amp;TEXT(C2657,"###")):INDIRECT(DatCol&amp;"$"&amp;TEXT(C2657+57,"###"))&gt;0,INDIRECT(DatCol&amp;"$"&amp;TEXT(C2657,"###")):INDIRECT(DatCol&amp;"$"&amp;TEXT(C2657+57,"###"))))</f>
        <v>279.21333333333331</v>
      </c>
      <c r="F2657" s="26" t="str">
        <f t="shared" si="2678"/>
        <v>B</v>
      </c>
      <c r="K2657" s="9">
        <f t="shared" si="2635"/>
        <v>0</v>
      </c>
      <c r="AK2657" s="13"/>
      <c r="AM2657" s="13"/>
      <c r="BN2657" s="8">
        <f t="shared" si="2656"/>
        <v>0</v>
      </c>
      <c r="BO2657" s="8">
        <f t="shared" si="2634"/>
        <v>0</v>
      </c>
      <c r="BP2657" s="8">
        <f t="shared" si="2657"/>
        <v>0</v>
      </c>
      <c r="BQ2657" s="12">
        <f t="shared" si="2658"/>
        <v>0</v>
      </c>
    </row>
    <row r="2658" spans="1:69">
      <c r="A2658" s="28">
        <v>2001</v>
      </c>
      <c r="B2658" s="27" t="s">
        <v>125</v>
      </c>
      <c r="C2658" s="24">
        <f t="shared" si="2637"/>
        <v>2612</v>
      </c>
      <c r="D2658" s="7">
        <f t="shared" ca="1" si="2659"/>
        <v>0.20414497874982093</v>
      </c>
      <c r="E2658" s="26">
        <f t="array" aca="1" ref="E2658" ca="1">AVERAGE(IF(INDIRECT(DatCol&amp;"$"&amp;TEXT(C2658,"###")):INDIRECT(DatCol&amp;"$"&amp;TEXT(C2658+57,"###"))&gt;0,INDIRECT(DatCol&amp;"$"&amp;TEXT(C2658,"###")):INDIRECT(DatCol&amp;"$"&amp;TEXT(C2658+57,"###"))))</f>
        <v>279.21333333333331</v>
      </c>
      <c r="F2658" s="26" t="str">
        <f t="shared" si="2678"/>
        <v>B</v>
      </c>
      <c r="H2658" s="9">
        <v>107</v>
      </c>
      <c r="I2658" s="9">
        <v>89</v>
      </c>
      <c r="J2658" s="9">
        <v>745</v>
      </c>
      <c r="K2658" s="9">
        <f t="shared" si="2635"/>
        <v>852</v>
      </c>
      <c r="L2658" s="10">
        <f t="shared" ref="L2658:L2664" si="2697">M2658/50</f>
        <v>57</v>
      </c>
      <c r="M2658" s="11">
        <v>2850</v>
      </c>
      <c r="N2658" s="10">
        <f t="shared" ref="N2658:N2664" si="2698">O2658/50</f>
        <v>57</v>
      </c>
      <c r="O2658" s="11">
        <v>2850</v>
      </c>
      <c r="P2658" s="10">
        <v>0</v>
      </c>
      <c r="Q2658" s="11">
        <v>0</v>
      </c>
      <c r="T2658" s="10">
        <f>U2658/75</f>
        <v>1177.5999999999999</v>
      </c>
      <c r="U2658" s="11">
        <v>88320</v>
      </c>
      <c r="V2658" s="10">
        <f>W2658/75</f>
        <v>1771.2</v>
      </c>
      <c r="W2658" s="11">
        <v>132840</v>
      </c>
      <c r="X2658" s="10">
        <v>0</v>
      </c>
      <c r="Y2658" s="11">
        <v>0</v>
      </c>
      <c r="AB2658" s="10">
        <f>AC2658/75</f>
        <v>416.8</v>
      </c>
      <c r="AC2658" s="11">
        <v>31260</v>
      </c>
      <c r="AD2658" s="10">
        <f t="shared" ref="AD2658:AD2664" si="2699">AE2658/75</f>
        <v>376</v>
      </c>
      <c r="AE2658" s="11">
        <v>28200</v>
      </c>
      <c r="AF2658" s="10">
        <f t="shared" ref="AF2658:AF2664" si="2700">AG2658/47.5</f>
        <v>801.0526315789474</v>
      </c>
      <c r="AG2658" s="11">
        <v>38050</v>
      </c>
      <c r="AH2658" s="10">
        <f t="shared" ref="AH2658:AH2664" si="2701">AI2658/47.5</f>
        <v>24.210526315789473</v>
      </c>
      <c r="AI2658" s="11">
        <v>1150</v>
      </c>
      <c r="AJ2658" s="10">
        <f t="shared" ref="AJ2658:AJ2664" si="2702">AK2658/9</f>
        <v>94.444444444444443</v>
      </c>
      <c r="AK2658" s="13">
        <v>850</v>
      </c>
      <c r="AL2658" s="10">
        <f t="shared" ref="AL2658:AL2664" si="2703">AM2658/9</f>
        <v>11.111111111111111</v>
      </c>
      <c r="AM2658" s="13">
        <v>100</v>
      </c>
      <c r="AN2658" s="10">
        <f t="shared" ref="AN2658:AN2664" si="2704">AO2658/80</f>
        <v>10.5</v>
      </c>
      <c r="AO2658" s="11">
        <v>840</v>
      </c>
      <c r="AP2658" s="10">
        <f t="shared" ref="AP2658:AP2664" si="2705">AQ2658/80</f>
        <v>8</v>
      </c>
      <c r="AQ2658" s="11">
        <v>640</v>
      </c>
      <c r="AR2658" s="10">
        <f t="shared" ref="AR2658:AR2664" si="2706">AS2658/55</f>
        <v>19</v>
      </c>
      <c r="AS2658" s="11">
        <v>1045</v>
      </c>
      <c r="AT2658" s="10">
        <f t="shared" ref="AT2658:AT2664" si="2707">AU2658/55</f>
        <v>10</v>
      </c>
      <c r="AU2658" s="11">
        <v>550</v>
      </c>
      <c r="BN2658" s="8">
        <f t="shared" si="2656"/>
        <v>4723.5970760233922</v>
      </c>
      <c r="BO2658" s="8">
        <f t="shared" si="2634"/>
        <v>296055</v>
      </c>
      <c r="BP2658" s="8">
        <f t="shared" si="2657"/>
        <v>903.12163742690052</v>
      </c>
      <c r="BQ2658" s="12">
        <f t="shared" si="2658"/>
        <v>64750</v>
      </c>
    </row>
    <row r="2659" spans="1:69">
      <c r="A2659" s="28">
        <v>2002</v>
      </c>
      <c r="B2659" s="27" t="s">
        <v>125</v>
      </c>
      <c r="C2659" s="24">
        <f t="shared" si="2637"/>
        <v>2612</v>
      </c>
      <c r="D2659" s="7">
        <f t="shared" ca="1" si="2659"/>
        <v>0.18265603361826085</v>
      </c>
      <c r="E2659" s="26">
        <f t="array" aca="1" ref="E2659" ca="1">AVERAGE(IF(INDIRECT(DatCol&amp;"$"&amp;TEXT(C2659,"###")):INDIRECT(DatCol&amp;"$"&amp;TEXT(C2659+57,"###"))&gt;0,INDIRECT(DatCol&amp;"$"&amp;TEXT(C2659,"###")):INDIRECT(DatCol&amp;"$"&amp;TEXT(C2659+57,"###"))))</f>
        <v>279.21333333333331</v>
      </c>
      <c r="F2659" s="26" t="str">
        <f t="shared" si="2678"/>
        <v>B</v>
      </c>
      <c r="H2659" s="9">
        <v>101</v>
      </c>
      <c r="I2659" s="9">
        <v>87</v>
      </c>
      <c r="J2659" s="9">
        <f>595+142</f>
        <v>737</v>
      </c>
      <c r="K2659" s="9">
        <f t="shared" si="2635"/>
        <v>838</v>
      </c>
      <c r="L2659" s="10">
        <f t="shared" si="2697"/>
        <v>65</v>
      </c>
      <c r="M2659" s="11">
        <v>3250</v>
      </c>
      <c r="N2659" s="10">
        <f t="shared" si="2698"/>
        <v>51</v>
      </c>
      <c r="O2659" s="11">
        <v>2550</v>
      </c>
      <c r="P2659" s="10">
        <v>0</v>
      </c>
      <c r="Q2659" s="11">
        <v>0</v>
      </c>
      <c r="R2659" s="10">
        <v>0</v>
      </c>
      <c r="S2659" s="11">
        <v>0</v>
      </c>
      <c r="T2659" s="10">
        <f>U2659/75</f>
        <v>1652.8</v>
      </c>
      <c r="U2659" s="11">
        <v>123960</v>
      </c>
      <c r="V2659" s="10">
        <f>W2659/75</f>
        <v>813.6</v>
      </c>
      <c r="W2659" s="11">
        <v>61020</v>
      </c>
      <c r="X2659" s="10">
        <v>0</v>
      </c>
      <c r="Y2659" s="11">
        <v>0</v>
      </c>
      <c r="Z2659" s="10">
        <v>0</v>
      </c>
      <c r="AA2659" s="11">
        <v>0</v>
      </c>
      <c r="AB2659" s="10">
        <f>AC2659/75</f>
        <v>488.8</v>
      </c>
      <c r="AC2659" s="11">
        <v>36660</v>
      </c>
      <c r="AD2659" s="10">
        <f t="shared" si="2699"/>
        <v>271.2</v>
      </c>
      <c r="AE2659" s="11">
        <v>20340</v>
      </c>
      <c r="AF2659" s="10">
        <f t="shared" si="2700"/>
        <v>68.421052631578945</v>
      </c>
      <c r="AG2659" s="11">
        <v>3250</v>
      </c>
      <c r="AH2659" s="10">
        <f t="shared" si="2701"/>
        <v>22.105263157894736</v>
      </c>
      <c r="AI2659" s="11">
        <v>1050</v>
      </c>
      <c r="AJ2659" s="10">
        <f t="shared" si="2702"/>
        <v>27.777777777777779</v>
      </c>
      <c r="AK2659" s="13">
        <v>250</v>
      </c>
      <c r="AL2659" s="10">
        <f t="shared" si="2703"/>
        <v>38.888888888888886</v>
      </c>
      <c r="AM2659" s="13">
        <v>350</v>
      </c>
      <c r="AN2659" s="10">
        <f t="shared" si="2704"/>
        <v>480</v>
      </c>
      <c r="AO2659" s="11">
        <v>38400</v>
      </c>
      <c r="AP2659" s="10">
        <f t="shared" si="2705"/>
        <v>10</v>
      </c>
      <c r="AQ2659" s="11">
        <v>800</v>
      </c>
      <c r="AR2659" s="10">
        <f t="shared" si="2706"/>
        <v>10</v>
      </c>
      <c r="AS2659" s="11">
        <v>550</v>
      </c>
      <c r="AT2659" s="10">
        <f t="shared" si="2707"/>
        <v>5</v>
      </c>
      <c r="AU2659" s="11">
        <v>275</v>
      </c>
      <c r="BN2659" s="8">
        <f t="shared" si="2656"/>
        <v>3877.5988304093567</v>
      </c>
      <c r="BO2659" s="8">
        <f t="shared" si="2634"/>
        <v>267340</v>
      </c>
      <c r="BP2659" s="8">
        <f t="shared" si="2657"/>
        <v>886.9941520467836</v>
      </c>
      <c r="BQ2659" s="12">
        <f t="shared" si="2658"/>
        <v>62025</v>
      </c>
    </row>
    <row r="2660" spans="1:69">
      <c r="A2660" s="28">
        <v>2003</v>
      </c>
      <c r="B2660" s="27" t="s">
        <v>125</v>
      </c>
      <c r="C2660" s="24">
        <f t="shared" si="2637"/>
        <v>2612</v>
      </c>
      <c r="D2660" s="7">
        <f t="shared" ca="1" si="2659"/>
        <v>0.15579485220381073</v>
      </c>
      <c r="E2660" s="26">
        <f t="array" aca="1" ref="E2660" ca="1">AVERAGE(IF(INDIRECT(DatCol&amp;"$"&amp;TEXT(C2660,"###")):INDIRECT(DatCol&amp;"$"&amp;TEXT(C2660+57,"###"))&gt;0,INDIRECT(DatCol&amp;"$"&amp;TEXT(C2660,"###")):INDIRECT(DatCol&amp;"$"&amp;TEXT(C2660+57,"###"))))</f>
        <v>279.21333333333331</v>
      </c>
      <c r="F2660" s="26" t="str">
        <f t="shared" si="2678"/>
        <v>B</v>
      </c>
      <c r="H2660" s="9">
        <v>50</v>
      </c>
      <c r="I2660" s="9">
        <v>72</v>
      </c>
      <c r="J2660" s="9">
        <f>463+128</f>
        <v>591</v>
      </c>
      <c r="K2660" s="9">
        <f t="shared" si="2635"/>
        <v>641</v>
      </c>
      <c r="L2660" s="10">
        <f t="shared" si="2697"/>
        <v>40.5</v>
      </c>
      <c r="M2660" s="11">
        <v>2025</v>
      </c>
      <c r="N2660" s="10">
        <f t="shared" si="2698"/>
        <v>43.5</v>
      </c>
      <c r="O2660" s="11">
        <v>2175</v>
      </c>
      <c r="P2660" s="10">
        <v>0</v>
      </c>
      <c r="Q2660" s="11">
        <v>0</v>
      </c>
      <c r="R2660" s="10">
        <v>0</v>
      </c>
      <c r="S2660" s="11">
        <v>0</v>
      </c>
      <c r="T2660" s="10">
        <f>U2660/75</f>
        <v>1311</v>
      </c>
      <c r="U2660" s="11">
        <v>98325</v>
      </c>
      <c r="V2660" s="10">
        <f>W2660/75</f>
        <v>1874</v>
      </c>
      <c r="W2660" s="11">
        <v>140550</v>
      </c>
      <c r="X2660" s="10">
        <v>0</v>
      </c>
      <c r="Y2660" s="11">
        <v>0</v>
      </c>
      <c r="Z2660" s="10">
        <v>0</v>
      </c>
      <c r="AA2660" s="11">
        <v>0</v>
      </c>
      <c r="AB2660" s="10">
        <f>AC2660/75</f>
        <v>296</v>
      </c>
      <c r="AC2660" s="11">
        <v>22200</v>
      </c>
      <c r="AD2660" s="10">
        <f t="shared" si="2699"/>
        <v>171</v>
      </c>
      <c r="AE2660" s="11">
        <v>12825</v>
      </c>
      <c r="AF2660" s="10">
        <f t="shared" si="2700"/>
        <v>692.98947368421057</v>
      </c>
      <c r="AG2660" s="11">
        <v>32917</v>
      </c>
      <c r="AH2660" s="10">
        <f t="shared" si="2701"/>
        <v>8</v>
      </c>
      <c r="AI2660" s="11">
        <v>380</v>
      </c>
      <c r="AJ2660" s="10">
        <f t="shared" si="2702"/>
        <v>122.22222222222223</v>
      </c>
      <c r="AK2660" s="13">
        <v>1100</v>
      </c>
      <c r="AL2660" s="10">
        <f t="shared" si="2703"/>
        <v>161.11111111111111</v>
      </c>
      <c r="AM2660" s="13">
        <v>1450</v>
      </c>
      <c r="AN2660" s="10">
        <f t="shared" si="2704"/>
        <v>941.2</v>
      </c>
      <c r="AO2660" s="11">
        <v>75296</v>
      </c>
      <c r="AP2660" s="10">
        <f t="shared" si="2705"/>
        <v>5</v>
      </c>
      <c r="AQ2660" s="11">
        <v>400</v>
      </c>
      <c r="AR2660" s="10">
        <f t="shared" si="2706"/>
        <v>12</v>
      </c>
      <c r="AS2660" s="11">
        <v>660</v>
      </c>
      <c r="AT2660" s="10">
        <f t="shared" si="2707"/>
        <v>4</v>
      </c>
      <c r="AU2660" s="11">
        <v>220</v>
      </c>
      <c r="BN2660" s="8">
        <f t="shared" si="2656"/>
        <v>5460.9116959064331</v>
      </c>
      <c r="BO2660" s="8">
        <f t="shared" si="2634"/>
        <v>373073</v>
      </c>
      <c r="BP2660" s="8">
        <f t="shared" si="2657"/>
        <v>688.61111111111109</v>
      </c>
      <c r="BQ2660" s="12">
        <f t="shared" si="2658"/>
        <v>39650</v>
      </c>
    </row>
    <row r="2661" spans="1:69">
      <c r="A2661" s="28">
        <v>2004</v>
      </c>
      <c r="B2661" s="27" t="s">
        <v>125</v>
      </c>
      <c r="C2661" s="24">
        <f t="shared" si="2637"/>
        <v>2612</v>
      </c>
      <c r="D2661" s="7">
        <f t="shared" ca="1" si="2659"/>
        <v>0.14490712000382028</v>
      </c>
      <c r="E2661" s="26">
        <f t="array" aca="1" ref="E2661" ca="1">AVERAGE(IF(INDIRECT(DatCol&amp;"$"&amp;TEXT(C2661,"###")):INDIRECT(DatCol&amp;"$"&amp;TEXT(C2661+57,"###"))&gt;0,INDIRECT(DatCol&amp;"$"&amp;TEXT(C2661,"###")):INDIRECT(DatCol&amp;"$"&amp;TEXT(C2661+57,"###"))))</f>
        <v>279.21333333333331</v>
      </c>
      <c r="F2661" s="26" t="str">
        <f t="shared" si="2678"/>
        <v>B</v>
      </c>
      <c r="H2661" s="9">
        <v>78</v>
      </c>
      <c r="I2661" s="9">
        <v>69</v>
      </c>
      <c r="J2661" s="9">
        <v>612</v>
      </c>
      <c r="K2661" s="9">
        <f t="shared" si="2635"/>
        <v>690</v>
      </c>
      <c r="L2661" s="10">
        <f t="shared" si="2697"/>
        <v>37.700000000000003</v>
      </c>
      <c r="M2661" s="11">
        <v>1885</v>
      </c>
      <c r="N2661" s="10">
        <f t="shared" si="2698"/>
        <v>40.46</v>
      </c>
      <c r="O2661" s="11">
        <v>2023</v>
      </c>
      <c r="P2661" s="10">
        <v>0</v>
      </c>
      <c r="Q2661" s="11">
        <v>0</v>
      </c>
      <c r="R2661" s="10">
        <f>S2661/75</f>
        <v>1185.6266666666668</v>
      </c>
      <c r="S2661" s="11">
        <v>88922</v>
      </c>
      <c r="T2661" s="10">
        <v>0</v>
      </c>
      <c r="U2661" s="11">
        <v>0</v>
      </c>
      <c r="V2661" s="10">
        <f>W2661/75</f>
        <v>1590.1466666666668</v>
      </c>
      <c r="W2661" s="11">
        <v>119261</v>
      </c>
      <c r="X2661" s="10">
        <v>0</v>
      </c>
      <c r="Y2661" s="11">
        <v>0</v>
      </c>
      <c r="Z2661" s="10">
        <v>0</v>
      </c>
      <c r="AA2661" s="11">
        <v>0</v>
      </c>
      <c r="AB2661" s="10">
        <f>AC2661/75</f>
        <v>310</v>
      </c>
      <c r="AC2661" s="11">
        <v>23250</v>
      </c>
      <c r="AD2661" s="10">
        <f t="shared" si="2699"/>
        <v>150</v>
      </c>
      <c r="AE2661" s="11">
        <v>11250</v>
      </c>
      <c r="AF2661" s="10">
        <f t="shared" si="2700"/>
        <v>695.70526315789471</v>
      </c>
      <c r="AG2661" s="11">
        <v>33046</v>
      </c>
      <c r="AH2661" s="10">
        <f t="shared" si="2701"/>
        <v>15.789473684210526</v>
      </c>
      <c r="AI2661" s="11">
        <v>750</v>
      </c>
      <c r="AJ2661" s="10">
        <f t="shared" si="2702"/>
        <v>50</v>
      </c>
      <c r="AK2661" s="13">
        <v>450</v>
      </c>
      <c r="AL2661" s="10">
        <f t="shared" si="2703"/>
        <v>16.666666666666668</v>
      </c>
      <c r="AM2661" s="13">
        <v>150</v>
      </c>
      <c r="AN2661" s="10">
        <f t="shared" si="2704"/>
        <v>1602.5</v>
      </c>
      <c r="AO2661" s="11">
        <v>128200</v>
      </c>
      <c r="AP2661" s="10">
        <f t="shared" si="2705"/>
        <v>6.25</v>
      </c>
      <c r="AQ2661" s="11">
        <v>500</v>
      </c>
      <c r="AR2661" s="10">
        <f t="shared" si="2706"/>
        <v>13.090909090909092</v>
      </c>
      <c r="AS2661" s="11">
        <v>720</v>
      </c>
      <c r="AT2661" s="10">
        <f t="shared" si="2707"/>
        <v>2.9090909090909092</v>
      </c>
      <c r="AU2661" s="11">
        <v>160</v>
      </c>
      <c r="AV2661" s="10">
        <v>0</v>
      </c>
      <c r="AW2661" s="11">
        <v>0</v>
      </c>
      <c r="AX2661" s="10">
        <v>0</v>
      </c>
      <c r="AY2661" s="11">
        <v>0</v>
      </c>
      <c r="AZ2661" s="10">
        <v>0</v>
      </c>
      <c r="BA2661" s="11">
        <v>0</v>
      </c>
      <c r="BB2661" s="10">
        <v>0</v>
      </c>
      <c r="BC2661" s="11">
        <v>0</v>
      </c>
      <c r="BD2661" s="10">
        <v>0</v>
      </c>
      <c r="BE2661" s="11">
        <v>0</v>
      </c>
      <c r="BF2661" s="10">
        <v>0</v>
      </c>
      <c r="BG2661" s="11">
        <v>0</v>
      </c>
      <c r="BN2661" s="8">
        <f t="shared" si="2656"/>
        <v>5634.7695055821368</v>
      </c>
      <c r="BO2661" s="8">
        <f t="shared" si="2634"/>
        <v>395734</v>
      </c>
      <c r="BP2661" s="8">
        <f t="shared" si="2657"/>
        <v>542.07523125996806</v>
      </c>
      <c r="BQ2661" s="12">
        <f t="shared" si="2658"/>
        <v>38083</v>
      </c>
    </row>
    <row r="2662" spans="1:69">
      <c r="A2662" s="28">
        <v>2005</v>
      </c>
      <c r="B2662" s="27" t="s">
        <v>125</v>
      </c>
      <c r="C2662" s="24">
        <f t="shared" si="2637"/>
        <v>2612</v>
      </c>
      <c r="D2662" s="7">
        <f t="shared" ca="1" si="2659"/>
        <v>9.6700253092020447E-2</v>
      </c>
      <c r="E2662" s="26">
        <f t="array" aca="1" ref="E2662" ca="1">AVERAGE(IF(INDIRECT(DatCol&amp;"$"&amp;TEXT(C2662,"###")):INDIRECT(DatCol&amp;"$"&amp;TEXT(C2662+57,"###"))&gt;0,INDIRECT(DatCol&amp;"$"&amp;TEXT(C2662,"###")):INDIRECT(DatCol&amp;"$"&amp;TEXT(C2662+57,"###"))))</f>
        <v>279.21333333333331</v>
      </c>
      <c r="F2662" s="26" t="str">
        <f t="shared" si="2678"/>
        <v>B</v>
      </c>
      <c r="G2662" s="9">
        <v>153</v>
      </c>
      <c r="H2662" s="22">
        <v>56</v>
      </c>
      <c r="I2662" s="22">
        <v>66</v>
      </c>
      <c r="J2662" s="22">
        <v>469</v>
      </c>
      <c r="K2662" s="9">
        <f t="shared" si="2635"/>
        <v>678</v>
      </c>
      <c r="L2662" s="10">
        <f t="shared" si="2697"/>
        <v>15</v>
      </c>
      <c r="M2662" s="11">
        <v>750</v>
      </c>
      <c r="N2662" s="10">
        <f t="shared" si="2698"/>
        <v>27</v>
      </c>
      <c r="O2662" s="11">
        <v>1350</v>
      </c>
      <c r="P2662" s="10">
        <f>Q2662/75</f>
        <v>833</v>
      </c>
      <c r="Q2662" s="11">
        <v>62475</v>
      </c>
      <c r="R2662" s="10">
        <v>0</v>
      </c>
      <c r="S2662" s="11">
        <v>0</v>
      </c>
      <c r="T2662" s="10">
        <v>0</v>
      </c>
      <c r="U2662" s="11">
        <v>0</v>
      </c>
      <c r="V2662" s="10">
        <f>W2662/75</f>
        <v>357</v>
      </c>
      <c r="W2662" s="11">
        <v>26775</v>
      </c>
      <c r="X2662" s="10">
        <f>Y2662/75</f>
        <v>116</v>
      </c>
      <c r="Y2662" s="11">
        <v>8700</v>
      </c>
      <c r="Z2662" s="10">
        <v>0</v>
      </c>
      <c r="AA2662" s="11">
        <v>0</v>
      </c>
      <c r="AB2662" s="10">
        <v>0</v>
      </c>
      <c r="AC2662" s="11">
        <v>0</v>
      </c>
      <c r="AD2662" s="10">
        <f t="shared" si="2699"/>
        <v>50</v>
      </c>
      <c r="AE2662" s="11">
        <v>3750</v>
      </c>
      <c r="AF2662" s="10">
        <f t="shared" si="2700"/>
        <v>369</v>
      </c>
      <c r="AG2662" s="11">
        <v>17527.5</v>
      </c>
      <c r="AH2662" s="10">
        <f t="shared" si="2701"/>
        <v>5</v>
      </c>
      <c r="AI2662" s="11">
        <v>237.5</v>
      </c>
      <c r="AJ2662" s="10">
        <f t="shared" si="2702"/>
        <v>61.111111111111114</v>
      </c>
      <c r="AK2662" s="13">
        <v>550</v>
      </c>
      <c r="AL2662" s="10">
        <f t="shared" si="2703"/>
        <v>22.222222222222221</v>
      </c>
      <c r="AM2662" s="13">
        <v>200</v>
      </c>
      <c r="AN2662" s="10">
        <f t="shared" si="2704"/>
        <v>1282</v>
      </c>
      <c r="AO2662" s="11">
        <v>102560</v>
      </c>
      <c r="AP2662" s="10">
        <f t="shared" si="2705"/>
        <v>12</v>
      </c>
      <c r="AQ2662" s="11">
        <v>960</v>
      </c>
      <c r="AR2662" s="10">
        <f t="shared" si="2706"/>
        <v>6</v>
      </c>
      <c r="AS2662" s="11">
        <v>330</v>
      </c>
      <c r="AT2662" s="10">
        <f t="shared" si="2707"/>
        <v>3</v>
      </c>
      <c r="AU2662" s="11">
        <v>165</v>
      </c>
      <c r="AV2662" s="10">
        <v>0</v>
      </c>
      <c r="AW2662" s="11">
        <v>0</v>
      </c>
      <c r="AX2662" s="10">
        <v>0</v>
      </c>
      <c r="AY2662" s="11">
        <v>0</v>
      </c>
      <c r="AZ2662" s="10">
        <v>0</v>
      </c>
      <c r="BA2662" s="11">
        <v>0</v>
      </c>
      <c r="BB2662" s="10">
        <v>0</v>
      </c>
      <c r="BC2662" s="11">
        <v>0</v>
      </c>
      <c r="BD2662" s="10">
        <v>0</v>
      </c>
      <c r="BE2662" s="11">
        <v>0</v>
      </c>
      <c r="BF2662" s="10">
        <v>0</v>
      </c>
      <c r="BG2662" s="11">
        <v>0</v>
      </c>
      <c r="BN2662" s="8">
        <f t="shared" si="2656"/>
        <v>3089.1111111111113</v>
      </c>
      <c r="BO2662" s="8">
        <f t="shared" si="2634"/>
        <v>219667.5</v>
      </c>
      <c r="BP2662" s="8">
        <f t="shared" si="2657"/>
        <v>235.22222222222223</v>
      </c>
      <c r="BQ2662" s="12">
        <f t="shared" si="2658"/>
        <v>15362.5</v>
      </c>
    </row>
    <row r="2663" spans="1:69">
      <c r="A2663" s="28">
        <v>2006</v>
      </c>
      <c r="B2663" s="27" t="s">
        <v>125</v>
      </c>
      <c r="C2663" s="24">
        <f t="shared" si="2637"/>
        <v>2612</v>
      </c>
      <c r="D2663" s="7">
        <f t="shared" ca="1" si="2659"/>
        <v>3.5814908552600166E-2</v>
      </c>
      <c r="E2663" s="26">
        <f t="array" aca="1" ref="E2663" ca="1">AVERAGE(IF(INDIRECT(DatCol&amp;"$"&amp;TEXT(C2663,"###")):INDIRECT(DatCol&amp;"$"&amp;TEXT(C2663+57,"###"))&gt;0,INDIRECT(DatCol&amp;"$"&amp;TEXT(C2663,"###")):INDIRECT(DatCol&amp;"$"&amp;TEXT(C2663+57,"###"))))</f>
        <v>279.21333333333331</v>
      </c>
      <c r="F2663" s="26" t="str">
        <f t="shared" si="2678"/>
        <v>B</v>
      </c>
      <c r="H2663" s="9">
        <v>49</v>
      </c>
      <c r="I2663" s="9">
        <v>61</v>
      </c>
      <c r="J2663" s="9">
        <v>443</v>
      </c>
      <c r="K2663" s="9">
        <f t="shared" si="2635"/>
        <v>492</v>
      </c>
      <c r="L2663" s="10">
        <f t="shared" si="2697"/>
        <v>5</v>
      </c>
      <c r="M2663" s="11">
        <v>250</v>
      </c>
      <c r="N2663" s="10">
        <f t="shared" si="2698"/>
        <v>10</v>
      </c>
      <c r="O2663" s="11">
        <v>500</v>
      </c>
      <c r="P2663" s="10">
        <f>Q2663/75</f>
        <v>916.93333333333328</v>
      </c>
      <c r="Q2663" s="11">
        <v>68770</v>
      </c>
      <c r="R2663" s="10">
        <v>0</v>
      </c>
      <c r="S2663" s="11">
        <v>0</v>
      </c>
      <c r="T2663" s="10">
        <v>0</v>
      </c>
      <c r="U2663" s="11">
        <v>0</v>
      </c>
      <c r="V2663" s="10">
        <v>0</v>
      </c>
      <c r="W2663" s="11">
        <v>0</v>
      </c>
      <c r="X2663" s="10">
        <f>Y2663/75</f>
        <v>59</v>
      </c>
      <c r="Y2663" s="11">
        <v>4425</v>
      </c>
      <c r="Z2663" s="10">
        <v>0</v>
      </c>
      <c r="AA2663" s="11">
        <v>0</v>
      </c>
      <c r="AB2663" s="10">
        <v>0</v>
      </c>
      <c r="AC2663" s="11">
        <v>0</v>
      </c>
      <c r="AD2663" s="10">
        <f t="shared" si="2699"/>
        <v>29.04</v>
      </c>
      <c r="AE2663" s="11">
        <v>2178</v>
      </c>
      <c r="AF2663" s="10">
        <f t="shared" si="2700"/>
        <v>547.00842105263166</v>
      </c>
      <c r="AG2663" s="11">
        <v>25982.9</v>
      </c>
      <c r="AH2663" s="10">
        <f t="shared" si="2701"/>
        <v>26.526315789473685</v>
      </c>
      <c r="AI2663" s="11">
        <v>1260</v>
      </c>
      <c r="AJ2663" s="10">
        <f t="shared" si="2702"/>
        <v>5.5555555555555554</v>
      </c>
      <c r="AK2663" s="13">
        <v>50</v>
      </c>
      <c r="AL2663" s="10">
        <f t="shared" si="2703"/>
        <v>38.888888888888886</v>
      </c>
      <c r="AM2663" s="13">
        <v>350</v>
      </c>
      <c r="AN2663" s="10">
        <f t="shared" si="2704"/>
        <v>550</v>
      </c>
      <c r="AO2663" s="11">
        <v>44000</v>
      </c>
      <c r="AP2663" s="10">
        <f t="shared" si="2705"/>
        <v>8</v>
      </c>
      <c r="AQ2663" s="11">
        <v>640</v>
      </c>
      <c r="AR2663" s="10">
        <f t="shared" si="2706"/>
        <v>6</v>
      </c>
      <c r="AS2663" s="11">
        <v>330</v>
      </c>
      <c r="AT2663" s="10">
        <f t="shared" si="2707"/>
        <v>1</v>
      </c>
      <c r="AU2663" s="11">
        <v>55</v>
      </c>
      <c r="AV2663" s="10">
        <f>AW2663/50</f>
        <v>10</v>
      </c>
      <c r="AW2663" s="11">
        <v>500</v>
      </c>
      <c r="AX2663" s="10">
        <v>0</v>
      </c>
      <c r="AY2663" s="11">
        <v>0</v>
      </c>
      <c r="AZ2663" s="10">
        <v>0</v>
      </c>
      <c r="BA2663" s="11">
        <v>0</v>
      </c>
      <c r="BB2663" s="10">
        <v>0</v>
      </c>
      <c r="BC2663" s="11">
        <v>0</v>
      </c>
      <c r="BD2663" s="10">
        <v>0</v>
      </c>
      <c r="BE2663" s="11">
        <v>0</v>
      </c>
      <c r="BF2663" s="10">
        <v>0</v>
      </c>
      <c r="BG2663" s="11">
        <v>0</v>
      </c>
      <c r="BN2663" s="8">
        <f t="shared" si="2656"/>
        <v>2128.5373099415206</v>
      </c>
      <c r="BO2663" s="8">
        <f t="shared" si="2634"/>
        <v>144307.9</v>
      </c>
      <c r="BP2663" s="8">
        <f t="shared" si="2657"/>
        <v>172.45520467836258</v>
      </c>
      <c r="BQ2663" s="12">
        <f t="shared" si="2658"/>
        <v>9408</v>
      </c>
    </row>
    <row r="2664" spans="1:69">
      <c r="A2664" s="28">
        <v>2007</v>
      </c>
      <c r="B2664" s="27" t="s">
        <v>125</v>
      </c>
      <c r="C2664" s="24">
        <f t="shared" si="2637"/>
        <v>2612</v>
      </c>
      <c r="D2664" s="7">
        <f t="shared" ca="1" si="2659"/>
        <v>5.0140871973640234E-2</v>
      </c>
      <c r="E2664" s="26">
        <f t="array" aca="1" ref="E2664" ca="1">AVERAGE(IF(INDIRECT(DatCol&amp;"$"&amp;TEXT(C2664,"###")):INDIRECT(DatCol&amp;"$"&amp;TEXT(C2664+57,"###"))&gt;0,INDIRECT(DatCol&amp;"$"&amp;TEXT(C2664,"###")):INDIRECT(DatCol&amp;"$"&amp;TEXT(C2664+57,"###"))))</f>
        <v>279.21333333333331</v>
      </c>
      <c r="F2664" s="26" t="str">
        <f t="shared" si="2678"/>
        <v>B</v>
      </c>
      <c r="G2664" s="9">
        <v>157</v>
      </c>
      <c r="H2664" s="9">
        <v>62</v>
      </c>
      <c r="I2664" s="9">
        <v>66</v>
      </c>
      <c r="J2664" s="9">
        <v>513</v>
      </c>
      <c r="K2664" s="9">
        <f t="shared" si="2635"/>
        <v>732</v>
      </c>
      <c r="L2664" s="10">
        <f t="shared" si="2697"/>
        <v>7</v>
      </c>
      <c r="M2664" s="11">
        <v>350</v>
      </c>
      <c r="N2664" s="10">
        <f t="shared" si="2698"/>
        <v>14</v>
      </c>
      <c r="O2664" s="11">
        <v>700</v>
      </c>
      <c r="P2664" s="10">
        <f>Q2664/75</f>
        <v>767.49333333333334</v>
      </c>
      <c r="Q2664" s="11">
        <v>57562</v>
      </c>
      <c r="R2664" s="10">
        <v>0</v>
      </c>
      <c r="S2664" s="11">
        <v>0</v>
      </c>
      <c r="T2664" s="10">
        <v>0</v>
      </c>
      <c r="U2664" s="11">
        <v>0</v>
      </c>
      <c r="V2664" s="10">
        <f>W2664/75</f>
        <v>383</v>
      </c>
      <c r="W2664" s="11">
        <v>28725</v>
      </c>
      <c r="X2664" s="10">
        <f>Y2664/75</f>
        <v>73.74666666666667</v>
      </c>
      <c r="Y2664" s="11">
        <v>5531</v>
      </c>
      <c r="Z2664" s="10">
        <v>0</v>
      </c>
      <c r="AA2664" s="11">
        <v>0</v>
      </c>
      <c r="AB2664" s="10">
        <v>0</v>
      </c>
      <c r="AC2664" s="11">
        <v>0</v>
      </c>
      <c r="AD2664" s="10">
        <f t="shared" si="2699"/>
        <v>36.24</v>
      </c>
      <c r="AE2664" s="11">
        <v>2718</v>
      </c>
      <c r="AF2664" s="10">
        <f t="shared" si="2700"/>
        <v>879.78947368421052</v>
      </c>
      <c r="AG2664" s="11">
        <v>41790</v>
      </c>
      <c r="AH2664" s="10">
        <f t="shared" si="2701"/>
        <v>37.89473684210526</v>
      </c>
      <c r="AI2664" s="11">
        <v>1800</v>
      </c>
      <c r="AJ2664" s="10">
        <f t="shared" si="2702"/>
        <v>5.5555555555555554</v>
      </c>
      <c r="AK2664" s="13">
        <v>50</v>
      </c>
      <c r="AL2664" s="10">
        <f t="shared" si="2703"/>
        <v>38.888888888888886</v>
      </c>
      <c r="AM2664" s="13">
        <v>350</v>
      </c>
      <c r="AN2664" s="10">
        <f t="shared" si="2704"/>
        <v>700</v>
      </c>
      <c r="AO2664" s="11">
        <v>56000</v>
      </c>
      <c r="AP2664" s="10">
        <f t="shared" si="2705"/>
        <v>10</v>
      </c>
      <c r="AQ2664" s="11">
        <v>800</v>
      </c>
      <c r="AR2664" s="10">
        <f t="shared" si="2706"/>
        <v>6</v>
      </c>
      <c r="AS2664" s="11">
        <v>330</v>
      </c>
      <c r="AT2664" s="10">
        <f t="shared" si="2707"/>
        <v>6</v>
      </c>
      <c r="AU2664" s="11">
        <v>330</v>
      </c>
      <c r="AV2664" s="10">
        <f>AW2664/50</f>
        <v>10</v>
      </c>
      <c r="AW2664" s="11">
        <v>500</v>
      </c>
      <c r="AX2664" s="10">
        <v>0</v>
      </c>
      <c r="AY2664" s="11">
        <v>0</v>
      </c>
      <c r="AZ2664" s="10">
        <v>0</v>
      </c>
      <c r="BA2664" s="11">
        <v>0</v>
      </c>
      <c r="BB2664" s="10">
        <v>0</v>
      </c>
      <c r="BC2664" s="11">
        <v>0</v>
      </c>
      <c r="BD2664" s="10">
        <v>0</v>
      </c>
      <c r="BE2664" s="11">
        <v>0</v>
      </c>
      <c r="BF2664" s="10">
        <v>0</v>
      </c>
      <c r="BG2664" s="11">
        <v>0</v>
      </c>
      <c r="BH2664" s="11">
        <v>0</v>
      </c>
      <c r="BI2664" s="11">
        <v>0</v>
      </c>
      <c r="BJ2664" s="10">
        <v>0</v>
      </c>
      <c r="BK2664" s="11">
        <v>0</v>
      </c>
      <c r="BL2664" s="10">
        <v>0</v>
      </c>
      <c r="BM2664" s="11">
        <v>0</v>
      </c>
      <c r="BN2664" s="8">
        <f t="shared" si="2656"/>
        <v>2868.8250292397661</v>
      </c>
      <c r="BO2664" s="8">
        <f t="shared" si="2634"/>
        <v>190838</v>
      </c>
      <c r="BP2664" s="8">
        <f t="shared" si="2657"/>
        <v>216.77029239766082</v>
      </c>
      <c r="BQ2664" s="12">
        <f t="shared" si="2658"/>
        <v>12229</v>
      </c>
    </row>
    <row r="2665" spans="1:69">
      <c r="A2665" s="28">
        <v>2008</v>
      </c>
      <c r="B2665" s="27" t="s">
        <v>125</v>
      </c>
      <c r="C2665" s="24">
        <f t="shared" si="2637"/>
        <v>2612</v>
      </c>
      <c r="D2665" s="7" t="e">
        <f t="shared" ca="1" si="2659"/>
        <v>#N/A</v>
      </c>
      <c r="E2665" s="26">
        <f t="array" aca="1" ref="E2665" ca="1">AVERAGE(IF(INDIRECT(DatCol&amp;"$"&amp;TEXT(C2665,"###")):INDIRECT(DatCol&amp;"$"&amp;TEXT(C2665+57,"###"))&gt;0,INDIRECT(DatCol&amp;"$"&amp;TEXT(C2665,"###")):INDIRECT(DatCol&amp;"$"&amp;TEXT(C2665+57,"###"))))</f>
        <v>279.21333333333331</v>
      </c>
      <c r="F2665" s="26" t="str">
        <f t="shared" si="2678"/>
        <v>B</v>
      </c>
      <c r="G2665" s="9">
        <v>164</v>
      </c>
      <c r="H2665" s="9">
        <v>66</v>
      </c>
      <c r="I2665" s="9">
        <v>58</v>
      </c>
      <c r="J2665" s="9">
        <v>481</v>
      </c>
      <c r="K2665" s="9">
        <f t="shared" si="2635"/>
        <v>711</v>
      </c>
      <c r="AK2665" s="13"/>
      <c r="AM2665" s="13"/>
      <c r="BN2665" s="8">
        <f t="shared" si="2656"/>
        <v>0</v>
      </c>
      <c r="BO2665" s="8">
        <f t="shared" si="2634"/>
        <v>0</v>
      </c>
      <c r="BP2665" s="8">
        <f t="shared" si="2657"/>
        <v>0</v>
      </c>
      <c r="BQ2665" s="12">
        <f t="shared" si="2658"/>
        <v>0</v>
      </c>
    </row>
    <row r="2666" spans="1:69">
      <c r="A2666" s="28">
        <v>2009</v>
      </c>
      <c r="B2666" s="27" t="s">
        <v>125</v>
      </c>
      <c r="C2666" s="24">
        <f t="shared" si="2637"/>
        <v>2612</v>
      </c>
      <c r="D2666" s="7" t="e">
        <f t="shared" ca="1" si="2659"/>
        <v>#N/A</v>
      </c>
      <c r="E2666" s="26">
        <f t="array" aca="1" ref="E2666" ca="1">AVERAGE(IF(INDIRECT(DatCol&amp;"$"&amp;TEXT(C2666,"###")):INDIRECT(DatCol&amp;"$"&amp;TEXT(C2666+57,"###"))&gt;0,INDIRECT(DatCol&amp;"$"&amp;TEXT(C2666,"###")):INDIRECT(DatCol&amp;"$"&amp;TEXT(C2666+57,"###"))))</f>
        <v>279.21333333333331</v>
      </c>
      <c r="F2666" s="26" t="str">
        <f t="shared" si="2678"/>
        <v>B</v>
      </c>
      <c r="G2666" s="9">
        <v>168</v>
      </c>
      <c r="H2666" s="9">
        <v>55</v>
      </c>
      <c r="I2666" s="9">
        <v>50</v>
      </c>
      <c r="J2666" s="9">
        <v>444</v>
      </c>
      <c r="K2666" s="9">
        <f t="shared" si="2635"/>
        <v>667</v>
      </c>
      <c r="AK2666" s="13"/>
      <c r="AM2666" s="13"/>
      <c r="BN2666" s="8">
        <f t="shared" si="2656"/>
        <v>0</v>
      </c>
      <c r="BO2666" s="8">
        <f t="shared" si="2634"/>
        <v>0</v>
      </c>
      <c r="BP2666" s="8">
        <f t="shared" si="2657"/>
        <v>0</v>
      </c>
      <c r="BQ2666" s="12">
        <f t="shared" si="2658"/>
        <v>0</v>
      </c>
    </row>
    <row r="2667" spans="1:69">
      <c r="A2667" s="28">
        <v>2010</v>
      </c>
      <c r="B2667" s="27" t="s">
        <v>125</v>
      </c>
      <c r="C2667" s="24">
        <f t="shared" si="2637"/>
        <v>2612</v>
      </c>
      <c r="D2667" s="7" t="e">
        <f t="shared" ca="1" si="2659"/>
        <v>#N/A</v>
      </c>
      <c r="E2667" s="26">
        <f t="array" aca="1" ref="E2667" ca="1">AVERAGE(IF(INDIRECT(DatCol&amp;"$"&amp;TEXT(C2667,"###")):INDIRECT(DatCol&amp;"$"&amp;TEXT(C2667+57,"###"))&gt;0,INDIRECT(DatCol&amp;"$"&amp;TEXT(C2667,"###")):INDIRECT(DatCol&amp;"$"&amp;TEXT(C2667+57,"###"))))</f>
        <v>279.21333333333331</v>
      </c>
      <c r="F2667" s="26" t="str">
        <f t="shared" ref="F2667:F2669" si="2708">VLOOKUP(B2667,town_region,2,FALSE)</f>
        <v>B</v>
      </c>
      <c r="G2667" s="9">
        <v>187</v>
      </c>
      <c r="J2667" s="9">
        <v>436</v>
      </c>
      <c r="K2667" s="9">
        <f t="shared" si="2635"/>
        <v>623</v>
      </c>
      <c r="AK2667" s="13"/>
      <c r="AM2667" s="13"/>
      <c r="BN2667" s="8"/>
      <c r="BO2667" s="8"/>
      <c r="BP2667" s="8"/>
      <c r="BQ2667" s="12"/>
    </row>
    <row r="2668" spans="1:69">
      <c r="A2668" s="28">
        <v>2011</v>
      </c>
      <c r="B2668" s="27" t="s">
        <v>125</v>
      </c>
      <c r="C2668" s="24">
        <f t="shared" si="2637"/>
        <v>2612</v>
      </c>
      <c r="D2668" s="7" t="e">
        <f t="shared" ca="1" si="2659"/>
        <v>#N/A</v>
      </c>
      <c r="E2668" s="26">
        <f t="array" aca="1" ref="E2668" ca="1">AVERAGE(IF(INDIRECT(DatCol&amp;"$"&amp;TEXT(C2668,"###")):INDIRECT(DatCol&amp;"$"&amp;TEXT(C2668+57,"###"))&gt;0,INDIRECT(DatCol&amp;"$"&amp;TEXT(C2668,"###")):INDIRECT(DatCol&amp;"$"&amp;TEXT(C2668+57,"###"))))</f>
        <v>279.21333333333331</v>
      </c>
      <c r="F2668" s="26" t="str">
        <f t="shared" si="2708"/>
        <v>B</v>
      </c>
      <c r="AK2668" s="13"/>
      <c r="AM2668" s="13"/>
      <c r="BN2668" s="8"/>
      <c r="BO2668" s="8"/>
      <c r="BP2668" s="8"/>
      <c r="BQ2668" s="12"/>
    </row>
    <row r="2669" spans="1:69">
      <c r="A2669" s="28">
        <v>2012</v>
      </c>
      <c r="B2669" s="27" t="s">
        <v>125</v>
      </c>
      <c r="C2669" s="24">
        <f t="shared" si="2637"/>
        <v>2612</v>
      </c>
      <c r="D2669" s="7" t="e">
        <f t="shared" ca="1" si="2659"/>
        <v>#N/A</v>
      </c>
      <c r="E2669" s="26">
        <f t="array" aca="1" ref="E2669" ca="1">AVERAGE(IF(INDIRECT(DatCol&amp;"$"&amp;TEXT(C2669,"###")):INDIRECT(DatCol&amp;"$"&amp;TEXT(C2669+57,"###"))&gt;0,INDIRECT(DatCol&amp;"$"&amp;TEXT(C2669,"###")):INDIRECT(DatCol&amp;"$"&amp;TEXT(C2669+57,"###"))))</f>
        <v>279.21333333333331</v>
      </c>
      <c r="F2669" s="26" t="str">
        <f t="shared" si="2708"/>
        <v>B</v>
      </c>
      <c r="AK2669" s="13"/>
      <c r="AM2669" s="13"/>
      <c r="BN2669" s="8"/>
      <c r="BO2669" s="8"/>
      <c r="BP2669" s="8"/>
      <c r="BQ2669" s="12"/>
    </row>
    <row r="2670" spans="1:69">
      <c r="A2670" s="28">
        <v>1955</v>
      </c>
      <c r="B2670" s="27" t="s">
        <v>126</v>
      </c>
      <c r="C2670" s="24">
        <f>ROW()</f>
        <v>2670</v>
      </c>
      <c r="D2670" s="7" t="e">
        <f t="shared" ca="1" si="2659"/>
        <v>#N/A</v>
      </c>
      <c r="E2670" s="26">
        <f t="array" aca="1" ref="E2670" ca="1">AVERAGE(IF(INDIRECT(DatCol&amp;"$"&amp;TEXT(C2670,"###")):INDIRECT(DatCol&amp;"$"&amp;TEXT(C2670+57,"###"))&gt;0,INDIRECT(DatCol&amp;"$"&amp;TEXT(C2670,"###")):INDIRECT(DatCol&amp;"$"&amp;TEXT(C2670+57,"###"))))</f>
        <v>150.4375</v>
      </c>
      <c r="F2670" s="26" t="str">
        <f t="shared" si="2678"/>
        <v>I</v>
      </c>
      <c r="G2670" s="8"/>
      <c r="K2670" s="9">
        <f t="shared" si="2635"/>
        <v>0</v>
      </c>
      <c r="M2670" s="11">
        <f t="shared" si="2679"/>
        <v>0</v>
      </c>
      <c r="O2670" s="11">
        <f t="shared" si="2680"/>
        <v>0</v>
      </c>
      <c r="Q2670" s="11">
        <f t="shared" si="2681"/>
        <v>0</v>
      </c>
      <c r="Y2670" s="11">
        <f t="shared" si="2682"/>
        <v>0</v>
      </c>
      <c r="AG2670" s="11">
        <f t="shared" si="2683"/>
        <v>0</v>
      </c>
      <c r="AI2670" s="11">
        <f t="shared" si="2684"/>
        <v>0</v>
      </c>
      <c r="AK2670" s="13">
        <f t="shared" si="2685"/>
        <v>0</v>
      </c>
      <c r="AM2670" s="13">
        <f t="shared" si="2686"/>
        <v>0</v>
      </c>
      <c r="AO2670" s="11">
        <f t="shared" si="2687"/>
        <v>0</v>
      </c>
      <c r="AQ2670" s="11">
        <f t="shared" si="2688"/>
        <v>0</v>
      </c>
      <c r="AS2670" s="11">
        <f t="shared" si="2689"/>
        <v>0</v>
      </c>
      <c r="AU2670" s="11">
        <f t="shared" si="2690"/>
        <v>0</v>
      </c>
      <c r="AW2670" s="11">
        <f t="shared" si="2691"/>
        <v>0</v>
      </c>
      <c r="AY2670" s="11">
        <f t="shared" si="2692"/>
        <v>0</v>
      </c>
      <c r="BA2670" s="11">
        <f t="shared" si="2693"/>
        <v>0</v>
      </c>
      <c r="BC2670" s="11">
        <f t="shared" si="2694"/>
        <v>0</v>
      </c>
      <c r="BE2670" s="11">
        <f t="shared" si="2695"/>
        <v>0</v>
      </c>
      <c r="BG2670" s="11">
        <f t="shared" si="2696"/>
        <v>0</v>
      </c>
      <c r="BN2670" s="8">
        <f t="shared" si="2656"/>
        <v>0</v>
      </c>
      <c r="BO2670" s="8">
        <f t="shared" si="2634"/>
        <v>0</v>
      </c>
      <c r="BP2670" s="8">
        <f t="shared" si="2657"/>
        <v>0</v>
      </c>
      <c r="BQ2670" s="12">
        <f t="shared" si="2658"/>
        <v>0</v>
      </c>
    </row>
    <row r="2671" spans="1:69">
      <c r="A2671" s="28">
        <v>1956</v>
      </c>
      <c r="B2671" s="27" t="s">
        <v>126</v>
      </c>
      <c r="C2671" s="24">
        <f t="shared" ref="C2671:C2727" si="2709">C2670</f>
        <v>2670</v>
      </c>
      <c r="D2671" s="7" t="e">
        <f t="shared" ca="1" si="2659"/>
        <v>#N/A</v>
      </c>
      <c r="E2671" s="26">
        <f t="array" aca="1" ref="E2671" ca="1">AVERAGE(IF(INDIRECT(DatCol&amp;"$"&amp;TEXT(C2671,"###")):INDIRECT(DatCol&amp;"$"&amp;TEXT(C2671+57,"###"))&gt;0,INDIRECT(DatCol&amp;"$"&amp;TEXT(C2671,"###")):INDIRECT(DatCol&amp;"$"&amp;TEXT(C2671+57,"###"))))</f>
        <v>150.4375</v>
      </c>
      <c r="F2671" s="26" t="str">
        <f t="shared" si="2678"/>
        <v>I</v>
      </c>
      <c r="G2671" s="8"/>
      <c r="K2671" s="9">
        <f t="shared" si="2635"/>
        <v>0</v>
      </c>
      <c r="M2671" s="11">
        <f t="shared" si="2679"/>
        <v>0</v>
      </c>
      <c r="O2671" s="11">
        <f t="shared" si="2680"/>
        <v>0</v>
      </c>
      <c r="Q2671" s="11">
        <f t="shared" si="2681"/>
        <v>0</v>
      </c>
      <c r="Y2671" s="11">
        <f t="shared" si="2682"/>
        <v>0</v>
      </c>
      <c r="AG2671" s="11">
        <f t="shared" si="2683"/>
        <v>0</v>
      </c>
      <c r="AI2671" s="11">
        <f t="shared" si="2684"/>
        <v>0</v>
      </c>
      <c r="AK2671" s="13">
        <f t="shared" si="2685"/>
        <v>0</v>
      </c>
      <c r="AM2671" s="13">
        <f t="shared" si="2686"/>
        <v>0</v>
      </c>
      <c r="AO2671" s="11">
        <f t="shared" si="2687"/>
        <v>0</v>
      </c>
      <c r="AQ2671" s="11">
        <f t="shared" si="2688"/>
        <v>0</v>
      </c>
      <c r="AS2671" s="11">
        <f t="shared" si="2689"/>
        <v>0</v>
      </c>
      <c r="AU2671" s="11">
        <f t="shared" si="2690"/>
        <v>0</v>
      </c>
      <c r="AW2671" s="11">
        <f t="shared" si="2691"/>
        <v>0</v>
      </c>
      <c r="AY2671" s="11">
        <f t="shared" si="2692"/>
        <v>0</v>
      </c>
      <c r="BA2671" s="11">
        <f t="shared" si="2693"/>
        <v>0</v>
      </c>
      <c r="BC2671" s="11">
        <f t="shared" si="2694"/>
        <v>0</v>
      </c>
      <c r="BE2671" s="11">
        <f t="shared" si="2695"/>
        <v>0</v>
      </c>
      <c r="BG2671" s="11">
        <f t="shared" si="2696"/>
        <v>0</v>
      </c>
      <c r="BN2671" s="8">
        <f t="shared" si="2656"/>
        <v>0</v>
      </c>
      <c r="BO2671" s="8">
        <f t="shared" si="2634"/>
        <v>0</v>
      </c>
      <c r="BP2671" s="8">
        <f t="shared" si="2657"/>
        <v>0</v>
      </c>
      <c r="BQ2671" s="12">
        <f t="shared" si="2658"/>
        <v>0</v>
      </c>
    </row>
    <row r="2672" spans="1:69">
      <c r="A2672" s="28">
        <v>1957</v>
      </c>
      <c r="B2672" s="27" t="s">
        <v>126</v>
      </c>
      <c r="C2672" s="24">
        <f t="shared" si="2709"/>
        <v>2670</v>
      </c>
      <c r="D2672" s="7" t="e">
        <f t="shared" ca="1" si="2659"/>
        <v>#N/A</v>
      </c>
      <c r="E2672" s="26">
        <f t="array" aca="1" ref="E2672" ca="1">AVERAGE(IF(INDIRECT(DatCol&amp;"$"&amp;TEXT(C2672,"###")):INDIRECT(DatCol&amp;"$"&amp;TEXT(C2672+57,"###"))&gt;0,INDIRECT(DatCol&amp;"$"&amp;TEXT(C2672,"###")):INDIRECT(DatCol&amp;"$"&amp;TEXT(C2672+57,"###"))))</f>
        <v>150.4375</v>
      </c>
      <c r="F2672" s="26" t="str">
        <f t="shared" si="2678"/>
        <v>I</v>
      </c>
      <c r="G2672" s="8"/>
      <c r="K2672" s="9">
        <f t="shared" si="2635"/>
        <v>0</v>
      </c>
      <c r="M2672" s="11">
        <f t="shared" si="2679"/>
        <v>0</v>
      </c>
      <c r="O2672" s="11">
        <f t="shared" si="2680"/>
        <v>0</v>
      </c>
      <c r="Q2672" s="11">
        <f t="shared" si="2681"/>
        <v>0</v>
      </c>
      <c r="Y2672" s="11">
        <f t="shared" si="2682"/>
        <v>0</v>
      </c>
      <c r="AG2672" s="11">
        <f t="shared" si="2683"/>
        <v>0</v>
      </c>
      <c r="AI2672" s="11">
        <f t="shared" si="2684"/>
        <v>0</v>
      </c>
      <c r="AK2672" s="13">
        <f t="shared" si="2685"/>
        <v>0</v>
      </c>
      <c r="AM2672" s="13">
        <f t="shared" si="2686"/>
        <v>0</v>
      </c>
      <c r="AO2672" s="11">
        <f t="shared" si="2687"/>
        <v>0</v>
      </c>
      <c r="AQ2672" s="11">
        <f t="shared" si="2688"/>
        <v>0</v>
      </c>
      <c r="AS2672" s="11">
        <f t="shared" si="2689"/>
        <v>0</v>
      </c>
      <c r="AU2672" s="11">
        <f t="shared" si="2690"/>
        <v>0</v>
      </c>
      <c r="AW2672" s="11">
        <f t="shared" si="2691"/>
        <v>0</v>
      </c>
      <c r="AY2672" s="11">
        <f t="shared" si="2692"/>
        <v>0</v>
      </c>
      <c r="BA2672" s="11">
        <f t="shared" si="2693"/>
        <v>0</v>
      </c>
      <c r="BC2672" s="11">
        <f t="shared" si="2694"/>
        <v>0</v>
      </c>
      <c r="BE2672" s="11">
        <f t="shared" si="2695"/>
        <v>0</v>
      </c>
      <c r="BG2672" s="11">
        <f t="shared" si="2696"/>
        <v>0</v>
      </c>
      <c r="BN2672" s="8">
        <f t="shared" si="2656"/>
        <v>0</v>
      </c>
      <c r="BO2672" s="8">
        <f t="shared" ref="BO2672:BO2736" si="2710">(M2672+Q2672+S2672+U2672+W2672+Y2672+AA2672+AC2672+AG2672+AK2672+AO2672+AS2672+AW2672+BA2672+BE2672)</f>
        <v>0</v>
      </c>
      <c r="BP2672" s="8">
        <f t="shared" si="2657"/>
        <v>0</v>
      </c>
      <c r="BQ2672" s="12">
        <f t="shared" si="2658"/>
        <v>0</v>
      </c>
    </row>
    <row r="2673" spans="1:69">
      <c r="A2673" s="28">
        <v>1958</v>
      </c>
      <c r="B2673" s="27" t="s">
        <v>126</v>
      </c>
      <c r="C2673" s="24">
        <f t="shared" si="2709"/>
        <v>2670</v>
      </c>
      <c r="D2673" s="7" t="e">
        <f t="shared" ca="1" si="2659"/>
        <v>#N/A</v>
      </c>
      <c r="E2673" s="26">
        <f t="array" aca="1" ref="E2673" ca="1">AVERAGE(IF(INDIRECT(DatCol&amp;"$"&amp;TEXT(C2673,"###")):INDIRECT(DatCol&amp;"$"&amp;TEXT(C2673+57,"###"))&gt;0,INDIRECT(DatCol&amp;"$"&amp;TEXT(C2673,"###")):INDIRECT(DatCol&amp;"$"&amp;TEXT(C2673+57,"###"))))</f>
        <v>150.4375</v>
      </c>
      <c r="F2673" s="26" t="str">
        <f t="shared" si="2678"/>
        <v>I</v>
      </c>
      <c r="G2673" s="8"/>
      <c r="K2673" s="9">
        <f t="shared" ref="K2673:K2737" si="2711">G2673+H2673+J2673</f>
        <v>0</v>
      </c>
      <c r="M2673" s="11">
        <f t="shared" si="2679"/>
        <v>0</v>
      </c>
      <c r="O2673" s="11">
        <f t="shared" si="2680"/>
        <v>0</v>
      </c>
      <c r="Q2673" s="11">
        <f t="shared" si="2681"/>
        <v>0</v>
      </c>
      <c r="Y2673" s="11">
        <f t="shared" si="2682"/>
        <v>0</v>
      </c>
      <c r="AG2673" s="11">
        <f t="shared" si="2683"/>
        <v>0</v>
      </c>
      <c r="AI2673" s="11">
        <f t="shared" si="2684"/>
        <v>0</v>
      </c>
      <c r="AK2673" s="13">
        <f t="shared" si="2685"/>
        <v>0</v>
      </c>
      <c r="AM2673" s="13">
        <f t="shared" si="2686"/>
        <v>0</v>
      </c>
      <c r="AO2673" s="11">
        <f t="shared" si="2687"/>
        <v>0</v>
      </c>
      <c r="AQ2673" s="11">
        <f t="shared" si="2688"/>
        <v>0</v>
      </c>
      <c r="AS2673" s="11">
        <f t="shared" si="2689"/>
        <v>0</v>
      </c>
      <c r="AU2673" s="11">
        <f t="shared" si="2690"/>
        <v>0</v>
      </c>
      <c r="AW2673" s="11">
        <f t="shared" si="2691"/>
        <v>0</v>
      </c>
      <c r="AY2673" s="11">
        <f t="shared" si="2692"/>
        <v>0</v>
      </c>
      <c r="BA2673" s="11">
        <f t="shared" si="2693"/>
        <v>0</v>
      </c>
      <c r="BC2673" s="11">
        <f t="shared" si="2694"/>
        <v>0</v>
      </c>
      <c r="BE2673" s="11">
        <f t="shared" si="2695"/>
        <v>0</v>
      </c>
      <c r="BG2673" s="11">
        <f t="shared" si="2696"/>
        <v>0</v>
      </c>
      <c r="BN2673" s="8">
        <f t="shared" si="2656"/>
        <v>0</v>
      </c>
      <c r="BO2673" s="8">
        <f t="shared" si="2710"/>
        <v>0</v>
      </c>
      <c r="BP2673" s="8">
        <f t="shared" si="2657"/>
        <v>0</v>
      </c>
      <c r="BQ2673" s="12">
        <f t="shared" si="2658"/>
        <v>0</v>
      </c>
    </row>
    <row r="2674" spans="1:69">
      <c r="A2674" s="28">
        <v>1959</v>
      </c>
      <c r="B2674" s="27" t="s">
        <v>126</v>
      </c>
      <c r="C2674" s="24">
        <f t="shared" si="2709"/>
        <v>2670</v>
      </c>
      <c r="D2674" s="7" t="e">
        <f t="shared" ca="1" si="2659"/>
        <v>#N/A</v>
      </c>
      <c r="E2674" s="26">
        <f t="array" aca="1" ref="E2674" ca="1">AVERAGE(IF(INDIRECT(DatCol&amp;"$"&amp;TEXT(C2674,"###")):INDIRECT(DatCol&amp;"$"&amp;TEXT(C2674+57,"###"))&gt;0,INDIRECT(DatCol&amp;"$"&amp;TEXT(C2674,"###")):INDIRECT(DatCol&amp;"$"&amp;TEXT(C2674+57,"###"))))</f>
        <v>150.4375</v>
      </c>
      <c r="F2674" s="26" t="str">
        <f t="shared" si="2678"/>
        <v>I</v>
      </c>
      <c r="G2674" s="8"/>
      <c r="K2674" s="9">
        <f t="shared" si="2711"/>
        <v>0</v>
      </c>
      <c r="M2674" s="11">
        <f t="shared" si="2679"/>
        <v>0</v>
      </c>
      <c r="O2674" s="11">
        <f t="shared" si="2680"/>
        <v>0</v>
      </c>
      <c r="Q2674" s="11">
        <f t="shared" si="2681"/>
        <v>0</v>
      </c>
      <c r="Y2674" s="11">
        <f t="shared" si="2682"/>
        <v>0</v>
      </c>
      <c r="AG2674" s="11">
        <f t="shared" si="2683"/>
        <v>0</v>
      </c>
      <c r="AI2674" s="11">
        <f t="shared" si="2684"/>
        <v>0</v>
      </c>
      <c r="AK2674" s="13">
        <f t="shared" si="2685"/>
        <v>0</v>
      </c>
      <c r="AM2674" s="13">
        <f t="shared" si="2686"/>
        <v>0</v>
      </c>
      <c r="AO2674" s="11">
        <f t="shared" si="2687"/>
        <v>0</v>
      </c>
      <c r="AQ2674" s="11">
        <f t="shared" si="2688"/>
        <v>0</v>
      </c>
      <c r="AS2674" s="11">
        <f t="shared" si="2689"/>
        <v>0</v>
      </c>
      <c r="AU2674" s="11">
        <f t="shared" si="2690"/>
        <v>0</v>
      </c>
      <c r="AW2674" s="11">
        <f t="shared" si="2691"/>
        <v>0</v>
      </c>
      <c r="AY2674" s="11">
        <f t="shared" si="2692"/>
        <v>0</v>
      </c>
      <c r="BA2674" s="11">
        <f t="shared" si="2693"/>
        <v>0</v>
      </c>
      <c r="BC2674" s="11">
        <f t="shared" si="2694"/>
        <v>0</v>
      </c>
      <c r="BE2674" s="11">
        <f t="shared" si="2695"/>
        <v>0</v>
      </c>
      <c r="BG2674" s="11">
        <f t="shared" si="2696"/>
        <v>0</v>
      </c>
      <c r="BN2674" s="8">
        <f t="shared" si="2656"/>
        <v>0</v>
      </c>
      <c r="BO2674" s="8">
        <f t="shared" si="2710"/>
        <v>0</v>
      </c>
      <c r="BP2674" s="8">
        <f t="shared" si="2657"/>
        <v>0</v>
      </c>
      <c r="BQ2674" s="12">
        <f t="shared" si="2658"/>
        <v>0</v>
      </c>
    </row>
    <row r="2675" spans="1:69">
      <c r="A2675" s="28">
        <v>1960</v>
      </c>
      <c r="B2675" s="27" t="s">
        <v>126</v>
      </c>
      <c r="C2675" s="24">
        <f t="shared" si="2709"/>
        <v>2670</v>
      </c>
      <c r="D2675" s="7" t="e">
        <f t="shared" ca="1" si="2659"/>
        <v>#N/A</v>
      </c>
      <c r="E2675" s="26">
        <f t="array" aca="1" ref="E2675" ca="1">AVERAGE(IF(INDIRECT(DatCol&amp;"$"&amp;TEXT(C2675,"###")):INDIRECT(DatCol&amp;"$"&amp;TEXT(C2675+57,"###"))&gt;0,INDIRECT(DatCol&amp;"$"&amp;TEXT(C2675,"###")):INDIRECT(DatCol&amp;"$"&amp;TEXT(C2675+57,"###"))))</f>
        <v>150.4375</v>
      </c>
      <c r="F2675" s="26" t="str">
        <f t="shared" si="2678"/>
        <v>I</v>
      </c>
      <c r="G2675" s="8"/>
      <c r="K2675" s="9">
        <f t="shared" si="2711"/>
        <v>0</v>
      </c>
      <c r="M2675" s="11">
        <f t="shared" si="2679"/>
        <v>0</v>
      </c>
      <c r="O2675" s="11">
        <f t="shared" si="2680"/>
        <v>0</v>
      </c>
      <c r="Q2675" s="11">
        <f t="shared" si="2681"/>
        <v>0</v>
      </c>
      <c r="Y2675" s="11">
        <f t="shared" si="2682"/>
        <v>0</v>
      </c>
      <c r="AG2675" s="11">
        <f t="shared" si="2683"/>
        <v>0</v>
      </c>
      <c r="AI2675" s="11">
        <f t="shared" si="2684"/>
        <v>0</v>
      </c>
      <c r="AK2675" s="13">
        <f t="shared" si="2685"/>
        <v>0</v>
      </c>
      <c r="AM2675" s="13">
        <f t="shared" si="2686"/>
        <v>0</v>
      </c>
      <c r="AO2675" s="11">
        <f t="shared" si="2687"/>
        <v>0</v>
      </c>
      <c r="AQ2675" s="11">
        <f t="shared" si="2688"/>
        <v>0</v>
      </c>
      <c r="AS2675" s="11">
        <f t="shared" si="2689"/>
        <v>0</v>
      </c>
      <c r="AU2675" s="11">
        <f t="shared" si="2690"/>
        <v>0</v>
      </c>
      <c r="AW2675" s="11">
        <f t="shared" si="2691"/>
        <v>0</v>
      </c>
      <c r="AY2675" s="11">
        <f t="shared" si="2692"/>
        <v>0</v>
      </c>
      <c r="BA2675" s="11">
        <f t="shared" si="2693"/>
        <v>0</v>
      </c>
      <c r="BC2675" s="11">
        <f t="shared" si="2694"/>
        <v>0</v>
      </c>
      <c r="BE2675" s="11">
        <f t="shared" si="2695"/>
        <v>0</v>
      </c>
      <c r="BG2675" s="11">
        <f t="shared" si="2696"/>
        <v>0</v>
      </c>
      <c r="BN2675" s="8">
        <f t="shared" si="2656"/>
        <v>0</v>
      </c>
      <c r="BO2675" s="8">
        <f t="shared" si="2710"/>
        <v>0</v>
      </c>
      <c r="BP2675" s="8">
        <f t="shared" si="2657"/>
        <v>0</v>
      </c>
      <c r="BQ2675" s="12">
        <f t="shared" si="2658"/>
        <v>0</v>
      </c>
    </row>
    <row r="2676" spans="1:69">
      <c r="A2676" s="28">
        <v>1961</v>
      </c>
      <c r="B2676" s="27" t="s">
        <v>126</v>
      </c>
      <c r="C2676" s="24">
        <f t="shared" si="2709"/>
        <v>2670</v>
      </c>
      <c r="D2676" s="7" t="e">
        <f t="shared" ca="1" si="2659"/>
        <v>#N/A</v>
      </c>
      <c r="E2676" s="26">
        <f t="array" aca="1" ref="E2676" ca="1">AVERAGE(IF(INDIRECT(DatCol&amp;"$"&amp;TEXT(C2676,"###")):INDIRECT(DatCol&amp;"$"&amp;TEXT(C2676+57,"###"))&gt;0,INDIRECT(DatCol&amp;"$"&amp;TEXT(C2676,"###")):INDIRECT(DatCol&amp;"$"&amp;TEXT(C2676+57,"###"))))</f>
        <v>150.4375</v>
      </c>
      <c r="F2676" s="26" t="str">
        <f t="shared" si="2678"/>
        <v>I</v>
      </c>
      <c r="G2676" s="8"/>
      <c r="K2676" s="9">
        <f t="shared" si="2711"/>
        <v>0</v>
      </c>
      <c r="M2676" s="11">
        <f t="shared" si="2679"/>
        <v>0</v>
      </c>
      <c r="O2676" s="11">
        <f t="shared" si="2680"/>
        <v>0</v>
      </c>
      <c r="Q2676" s="11">
        <f t="shared" si="2681"/>
        <v>0</v>
      </c>
      <c r="Y2676" s="11">
        <f t="shared" si="2682"/>
        <v>0</v>
      </c>
      <c r="AG2676" s="11">
        <f t="shared" si="2683"/>
        <v>0</v>
      </c>
      <c r="AI2676" s="11">
        <f t="shared" si="2684"/>
        <v>0</v>
      </c>
      <c r="AK2676" s="13">
        <f t="shared" si="2685"/>
        <v>0</v>
      </c>
      <c r="AM2676" s="13">
        <f t="shared" si="2686"/>
        <v>0</v>
      </c>
      <c r="AO2676" s="11">
        <f t="shared" si="2687"/>
        <v>0</v>
      </c>
      <c r="AQ2676" s="11">
        <f t="shared" si="2688"/>
        <v>0</v>
      </c>
      <c r="AS2676" s="11">
        <f t="shared" si="2689"/>
        <v>0</v>
      </c>
      <c r="AU2676" s="11">
        <f t="shared" si="2690"/>
        <v>0</v>
      </c>
      <c r="AW2676" s="11">
        <f t="shared" si="2691"/>
        <v>0</v>
      </c>
      <c r="AY2676" s="11">
        <f t="shared" si="2692"/>
        <v>0</v>
      </c>
      <c r="BA2676" s="11">
        <f t="shared" si="2693"/>
        <v>0</v>
      </c>
      <c r="BC2676" s="11">
        <f t="shared" si="2694"/>
        <v>0</v>
      </c>
      <c r="BE2676" s="11">
        <f t="shared" si="2695"/>
        <v>0</v>
      </c>
      <c r="BG2676" s="11">
        <f t="shared" si="2696"/>
        <v>0</v>
      </c>
      <c r="BN2676" s="8">
        <f t="shared" si="2656"/>
        <v>0</v>
      </c>
      <c r="BO2676" s="8">
        <f t="shared" si="2710"/>
        <v>0</v>
      </c>
      <c r="BP2676" s="8">
        <f t="shared" si="2657"/>
        <v>0</v>
      </c>
      <c r="BQ2676" s="12">
        <f t="shared" si="2658"/>
        <v>0</v>
      </c>
    </row>
    <row r="2677" spans="1:69">
      <c r="A2677" s="28">
        <v>1962</v>
      </c>
      <c r="B2677" s="27" t="s">
        <v>126</v>
      </c>
      <c r="C2677" s="24">
        <f t="shared" si="2709"/>
        <v>2670</v>
      </c>
      <c r="D2677" s="7" t="e">
        <f t="shared" ca="1" si="2659"/>
        <v>#N/A</v>
      </c>
      <c r="E2677" s="26">
        <f t="array" aca="1" ref="E2677" ca="1">AVERAGE(IF(INDIRECT(DatCol&amp;"$"&amp;TEXT(C2677,"###")):INDIRECT(DatCol&amp;"$"&amp;TEXT(C2677+57,"###"))&gt;0,INDIRECT(DatCol&amp;"$"&amp;TEXT(C2677,"###")):INDIRECT(DatCol&amp;"$"&amp;TEXT(C2677+57,"###"))))</f>
        <v>150.4375</v>
      </c>
      <c r="F2677" s="26" t="str">
        <f t="shared" si="2678"/>
        <v>I</v>
      </c>
      <c r="G2677" s="8"/>
      <c r="K2677" s="9">
        <f t="shared" si="2711"/>
        <v>0</v>
      </c>
      <c r="M2677" s="11">
        <f t="shared" ref="M2677:M2692" si="2712">(L2677*50)</f>
        <v>0</v>
      </c>
      <c r="O2677" s="11">
        <f t="shared" ref="O2677:O2692" si="2713">(N2677*50)</f>
        <v>0</v>
      </c>
      <c r="Q2677" s="11">
        <f t="shared" ref="Q2677:Q2692" si="2714">((P2677*330)/5.5)</f>
        <v>0</v>
      </c>
      <c r="Y2677" s="11">
        <f t="shared" ref="Y2677:Y2692" si="2715">((X2677*330)/5.5)</f>
        <v>0</v>
      </c>
      <c r="AG2677" s="11">
        <f t="shared" ref="AG2677:AG2692" si="2716">(AF2677*65)</f>
        <v>0</v>
      </c>
      <c r="AI2677" s="11">
        <f t="shared" ref="AI2677:AI2692" si="2717">(AH2677*65)</f>
        <v>0</v>
      </c>
      <c r="AK2677" s="13">
        <f t="shared" ref="AK2677:AK2692" si="2718">(AJ2677*9)</f>
        <v>0</v>
      </c>
      <c r="AM2677" s="13">
        <f t="shared" ref="AM2677:AM2692" si="2719">(AL2677*9)</f>
        <v>0</v>
      </c>
      <c r="AO2677" s="11">
        <f t="shared" ref="AO2677:AO2692" si="2720">(AN2677*80)</f>
        <v>0</v>
      </c>
      <c r="AQ2677" s="11">
        <f t="shared" ref="AQ2677:AQ2692" si="2721">(AP2677*80)</f>
        <v>0</v>
      </c>
      <c r="AS2677" s="11">
        <f t="shared" ref="AS2677:AS2692" si="2722">(AR2677*50)</f>
        <v>0</v>
      </c>
      <c r="AU2677" s="11">
        <f t="shared" ref="AU2677:AU2692" si="2723">(AT2677*50)</f>
        <v>0</v>
      </c>
      <c r="AW2677" s="11">
        <f t="shared" ref="AW2677:AW2692" si="2724">(AV2677*60)</f>
        <v>0</v>
      </c>
      <c r="AY2677" s="11">
        <f t="shared" ref="AY2677:AY2692" si="2725">(AX2677*60)</f>
        <v>0</v>
      </c>
      <c r="BA2677" s="11">
        <f t="shared" ref="BA2677:BA2692" si="2726">(AZ2677*40)</f>
        <v>0</v>
      </c>
      <c r="BC2677" s="11">
        <f t="shared" ref="BC2677:BC2692" si="2727">(BB2677*40)</f>
        <v>0</v>
      </c>
      <c r="BE2677" s="11">
        <f t="shared" ref="BE2677:BE2692" si="2728">(BD2677*95)</f>
        <v>0</v>
      </c>
      <c r="BG2677" s="11">
        <f t="shared" ref="BG2677:BG2692" si="2729">(BF2677*95)</f>
        <v>0</v>
      </c>
      <c r="BN2677" s="8">
        <f t="shared" si="2656"/>
        <v>0</v>
      </c>
      <c r="BO2677" s="8">
        <f t="shared" si="2710"/>
        <v>0</v>
      </c>
      <c r="BP2677" s="8">
        <f t="shared" si="2657"/>
        <v>0</v>
      </c>
      <c r="BQ2677" s="12">
        <f t="shared" si="2658"/>
        <v>0</v>
      </c>
    </row>
    <row r="2678" spans="1:69">
      <c r="A2678" s="28">
        <v>1963</v>
      </c>
      <c r="B2678" s="27" t="s">
        <v>126</v>
      </c>
      <c r="C2678" s="24">
        <f t="shared" si="2709"/>
        <v>2670</v>
      </c>
      <c r="D2678" s="7" t="e">
        <f t="shared" ca="1" si="2659"/>
        <v>#N/A</v>
      </c>
      <c r="E2678" s="26">
        <f t="array" aca="1" ref="E2678" ca="1">AVERAGE(IF(INDIRECT(DatCol&amp;"$"&amp;TEXT(C2678,"###")):INDIRECT(DatCol&amp;"$"&amp;TEXT(C2678+57,"###"))&gt;0,INDIRECT(DatCol&amp;"$"&amp;TEXT(C2678,"###")):INDIRECT(DatCol&amp;"$"&amp;TEXT(C2678+57,"###"))))</f>
        <v>150.4375</v>
      </c>
      <c r="F2678" s="26" t="str">
        <f t="shared" si="2678"/>
        <v>I</v>
      </c>
      <c r="G2678" s="8"/>
      <c r="K2678" s="9">
        <f t="shared" si="2711"/>
        <v>0</v>
      </c>
      <c r="M2678" s="11">
        <f t="shared" si="2712"/>
        <v>0</v>
      </c>
      <c r="O2678" s="11">
        <f t="shared" si="2713"/>
        <v>0</v>
      </c>
      <c r="Q2678" s="11">
        <f t="shared" si="2714"/>
        <v>0</v>
      </c>
      <c r="Y2678" s="11">
        <f t="shared" si="2715"/>
        <v>0</v>
      </c>
      <c r="AG2678" s="11">
        <f t="shared" si="2716"/>
        <v>0</v>
      </c>
      <c r="AI2678" s="11">
        <f t="shared" si="2717"/>
        <v>0</v>
      </c>
      <c r="AK2678" s="13">
        <f t="shared" si="2718"/>
        <v>0</v>
      </c>
      <c r="AM2678" s="13">
        <f t="shared" si="2719"/>
        <v>0</v>
      </c>
      <c r="AO2678" s="11">
        <f t="shared" si="2720"/>
        <v>0</v>
      </c>
      <c r="AQ2678" s="11">
        <f t="shared" si="2721"/>
        <v>0</v>
      </c>
      <c r="AS2678" s="11">
        <f t="shared" si="2722"/>
        <v>0</v>
      </c>
      <c r="AU2678" s="11">
        <f t="shared" si="2723"/>
        <v>0</v>
      </c>
      <c r="AW2678" s="11">
        <f t="shared" si="2724"/>
        <v>0</v>
      </c>
      <c r="AY2678" s="11">
        <f t="shared" si="2725"/>
        <v>0</v>
      </c>
      <c r="BA2678" s="11">
        <f t="shared" si="2726"/>
        <v>0</v>
      </c>
      <c r="BC2678" s="11">
        <f t="shared" si="2727"/>
        <v>0</v>
      </c>
      <c r="BE2678" s="11">
        <f t="shared" si="2728"/>
        <v>0</v>
      </c>
      <c r="BG2678" s="11">
        <f t="shared" si="2729"/>
        <v>0</v>
      </c>
      <c r="BN2678" s="8">
        <f t="shared" si="2656"/>
        <v>0</v>
      </c>
      <c r="BO2678" s="8">
        <f t="shared" si="2710"/>
        <v>0</v>
      </c>
      <c r="BP2678" s="8">
        <f t="shared" si="2657"/>
        <v>0</v>
      </c>
      <c r="BQ2678" s="12">
        <f t="shared" si="2658"/>
        <v>0</v>
      </c>
    </row>
    <row r="2679" spans="1:69">
      <c r="A2679" s="28">
        <v>1964</v>
      </c>
      <c r="B2679" s="27" t="s">
        <v>126</v>
      </c>
      <c r="C2679" s="24">
        <f t="shared" si="2709"/>
        <v>2670</v>
      </c>
      <c r="D2679" s="7" t="e">
        <f t="shared" ca="1" si="2659"/>
        <v>#N/A</v>
      </c>
      <c r="E2679" s="26">
        <f t="array" aca="1" ref="E2679" ca="1">AVERAGE(IF(INDIRECT(DatCol&amp;"$"&amp;TEXT(C2679,"###")):INDIRECT(DatCol&amp;"$"&amp;TEXT(C2679+57,"###"))&gt;0,INDIRECT(DatCol&amp;"$"&amp;TEXT(C2679,"###")):INDIRECT(DatCol&amp;"$"&amp;TEXT(C2679+57,"###"))))</f>
        <v>150.4375</v>
      </c>
      <c r="F2679" s="26" t="str">
        <f t="shared" si="2678"/>
        <v>I</v>
      </c>
      <c r="G2679" s="8"/>
      <c r="K2679" s="9">
        <f t="shared" si="2711"/>
        <v>0</v>
      </c>
      <c r="M2679" s="11">
        <f t="shared" si="2712"/>
        <v>0</v>
      </c>
      <c r="O2679" s="11">
        <f t="shared" si="2713"/>
        <v>0</v>
      </c>
      <c r="Q2679" s="11">
        <f t="shared" si="2714"/>
        <v>0</v>
      </c>
      <c r="Y2679" s="11">
        <f t="shared" si="2715"/>
        <v>0</v>
      </c>
      <c r="AG2679" s="11">
        <f t="shared" si="2716"/>
        <v>0</v>
      </c>
      <c r="AI2679" s="11">
        <f t="shared" si="2717"/>
        <v>0</v>
      </c>
      <c r="AK2679" s="13">
        <f t="shared" si="2718"/>
        <v>0</v>
      </c>
      <c r="AM2679" s="13">
        <f t="shared" si="2719"/>
        <v>0</v>
      </c>
      <c r="AO2679" s="11">
        <f t="shared" si="2720"/>
        <v>0</v>
      </c>
      <c r="AQ2679" s="11">
        <f t="shared" si="2721"/>
        <v>0</v>
      </c>
      <c r="AS2679" s="11">
        <f t="shared" si="2722"/>
        <v>0</v>
      </c>
      <c r="AU2679" s="11">
        <f t="shared" si="2723"/>
        <v>0</v>
      </c>
      <c r="AW2679" s="11">
        <f t="shared" si="2724"/>
        <v>0</v>
      </c>
      <c r="AY2679" s="11">
        <f t="shared" si="2725"/>
        <v>0</v>
      </c>
      <c r="BA2679" s="11">
        <f t="shared" si="2726"/>
        <v>0</v>
      </c>
      <c r="BC2679" s="11">
        <f t="shared" si="2727"/>
        <v>0</v>
      </c>
      <c r="BE2679" s="11">
        <f t="shared" si="2728"/>
        <v>0</v>
      </c>
      <c r="BG2679" s="11">
        <f t="shared" si="2729"/>
        <v>0</v>
      </c>
      <c r="BN2679" s="8">
        <f t="shared" si="2656"/>
        <v>0</v>
      </c>
      <c r="BO2679" s="8">
        <f t="shared" si="2710"/>
        <v>0</v>
      </c>
      <c r="BP2679" s="8">
        <f t="shared" si="2657"/>
        <v>0</v>
      </c>
      <c r="BQ2679" s="12">
        <f t="shared" si="2658"/>
        <v>0</v>
      </c>
    </row>
    <row r="2680" spans="1:69">
      <c r="A2680" s="28">
        <v>1965</v>
      </c>
      <c r="B2680" s="27" t="s">
        <v>126</v>
      </c>
      <c r="C2680" s="24">
        <f t="shared" si="2709"/>
        <v>2670</v>
      </c>
      <c r="D2680" s="7" t="e">
        <f t="shared" ca="1" si="2659"/>
        <v>#N/A</v>
      </c>
      <c r="E2680" s="26">
        <f t="array" aca="1" ref="E2680" ca="1">AVERAGE(IF(INDIRECT(DatCol&amp;"$"&amp;TEXT(C2680,"###")):INDIRECT(DatCol&amp;"$"&amp;TEXT(C2680+57,"###"))&gt;0,INDIRECT(DatCol&amp;"$"&amp;TEXT(C2680,"###")):INDIRECT(DatCol&amp;"$"&amp;TEXT(C2680+57,"###"))))</f>
        <v>150.4375</v>
      </c>
      <c r="F2680" s="26" t="str">
        <f t="shared" si="2678"/>
        <v>I</v>
      </c>
      <c r="G2680" s="8"/>
      <c r="H2680" s="8">
        <v>72</v>
      </c>
      <c r="I2680" s="8">
        <v>5</v>
      </c>
      <c r="J2680" s="8">
        <v>185</v>
      </c>
      <c r="K2680" s="9">
        <f t="shared" si="2711"/>
        <v>257</v>
      </c>
      <c r="M2680" s="11">
        <f t="shared" si="2712"/>
        <v>0</v>
      </c>
      <c r="O2680" s="11">
        <f t="shared" si="2713"/>
        <v>0</v>
      </c>
      <c r="Q2680" s="11">
        <f t="shared" si="2714"/>
        <v>0</v>
      </c>
      <c r="Y2680" s="11">
        <f t="shared" si="2715"/>
        <v>0</v>
      </c>
      <c r="AG2680" s="11">
        <f t="shared" si="2716"/>
        <v>0</v>
      </c>
      <c r="AI2680" s="11">
        <f t="shared" si="2717"/>
        <v>0</v>
      </c>
      <c r="AK2680" s="13">
        <f t="shared" si="2718"/>
        <v>0</v>
      </c>
      <c r="AM2680" s="13">
        <f t="shared" si="2719"/>
        <v>0</v>
      </c>
      <c r="AO2680" s="11">
        <f t="shared" si="2720"/>
        <v>0</v>
      </c>
      <c r="AQ2680" s="11">
        <f t="shared" si="2721"/>
        <v>0</v>
      </c>
      <c r="AS2680" s="11">
        <f t="shared" si="2722"/>
        <v>0</v>
      </c>
      <c r="AU2680" s="11">
        <f t="shared" si="2723"/>
        <v>0</v>
      </c>
      <c r="AW2680" s="11">
        <f t="shared" si="2724"/>
        <v>0</v>
      </c>
      <c r="AY2680" s="11">
        <f t="shared" si="2725"/>
        <v>0</v>
      </c>
      <c r="BA2680" s="11">
        <f t="shared" si="2726"/>
        <v>0</v>
      </c>
      <c r="BC2680" s="11">
        <f t="shared" si="2727"/>
        <v>0</v>
      </c>
      <c r="BE2680" s="11">
        <f t="shared" si="2728"/>
        <v>0</v>
      </c>
      <c r="BG2680" s="11">
        <f t="shared" si="2729"/>
        <v>0</v>
      </c>
      <c r="BN2680" s="8">
        <f t="shared" si="2656"/>
        <v>0</v>
      </c>
      <c r="BO2680" s="8">
        <f t="shared" si="2710"/>
        <v>0</v>
      </c>
      <c r="BP2680" s="8">
        <f t="shared" si="2657"/>
        <v>0</v>
      </c>
      <c r="BQ2680" s="12">
        <f t="shared" si="2658"/>
        <v>0</v>
      </c>
    </row>
    <row r="2681" spans="1:69">
      <c r="A2681" s="28">
        <v>1966</v>
      </c>
      <c r="B2681" s="27" t="s">
        <v>126</v>
      </c>
      <c r="C2681" s="24">
        <f t="shared" si="2709"/>
        <v>2670</v>
      </c>
      <c r="D2681" s="7" t="e">
        <f t="shared" ca="1" si="2659"/>
        <v>#N/A</v>
      </c>
      <c r="E2681" s="26">
        <f t="array" aca="1" ref="E2681" ca="1">AVERAGE(IF(INDIRECT(DatCol&amp;"$"&amp;TEXT(C2681,"###")):INDIRECT(DatCol&amp;"$"&amp;TEXT(C2681+57,"###"))&gt;0,INDIRECT(DatCol&amp;"$"&amp;TEXT(C2681,"###")):INDIRECT(DatCol&amp;"$"&amp;TEXT(C2681+57,"###"))))</f>
        <v>150.4375</v>
      </c>
      <c r="F2681" s="26" t="str">
        <f t="shared" si="2678"/>
        <v>I</v>
      </c>
      <c r="G2681" s="8"/>
      <c r="H2681" s="8">
        <v>0</v>
      </c>
      <c r="K2681" s="9">
        <f t="shared" si="2711"/>
        <v>0</v>
      </c>
      <c r="M2681" s="11">
        <f t="shared" si="2712"/>
        <v>0</v>
      </c>
      <c r="O2681" s="11">
        <f t="shared" si="2713"/>
        <v>0</v>
      </c>
      <c r="Q2681" s="11">
        <f t="shared" si="2714"/>
        <v>0</v>
      </c>
      <c r="Y2681" s="11">
        <f t="shared" si="2715"/>
        <v>0</v>
      </c>
      <c r="AG2681" s="11">
        <f t="shared" si="2716"/>
        <v>0</v>
      </c>
      <c r="AI2681" s="11">
        <f t="shared" si="2717"/>
        <v>0</v>
      </c>
      <c r="AK2681" s="13">
        <f t="shared" si="2718"/>
        <v>0</v>
      </c>
      <c r="AM2681" s="13">
        <f t="shared" si="2719"/>
        <v>0</v>
      </c>
      <c r="AO2681" s="11">
        <f t="shared" si="2720"/>
        <v>0</v>
      </c>
      <c r="AQ2681" s="11">
        <f t="shared" si="2721"/>
        <v>0</v>
      </c>
      <c r="AS2681" s="11">
        <f t="shared" si="2722"/>
        <v>0</v>
      </c>
      <c r="AU2681" s="11">
        <f t="shared" si="2723"/>
        <v>0</v>
      </c>
      <c r="AW2681" s="11">
        <f t="shared" si="2724"/>
        <v>0</v>
      </c>
      <c r="AY2681" s="11">
        <f t="shared" si="2725"/>
        <v>0</v>
      </c>
      <c r="BA2681" s="11">
        <f t="shared" si="2726"/>
        <v>0</v>
      </c>
      <c r="BC2681" s="11">
        <f t="shared" si="2727"/>
        <v>0</v>
      </c>
      <c r="BE2681" s="11">
        <f t="shared" si="2728"/>
        <v>0</v>
      </c>
      <c r="BG2681" s="11">
        <f t="shared" si="2729"/>
        <v>0</v>
      </c>
      <c r="BN2681" s="8">
        <f t="shared" ref="BN2681:BN2745" si="2730">(L2681+P2681+R2681+T2681+V2681+X2681+Z2681+AB2681+AD2681+AF2681+AJ2681+AN2681+AR2681+AV2681+AZ2681+BD2681)</f>
        <v>0</v>
      </c>
      <c r="BO2681" s="8">
        <f t="shared" si="2710"/>
        <v>0</v>
      </c>
      <c r="BP2681" s="8">
        <f t="shared" si="2657"/>
        <v>0</v>
      </c>
      <c r="BQ2681" s="12">
        <f t="shared" si="2658"/>
        <v>0</v>
      </c>
    </row>
    <row r="2682" spans="1:69">
      <c r="A2682" s="28">
        <v>1967</v>
      </c>
      <c r="B2682" s="27" t="s">
        <v>126</v>
      </c>
      <c r="C2682" s="24">
        <f t="shared" si="2709"/>
        <v>2670</v>
      </c>
      <c r="D2682" s="7" t="e">
        <f t="shared" ca="1" si="2659"/>
        <v>#N/A</v>
      </c>
      <c r="E2682" s="26">
        <f t="array" aca="1" ref="E2682" ca="1">AVERAGE(IF(INDIRECT(DatCol&amp;"$"&amp;TEXT(C2682,"###")):INDIRECT(DatCol&amp;"$"&amp;TEXT(C2682+57,"###"))&gt;0,INDIRECT(DatCol&amp;"$"&amp;TEXT(C2682,"###")):INDIRECT(DatCol&amp;"$"&amp;TEXT(C2682+57,"###"))))</f>
        <v>150.4375</v>
      </c>
      <c r="F2682" s="26" t="str">
        <f t="shared" si="2678"/>
        <v>I</v>
      </c>
      <c r="G2682" s="8"/>
      <c r="H2682" s="8">
        <v>183</v>
      </c>
      <c r="I2682" s="8">
        <v>9</v>
      </c>
      <c r="J2682" s="8">
        <v>27</v>
      </c>
      <c r="K2682" s="9">
        <f t="shared" si="2711"/>
        <v>210</v>
      </c>
      <c r="L2682" s="12">
        <v>206</v>
      </c>
      <c r="M2682" s="11">
        <f t="shared" si="2712"/>
        <v>10300</v>
      </c>
      <c r="N2682" s="12">
        <v>136</v>
      </c>
      <c r="O2682" s="11">
        <f t="shared" si="2713"/>
        <v>6800</v>
      </c>
      <c r="Q2682" s="11">
        <f t="shared" si="2714"/>
        <v>0</v>
      </c>
      <c r="Y2682" s="11">
        <f t="shared" si="2715"/>
        <v>0</v>
      </c>
      <c r="AF2682" s="12">
        <v>236</v>
      </c>
      <c r="AG2682" s="11">
        <f t="shared" si="2716"/>
        <v>15340</v>
      </c>
      <c r="AH2682" s="12">
        <v>76</v>
      </c>
      <c r="AI2682" s="11">
        <f t="shared" si="2717"/>
        <v>4940</v>
      </c>
      <c r="AK2682" s="13">
        <f t="shared" si="2718"/>
        <v>0</v>
      </c>
      <c r="AM2682" s="13">
        <f t="shared" si="2719"/>
        <v>0</v>
      </c>
      <c r="AO2682" s="11">
        <f t="shared" si="2720"/>
        <v>0</v>
      </c>
      <c r="AQ2682" s="11">
        <f t="shared" si="2721"/>
        <v>0</v>
      </c>
      <c r="AS2682" s="11">
        <f t="shared" si="2722"/>
        <v>0</v>
      </c>
      <c r="AU2682" s="11">
        <f t="shared" si="2723"/>
        <v>0</v>
      </c>
      <c r="AW2682" s="11">
        <f t="shared" si="2724"/>
        <v>0</v>
      </c>
      <c r="AY2682" s="11">
        <f t="shared" si="2725"/>
        <v>0</v>
      </c>
      <c r="BA2682" s="11">
        <f t="shared" si="2726"/>
        <v>0</v>
      </c>
      <c r="BC2682" s="11">
        <f t="shared" si="2727"/>
        <v>0</v>
      </c>
      <c r="BE2682" s="11">
        <f t="shared" si="2728"/>
        <v>0</v>
      </c>
      <c r="BG2682" s="11">
        <f t="shared" si="2729"/>
        <v>0</v>
      </c>
      <c r="BN2682" s="8">
        <f t="shared" si="2730"/>
        <v>442</v>
      </c>
      <c r="BO2682" s="8">
        <f t="shared" si="2710"/>
        <v>25640</v>
      </c>
      <c r="BP2682" s="8">
        <f t="shared" ref="BP2682:BP2746" si="2731">(N2682+X2682+Z2682+AB2682+AD2682+AH2682+AL2682+AP2682+AT2682+AX2682+BB2682+BF2682)</f>
        <v>212</v>
      </c>
      <c r="BQ2682" s="12">
        <f t="shared" ref="BQ2682:BQ2746" si="2732">(O2682+Y2682+AA2682+AC2682+AE2682+AI2682+AM2682+AQ2682+AU2682+AY2682+BC2682+BG2682)</f>
        <v>11740</v>
      </c>
    </row>
    <row r="2683" spans="1:69">
      <c r="A2683" s="28">
        <v>1968</v>
      </c>
      <c r="B2683" s="27" t="s">
        <v>126</v>
      </c>
      <c r="C2683" s="24">
        <f t="shared" si="2709"/>
        <v>2670</v>
      </c>
      <c r="D2683" s="7" t="e">
        <f t="shared" ca="1" si="2659"/>
        <v>#N/A</v>
      </c>
      <c r="E2683" s="26">
        <f t="array" aca="1" ref="E2683" ca="1">AVERAGE(IF(INDIRECT(DatCol&amp;"$"&amp;TEXT(C2683,"###")):INDIRECT(DatCol&amp;"$"&amp;TEXT(C2683+57,"###"))&gt;0,INDIRECT(DatCol&amp;"$"&amp;TEXT(C2683,"###")):INDIRECT(DatCol&amp;"$"&amp;TEXT(C2683+57,"###"))))</f>
        <v>150.4375</v>
      </c>
      <c r="F2683" s="26" t="str">
        <f t="shared" si="2678"/>
        <v>I</v>
      </c>
      <c r="G2683" s="8"/>
      <c r="H2683" s="8">
        <v>211</v>
      </c>
      <c r="I2683" s="8">
        <v>7</v>
      </c>
      <c r="J2683" s="8">
        <v>38</v>
      </c>
      <c r="K2683" s="9">
        <f t="shared" si="2711"/>
        <v>249</v>
      </c>
      <c r="L2683" s="12">
        <v>224</v>
      </c>
      <c r="M2683" s="11">
        <f t="shared" si="2712"/>
        <v>11200</v>
      </c>
      <c r="N2683" s="12">
        <v>97</v>
      </c>
      <c r="O2683" s="11">
        <f t="shared" si="2713"/>
        <v>4850</v>
      </c>
      <c r="Q2683" s="11">
        <f t="shared" si="2714"/>
        <v>0</v>
      </c>
      <c r="Y2683" s="11">
        <f t="shared" si="2715"/>
        <v>0</v>
      </c>
      <c r="AF2683" s="12">
        <v>204</v>
      </c>
      <c r="AG2683" s="11">
        <f t="shared" si="2716"/>
        <v>13260</v>
      </c>
      <c r="AH2683" s="12">
        <v>65</v>
      </c>
      <c r="AI2683" s="11">
        <f t="shared" si="2717"/>
        <v>4225</v>
      </c>
      <c r="AK2683" s="13">
        <f t="shared" si="2718"/>
        <v>0</v>
      </c>
      <c r="AM2683" s="13">
        <f t="shared" si="2719"/>
        <v>0</v>
      </c>
      <c r="AO2683" s="11">
        <f t="shared" si="2720"/>
        <v>0</v>
      </c>
      <c r="AQ2683" s="11">
        <f t="shared" si="2721"/>
        <v>0</v>
      </c>
      <c r="AS2683" s="11">
        <f t="shared" si="2722"/>
        <v>0</v>
      </c>
      <c r="AU2683" s="11">
        <f t="shared" si="2723"/>
        <v>0</v>
      </c>
      <c r="AW2683" s="11">
        <f t="shared" si="2724"/>
        <v>0</v>
      </c>
      <c r="AY2683" s="11">
        <f t="shared" si="2725"/>
        <v>0</v>
      </c>
      <c r="BA2683" s="11">
        <f t="shared" si="2726"/>
        <v>0</v>
      </c>
      <c r="BC2683" s="11">
        <f t="shared" si="2727"/>
        <v>0</v>
      </c>
      <c r="BE2683" s="11">
        <f t="shared" si="2728"/>
        <v>0</v>
      </c>
      <c r="BG2683" s="11">
        <f t="shared" si="2729"/>
        <v>0</v>
      </c>
      <c r="BN2683" s="8">
        <f t="shared" si="2730"/>
        <v>428</v>
      </c>
      <c r="BO2683" s="8">
        <f t="shared" si="2710"/>
        <v>24460</v>
      </c>
      <c r="BP2683" s="8">
        <f t="shared" si="2731"/>
        <v>162</v>
      </c>
      <c r="BQ2683" s="12">
        <f t="shared" si="2732"/>
        <v>9075</v>
      </c>
    </row>
    <row r="2684" spans="1:69">
      <c r="A2684" s="28">
        <v>1969</v>
      </c>
      <c r="B2684" s="27" t="s">
        <v>126</v>
      </c>
      <c r="C2684" s="24">
        <f t="shared" si="2709"/>
        <v>2670</v>
      </c>
      <c r="D2684" s="7" t="e">
        <f t="shared" ca="1" si="2659"/>
        <v>#N/A</v>
      </c>
      <c r="E2684" s="26">
        <f t="array" aca="1" ref="E2684" ca="1">AVERAGE(IF(INDIRECT(DatCol&amp;"$"&amp;TEXT(C2684,"###")):INDIRECT(DatCol&amp;"$"&amp;TEXT(C2684+57,"###"))&gt;0,INDIRECT(DatCol&amp;"$"&amp;TEXT(C2684,"###")):INDIRECT(DatCol&amp;"$"&amp;TEXT(C2684+57,"###"))))</f>
        <v>150.4375</v>
      </c>
      <c r="F2684" s="26" t="str">
        <f t="shared" si="2678"/>
        <v>I</v>
      </c>
      <c r="G2684" s="8"/>
      <c r="H2684" s="8">
        <v>127</v>
      </c>
      <c r="I2684" s="8">
        <v>4</v>
      </c>
      <c r="J2684" s="8">
        <v>29</v>
      </c>
      <c r="K2684" s="9">
        <f t="shared" si="2711"/>
        <v>156</v>
      </c>
      <c r="L2684" s="12">
        <v>256</v>
      </c>
      <c r="M2684" s="11">
        <f t="shared" si="2712"/>
        <v>12800</v>
      </c>
      <c r="N2684" s="12">
        <v>90</v>
      </c>
      <c r="O2684" s="11">
        <f t="shared" si="2713"/>
        <v>4500</v>
      </c>
      <c r="Q2684" s="11">
        <f t="shared" si="2714"/>
        <v>0</v>
      </c>
      <c r="Y2684" s="11">
        <f t="shared" si="2715"/>
        <v>0</v>
      </c>
      <c r="AF2684" s="12">
        <v>236</v>
      </c>
      <c r="AG2684" s="11">
        <f t="shared" si="2716"/>
        <v>15340</v>
      </c>
      <c r="AH2684" s="12">
        <v>65</v>
      </c>
      <c r="AI2684" s="11">
        <f t="shared" si="2717"/>
        <v>4225</v>
      </c>
      <c r="AK2684" s="13">
        <f t="shared" si="2718"/>
        <v>0</v>
      </c>
      <c r="AM2684" s="13">
        <f t="shared" si="2719"/>
        <v>0</v>
      </c>
      <c r="AO2684" s="11">
        <f t="shared" si="2720"/>
        <v>0</v>
      </c>
      <c r="AQ2684" s="11">
        <f t="shared" si="2721"/>
        <v>0</v>
      </c>
      <c r="AS2684" s="11">
        <f t="shared" si="2722"/>
        <v>0</v>
      </c>
      <c r="AU2684" s="11">
        <f t="shared" si="2723"/>
        <v>0</v>
      </c>
      <c r="AW2684" s="11">
        <f t="shared" si="2724"/>
        <v>0</v>
      </c>
      <c r="AY2684" s="11">
        <f t="shared" si="2725"/>
        <v>0</v>
      </c>
      <c r="BA2684" s="11">
        <f t="shared" si="2726"/>
        <v>0</v>
      </c>
      <c r="BC2684" s="11">
        <f t="shared" si="2727"/>
        <v>0</v>
      </c>
      <c r="BE2684" s="11">
        <f t="shared" si="2728"/>
        <v>0</v>
      </c>
      <c r="BG2684" s="11">
        <f t="shared" si="2729"/>
        <v>0</v>
      </c>
      <c r="BN2684" s="8">
        <f t="shared" si="2730"/>
        <v>492</v>
      </c>
      <c r="BO2684" s="8">
        <f t="shared" si="2710"/>
        <v>28140</v>
      </c>
      <c r="BP2684" s="8">
        <f t="shared" si="2731"/>
        <v>155</v>
      </c>
      <c r="BQ2684" s="12">
        <f t="shared" si="2732"/>
        <v>8725</v>
      </c>
    </row>
    <row r="2685" spans="1:69">
      <c r="A2685" s="28">
        <v>1970</v>
      </c>
      <c r="B2685" s="27" t="s">
        <v>126</v>
      </c>
      <c r="C2685" s="24">
        <f t="shared" si="2709"/>
        <v>2670</v>
      </c>
      <c r="D2685" s="7" t="e">
        <f t="shared" ca="1" si="2659"/>
        <v>#N/A</v>
      </c>
      <c r="E2685" s="26">
        <f t="array" aca="1" ref="E2685" ca="1">AVERAGE(IF(INDIRECT(DatCol&amp;"$"&amp;TEXT(C2685,"###")):INDIRECT(DatCol&amp;"$"&amp;TEXT(C2685+57,"###"))&gt;0,INDIRECT(DatCol&amp;"$"&amp;TEXT(C2685,"###")):INDIRECT(DatCol&amp;"$"&amp;TEXT(C2685+57,"###"))))</f>
        <v>150.4375</v>
      </c>
      <c r="F2685" s="26" t="str">
        <f t="shared" si="2678"/>
        <v>I</v>
      </c>
      <c r="G2685" s="8"/>
      <c r="H2685" s="8">
        <v>9</v>
      </c>
      <c r="I2685" s="8">
        <v>5</v>
      </c>
      <c r="J2685" s="8">
        <v>158</v>
      </c>
      <c r="K2685" s="9">
        <f t="shared" si="2711"/>
        <v>167</v>
      </c>
      <c r="L2685" s="12">
        <v>75</v>
      </c>
      <c r="M2685" s="11">
        <f t="shared" si="2712"/>
        <v>3750</v>
      </c>
      <c r="N2685" s="12">
        <v>28</v>
      </c>
      <c r="O2685" s="11">
        <f t="shared" si="2713"/>
        <v>1400</v>
      </c>
      <c r="Q2685" s="11">
        <f t="shared" si="2714"/>
        <v>0</v>
      </c>
      <c r="Y2685" s="11">
        <f t="shared" si="2715"/>
        <v>0</v>
      </c>
      <c r="AG2685" s="11">
        <f t="shared" si="2716"/>
        <v>0</v>
      </c>
      <c r="AH2685" s="12">
        <v>68</v>
      </c>
      <c r="AI2685" s="11">
        <f t="shared" si="2717"/>
        <v>4420</v>
      </c>
      <c r="AK2685" s="13">
        <f t="shared" si="2718"/>
        <v>0</v>
      </c>
      <c r="AM2685" s="13">
        <f t="shared" si="2719"/>
        <v>0</v>
      </c>
      <c r="AO2685" s="11">
        <f t="shared" si="2720"/>
        <v>0</v>
      </c>
      <c r="AQ2685" s="11">
        <f t="shared" si="2721"/>
        <v>0</v>
      </c>
      <c r="AS2685" s="11">
        <f t="shared" si="2722"/>
        <v>0</v>
      </c>
      <c r="AU2685" s="11">
        <f t="shared" si="2723"/>
        <v>0</v>
      </c>
      <c r="AW2685" s="11">
        <f t="shared" si="2724"/>
        <v>0</v>
      </c>
      <c r="AY2685" s="11">
        <f t="shared" si="2725"/>
        <v>0</v>
      </c>
      <c r="BA2685" s="11">
        <f t="shared" si="2726"/>
        <v>0</v>
      </c>
      <c r="BC2685" s="11">
        <f t="shared" si="2727"/>
        <v>0</v>
      </c>
      <c r="BE2685" s="11">
        <f t="shared" si="2728"/>
        <v>0</v>
      </c>
      <c r="BG2685" s="11">
        <f t="shared" si="2729"/>
        <v>0</v>
      </c>
      <c r="BN2685" s="8">
        <f t="shared" si="2730"/>
        <v>75</v>
      </c>
      <c r="BO2685" s="8">
        <f t="shared" si="2710"/>
        <v>3750</v>
      </c>
      <c r="BP2685" s="8">
        <f t="shared" si="2731"/>
        <v>96</v>
      </c>
      <c r="BQ2685" s="12">
        <f t="shared" si="2732"/>
        <v>5820</v>
      </c>
    </row>
    <row r="2686" spans="1:69">
      <c r="A2686" s="28">
        <v>1971</v>
      </c>
      <c r="B2686" s="27" t="s">
        <v>126</v>
      </c>
      <c r="C2686" s="24">
        <f t="shared" si="2709"/>
        <v>2670</v>
      </c>
      <c r="D2686" s="7" t="e">
        <f t="shared" ca="1" si="2659"/>
        <v>#N/A</v>
      </c>
      <c r="E2686" s="26">
        <f t="array" aca="1" ref="E2686" ca="1">AVERAGE(IF(INDIRECT(DatCol&amp;"$"&amp;TEXT(C2686,"###")):INDIRECT(DatCol&amp;"$"&amp;TEXT(C2686+57,"###"))&gt;0,INDIRECT(DatCol&amp;"$"&amp;TEXT(C2686,"###")):INDIRECT(DatCol&amp;"$"&amp;TEXT(C2686+57,"###"))))</f>
        <v>150.4375</v>
      </c>
      <c r="F2686" s="26" t="str">
        <f t="shared" si="2678"/>
        <v>I</v>
      </c>
      <c r="G2686" s="8"/>
      <c r="H2686" s="8">
        <v>42</v>
      </c>
      <c r="I2686" s="8">
        <v>10</v>
      </c>
      <c r="J2686" s="8">
        <v>125</v>
      </c>
      <c r="K2686" s="9">
        <f t="shared" si="2711"/>
        <v>167</v>
      </c>
      <c r="L2686" s="12">
        <v>325</v>
      </c>
      <c r="M2686" s="11">
        <f t="shared" si="2712"/>
        <v>16250</v>
      </c>
      <c r="N2686" s="12">
        <v>203</v>
      </c>
      <c r="O2686" s="11">
        <f t="shared" si="2713"/>
        <v>10150</v>
      </c>
      <c r="Q2686" s="11">
        <f t="shared" si="2714"/>
        <v>0</v>
      </c>
      <c r="Y2686" s="11">
        <f t="shared" si="2715"/>
        <v>0</v>
      </c>
      <c r="AF2686" s="12">
        <v>56</v>
      </c>
      <c r="AG2686" s="11">
        <f t="shared" si="2716"/>
        <v>3640</v>
      </c>
      <c r="AH2686" s="12">
        <v>275</v>
      </c>
      <c r="AI2686" s="11">
        <f t="shared" si="2717"/>
        <v>17875</v>
      </c>
      <c r="AK2686" s="13">
        <f t="shared" si="2718"/>
        <v>0</v>
      </c>
      <c r="AM2686" s="13">
        <f t="shared" si="2719"/>
        <v>0</v>
      </c>
      <c r="AO2686" s="11">
        <f t="shared" si="2720"/>
        <v>0</v>
      </c>
      <c r="AQ2686" s="11">
        <f t="shared" si="2721"/>
        <v>0</v>
      </c>
      <c r="AS2686" s="11">
        <f t="shared" si="2722"/>
        <v>0</v>
      </c>
      <c r="AU2686" s="11">
        <f t="shared" si="2723"/>
        <v>0</v>
      </c>
      <c r="AW2686" s="11">
        <f t="shared" si="2724"/>
        <v>0</v>
      </c>
      <c r="AY2686" s="11">
        <f t="shared" si="2725"/>
        <v>0</v>
      </c>
      <c r="BA2686" s="11">
        <f t="shared" si="2726"/>
        <v>0</v>
      </c>
      <c r="BC2686" s="11">
        <f t="shared" si="2727"/>
        <v>0</v>
      </c>
      <c r="BE2686" s="11">
        <f t="shared" si="2728"/>
        <v>0</v>
      </c>
      <c r="BG2686" s="11">
        <f t="shared" si="2729"/>
        <v>0</v>
      </c>
      <c r="BN2686" s="8">
        <f t="shared" si="2730"/>
        <v>381</v>
      </c>
      <c r="BO2686" s="8">
        <f t="shared" si="2710"/>
        <v>19890</v>
      </c>
      <c r="BP2686" s="8">
        <f t="shared" si="2731"/>
        <v>478</v>
      </c>
      <c r="BQ2686" s="12">
        <f t="shared" si="2732"/>
        <v>28025</v>
      </c>
    </row>
    <row r="2687" spans="1:69">
      <c r="A2687" s="28">
        <v>1972</v>
      </c>
      <c r="B2687" s="27" t="s">
        <v>126</v>
      </c>
      <c r="C2687" s="24">
        <f t="shared" si="2709"/>
        <v>2670</v>
      </c>
      <c r="D2687" s="7" t="e">
        <f t="shared" ca="1" si="2659"/>
        <v>#N/A</v>
      </c>
      <c r="E2687" s="26">
        <f t="array" aca="1" ref="E2687" ca="1">AVERAGE(IF(INDIRECT(DatCol&amp;"$"&amp;TEXT(C2687,"###")):INDIRECT(DatCol&amp;"$"&amp;TEXT(C2687+57,"###"))&gt;0,INDIRECT(DatCol&amp;"$"&amp;TEXT(C2687,"###")):INDIRECT(DatCol&amp;"$"&amp;TEXT(C2687+57,"###"))))</f>
        <v>150.4375</v>
      </c>
      <c r="F2687" s="26" t="str">
        <f t="shared" si="2678"/>
        <v>I</v>
      </c>
      <c r="G2687" s="8"/>
      <c r="H2687" s="8">
        <v>163</v>
      </c>
      <c r="I2687" s="8">
        <v>7</v>
      </c>
      <c r="J2687" s="8">
        <v>53</v>
      </c>
      <c r="K2687" s="9">
        <f t="shared" si="2711"/>
        <v>216</v>
      </c>
      <c r="L2687" s="12">
        <v>200</v>
      </c>
      <c r="M2687" s="11">
        <f t="shared" si="2712"/>
        <v>10000</v>
      </c>
      <c r="N2687" s="12">
        <v>145</v>
      </c>
      <c r="O2687" s="11">
        <f t="shared" si="2713"/>
        <v>7250</v>
      </c>
      <c r="Q2687" s="11">
        <f t="shared" si="2714"/>
        <v>0</v>
      </c>
      <c r="Y2687" s="11">
        <f t="shared" si="2715"/>
        <v>0</v>
      </c>
      <c r="AF2687" s="12">
        <v>25</v>
      </c>
      <c r="AG2687" s="11">
        <f t="shared" si="2716"/>
        <v>1625</v>
      </c>
      <c r="AH2687" s="12">
        <v>135</v>
      </c>
      <c r="AI2687" s="11">
        <f t="shared" si="2717"/>
        <v>8775</v>
      </c>
      <c r="AK2687" s="13">
        <f t="shared" si="2718"/>
        <v>0</v>
      </c>
      <c r="AM2687" s="13">
        <f t="shared" si="2719"/>
        <v>0</v>
      </c>
      <c r="AO2687" s="11">
        <f t="shared" si="2720"/>
        <v>0</v>
      </c>
      <c r="AQ2687" s="11">
        <f t="shared" si="2721"/>
        <v>0</v>
      </c>
      <c r="AS2687" s="11">
        <f t="shared" si="2722"/>
        <v>0</v>
      </c>
      <c r="AU2687" s="11">
        <f t="shared" si="2723"/>
        <v>0</v>
      </c>
      <c r="AW2687" s="11">
        <f t="shared" si="2724"/>
        <v>0</v>
      </c>
      <c r="AY2687" s="11">
        <f t="shared" si="2725"/>
        <v>0</v>
      </c>
      <c r="BA2687" s="11">
        <f t="shared" si="2726"/>
        <v>0</v>
      </c>
      <c r="BC2687" s="11">
        <f t="shared" si="2727"/>
        <v>0</v>
      </c>
      <c r="BE2687" s="11">
        <f t="shared" si="2728"/>
        <v>0</v>
      </c>
      <c r="BG2687" s="11">
        <f t="shared" si="2729"/>
        <v>0</v>
      </c>
      <c r="BN2687" s="8">
        <f t="shared" si="2730"/>
        <v>225</v>
      </c>
      <c r="BO2687" s="8">
        <f t="shared" si="2710"/>
        <v>11625</v>
      </c>
      <c r="BP2687" s="8">
        <f t="shared" si="2731"/>
        <v>280</v>
      </c>
      <c r="BQ2687" s="12">
        <f t="shared" si="2732"/>
        <v>16025</v>
      </c>
    </row>
    <row r="2688" spans="1:69">
      <c r="A2688" s="28">
        <v>1973</v>
      </c>
      <c r="B2688" s="27" t="s">
        <v>126</v>
      </c>
      <c r="C2688" s="24">
        <f t="shared" si="2709"/>
        <v>2670</v>
      </c>
      <c r="D2688" s="7" t="e">
        <f t="shared" ca="1" si="2659"/>
        <v>#N/A</v>
      </c>
      <c r="E2688" s="26">
        <f t="array" aca="1" ref="E2688" ca="1">AVERAGE(IF(INDIRECT(DatCol&amp;"$"&amp;TEXT(C2688,"###")):INDIRECT(DatCol&amp;"$"&amp;TEXT(C2688+57,"###"))&gt;0,INDIRECT(DatCol&amp;"$"&amp;TEXT(C2688,"###")):INDIRECT(DatCol&amp;"$"&amp;TEXT(C2688+57,"###"))))</f>
        <v>150.4375</v>
      </c>
      <c r="F2688" s="26" t="str">
        <f t="shared" si="2678"/>
        <v>I</v>
      </c>
      <c r="G2688" s="8"/>
      <c r="H2688" s="8">
        <v>163</v>
      </c>
      <c r="I2688" s="8">
        <v>7</v>
      </c>
      <c r="J2688" s="8">
        <v>53</v>
      </c>
      <c r="K2688" s="9">
        <f t="shared" si="2711"/>
        <v>216</v>
      </c>
      <c r="L2688" s="12">
        <v>200</v>
      </c>
      <c r="M2688" s="11">
        <f t="shared" si="2712"/>
        <v>10000</v>
      </c>
      <c r="N2688" s="12">
        <v>145</v>
      </c>
      <c r="O2688" s="11">
        <f t="shared" si="2713"/>
        <v>7250</v>
      </c>
      <c r="Q2688" s="11">
        <f t="shared" si="2714"/>
        <v>0</v>
      </c>
      <c r="Y2688" s="11">
        <f t="shared" si="2715"/>
        <v>0</v>
      </c>
      <c r="AF2688" s="12">
        <v>25</v>
      </c>
      <c r="AG2688" s="11">
        <f t="shared" si="2716"/>
        <v>1625</v>
      </c>
      <c r="AH2688" s="12">
        <v>135</v>
      </c>
      <c r="AI2688" s="11">
        <f t="shared" si="2717"/>
        <v>8775</v>
      </c>
      <c r="AK2688" s="13">
        <f t="shared" si="2718"/>
        <v>0</v>
      </c>
      <c r="AM2688" s="13">
        <f t="shared" si="2719"/>
        <v>0</v>
      </c>
      <c r="AO2688" s="11">
        <f t="shared" si="2720"/>
        <v>0</v>
      </c>
      <c r="AQ2688" s="11">
        <f t="shared" si="2721"/>
        <v>0</v>
      </c>
      <c r="AS2688" s="11">
        <f t="shared" si="2722"/>
        <v>0</v>
      </c>
      <c r="AU2688" s="11">
        <f t="shared" si="2723"/>
        <v>0</v>
      </c>
      <c r="AW2688" s="11">
        <f t="shared" si="2724"/>
        <v>0</v>
      </c>
      <c r="AY2688" s="11">
        <f t="shared" si="2725"/>
        <v>0</v>
      </c>
      <c r="BA2688" s="11">
        <f t="shared" si="2726"/>
        <v>0</v>
      </c>
      <c r="BC2688" s="11">
        <f t="shared" si="2727"/>
        <v>0</v>
      </c>
      <c r="BE2688" s="11">
        <f t="shared" si="2728"/>
        <v>0</v>
      </c>
      <c r="BG2688" s="11">
        <f t="shared" si="2729"/>
        <v>0</v>
      </c>
      <c r="BN2688" s="8">
        <f t="shared" si="2730"/>
        <v>225</v>
      </c>
      <c r="BO2688" s="8">
        <f t="shared" si="2710"/>
        <v>11625</v>
      </c>
      <c r="BP2688" s="8">
        <f t="shared" si="2731"/>
        <v>280</v>
      </c>
      <c r="BQ2688" s="12">
        <f t="shared" si="2732"/>
        <v>16025</v>
      </c>
    </row>
    <row r="2689" spans="1:69">
      <c r="A2689" s="28">
        <v>1974</v>
      </c>
      <c r="B2689" s="27" t="s">
        <v>126</v>
      </c>
      <c r="C2689" s="24">
        <f t="shared" si="2709"/>
        <v>2670</v>
      </c>
      <c r="D2689" s="7" t="e">
        <f t="shared" ca="1" si="2659"/>
        <v>#N/A</v>
      </c>
      <c r="E2689" s="26">
        <f t="array" aca="1" ref="E2689" ca="1">AVERAGE(IF(INDIRECT(DatCol&amp;"$"&amp;TEXT(C2689,"###")):INDIRECT(DatCol&amp;"$"&amp;TEXT(C2689+57,"###"))&gt;0,INDIRECT(DatCol&amp;"$"&amp;TEXT(C2689,"###")):INDIRECT(DatCol&amp;"$"&amp;TEXT(C2689+57,"###"))))</f>
        <v>150.4375</v>
      </c>
      <c r="F2689" s="26" t="str">
        <f t="shared" si="2678"/>
        <v>I</v>
      </c>
      <c r="G2689" s="8"/>
      <c r="H2689" s="8">
        <v>163</v>
      </c>
      <c r="I2689" s="8">
        <v>7</v>
      </c>
      <c r="J2689" s="8">
        <v>53</v>
      </c>
      <c r="K2689" s="9">
        <f t="shared" si="2711"/>
        <v>216</v>
      </c>
      <c r="L2689" s="12">
        <v>200</v>
      </c>
      <c r="M2689" s="11">
        <f t="shared" si="2712"/>
        <v>10000</v>
      </c>
      <c r="N2689" s="12">
        <v>145</v>
      </c>
      <c r="O2689" s="11">
        <f t="shared" si="2713"/>
        <v>7250</v>
      </c>
      <c r="Q2689" s="11">
        <f t="shared" si="2714"/>
        <v>0</v>
      </c>
      <c r="Y2689" s="11">
        <f t="shared" si="2715"/>
        <v>0</v>
      </c>
      <c r="AF2689" s="12">
        <v>25</v>
      </c>
      <c r="AG2689" s="11">
        <f t="shared" si="2716"/>
        <v>1625</v>
      </c>
      <c r="AH2689" s="12">
        <v>135</v>
      </c>
      <c r="AI2689" s="11">
        <f t="shared" si="2717"/>
        <v>8775</v>
      </c>
      <c r="AK2689" s="13">
        <f t="shared" si="2718"/>
        <v>0</v>
      </c>
      <c r="AM2689" s="13">
        <f t="shared" si="2719"/>
        <v>0</v>
      </c>
      <c r="AO2689" s="11">
        <f t="shared" si="2720"/>
        <v>0</v>
      </c>
      <c r="AQ2689" s="11">
        <f t="shared" si="2721"/>
        <v>0</v>
      </c>
      <c r="AS2689" s="11">
        <f t="shared" si="2722"/>
        <v>0</v>
      </c>
      <c r="AU2689" s="11">
        <f t="shared" si="2723"/>
        <v>0</v>
      </c>
      <c r="AW2689" s="11">
        <f t="shared" si="2724"/>
        <v>0</v>
      </c>
      <c r="AY2689" s="11">
        <f t="shared" si="2725"/>
        <v>0</v>
      </c>
      <c r="BA2689" s="11">
        <f t="shared" si="2726"/>
        <v>0</v>
      </c>
      <c r="BC2689" s="11">
        <f t="shared" si="2727"/>
        <v>0</v>
      </c>
      <c r="BE2689" s="11">
        <f t="shared" si="2728"/>
        <v>0</v>
      </c>
      <c r="BG2689" s="11">
        <f t="shared" si="2729"/>
        <v>0</v>
      </c>
      <c r="BN2689" s="8">
        <f t="shared" si="2730"/>
        <v>225</v>
      </c>
      <c r="BO2689" s="8">
        <f t="shared" si="2710"/>
        <v>11625</v>
      </c>
      <c r="BP2689" s="8">
        <f t="shared" si="2731"/>
        <v>280</v>
      </c>
      <c r="BQ2689" s="12">
        <f t="shared" si="2732"/>
        <v>16025</v>
      </c>
    </row>
    <row r="2690" spans="1:69">
      <c r="A2690" s="28">
        <v>1975</v>
      </c>
      <c r="B2690" s="27" t="s">
        <v>126</v>
      </c>
      <c r="C2690" s="24">
        <f t="shared" si="2709"/>
        <v>2670</v>
      </c>
      <c r="D2690" s="7" t="e">
        <f t="shared" ref="D2690:D2753" ca="1" si="2733">IF(AND((INDIRECT(DatCol&amp;TEXT(ROW(),"###"))&gt;0),((F2690=RegionSelect)+(RegionSelect="A"))),INDIRECT(DatCol&amp;TEXT(ROW(),"###"))/E2690,NA())</f>
        <v>#N/A</v>
      </c>
      <c r="E2690" s="26">
        <f t="array" aca="1" ref="E2690" ca="1">AVERAGE(IF(INDIRECT(DatCol&amp;"$"&amp;TEXT(C2690,"###")):INDIRECT(DatCol&amp;"$"&amp;TEXT(C2690+57,"###"))&gt;0,INDIRECT(DatCol&amp;"$"&amp;TEXT(C2690,"###")):INDIRECT(DatCol&amp;"$"&amp;TEXT(C2690+57,"###"))))</f>
        <v>150.4375</v>
      </c>
      <c r="F2690" s="26" t="str">
        <f t="shared" si="2678"/>
        <v>I</v>
      </c>
      <c r="G2690" s="8"/>
      <c r="H2690" s="8">
        <v>75</v>
      </c>
      <c r="I2690" s="8">
        <v>8</v>
      </c>
      <c r="J2690" s="8">
        <v>23</v>
      </c>
      <c r="K2690" s="9">
        <f t="shared" si="2711"/>
        <v>98</v>
      </c>
      <c r="L2690" s="12">
        <v>365</v>
      </c>
      <c r="M2690" s="11">
        <f t="shared" si="2712"/>
        <v>18250</v>
      </c>
      <c r="N2690" s="12">
        <v>98</v>
      </c>
      <c r="O2690" s="11">
        <f t="shared" si="2713"/>
        <v>4900</v>
      </c>
      <c r="Q2690" s="11">
        <f t="shared" si="2714"/>
        <v>0</v>
      </c>
      <c r="Y2690" s="11">
        <f t="shared" si="2715"/>
        <v>0</v>
      </c>
      <c r="AF2690" s="12">
        <v>35</v>
      </c>
      <c r="AG2690" s="11">
        <f t="shared" si="2716"/>
        <v>2275</v>
      </c>
      <c r="AH2690" s="12">
        <v>152</v>
      </c>
      <c r="AI2690" s="11">
        <f t="shared" si="2717"/>
        <v>9880</v>
      </c>
      <c r="AK2690" s="13">
        <f t="shared" si="2718"/>
        <v>0</v>
      </c>
      <c r="AM2690" s="13">
        <f t="shared" si="2719"/>
        <v>0</v>
      </c>
      <c r="AO2690" s="11">
        <f t="shared" si="2720"/>
        <v>0</v>
      </c>
      <c r="AQ2690" s="11">
        <f t="shared" si="2721"/>
        <v>0</v>
      </c>
      <c r="AS2690" s="11">
        <f t="shared" si="2722"/>
        <v>0</v>
      </c>
      <c r="AU2690" s="11">
        <f t="shared" si="2723"/>
        <v>0</v>
      </c>
      <c r="AW2690" s="11">
        <f t="shared" si="2724"/>
        <v>0</v>
      </c>
      <c r="AY2690" s="11">
        <f t="shared" si="2725"/>
        <v>0</v>
      </c>
      <c r="BA2690" s="11">
        <f t="shared" si="2726"/>
        <v>0</v>
      </c>
      <c r="BC2690" s="11">
        <f t="shared" si="2727"/>
        <v>0</v>
      </c>
      <c r="BE2690" s="11">
        <f t="shared" si="2728"/>
        <v>0</v>
      </c>
      <c r="BG2690" s="11">
        <f t="shared" si="2729"/>
        <v>0</v>
      </c>
      <c r="BN2690" s="8">
        <f t="shared" si="2730"/>
        <v>400</v>
      </c>
      <c r="BO2690" s="8">
        <f t="shared" si="2710"/>
        <v>20525</v>
      </c>
      <c r="BP2690" s="8">
        <f t="shared" si="2731"/>
        <v>250</v>
      </c>
      <c r="BQ2690" s="12">
        <f t="shared" si="2732"/>
        <v>14780</v>
      </c>
    </row>
    <row r="2691" spans="1:69">
      <c r="A2691" s="28">
        <v>1976</v>
      </c>
      <c r="B2691" s="27" t="s">
        <v>126</v>
      </c>
      <c r="C2691" s="24">
        <f t="shared" si="2709"/>
        <v>2670</v>
      </c>
      <c r="D2691" s="7" t="e">
        <f t="shared" ca="1" si="2733"/>
        <v>#N/A</v>
      </c>
      <c r="E2691" s="26">
        <f t="array" aca="1" ref="E2691" ca="1">AVERAGE(IF(INDIRECT(DatCol&amp;"$"&amp;TEXT(C2691,"###")):INDIRECT(DatCol&amp;"$"&amp;TEXT(C2691+57,"###"))&gt;0,INDIRECT(DatCol&amp;"$"&amp;TEXT(C2691,"###")):INDIRECT(DatCol&amp;"$"&amp;TEXT(C2691+57,"###"))))</f>
        <v>150.4375</v>
      </c>
      <c r="F2691" s="26" t="str">
        <f t="shared" si="2678"/>
        <v>I</v>
      </c>
      <c r="G2691" s="8"/>
      <c r="H2691" s="8">
        <v>16</v>
      </c>
      <c r="I2691" s="8">
        <v>10</v>
      </c>
      <c r="J2691" s="8">
        <v>47</v>
      </c>
      <c r="K2691" s="9">
        <f t="shared" si="2711"/>
        <v>63</v>
      </c>
      <c r="L2691" s="12">
        <v>325</v>
      </c>
      <c r="M2691" s="11">
        <f t="shared" si="2712"/>
        <v>16250</v>
      </c>
      <c r="N2691" s="12">
        <v>205</v>
      </c>
      <c r="O2691" s="11">
        <f t="shared" si="2713"/>
        <v>10250</v>
      </c>
      <c r="Q2691" s="11">
        <f t="shared" si="2714"/>
        <v>0</v>
      </c>
      <c r="Y2691" s="11">
        <f t="shared" si="2715"/>
        <v>0</v>
      </c>
      <c r="AF2691" s="12">
        <v>55</v>
      </c>
      <c r="AG2691" s="11">
        <f t="shared" si="2716"/>
        <v>3575</v>
      </c>
      <c r="AH2691" s="12">
        <v>136</v>
      </c>
      <c r="AI2691" s="11">
        <f t="shared" si="2717"/>
        <v>8840</v>
      </c>
      <c r="AK2691" s="13">
        <f t="shared" si="2718"/>
        <v>0</v>
      </c>
      <c r="AM2691" s="13">
        <f t="shared" si="2719"/>
        <v>0</v>
      </c>
      <c r="AO2691" s="11">
        <f t="shared" si="2720"/>
        <v>0</v>
      </c>
      <c r="AQ2691" s="11">
        <f t="shared" si="2721"/>
        <v>0</v>
      </c>
      <c r="AS2691" s="11">
        <f t="shared" si="2722"/>
        <v>0</v>
      </c>
      <c r="AU2691" s="11">
        <f t="shared" si="2723"/>
        <v>0</v>
      </c>
      <c r="AW2691" s="11">
        <f t="shared" si="2724"/>
        <v>0</v>
      </c>
      <c r="AY2691" s="11">
        <f t="shared" si="2725"/>
        <v>0</v>
      </c>
      <c r="BA2691" s="11">
        <f t="shared" si="2726"/>
        <v>0</v>
      </c>
      <c r="BC2691" s="11">
        <f t="shared" si="2727"/>
        <v>0</v>
      </c>
      <c r="BE2691" s="11">
        <f t="shared" si="2728"/>
        <v>0</v>
      </c>
      <c r="BG2691" s="11">
        <f t="shared" si="2729"/>
        <v>0</v>
      </c>
      <c r="BN2691" s="8">
        <f t="shared" si="2730"/>
        <v>380</v>
      </c>
      <c r="BO2691" s="8">
        <f t="shared" si="2710"/>
        <v>19825</v>
      </c>
      <c r="BP2691" s="8">
        <f t="shared" si="2731"/>
        <v>341</v>
      </c>
      <c r="BQ2691" s="12">
        <f t="shared" si="2732"/>
        <v>19090</v>
      </c>
    </row>
    <row r="2692" spans="1:69">
      <c r="A2692" s="28">
        <v>1977</v>
      </c>
      <c r="B2692" s="27" t="s">
        <v>126</v>
      </c>
      <c r="C2692" s="24">
        <f t="shared" si="2709"/>
        <v>2670</v>
      </c>
      <c r="D2692" s="7" t="e">
        <f t="shared" ca="1" si="2733"/>
        <v>#N/A</v>
      </c>
      <c r="E2692" s="26">
        <f t="array" aca="1" ref="E2692" ca="1">AVERAGE(IF(INDIRECT(DatCol&amp;"$"&amp;TEXT(C2692,"###")):INDIRECT(DatCol&amp;"$"&amp;TEXT(C2692+57,"###"))&gt;0,INDIRECT(DatCol&amp;"$"&amp;TEXT(C2692,"###")):INDIRECT(DatCol&amp;"$"&amp;TEXT(C2692+57,"###"))))</f>
        <v>150.4375</v>
      </c>
      <c r="F2692" s="26" t="str">
        <f t="shared" si="2678"/>
        <v>I</v>
      </c>
      <c r="G2692" s="8"/>
      <c r="H2692" s="8">
        <v>0</v>
      </c>
      <c r="K2692" s="9">
        <f t="shared" si="2711"/>
        <v>0</v>
      </c>
      <c r="M2692" s="11">
        <f t="shared" si="2712"/>
        <v>0</v>
      </c>
      <c r="O2692" s="11">
        <f t="shared" si="2713"/>
        <v>0</v>
      </c>
      <c r="Q2692" s="11">
        <f t="shared" si="2714"/>
        <v>0</v>
      </c>
      <c r="Y2692" s="11">
        <f t="shared" si="2715"/>
        <v>0</v>
      </c>
      <c r="AG2692" s="11">
        <f t="shared" si="2716"/>
        <v>0</v>
      </c>
      <c r="AI2692" s="11">
        <f t="shared" si="2717"/>
        <v>0</v>
      </c>
      <c r="AK2692" s="13">
        <f t="shared" si="2718"/>
        <v>0</v>
      </c>
      <c r="AM2692" s="13">
        <f t="shared" si="2719"/>
        <v>0</v>
      </c>
      <c r="AO2692" s="11">
        <f t="shared" si="2720"/>
        <v>0</v>
      </c>
      <c r="AQ2692" s="11">
        <f t="shared" si="2721"/>
        <v>0</v>
      </c>
      <c r="AS2692" s="11">
        <f t="shared" si="2722"/>
        <v>0</v>
      </c>
      <c r="AU2692" s="11">
        <f t="shared" si="2723"/>
        <v>0</v>
      </c>
      <c r="AW2692" s="11">
        <f t="shared" si="2724"/>
        <v>0</v>
      </c>
      <c r="AY2692" s="11">
        <f t="shared" si="2725"/>
        <v>0</v>
      </c>
      <c r="BA2692" s="11">
        <f t="shared" si="2726"/>
        <v>0</v>
      </c>
      <c r="BC2692" s="11">
        <f t="shared" si="2727"/>
        <v>0</v>
      </c>
      <c r="BE2692" s="11">
        <f t="shared" si="2728"/>
        <v>0</v>
      </c>
      <c r="BG2692" s="11">
        <f t="shared" si="2729"/>
        <v>0</v>
      </c>
      <c r="BN2692" s="8">
        <f t="shared" si="2730"/>
        <v>0</v>
      </c>
      <c r="BO2692" s="8">
        <f t="shared" si="2710"/>
        <v>0</v>
      </c>
      <c r="BP2692" s="8">
        <f t="shared" si="2731"/>
        <v>0</v>
      </c>
      <c r="BQ2692" s="12">
        <f t="shared" si="2732"/>
        <v>0</v>
      </c>
    </row>
    <row r="2693" spans="1:69">
      <c r="A2693" s="28">
        <v>1978</v>
      </c>
      <c r="B2693" s="27" t="s">
        <v>126</v>
      </c>
      <c r="C2693" s="24">
        <f t="shared" si="2709"/>
        <v>2670</v>
      </c>
      <c r="D2693" s="7" t="e">
        <f t="shared" ca="1" si="2733"/>
        <v>#N/A</v>
      </c>
      <c r="E2693" s="26">
        <f t="array" aca="1" ref="E2693" ca="1">AVERAGE(IF(INDIRECT(DatCol&amp;"$"&amp;TEXT(C2693,"###")):INDIRECT(DatCol&amp;"$"&amp;TEXT(C2693+57,"###"))&gt;0,INDIRECT(DatCol&amp;"$"&amp;TEXT(C2693,"###")):INDIRECT(DatCol&amp;"$"&amp;TEXT(C2693+57,"###"))))</f>
        <v>150.4375</v>
      </c>
      <c r="F2693" s="26" t="str">
        <f t="shared" si="2678"/>
        <v>I</v>
      </c>
      <c r="G2693" s="8"/>
      <c r="H2693" s="8">
        <v>0</v>
      </c>
      <c r="I2693" s="8">
        <v>12</v>
      </c>
      <c r="J2693" s="8">
        <v>104</v>
      </c>
      <c r="K2693" s="9">
        <f t="shared" si="2711"/>
        <v>104</v>
      </c>
      <c r="L2693" s="12">
        <v>256</v>
      </c>
      <c r="M2693" s="11">
        <f t="shared" ref="M2693:M2708" si="2734">(L2693*50)</f>
        <v>12800</v>
      </c>
      <c r="N2693" s="12">
        <v>800</v>
      </c>
      <c r="O2693" s="11">
        <f t="shared" ref="O2693:O2708" si="2735">(N2693*50)</f>
        <v>40000</v>
      </c>
      <c r="Q2693" s="11">
        <f t="shared" ref="Q2693:Q2708" si="2736">((P2693*330)/5.5)</f>
        <v>0</v>
      </c>
      <c r="Y2693" s="11">
        <f t="shared" ref="Y2693:Y2708" si="2737">((X2693*330)/5.5)</f>
        <v>0</v>
      </c>
      <c r="AF2693" s="12">
        <v>300</v>
      </c>
      <c r="AG2693" s="11">
        <f t="shared" ref="AG2693:AG2708" si="2738">(AF2693*65)</f>
        <v>19500</v>
      </c>
      <c r="AH2693" s="12">
        <v>250</v>
      </c>
      <c r="AI2693" s="11">
        <f t="shared" ref="AI2693:AI2708" si="2739">(AH2693*65)</f>
        <v>16250</v>
      </c>
      <c r="AK2693" s="13">
        <f t="shared" ref="AK2693:AK2708" si="2740">(AJ2693*9)</f>
        <v>0</v>
      </c>
      <c r="AM2693" s="13">
        <f t="shared" ref="AM2693:AM2708" si="2741">(AL2693*9)</f>
        <v>0</v>
      </c>
      <c r="AO2693" s="11">
        <f t="shared" ref="AO2693:AO2708" si="2742">(AN2693*80)</f>
        <v>0</v>
      </c>
      <c r="AQ2693" s="11">
        <f t="shared" ref="AQ2693:AQ2708" si="2743">(AP2693*80)</f>
        <v>0</v>
      </c>
      <c r="AS2693" s="11">
        <f t="shared" ref="AS2693:AS2708" si="2744">(AR2693*50)</f>
        <v>0</v>
      </c>
      <c r="AU2693" s="11">
        <f t="shared" ref="AU2693:AU2708" si="2745">(AT2693*50)</f>
        <v>0</v>
      </c>
      <c r="AW2693" s="11">
        <f t="shared" ref="AW2693:AW2708" si="2746">(AV2693*60)</f>
        <v>0</v>
      </c>
      <c r="AY2693" s="11">
        <f t="shared" ref="AY2693:AY2708" si="2747">(AX2693*60)</f>
        <v>0</v>
      </c>
      <c r="BA2693" s="11">
        <f t="shared" ref="BA2693:BA2708" si="2748">(AZ2693*40)</f>
        <v>0</v>
      </c>
      <c r="BC2693" s="11">
        <f t="shared" ref="BC2693:BC2708" si="2749">(BB2693*40)</f>
        <v>0</v>
      </c>
      <c r="BE2693" s="11">
        <f t="shared" ref="BE2693:BE2708" si="2750">(BD2693*95)</f>
        <v>0</v>
      </c>
      <c r="BG2693" s="11">
        <f t="shared" ref="BG2693:BG2708" si="2751">(BF2693*95)</f>
        <v>0</v>
      </c>
      <c r="BN2693" s="8">
        <f t="shared" si="2730"/>
        <v>556</v>
      </c>
      <c r="BO2693" s="8">
        <f t="shared" si="2710"/>
        <v>32300</v>
      </c>
      <c r="BP2693" s="8">
        <f t="shared" si="2731"/>
        <v>1050</v>
      </c>
      <c r="BQ2693" s="12">
        <f t="shared" si="2732"/>
        <v>56250</v>
      </c>
    </row>
    <row r="2694" spans="1:69">
      <c r="A2694" s="28">
        <v>1979</v>
      </c>
      <c r="B2694" s="27" t="s">
        <v>126</v>
      </c>
      <c r="C2694" s="24">
        <f t="shared" si="2709"/>
        <v>2670</v>
      </c>
      <c r="D2694" s="7" t="e">
        <f t="shared" ca="1" si="2733"/>
        <v>#N/A</v>
      </c>
      <c r="E2694" s="26">
        <f t="array" aca="1" ref="E2694" ca="1">AVERAGE(IF(INDIRECT(DatCol&amp;"$"&amp;TEXT(C2694,"###")):INDIRECT(DatCol&amp;"$"&amp;TEXT(C2694+57,"###"))&gt;0,INDIRECT(DatCol&amp;"$"&amp;TEXT(C2694,"###")):INDIRECT(DatCol&amp;"$"&amp;TEXT(C2694+57,"###"))))</f>
        <v>150.4375</v>
      </c>
      <c r="F2694" s="26" t="str">
        <f t="shared" si="2678"/>
        <v>I</v>
      </c>
      <c r="G2694" s="8"/>
      <c r="K2694" s="9">
        <f t="shared" si="2711"/>
        <v>0</v>
      </c>
      <c r="M2694" s="11">
        <f t="shared" si="2734"/>
        <v>0</v>
      </c>
      <c r="O2694" s="11">
        <f t="shared" si="2735"/>
        <v>0</v>
      </c>
      <c r="Q2694" s="11">
        <f t="shared" si="2736"/>
        <v>0</v>
      </c>
      <c r="Y2694" s="11">
        <f t="shared" si="2737"/>
        <v>0</v>
      </c>
      <c r="AG2694" s="11">
        <f t="shared" si="2738"/>
        <v>0</v>
      </c>
      <c r="AI2694" s="11">
        <f t="shared" si="2739"/>
        <v>0</v>
      </c>
      <c r="AK2694" s="13">
        <f t="shared" si="2740"/>
        <v>0</v>
      </c>
      <c r="AM2694" s="13">
        <f t="shared" si="2741"/>
        <v>0</v>
      </c>
      <c r="AO2694" s="11">
        <f t="shared" si="2742"/>
        <v>0</v>
      </c>
      <c r="AQ2694" s="11">
        <f t="shared" si="2743"/>
        <v>0</v>
      </c>
      <c r="AS2694" s="11">
        <f t="shared" si="2744"/>
        <v>0</v>
      </c>
      <c r="AU2694" s="11">
        <f t="shared" si="2745"/>
        <v>0</v>
      </c>
      <c r="AW2694" s="11">
        <f t="shared" si="2746"/>
        <v>0</v>
      </c>
      <c r="AY2694" s="11">
        <f t="shared" si="2747"/>
        <v>0</v>
      </c>
      <c r="BA2694" s="11">
        <f t="shared" si="2748"/>
        <v>0</v>
      </c>
      <c r="BC2694" s="11">
        <f t="shared" si="2749"/>
        <v>0</v>
      </c>
      <c r="BE2694" s="11">
        <f t="shared" si="2750"/>
        <v>0</v>
      </c>
      <c r="BG2694" s="11">
        <f t="shared" si="2751"/>
        <v>0</v>
      </c>
      <c r="BN2694" s="8">
        <f t="shared" si="2730"/>
        <v>0</v>
      </c>
      <c r="BO2694" s="8">
        <f t="shared" si="2710"/>
        <v>0</v>
      </c>
      <c r="BP2694" s="8">
        <f t="shared" si="2731"/>
        <v>0</v>
      </c>
      <c r="BQ2694" s="12">
        <f t="shared" si="2732"/>
        <v>0</v>
      </c>
    </row>
    <row r="2695" spans="1:69">
      <c r="A2695" s="28">
        <v>1980</v>
      </c>
      <c r="B2695" s="27" t="s">
        <v>126</v>
      </c>
      <c r="C2695" s="24">
        <f t="shared" si="2709"/>
        <v>2670</v>
      </c>
      <c r="D2695" s="7" t="e">
        <f t="shared" ca="1" si="2733"/>
        <v>#N/A</v>
      </c>
      <c r="E2695" s="26">
        <f t="array" aca="1" ref="E2695" ca="1">AVERAGE(IF(INDIRECT(DatCol&amp;"$"&amp;TEXT(C2695,"###")):INDIRECT(DatCol&amp;"$"&amp;TEXT(C2695+57,"###"))&gt;0,INDIRECT(DatCol&amp;"$"&amp;TEXT(C2695,"###")):INDIRECT(DatCol&amp;"$"&amp;TEXT(C2695+57,"###"))))</f>
        <v>150.4375</v>
      </c>
      <c r="F2695" s="26" t="str">
        <f t="shared" si="2678"/>
        <v>I</v>
      </c>
      <c r="G2695" s="8"/>
      <c r="I2695" s="8">
        <v>34</v>
      </c>
      <c r="J2695" s="8">
        <v>122</v>
      </c>
      <c r="K2695" s="9">
        <f t="shared" si="2711"/>
        <v>122</v>
      </c>
      <c r="L2695" s="12">
        <v>640</v>
      </c>
      <c r="M2695" s="11">
        <f t="shared" si="2734"/>
        <v>32000</v>
      </c>
      <c r="N2695" s="12">
        <v>100</v>
      </c>
      <c r="O2695" s="11">
        <f t="shared" si="2735"/>
        <v>5000</v>
      </c>
      <c r="Q2695" s="11">
        <f t="shared" si="2736"/>
        <v>0</v>
      </c>
      <c r="Y2695" s="11">
        <f t="shared" si="2737"/>
        <v>0</v>
      </c>
      <c r="AF2695" s="12">
        <v>405</v>
      </c>
      <c r="AG2695" s="11">
        <f t="shared" si="2738"/>
        <v>26325</v>
      </c>
      <c r="AH2695" s="12">
        <v>150</v>
      </c>
      <c r="AI2695" s="11">
        <f t="shared" si="2739"/>
        <v>9750</v>
      </c>
      <c r="AK2695" s="13">
        <f t="shared" si="2740"/>
        <v>0</v>
      </c>
      <c r="AM2695" s="13">
        <f t="shared" si="2741"/>
        <v>0</v>
      </c>
      <c r="AO2695" s="11">
        <f t="shared" si="2742"/>
        <v>0</v>
      </c>
      <c r="AQ2695" s="11">
        <f t="shared" si="2743"/>
        <v>0</v>
      </c>
      <c r="AS2695" s="11">
        <f t="shared" si="2744"/>
        <v>0</v>
      </c>
      <c r="AU2695" s="11">
        <f t="shared" si="2745"/>
        <v>0</v>
      </c>
      <c r="AW2695" s="11">
        <f t="shared" si="2746"/>
        <v>0</v>
      </c>
      <c r="AY2695" s="11">
        <f t="shared" si="2747"/>
        <v>0</v>
      </c>
      <c r="BA2695" s="11">
        <f t="shared" si="2748"/>
        <v>0</v>
      </c>
      <c r="BC2695" s="11">
        <f t="shared" si="2749"/>
        <v>0</v>
      </c>
      <c r="BE2695" s="11">
        <f t="shared" si="2750"/>
        <v>0</v>
      </c>
      <c r="BG2695" s="11">
        <f t="shared" si="2751"/>
        <v>0</v>
      </c>
      <c r="BN2695" s="8">
        <f t="shared" si="2730"/>
        <v>1045</v>
      </c>
      <c r="BO2695" s="8">
        <f t="shared" si="2710"/>
        <v>58325</v>
      </c>
      <c r="BP2695" s="8">
        <f t="shared" si="2731"/>
        <v>250</v>
      </c>
      <c r="BQ2695" s="12">
        <f t="shared" si="2732"/>
        <v>14750</v>
      </c>
    </row>
    <row r="2696" spans="1:69">
      <c r="A2696" s="28">
        <v>1981</v>
      </c>
      <c r="B2696" s="27" t="s">
        <v>126</v>
      </c>
      <c r="C2696" s="24">
        <f t="shared" si="2709"/>
        <v>2670</v>
      </c>
      <c r="D2696" s="7" t="e">
        <f t="shared" ca="1" si="2733"/>
        <v>#N/A</v>
      </c>
      <c r="E2696" s="26">
        <f t="array" aca="1" ref="E2696" ca="1">AVERAGE(IF(INDIRECT(DatCol&amp;"$"&amp;TEXT(C2696,"###")):INDIRECT(DatCol&amp;"$"&amp;TEXT(C2696+57,"###"))&gt;0,INDIRECT(DatCol&amp;"$"&amp;TEXT(C2696,"###")):INDIRECT(DatCol&amp;"$"&amp;TEXT(C2696+57,"###"))))</f>
        <v>150.4375</v>
      </c>
      <c r="F2696" s="26" t="str">
        <f t="shared" si="2678"/>
        <v>I</v>
      </c>
      <c r="G2696" s="8"/>
      <c r="K2696" s="9">
        <f t="shared" si="2711"/>
        <v>0</v>
      </c>
      <c r="M2696" s="11">
        <f t="shared" si="2734"/>
        <v>0</v>
      </c>
      <c r="O2696" s="11">
        <f t="shared" si="2735"/>
        <v>0</v>
      </c>
      <c r="Q2696" s="11">
        <f t="shared" si="2736"/>
        <v>0</v>
      </c>
      <c r="Y2696" s="11">
        <f t="shared" si="2737"/>
        <v>0</v>
      </c>
      <c r="AG2696" s="11">
        <f t="shared" si="2738"/>
        <v>0</v>
      </c>
      <c r="AI2696" s="11">
        <f t="shared" si="2739"/>
        <v>0</v>
      </c>
      <c r="AK2696" s="13">
        <f t="shared" si="2740"/>
        <v>0</v>
      </c>
      <c r="AM2696" s="13">
        <f t="shared" si="2741"/>
        <v>0</v>
      </c>
      <c r="AO2696" s="11">
        <f t="shared" si="2742"/>
        <v>0</v>
      </c>
      <c r="AQ2696" s="11">
        <f t="shared" si="2743"/>
        <v>0</v>
      </c>
      <c r="AS2696" s="11">
        <f t="shared" si="2744"/>
        <v>0</v>
      </c>
      <c r="AU2696" s="11">
        <f t="shared" si="2745"/>
        <v>0</v>
      </c>
      <c r="AW2696" s="11">
        <f t="shared" si="2746"/>
        <v>0</v>
      </c>
      <c r="AY2696" s="11">
        <f t="shared" si="2747"/>
        <v>0</v>
      </c>
      <c r="BA2696" s="11">
        <f t="shared" si="2748"/>
        <v>0</v>
      </c>
      <c r="BC2696" s="11">
        <f t="shared" si="2749"/>
        <v>0</v>
      </c>
      <c r="BE2696" s="11">
        <f t="shared" si="2750"/>
        <v>0</v>
      </c>
      <c r="BG2696" s="11">
        <f t="shared" si="2751"/>
        <v>0</v>
      </c>
      <c r="BN2696" s="8">
        <f t="shared" si="2730"/>
        <v>0</v>
      </c>
      <c r="BO2696" s="8">
        <f t="shared" si="2710"/>
        <v>0</v>
      </c>
      <c r="BP2696" s="8">
        <f t="shared" si="2731"/>
        <v>0</v>
      </c>
      <c r="BQ2696" s="12">
        <f t="shared" si="2732"/>
        <v>0</v>
      </c>
    </row>
    <row r="2697" spans="1:69">
      <c r="A2697" s="28">
        <v>1982</v>
      </c>
      <c r="B2697" s="27" t="s">
        <v>126</v>
      </c>
      <c r="C2697" s="24">
        <f t="shared" si="2709"/>
        <v>2670</v>
      </c>
      <c r="D2697" s="7" t="e">
        <f t="shared" ca="1" si="2733"/>
        <v>#N/A</v>
      </c>
      <c r="E2697" s="26">
        <f t="array" aca="1" ref="E2697" ca="1">AVERAGE(IF(INDIRECT(DatCol&amp;"$"&amp;TEXT(C2697,"###")):INDIRECT(DatCol&amp;"$"&amp;TEXT(C2697+57,"###"))&gt;0,INDIRECT(DatCol&amp;"$"&amp;TEXT(C2697,"###")):INDIRECT(DatCol&amp;"$"&amp;TEXT(C2697+57,"###"))))</f>
        <v>150.4375</v>
      </c>
      <c r="F2697" s="26" t="str">
        <f t="shared" si="2678"/>
        <v>I</v>
      </c>
      <c r="G2697" s="8"/>
      <c r="H2697" s="8">
        <v>4</v>
      </c>
      <c r="I2697" s="8">
        <v>22</v>
      </c>
      <c r="J2697" s="8">
        <v>90</v>
      </c>
      <c r="K2697" s="9">
        <f t="shared" si="2711"/>
        <v>94</v>
      </c>
      <c r="L2697" s="12">
        <v>176</v>
      </c>
      <c r="M2697" s="11">
        <f t="shared" si="2734"/>
        <v>8800</v>
      </c>
      <c r="O2697" s="11">
        <f t="shared" si="2735"/>
        <v>0</v>
      </c>
      <c r="Q2697" s="11">
        <f t="shared" si="2736"/>
        <v>0</v>
      </c>
      <c r="Y2697" s="11">
        <f t="shared" si="2737"/>
        <v>0</v>
      </c>
      <c r="AF2697" s="12">
        <v>1671</v>
      </c>
      <c r="AG2697" s="11">
        <f t="shared" si="2738"/>
        <v>108615</v>
      </c>
      <c r="AI2697" s="11">
        <f t="shared" si="2739"/>
        <v>0</v>
      </c>
      <c r="AK2697" s="13">
        <f t="shared" si="2740"/>
        <v>0</v>
      </c>
      <c r="AM2697" s="13">
        <f t="shared" si="2741"/>
        <v>0</v>
      </c>
      <c r="AO2697" s="11">
        <f t="shared" si="2742"/>
        <v>0</v>
      </c>
      <c r="AQ2697" s="11">
        <f t="shared" si="2743"/>
        <v>0</v>
      </c>
      <c r="AS2697" s="11">
        <f t="shared" si="2744"/>
        <v>0</v>
      </c>
      <c r="AU2697" s="11">
        <f t="shared" si="2745"/>
        <v>0</v>
      </c>
      <c r="AW2697" s="11">
        <f t="shared" si="2746"/>
        <v>0</v>
      </c>
      <c r="AY2697" s="11">
        <f t="shared" si="2747"/>
        <v>0</v>
      </c>
      <c r="BA2697" s="11">
        <f t="shared" si="2748"/>
        <v>0</v>
      </c>
      <c r="BC2697" s="11">
        <f t="shared" si="2749"/>
        <v>0</v>
      </c>
      <c r="BE2697" s="11">
        <f t="shared" si="2750"/>
        <v>0</v>
      </c>
      <c r="BG2697" s="11">
        <f t="shared" si="2751"/>
        <v>0</v>
      </c>
      <c r="BN2697" s="8">
        <f t="shared" si="2730"/>
        <v>1847</v>
      </c>
      <c r="BO2697" s="8">
        <f t="shared" si="2710"/>
        <v>117415</v>
      </c>
      <c r="BP2697" s="8">
        <f t="shared" si="2731"/>
        <v>0</v>
      </c>
      <c r="BQ2697" s="12">
        <f t="shared" si="2732"/>
        <v>0</v>
      </c>
    </row>
    <row r="2698" spans="1:69">
      <c r="A2698" s="28">
        <v>1983</v>
      </c>
      <c r="B2698" s="27" t="s">
        <v>126</v>
      </c>
      <c r="C2698" s="24">
        <f t="shared" si="2709"/>
        <v>2670</v>
      </c>
      <c r="D2698" s="7" t="e">
        <f t="shared" ca="1" si="2733"/>
        <v>#N/A</v>
      </c>
      <c r="E2698" s="26">
        <f t="array" aca="1" ref="E2698" ca="1">AVERAGE(IF(INDIRECT(DatCol&amp;"$"&amp;TEXT(C2698,"###")):INDIRECT(DatCol&amp;"$"&amp;TEXT(C2698+57,"###"))&gt;0,INDIRECT(DatCol&amp;"$"&amp;TEXT(C2698,"###")):INDIRECT(DatCol&amp;"$"&amp;TEXT(C2698+57,"###"))))</f>
        <v>150.4375</v>
      </c>
      <c r="F2698" s="26" t="str">
        <f t="shared" si="2678"/>
        <v>I</v>
      </c>
      <c r="G2698" s="8"/>
      <c r="H2698" s="8">
        <v>1</v>
      </c>
      <c r="I2698" s="8">
        <v>20</v>
      </c>
      <c r="J2698" s="8">
        <v>49</v>
      </c>
      <c r="K2698" s="9">
        <f t="shared" si="2711"/>
        <v>50</v>
      </c>
      <c r="L2698" s="12">
        <v>0</v>
      </c>
      <c r="M2698" s="11">
        <f t="shared" si="2734"/>
        <v>0</v>
      </c>
      <c r="N2698" s="12">
        <v>15</v>
      </c>
      <c r="O2698" s="11">
        <f t="shared" si="2735"/>
        <v>750</v>
      </c>
      <c r="P2698" s="12">
        <v>70</v>
      </c>
      <c r="Q2698" s="11">
        <f t="shared" si="2736"/>
        <v>4200</v>
      </c>
      <c r="Y2698" s="11">
        <f t="shared" si="2737"/>
        <v>0</v>
      </c>
      <c r="AF2698" s="12">
        <v>1300</v>
      </c>
      <c r="AG2698" s="11">
        <f t="shared" si="2738"/>
        <v>84500</v>
      </c>
      <c r="AH2698" s="12">
        <v>70</v>
      </c>
      <c r="AI2698" s="11">
        <f t="shared" si="2739"/>
        <v>4550</v>
      </c>
      <c r="AK2698" s="13">
        <f t="shared" si="2740"/>
        <v>0</v>
      </c>
      <c r="AM2698" s="13">
        <f t="shared" si="2741"/>
        <v>0</v>
      </c>
      <c r="AO2698" s="11">
        <f t="shared" si="2742"/>
        <v>0</v>
      </c>
      <c r="AQ2698" s="11">
        <f t="shared" si="2743"/>
        <v>0</v>
      </c>
      <c r="AS2698" s="11">
        <f t="shared" si="2744"/>
        <v>0</v>
      </c>
      <c r="AU2698" s="11">
        <f t="shared" si="2745"/>
        <v>0</v>
      </c>
      <c r="AW2698" s="11">
        <f t="shared" si="2746"/>
        <v>0</v>
      </c>
      <c r="AY2698" s="11">
        <f t="shared" si="2747"/>
        <v>0</v>
      </c>
      <c r="BA2698" s="11">
        <f t="shared" si="2748"/>
        <v>0</v>
      </c>
      <c r="BC2698" s="11">
        <f t="shared" si="2749"/>
        <v>0</v>
      </c>
      <c r="BE2698" s="11">
        <f t="shared" si="2750"/>
        <v>0</v>
      </c>
      <c r="BG2698" s="11">
        <f t="shared" si="2751"/>
        <v>0</v>
      </c>
      <c r="BN2698" s="8">
        <f t="shared" si="2730"/>
        <v>1370</v>
      </c>
      <c r="BO2698" s="8">
        <f t="shared" si="2710"/>
        <v>88700</v>
      </c>
      <c r="BP2698" s="8">
        <f t="shared" si="2731"/>
        <v>85</v>
      </c>
      <c r="BQ2698" s="12">
        <f t="shared" si="2732"/>
        <v>5300</v>
      </c>
    </row>
    <row r="2699" spans="1:69">
      <c r="A2699" s="28">
        <v>1984</v>
      </c>
      <c r="B2699" s="27" t="s">
        <v>126</v>
      </c>
      <c r="C2699" s="24">
        <f t="shared" si="2709"/>
        <v>2670</v>
      </c>
      <c r="D2699" s="7" t="e">
        <f t="shared" ca="1" si="2733"/>
        <v>#N/A</v>
      </c>
      <c r="E2699" s="26">
        <f t="array" aca="1" ref="E2699" ca="1">AVERAGE(IF(INDIRECT(DatCol&amp;"$"&amp;TEXT(C2699,"###")):INDIRECT(DatCol&amp;"$"&amp;TEXT(C2699+57,"###"))&gt;0,INDIRECT(DatCol&amp;"$"&amp;TEXT(C2699,"###")):INDIRECT(DatCol&amp;"$"&amp;TEXT(C2699+57,"###"))))</f>
        <v>150.4375</v>
      </c>
      <c r="F2699" s="26" t="str">
        <f t="shared" si="2678"/>
        <v>I</v>
      </c>
      <c r="G2699" s="8"/>
      <c r="H2699" s="8">
        <v>5</v>
      </c>
      <c r="I2699" s="8">
        <v>22</v>
      </c>
      <c r="J2699" s="8">
        <v>73</v>
      </c>
      <c r="K2699" s="9">
        <f t="shared" si="2711"/>
        <v>78</v>
      </c>
      <c r="L2699" s="12">
        <v>50</v>
      </c>
      <c r="M2699" s="11">
        <f t="shared" si="2734"/>
        <v>2500</v>
      </c>
      <c r="N2699" s="12">
        <v>150</v>
      </c>
      <c r="O2699" s="11">
        <f t="shared" si="2735"/>
        <v>7500</v>
      </c>
      <c r="Q2699" s="11">
        <f t="shared" si="2736"/>
        <v>0</v>
      </c>
      <c r="Y2699" s="11">
        <f t="shared" si="2737"/>
        <v>0</v>
      </c>
      <c r="AF2699" s="12">
        <v>800</v>
      </c>
      <c r="AG2699" s="11">
        <f t="shared" si="2738"/>
        <v>52000</v>
      </c>
      <c r="AH2699" s="12">
        <v>250</v>
      </c>
      <c r="AI2699" s="11">
        <f t="shared" si="2739"/>
        <v>16250</v>
      </c>
      <c r="AK2699" s="13">
        <f t="shared" si="2740"/>
        <v>0</v>
      </c>
      <c r="AM2699" s="13">
        <f t="shared" si="2741"/>
        <v>0</v>
      </c>
      <c r="AO2699" s="11">
        <f t="shared" si="2742"/>
        <v>0</v>
      </c>
      <c r="AQ2699" s="11">
        <f t="shared" si="2743"/>
        <v>0</v>
      </c>
      <c r="AS2699" s="11">
        <f t="shared" si="2744"/>
        <v>0</v>
      </c>
      <c r="AU2699" s="11">
        <f t="shared" si="2745"/>
        <v>0</v>
      </c>
      <c r="AW2699" s="11">
        <f t="shared" si="2746"/>
        <v>0</v>
      </c>
      <c r="AY2699" s="11">
        <f t="shared" si="2747"/>
        <v>0</v>
      </c>
      <c r="BA2699" s="11">
        <f t="shared" si="2748"/>
        <v>0</v>
      </c>
      <c r="BC2699" s="11">
        <f t="shared" si="2749"/>
        <v>0</v>
      </c>
      <c r="BE2699" s="11">
        <f t="shared" si="2750"/>
        <v>0</v>
      </c>
      <c r="BG2699" s="11">
        <f t="shared" si="2751"/>
        <v>0</v>
      </c>
      <c r="BN2699" s="8">
        <f t="shared" si="2730"/>
        <v>850</v>
      </c>
      <c r="BO2699" s="8">
        <f t="shared" si="2710"/>
        <v>54500</v>
      </c>
      <c r="BP2699" s="8">
        <f t="shared" si="2731"/>
        <v>400</v>
      </c>
      <c r="BQ2699" s="12">
        <f t="shared" si="2732"/>
        <v>23750</v>
      </c>
    </row>
    <row r="2700" spans="1:69">
      <c r="A2700" s="28">
        <v>1985</v>
      </c>
      <c r="B2700" s="27" t="s">
        <v>126</v>
      </c>
      <c r="C2700" s="24">
        <f t="shared" si="2709"/>
        <v>2670</v>
      </c>
      <c r="D2700" s="7" t="e">
        <f t="shared" ca="1" si="2733"/>
        <v>#N/A</v>
      </c>
      <c r="E2700" s="26">
        <f t="array" aca="1" ref="E2700" ca="1">AVERAGE(IF(INDIRECT(DatCol&amp;"$"&amp;TEXT(C2700,"###")):INDIRECT(DatCol&amp;"$"&amp;TEXT(C2700+57,"###"))&gt;0,INDIRECT(DatCol&amp;"$"&amp;TEXT(C2700,"###")):INDIRECT(DatCol&amp;"$"&amp;TEXT(C2700+57,"###"))))</f>
        <v>150.4375</v>
      </c>
      <c r="F2700" s="26" t="str">
        <f t="shared" ref="F2700:F2766" si="2752">VLOOKUP(B2700,town_region,2,FALSE)</f>
        <v>I</v>
      </c>
      <c r="G2700" s="8"/>
      <c r="H2700" s="8">
        <v>1</v>
      </c>
      <c r="I2700" s="8">
        <v>24</v>
      </c>
      <c r="J2700" s="8">
        <v>97</v>
      </c>
      <c r="K2700" s="9">
        <f t="shared" si="2711"/>
        <v>98</v>
      </c>
      <c r="L2700" s="12">
        <v>26</v>
      </c>
      <c r="M2700" s="11">
        <f t="shared" si="2734"/>
        <v>1300</v>
      </c>
      <c r="O2700" s="11">
        <f t="shared" si="2735"/>
        <v>0</v>
      </c>
      <c r="Q2700" s="11">
        <f t="shared" si="2736"/>
        <v>0</v>
      </c>
      <c r="Y2700" s="11">
        <f t="shared" si="2737"/>
        <v>0</v>
      </c>
      <c r="AF2700" s="12">
        <v>900</v>
      </c>
      <c r="AG2700" s="11">
        <f t="shared" si="2738"/>
        <v>58500</v>
      </c>
      <c r="AH2700" s="12">
        <v>115</v>
      </c>
      <c r="AI2700" s="11">
        <f t="shared" si="2739"/>
        <v>7475</v>
      </c>
      <c r="AK2700" s="13">
        <f t="shared" si="2740"/>
        <v>0</v>
      </c>
      <c r="AM2700" s="13">
        <f t="shared" si="2741"/>
        <v>0</v>
      </c>
      <c r="AO2700" s="11">
        <f t="shared" si="2742"/>
        <v>0</v>
      </c>
      <c r="AQ2700" s="11">
        <f t="shared" si="2743"/>
        <v>0</v>
      </c>
      <c r="AS2700" s="11">
        <f t="shared" si="2744"/>
        <v>0</v>
      </c>
      <c r="AU2700" s="11">
        <f t="shared" si="2745"/>
        <v>0</v>
      </c>
      <c r="AW2700" s="11">
        <f t="shared" si="2746"/>
        <v>0</v>
      </c>
      <c r="AY2700" s="11">
        <f t="shared" si="2747"/>
        <v>0</v>
      </c>
      <c r="BA2700" s="11">
        <f t="shared" si="2748"/>
        <v>0</v>
      </c>
      <c r="BC2700" s="11">
        <f t="shared" si="2749"/>
        <v>0</v>
      </c>
      <c r="BE2700" s="11">
        <f t="shared" si="2750"/>
        <v>0</v>
      </c>
      <c r="BG2700" s="11">
        <f t="shared" si="2751"/>
        <v>0</v>
      </c>
      <c r="BN2700" s="8">
        <f t="shared" si="2730"/>
        <v>926</v>
      </c>
      <c r="BO2700" s="8">
        <f t="shared" si="2710"/>
        <v>59800</v>
      </c>
      <c r="BP2700" s="8">
        <f t="shared" si="2731"/>
        <v>115</v>
      </c>
      <c r="BQ2700" s="12">
        <f t="shared" si="2732"/>
        <v>7475</v>
      </c>
    </row>
    <row r="2701" spans="1:69">
      <c r="A2701" s="28">
        <v>1986</v>
      </c>
      <c r="B2701" s="27" t="s">
        <v>126</v>
      </c>
      <c r="C2701" s="24">
        <f t="shared" si="2709"/>
        <v>2670</v>
      </c>
      <c r="D2701" s="7" t="e">
        <f t="shared" ca="1" si="2733"/>
        <v>#N/A</v>
      </c>
      <c r="E2701" s="26">
        <f t="array" aca="1" ref="E2701" ca="1">AVERAGE(IF(INDIRECT(DatCol&amp;"$"&amp;TEXT(C2701,"###")):INDIRECT(DatCol&amp;"$"&amp;TEXT(C2701+57,"###"))&gt;0,INDIRECT(DatCol&amp;"$"&amp;TEXT(C2701,"###")):INDIRECT(DatCol&amp;"$"&amp;TEXT(C2701+57,"###"))))</f>
        <v>150.4375</v>
      </c>
      <c r="F2701" s="26" t="str">
        <f t="shared" si="2752"/>
        <v>I</v>
      </c>
      <c r="G2701" s="8">
        <v>10</v>
      </c>
      <c r="H2701" s="8">
        <v>0</v>
      </c>
      <c r="I2701" s="8">
        <v>20</v>
      </c>
      <c r="J2701" s="8">
        <v>34</v>
      </c>
      <c r="K2701" s="9">
        <f t="shared" si="2711"/>
        <v>44</v>
      </c>
      <c r="M2701" s="11">
        <f t="shared" si="2734"/>
        <v>0</v>
      </c>
      <c r="N2701" s="12">
        <v>20</v>
      </c>
      <c r="O2701" s="11">
        <f t="shared" si="2735"/>
        <v>1000</v>
      </c>
      <c r="Q2701" s="11">
        <f t="shared" si="2736"/>
        <v>0</v>
      </c>
      <c r="Y2701" s="11">
        <f t="shared" si="2737"/>
        <v>0</v>
      </c>
      <c r="AF2701" s="12">
        <v>1800</v>
      </c>
      <c r="AG2701" s="11">
        <f t="shared" si="2738"/>
        <v>117000</v>
      </c>
      <c r="AH2701" s="12">
        <v>60</v>
      </c>
      <c r="AI2701" s="11">
        <f t="shared" si="2739"/>
        <v>3900</v>
      </c>
      <c r="AK2701" s="13">
        <f t="shared" si="2740"/>
        <v>0</v>
      </c>
      <c r="AM2701" s="13">
        <f t="shared" si="2741"/>
        <v>0</v>
      </c>
      <c r="AO2701" s="11">
        <f t="shared" si="2742"/>
        <v>0</v>
      </c>
      <c r="AQ2701" s="11">
        <f t="shared" si="2743"/>
        <v>0</v>
      </c>
      <c r="AS2701" s="11">
        <f t="shared" si="2744"/>
        <v>0</v>
      </c>
      <c r="AU2701" s="11">
        <f t="shared" si="2745"/>
        <v>0</v>
      </c>
      <c r="AW2701" s="11">
        <f t="shared" si="2746"/>
        <v>0</v>
      </c>
      <c r="AY2701" s="11">
        <f t="shared" si="2747"/>
        <v>0</v>
      </c>
      <c r="BA2701" s="11">
        <f t="shared" si="2748"/>
        <v>0</v>
      </c>
      <c r="BC2701" s="11">
        <f t="shared" si="2749"/>
        <v>0</v>
      </c>
      <c r="BE2701" s="11">
        <f t="shared" si="2750"/>
        <v>0</v>
      </c>
      <c r="BG2701" s="11">
        <f t="shared" si="2751"/>
        <v>0</v>
      </c>
      <c r="BN2701" s="8">
        <f t="shared" si="2730"/>
        <v>1800</v>
      </c>
      <c r="BO2701" s="8">
        <f t="shared" si="2710"/>
        <v>117000</v>
      </c>
      <c r="BP2701" s="8">
        <f t="shared" si="2731"/>
        <v>80</v>
      </c>
      <c r="BQ2701" s="12">
        <f t="shared" si="2732"/>
        <v>4900</v>
      </c>
    </row>
    <row r="2702" spans="1:69">
      <c r="A2702" s="28">
        <v>1987</v>
      </c>
      <c r="B2702" s="27" t="s">
        <v>126</v>
      </c>
      <c r="C2702" s="24">
        <f t="shared" si="2709"/>
        <v>2670</v>
      </c>
      <c r="D2702" s="7" t="e">
        <f t="shared" ca="1" si="2733"/>
        <v>#N/A</v>
      </c>
      <c r="E2702" s="26">
        <f t="array" aca="1" ref="E2702" ca="1">AVERAGE(IF(INDIRECT(DatCol&amp;"$"&amp;TEXT(C2702,"###")):INDIRECT(DatCol&amp;"$"&amp;TEXT(C2702+57,"###"))&gt;0,INDIRECT(DatCol&amp;"$"&amp;TEXT(C2702,"###")):INDIRECT(DatCol&amp;"$"&amp;TEXT(C2702+57,"###"))))</f>
        <v>150.4375</v>
      </c>
      <c r="F2702" s="26" t="str">
        <f t="shared" si="2752"/>
        <v>I</v>
      </c>
      <c r="G2702" s="8">
        <v>13</v>
      </c>
      <c r="H2702" s="8">
        <v>0</v>
      </c>
      <c r="I2702" s="8">
        <v>32</v>
      </c>
      <c r="J2702" s="8">
        <v>43</v>
      </c>
      <c r="K2702" s="9">
        <f t="shared" si="2711"/>
        <v>56</v>
      </c>
      <c r="M2702" s="11">
        <f t="shared" si="2734"/>
        <v>0</v>
      </c>
      <c r="O2702" s="11">
        <f t="shared" si="2735"/>
        <v>0</v>
      </c>
      <c r="Q2702" s="11">
        <f t="shared" si="2736"/>
        <v>0</v>
      </c>
      <c r="Y2702" s="11">
        <f t="shared" si="2737"/>
        <v>0</v>
      </c>
      <c r="AF2702" s="12">
        <v>2965</v>
      </c>
      <c r="AG2702" s="11">
        <f t="shared" si="2738"/>
        <v>192725</v>
      </c>
      <c r="AH2702" s="12">
        <v>35</v>
      </c>
      <c r="AI2702" s="11">
        <f t="shared" si="2739"/>
        <v>2275</v>
      </c>
      <c r="AK2702" s="13">
        <f t="shared" si="2740"/>
        <v>0</v>
      </c>
      <c r="AM2702" s="13">
        <f t="shared" si="2741"/>
        <v>0</v>
      </c>
      <c r="AO2702" s="11">
        <f t="shared" si="2742"/>
        <v>0</v>
      </c>
      <c r="AQ2702" s="11">
        <f t="shared" si="2743"/>
        <v>0</v>
      </c>
      <c r="AS2702" s="11">
        <f t="shared" si="2744"/>
        <v>0</v>
      </c>
      <c r="AU2702" s="11">
        <f t="shared" si="2745"/>
        <v>0</v>
      </c>
      <c r="AW2702" s="11">
        <f t="shared" si="2746"/>
        <v>0</v>
      </c>
      <c r="AY2702" s="11">
        <f t="shared" si="2747"/>
        <v>0</v>
      </c>
      <c r="BA2702" s="11">
        <f t="shared" si="2748"/>
        <v>0</v>
      </c>
      <c r="BC2702" s="11">
        <f t="shared" si="2749"/>
        <v>0</v>
      </c>
      <c r="BE2702" s="11">
        <f t="shared" si="2750"/>
        <v>0</v>
      </c>
      <c r="BG2702" s="11">
        <f t="shared" si="2751"/>
        <v>0</v>
      </c>
      <c r="BN2702" s="8">
        <f t="shared" si="2730"/>
        <v>2965</v>
      </c>
      <c r="BO2702" s="8">
        <f t="shared" si="2710"/>
        <v>192725</v>
      </c>
      <c r="BP2702" s="8">
        <f t="shared" si="2731"/>
        <v>35</v>
      </c>
      <c r="BQ2702" s="12">
        <f t="shared" si="2732"/>
        <v>2275</v>
      </c>
    </row>
    <row r="2703" spans="1:69">
      <c r="A2703" s="28">
        <v>1988</v>
      </c>
      <c r="B2703" s="27" t="s">
        <v>126</v>
      </c>
      <c r="C2703" s="24">
        <f t="shared" si="2709"/>
        <v>2670</v>
      </c>
      <c r="D2703" s="7" t="e">
        <f t="shared" ca="1" si="2733"/>
        <v>#N/A</v>
      </c>
      <c r="E2703" s="26">
        <f t="array" aca="1" ref="E2703" ca="1">AVERAGE(IF(INDIRECT(DatCol&amp;"$"&amp;TEXT(C2703,"###")):INDIRECT(DatCol&amp;"$"&amp;TEXT(C2703+57,"###"))&gt;0,INDIRECT(DatCol&amp;"$"&amp;TEXT(C2703,"###")):INDIRECT(DatCol&amp;"$"&amp;TEXT(C2703+57,"###"))))</f>
        <v>150.4375</v>
      </c>
      <c r="F2703" s="26" t="str">
        <f t="shared" si="2752"/>
        <v>I</v>
      </c>
      <c r="G2703" s="8">
        <v>14</v>
      </c>
      <c r="H2703" s="8">
        <v>2</v>
      </c>
      <c r="I2703" s="8">
        <v>33</v>
      </c>
      <c r="J2703" s="8">
        <v>40</v>
      </c>
      <c r="K2703" s="9">
        <f t="shared" si="2711"/>
        <v>56</v>
      </c>
      <c r="M2703" s="11">
        <f t="shared" si="2734"/>
        <v>0</v>
      </c>
      <c r="O2703" s="11">
        <f t="shared" si="2735"/>
        <v>0</v>
      </c>
      <c r="Q2703" s="11">
        <f t="shared" si="2736"/>
        <v>0</v>
      </c>
      <c r="Y2703" s="11">
        <f t="shared" si="2737"/>
        <v>0</v>
      </c>
      <c r="AF2703" s="12">
        <v>3325</v>
      </c>
      <c r="AG2703" s="11">
        <f t="shared" si="2738"/>
        <v>216125</v>
      </c>
      <c r="AH2703" s="12">
        <v>55</v>
      </c>
      <c r="AI2703" s="11">
        <f t="shared" si="2739"/>
        <v>3575</v>
      </c>
      <c r="AK2703" s="13">
        <f t="shared" si="2740"/>
        <v>0</v>
      </c>
      <c r="AM2703" s="13">
        <f t="shared" si="2741"/>
        <v>0</v>
      </c>
      <c r="AO2703" s="11">
        <f t="shared" si="2742"/>
        <v>0</v>
      </c>
      <c r="AQ2703" s="11">
        <f t="shared" si="2743"/>
        <v>0</v>
      </c>
      <c r="AS2703" s="11">
        <f t="shared" si="2744"/>
        <v>0</v>
      </c>
      <c r="AU2703" s="11">
        <f t="shared" si="2745"/>
        <v>0</v>
      </c>
      <c r="AW2703" s="11">
        <f t="shared" si="2746"/>
        <v>0</v>
      </c>
      <c r="AY2703" s="11">
        <f t="shared" si="2747"/>
        <v>0</v>
      </c>
      <c r="BA2703" s="11">
        <f t="shared" si="2748"/>
        <v>0</v>
      </c>
      <c r="BC2703" s="11">
        <f t="shared" si="2749"/>
        <v>0</v>
      </c>
      <c r="BE2703" s="11">
        <f t="shared" si="2750"/>
        <v>0</v>
      </c>
      <c r="BG2703" s="11">
        <f t="shared" si="2751"/>
        <v>0</v>
      </c>
      <c r="BN2703" s="8">
        <f t="shared" si="2730"/>
        <v>3325</v>
      </c>
      <c r="BO2703" s="8">
        <f t="shared" si="2710"/>
        <v>216125</v>
      </c>
      <c r="BP2703" s="8">
        <f t="shared" si="2731"/>
        <v>55</v>
      </c>
      <c r="BQ2703" s="12">
        <f t="shared" si="2732"/>
        <v>3575</v>
      </c>
    </row>
    <row r="2704" spans="1:69">
      <c r="A2704" s="28">
        <v>1989</v>
      </c>
      <c r="B2704" s="27" t="s">
        <v>126</v>
      </c>
      <c r="C2704" s="24">
        <f t="shared" si="2709"/>
        <v>2670</v>
      </c>
      <c r="D2704" s="7" t="e">
        <f t="shared" ca="1" si="2733"/>
        <v>#N/A</v>
      </c>
      <c r="E2704" s="26">
        <f t="array" aca="1" ref="E2704" ca="1">AVERAGE(IF(INDIRECT(DatCol&amp;"$"&amp;TEXT(C2704,"###")):INDIRECT(DatCol&amp;"$"&amp;TEXT(C2704+57,"###"))&gt;0,INDIRECT(DatCol&amp;"$"&amp;TEXT(C2704,"###")):INDIRECT(DatCol&amp;"$"&amp;TEXT(C2704+57,"###"))))</f>
        <v>150.4375</v>
      </c>
      <c r="F2704" s="26" t="str">
        <f t="shared" si="2752"/>
        <v>I</v>
      </c>
      <c r="G2704" s="8">
        <v>21</v>
      </c>
      <c r="H2704" s="8">
        <v>1</v>
      </c>
      <c r="I2704" s="8">
        <v>24</v>
      </c>
      <c r="J2704" s="8">
        <v>43</v>
      </c>
      <c r="K2704" s="9">
        <f t="shared" si="2711"/>
        <v>65</v>
      </c>
      <c r="M2704" s="11">
        <f t="shared" si="2734"/>
        <v>0</v>
      </c>
      <c r="O2704" s="11">
        <f t="shared" si="2735"/>
        <v>0</v>
      </c>
      <c r="P2704" s="12">
        <v>524</v>
      </c>
      <c r="Q2704" s="11">
        <f t="shared" si="2736"/>
        <v>31440</v>
      </c>
      <c r="X2704" s="12">
        <v>20</v>
      </c>
      <c r="Y2704" s="11">
        <f t="shared" si="2737"/>
        <v>1200</v>
      </c>
      <c r="AG2704" s="11">
        <f t="shared" si="2738"/>
        <v>0</v>
      </c>
      <c r="AI2704" s="11">
        <f t="shared" si="2739"/>
        <v>0</v>
      </c>
      <c r="AK2704" s="13">
        <f t="shared" si="2740"/>
        <v>0</v>
      </c>
      <c r="AM2704" s="13">
        <f t="shared" si="2741"/>
        <v>0</v>
      </c>
      <c r="AO2704" s="11">
        <f t="shared" si="2742"/>
        <v>0</v>
      </c>
      <c r="AQ2704" s="11">
        <f t="shared" si="2743"/>
        <v>0</v>
      </c>
      <c r="AS2704" s="11">
        <f t="shared" si="2744"/>
        <v>0</v>
      </c>
      <c r="AU2704" s="11">
        <f t="shared" si="2745"/>
        <v>0</v>
      </c>
      <c r="AW2704" s="11">
        <f t="shared" si="2746"/>
        <v>0</v>
      </c>
      <c r="AY2704" s="11">
        <f t="shared" si="2747"/>
        <v>0</v>
      </c>
      <c r="BA2704" s="11">
        <f t="shared" si="2748"/>
        <v>0</v>
      </c>
      <c r="BC2704" s="11">
        <f t="shared" si="2749"/>
        <v>0</v>
      </c>
      <c r="BE2704" s="11">
        <f t="shared" si="2750"/>
        <v>0</v>
      </c>
      <c r="BG2704" s="11">
        <f t="shared" si="2751"/>
        <v>0</v>
      </c>
      <c r="BN2704" s="8">
        <f t="shared" si="2730"/>
        <v>544</v>
      </c>
      <c r="BO2704" s="8">
        <f t="shared" si="2710"/>
        <v>32640</v>
      </c>
      <c r="BP2704" s="8">
        <f t="shared" si="2731"/>
        <v>20</v>
      </c>
      <c r="BQ2704" s="12">
        <f t="shared" si="2732"/>
        <v>1200</v>
      </c>
    </row>
    <row r="2705" spans="1:69">
      <c r="A2705" s="28">
        <v>1990</v>
      </c>
      <c r="B2705" s="27" t="s">
        <v>126</v>
      </c>
      <c r="C2705" s="24">
        <f t="shared" si="2709"/>
        <v>2670</v>
      </c>
      <c r="D2705" s="7" t="e">
        <f t="shared" ca="1" si="2733"/>
        <v>#N/A</v>
      </c>
      <c r="E2705" s="26">
        <f t="array" aca="1" ref="E2705" ca="1">AVERAGE(IF(INDIRECT(DatCol&amp;"$"&amp;TEXT(C2705,"###")):INDIRECT(DatCol&amp;"$"&amp;TEXT(C2705+57,"###"))&gt;0,INDIRECT(DatCol&amp;"$"&amp;TEXT(C2705,"###")):INDIRECT(DatCol&amp;"$"&amp;TEXT(C2705+57,"###"))))</f>
        <v>150.4375</v>
      </c>
      <c r="F2705" s="26" t="str">
        <f t="shared" si="2752"/>
        <v>I</v>
      </c>
      <c r="G2705" s="8">
        <v>10</v>
      </c>
      <c r="H2705" s="8">
        <v>0</v>
      </c>
      <c r="I2705" s="8">
        <v>21</v>
      </c>
      <c r="J2705" s="8">
        <v>28</v>
      </c>
      <c r="K2705" s="9">
        <f t="shared" si="2711"/>
        <v>38</v>
      </c>
      <c r="M2705" s="11">
        <f t="shared" si="2734"/>
        <v>0</v>
      </c>
      <c r="O2705" s="11">
        <f t="shared" si="2735"/>
        <v>0</v>
      </c>
      <c r="Q2705" s="11">
        <f t="shared" si="2736"/>
        <v>0</v>
      </c>
      <c r="Y2705" s="11">
        <f t="shared" si="2737"/>
        <v>0</v>
      </c>
      <c r="AF2705" s="12">
        <v>1456</v>
      </c>
      <c r="AG2705" s="11">
        <f t="shared" si="2738"/>
        <v>94640</v>
      </c>
      <c r="AH2705" s="12">
        <v>18</v>
      </c>
      <c r="AI2705" s="11">
        <f t="shared" si="2739"/>
        <v>1170</v>
      </c>
      <c r="AK2705" s="13">
        <f t="shared" si="2740"/>
        <v>0</v>
      </c>
      <c r="AM2705" s="13">
        <f t="shared" si="2741"/>
        <v>0</v>
      </c>
      <c r="AO2705" s="11">
        <f t="shared" si="2742"/>
        <v>0</v>
      </c>
      <c r="AQ2705" s="11">
        <f t="shared" si="2743"/>
        <v>0</v>
      </c>
      <c r="AS2705" s="11">
        <f t="shared" si="2744"/>
        <v>0</v>
      </c>
      <c r="AU2705" s="11">
        <f t="shared" si="2745"/>
        <v>0</v>
      </c>
      <c r="AW2705" s="11">
        <f t="shared" si="2746"/>
        <v>0</v>
      </c>
      <c r="AY2705" s="11">
        <f t="shared" si="2747"/>
        <v>0</v>
      </c>
      <c r="BA2705" s="11">
        <f t="shared" si="2748"/>
        <v>0</v>
      </c>
      <c r="BC2705" s="11">
        <f t="shared" si="2749"/>
        <v>0</v>
      </c>
      <c r="BE2705" s="11">
        <f t="shared" si="2750"/>
        <v>0</v>
      </c>
      <c r="BG2705" s="11">
        <f t="shared" si="2751"/>
        <v>0</v>
      </c>
      <c r="BN2705" s="8">
        <f t="shared" si="2730"/>
        <v>1456</v>
      </c>
      <c r="BO2705" s="8">
        <f t="shared" si="2710"/>
        <v>94640</v>
      </c>
      <c r="BP2705" s="8">
        <f t="shared" si="2731"/>
        <v>18</v>
      </c>
      <c r="BQ2705" s="12">
        <f t="shared" si="2732"/>
        <v>1170</v>
      </c>
    </row>
    <row r="2706" spans="1:69">
      <c r="A2706" s="28">
        <v>1991</v>
      </c>
      <c r="B2706" s="27" t="s">
        <v>126</v>
      </c>
      <c r="C2706" s="24">
        <f t="shared" si="2709"/>
        <v>2670</v>
      </c>
      <c r="D2706" s="7" t="e">
        <f t="shared" ca="1" si="2733"/>
        <v>#N/A</v>
      </c>
      <c r="E2706" s="26">
        <f t="array" aca="1" ref="E2706" ca="1">AVERAGE(IF(INDIRECT(DatCol&amp;"$"&amp;TEXT(C2706,"###")):INDIRECT(DatCol&amp;"$"&amp;TEXT(C2706+57,"###"))&gt;0,INDIRECT(DatCol&amp;"$"&amp;TEXT(C2706,"###")):INDIRECT(DatCol&amp;"$"&amp;TEXT(C2706+57,"###"))))</f>
        <v>150.4375</v>
      </c>
      <c r="F2706" s="26" t="str">
        <f t="shared" si="2752"/>
        <v>I</v>
      </c>
      <c r="G2706" s="8">
        <v>10</v>
      </c>
      <c r="H2706" s="8">
        <v>0</v>
      </c>
      <c r="I2706" s="8">
        <v>33</v>
      </c>
      <c r="J2706" s="8">
        <v>19</v>
      </c>
      <c r="K2706" s="9">
        <f t="shared" si="2711"/>
        <v>29</v>
      </c>
      <c r="M2706" s="11">
        <f t="shared" si="2734"/>
        <v>0</v>
      </c>
      <c r="O2706" s="11">
        <f t="shared" si="2735"/>
        <v>0</v>
      </c>
      <c r="Q2706" s="11">
        <f t="shared" si="2736"/>
        <v>0</v>
      </c>
      <c r="Y2706" s="11">
        <f t="shared" si="2737"/>
        <v>0</v>
      </c>
      <c r="AF2706" s="12">
        <v>2070</v>
      </c>
      <c r="AG2706" s="11">
        <f t="shared" si="2738"/>
        <v>134550</v>
      </c>
      <c r="AH2706" s="12">
        <v>60</v>
      </c>
      <c r="AI2706" s="11">
        <f t="shared" si="2739"/>
        <v>3900</v>
      </c>
      <c r="AK2706" s="13">
        <f t="shared" si="2740"/>
        <v>0</v>
      </c>
      <c r="AM2706" s="13">
        <f t="shared" si="2741"/>
        <v>0</v>
      </c>
      <c r="AO2706" s="11">
        <f t="shared" si="2742"/>
        <v>0</v>
      </c>
      <c r="AQ2706" s="11">
        <f t="shared" si="2743"/>
        <v>0</v>
      </c>
      <c r="AS2706" s="11">
        <f t="shared" si="2744"/>
        <v>0</v>
      </c>
      <c r="AU2706" s="11">
        <f t="shared" si="2745"/>
        <v>0</v>
      </c>
      <c r="AW2706" s="11">
        <f t="shared" si="2746"/>
        <v>0</v>
      </c>
      <c r="AY2706" s="11">
        <f t="shared" si="2747"/>
        <v>0</v>
      </c>
      <c r="BA2706" s="11">
        <f t="shared" si="2748"/>
        <v>0</v>
      </c>
      <c r="BC2706" s="11">
        <f t="shared" si="2749"/>
        <v>0</v>
      </c>
      <c r="BE2706" s="11">
        <f t="shared" si="2750"/>
        <v>0</v>
      </c>
      <c r="BG2706" s="11">
        <f t="shared" si="2751"/>
        <v>0</v>
      </c>
      <c r="BN2706" s="8">
        <f t="shared" si="2730"/>
        <v>2070</v>
      </c>
      <c r="BO2706" s="8">
        <f t="shared" si="2710"/>
        <v>134550</v>
      </c>
      <c r="BP2706" s="8">
        <f t="shared" si="2731"/>
        <v>60</v>
      </c>
      <c r="BQ2706" s="12">
        <f t="shared" si="2732"/>
        <v>3900</v>
      </c>
    </row>
    <row r="2707" spans="1:69">
      <c r="A2707" s="28">
        <v>1992</v>
      </c>
      <c r="B2707" s="27" t="s">
        <v>126</v>
      </c>
      <c r="C2707" s="24">
        <f t="shared" si="2709"/>
        <v>2670</v>
      </c>
      <c r="D2707" s="7" t="e">
        <f t="shared" ca="1" si="2733"/>
        <v>#N/A</v>
      </c>
      <c r="E2707" s="26">
        <f t="array" aca="1" ref="E2707" ca="1">AVERAGE(IF(INDIRECT(DatCol&amp;"$"&amp;TEXT(C2707,"###")):INDIRECT(DatCol&amp;"$"&amp;TEXT(C2707+57,"###"))&gt;0,INDIRECT(DatCol&amp;"$"&amp;TEXT(C2707,"###")):INDIRECT(DatCol&amp;"$"&amp;TEXT(C2707+57,"###"))))</f>
        <v>150.4375</v>
      </c>
      <c r="F2707" s="26" t="str">
        <f t="shared" si="2752"/>
        <v>I</v>
      </c>
      <c r="G2707" s="8">
        <v>12</v>
      </c>
      <c r="H2707" s="8">
        <v>1</v>
      </c>
      <c r="I2707" s="8">
        <v>33</v>
      </c>
      <c r="J2707" s="8">
        <v>24</v>
      </c>
      <c r="K2707" s="9">
        <f t="shared" si="2711"/>
        <v>37</v>
      </c>
      <c r="L2707" s="12">
        <v>0</v>
      </c>
      <c r="M2707" s="11">
        <f t="shared" si="2734"/>
        <v>0</v>
      </c>
      <c r="N2707" s="12">
        <v>0</v>
      </c>
      <c r="O2707" s="11">
        <f t="shared" si="2735"/>
        <v>0</v>
      </c>
      <c r="P2707" s="12">
        <v>0</v>
      </c>
      <c r="Q2707" s="11">
        <f t="shared" si="2736"/>
        <v>0</v>
      </c>
      <c r="X2707" s="12">
        <v>0</v>
      </c>
      <c r="Y2707" s="11">
        <f t="shared" si="2737"/>
        <v>0</v>
      </c>
      <c r="AF2707" s="12">
        <v>1494</v>
      </c>
      <c r="AG2707" s="11">
        <f t="shared" si="2738"/>
        <v>97110</v>
      </c>
      <c r="AH2707" s="12">
        <v>37</v>
      </c>
      <c r="AI2707" s="11">
        <f t="shared" si="2739"/>
        <v>2405</v>
      </c>
      <c r="AK2707" s="13">
        <f t="shared" si="2740"/>
        <v>0</v>
      </c>
      <c r="AM2707" s="13">
        <f t="shared" si="2741"/>
        <v>0</v>
      </c>
      <c r="AO2707" s="11">
        <f t="shared" si="2742"/>
        <v>0</v>
      </c>
      <c r="AQ2707" s="11">
        <f t="shared" si="2743"/>
        <v>0</v>
      </c>
      <c r="AS2707" s="11">
        <f t="shared" si="2744"/>
        <v>0</v>
      </c>
      <c r="AU2707" s="11">
        <f t="shared" si="2745"/>
        <v>0</v>
      </c>
      <c r="AW2707" s="11">
        <f t="shared" si="2746"/>
        <v>0</v>
      </c>
      <c r="AY2707" s="11">
        <f t="shared" si="2747"/>
        <v>0</v>
      </c>
      <c r="BA2707" s="11">
        <f t="shared" si="2748"/>
        <v>0</v>
      </c>
      <c r="BC2707" s="11">
        <f t="shared" si="2749"/>
        <v>0</v>
      </c>
      <c r="BE2707" s="11">
        <f t="shared" si="2750"/>
        <v>0</v>
      </c>
      <c r="BG2707" s="11">
        <f t="shared" si="2751"/>
        <v>0</v>
      </c>
      <c r="BN2707" s="8">
        <f t="shared" si="2730"/>
        <v>1494</v>
      </c>
      <c r="BO2707" s="8">
        <f t="shared" si="2710"/>
        <v>97110</v>
      </c>
      <c r="BP2707" s="8">
        <f t="shared" si="2731"/>
        <v>37</v>
      </c>
      <c r="BQ2707" s="12">
        <f t="shared" si="2732"/>
        <v>2405</v>
      </c>
    </row>
    <row r="2708" spans="1:69">
      <c r="A2708" s="28">
        <v>1993</v>
      </c>
      <c r="B2708" s="27" t="s">
        <v>126</v>
      </c>
      <c r="C2708" s="24">
        <f t="shared" si="2709"/>
        <v>2670</v>
      </c>
      <c r="D2708" s="7" t="e">
        <f t="shared" ca="1" si="2733"/>
        <v>#N/A</v>
      </c>
      <c r="E2708" s="26">
        <f t="array" aca="1" ref="E2708" ca="1">AVERAGE(IF(INDIRECT(DatCol&amp;"$"&amp;TEXT(C2708,"###")):INDIRECT(DatCol&amp;"$"&amp;TEXT(C2708+57,"###"))&gt;0,INDIRECT(DatCol&amp;"$"&amp;TEXT(C2708,"###")):INDIRECT(DatCol&amp;"$"&amp;TEXT(C2708+57,"###"))))</f>
        <v>150.4375</v>
      </c>
      <c r="F2708" s="26" t="str">
        <f t="shared" si="2752"/>
        <v>I</v>
      </c>
      <c r="G2708" s="8">
        <v>10</v>
      </c>
      <c r="H2708" s="8">
        <v>0</v>
      </c>
      <c r="I2708" s="8">
        <v>25</v>
      </c>
      <c r="J2708" s="8">
        <v>21</v>
      </c>
      <c r="K2708" s="9">
        <f t="shared" si="2711"/>
        <v>31</v>
      </c>
      <c r="L2708" s="12">
        <v>0</v>
      </c>
      <c r="M2708" s="11">
        <f t="shared" si="2734"/>
        <v>0</v>
      </c>
      <c r="N2708" s="12">
        <v>0</v>
      </c>
      <c r="O2708" s="11">
        <f t="shared" si="2735"/>
        <v>0</v>
      </c>
      <c r="P2708" s="12">
        <v>0</v>
      </c>
      <c r="Q2708" s="11">
        <f t="shared" si="2736"/>
        <v>0</v>
      </c>
      <c r="X2708" s="12">
        <v>0</v>
      </c>
      <c r="Y2708" s="11">
        <f t="shared" si="2737"/>
        <v>0</v>
      </c>
      <c r="AF2708" s="12">
        <v>1090</v>
      </c>
      <c r="AG2708" s="11">
        <f t="shared" si="2738"/>
        <v>70850</v>
      </c>
      <c r="AH2708" s="12">
        <v>0</v>
      </c>
      <c r="AI2708" s="11">
        <f t="shared" si="2739"/>
        <v>0</v>
      </c>
      <c r="AJ2708" s="12">
        <v>0</v>
      </c>
      <c r="AK2708" s="13">
        <f t="shared" si="2740"/>
        <v>0</v>
      </c>
      <c r="AL2708" s="12">
        <v>40</v>
      </c>
      <c r="AM2708" s="13">
        <f t="shared" si="2741"/>
        <v>360</v>
      </c>
      <c r="AO2708" s="11">
        <f t="shared" si="2742"/>
        <v>0</v>
      </c>
      <c r="AQ2708" s="11">
        <f t="shared" si="2743"/>
        <v>0</v>
      </c>
      <c r="AS2708" s="11">
        <f t="shared" si="2744"/>
        <v>0</v>
      </c>
      <c r="AU2708" s="11">
        <f t="shared" si="2745"/>
        <v>0</v>
      </c>
      <c r="AW2708" s="11">
        <f t="shared" si="2746"/>
        <v>0</v>
      </c>
      <c r="AY2708" s="11">
        <f t="shared" si="2747"/>
        <v>0</v>
      </c>
      <c r="BA2708" s="11">
        <f t="shared" si="2748"/>
        <v>0</v>
      </c>
      <c r="BC2708" s="11">
        <f t="shared" si="2749"/>
        <v>0</v>
      </c>
      <c r="BE2708" s="11">
        <f t="shared" si="2750"/>
        <v>0</v>
      </c>
      <c r="BG2708" s="11">
        <f t="shared" si="2751"/>
        <v>0</v>
      </c>
      <c r="BN2708" s="8">
        <f t="shared" si="2730"/>
        <v>1090</v>
      </c>
      <c r="BO2708" s="8">
        <f t="shared" si="2710"/>
        <v>70850</v>
      </c>
      <c r="BP2708" s="8">
        <f t="shared" si="2731"/>
        <v>40</v>
      </c>
      <c r="BQ2708" s="12">
        <f t="shared" si="2732"/>
        <v>360</v>
      </c>
    </row>
    <row r="2709" spans="1:69">
      <c r="A2709" s="28">
        <v>1994</v>
      </c>
      <c r="B2709" s="27" t="s">
        <v>126</v>
      </c>
      <c r="C2709" s="24">
        <f t="shared" si="2709"/>
        <v>2670</v>
      </c>
      <c r="D2709" s="7" t="e">
        <f t="shared" ca="1" si="2733"/>
        <v>#N/A</v>
      </c>
      <c r="E2709" s="26">
        <f t="array" aca="1" ref="E2709" ca="1">AVERAGE(IF(INDIRECT(DatCol&amp;"$"&amp;TEXT(C2709,"###")):INDIRECT(DatCol&amp;"$"&amp;TEXT(C2709+57,"###"))&gt;0,INDIRECT(DatCol&amp;"$"&amp;TEXT(C2709,"###")):INDIRECT(DatCol&amp;"$"&amp;TEXT(C2709+57,"###"))))</f>
        <v>150.4375</v>
      </c>
      <c r="F2709" s="26" t="str">
        <f t="shared" si="2752"/>
        <v>I</v>
      </c>
      <c r="G2709" s="8">
        <v>6</v>
      </c>
      <c r="H2709" s="8">
        <v>0</v>
      </c>
      <c r="I2709" s="8">
        <v>25</v>
      </c>
      <c r="J2709" s="8">
        <v>20</v>
      </c>
      <c r="K2709" s="9">
        <f t="shared" si="2711"/>
        <v>26</v>
      </c>
      <c r="L2709" s="12">
        <v>0</v>
      </c>
      <c r="M2709" s="11">
        <f t="shared" ref="M2709:M2739" si="2753">(L2709*50)</f>
        <v>0</v>
      </c>
      <c r="N2709" s="12">
        <v>0</v>
      </c>
      <c r="O2709" s="11">
        <f t="shared" ref="O2709:O2739" si="2754">(N2709*50)</f>
        <v>0</v>
      </c>
      <c r="P2709" s="12">
        <v>0</v>
      </c>
      <c r="Q2709" s="11">
        <f t="shared" ref="Q2709:Q2739" si="2755">((P2709*330)/5.5)</f>
        <v>0</v>
      </c>
      <c r="X2709" s="12">
        <v>0</v>
      </c>
      <c r="Y2709" s="11">
        <f t="shared" ref="Y2709:Y2739" si="2756">((X2709*330)/5.5)</f>
        <v>0</v>
      </c>
      <c r="AF2709" s="12">
        <v>670</v>
      </c>
      <c r="AG2709" s="11">
        <f t="shared" ref="AG2709:AG2739" si="2757">(AF2709*65)</f>
        <v>43550</v>
      </c>
      <c r="AH2709" s="12">
        <v>14</v>
      </c>
      <c r="AI2709" s="11">
        <f t="shared" ref="AI2709:AI2739" si="2758">(AH2709*65)</f>
        <v>910</v>
      </c>
      <c r="AK2709" s="13">
        <f t="shared" ref="AK2709:AK2739" si="2759">(AJ2709*9)</f>
        <v>0</v>
      </c>
      <c r="AM2709" s="13">
        <f t="shared" ref="AM2709:AM2739" si="2760">(AL2709*9)</f>
        <v>0</v>
      </c>
      <c r="AO2709" s="11">
        <f t="shared" ref="AO2709:AO2739" si="2761">(AN2709*80)</f>
        <v>0</v>
      </c>
      <c r="AQ2709" s="11">
        <f t="shared" ref="AQ2709:AQ2739" si="2762">(AP2709*80)</f>
        <v>0</v>
      </c>
      <c r="AS2709" s="11">
        <f t="shared" ref="AS2709:AS2739" si="2763">(AR2709*50)</f>
        <v>0</v>
      </c>
      <c r="AU2709" s="11">
        <f t="shared" ref="AU2709:AU2739" si="2764">(AT2709*50)</f>
        <v>0</v>
      </c>
      <c r="AW2709" s="11">
        <f t="shared" ref="AW2709:AW2739" si="2765">(AV2709*60)</f>
        <v>0</v>
      </c>
      <c r="AY2709" s="11">
        <f t="shared" ref="AY2709:AY2739" si="2766">(AX2709*60)</f>
        <v>0</v>
      </c>
      <c r="BA2709" s="11">
        <f t="shared" ref="BA2709:BA2739" si="2767">(AZ2709*40)</f>
        <v>0</v>
      </c>
      <c r="BC2709" s="11">
        <f t="shared" ref="BC2709:BC2739" si="2768">(BB2709*40)</f>
        <v>0</v>
      </c>
      <c r="BE2709" s="11">
        <f t="shared" ref="BE2709:BE2739" si="2769">(BD2709*95)</f>
        <v>0</v>
      </c>
      <c r="BG2709" s="11">
        <f t="shared" ref="BG2709:BG2739" si="2770">(BF2709*95)</f>
        <v>0</v>
      </c>
      <c r="BN2709" s="8">
        <f t="shared" si="2730"/>
        <v>670</v>
      </c>
      <c r="BO2709" s="8">
        <f t="shared" si="2710"/>
        <v>43550</v>
      </c>
      <c r="BP2709" s="8">
        <f t="shared" si="2731"/>
        <v>14</v>
      </c>
      <c r="BQ2709" s="12">
        <f t="shared" si="2732"/>
        <v>910</v>
      </c>
    </row>
    <row r="2710" spans="1:69">
      <c r="A2710" s="28">
        <v>1995</v>
      </c>
      <c r="B2710" s="27" t="s">
        <v>126</v>
      </c>
      <c r="C2710" s="24">
        <f t="shared" si="2709"/>
        <v>2670</v>
      </c>
      <c r="D2710" s="7" t="e">
        <f t="shared" ca="1" si="2733"/>
        <v>#N/A</v>
      </c>
      <c r="E2710" s="26">
        <f t="array" aca="1" ref="E2710" ca="1">AVERAGE(IF(INDIRECT(DatCol&amp;"$"&amp;TEXT(C2710,"###")):INDIRECT(DatCol&amp;"$"&amp;TEXT(C2710+57,"###"))&gt;0,INDIRECT(DatCol&amp;"$"&amp;TEXT(C2710,"###")):INDIRECT(DatCol&amp;"$"&amp;TEXT(C2710+57,"###"))))</f>
        <v>150.4375</v>
      </c>
      <c r="F2710" s="26" t="str">
        <f t="shared" si="2752"/>
        <v>I</v>
      </c>
      <c r="G2710" s="9">
        <v>14</v>
      </c>
      <c r="H2710" s="9">
        <v>2</v>
      </c>
      <c r="I2710" s="9">
        <v>13</v>
      </c>
      <c r="J2710" s="9">
        <v>32</v>
      </c>
      <c r="K2710" s="9">
        <f t="shared" si="2711"/>
        <v>48</v>
      </c>
      <c r="L2710" s="10">
        <v>1638</v>
      </c>
      <c r="M2710" s="11">
        <f t="shared" si="2753"/>
        <v>81900</v>
      </c>
      <c r="N2710" s="10">
        <v>0</v>
      </c>
      <c r="O2710" s="11">
        <f t="shared" si="2754"/>
        <v>0</v>
      </c>
      <c r="P2710" s="10">
        <v>0</v>
      </c>
      <c r="Q2710" s="11">
        <f t="shared" si="2755"/>
        <v>0</v>
      </c>
      <c r="X2710" s="10">
        <v>0</v>
      </c>
      <c r="Y2710" s="11">
        <f t="shared" si="2756"/>
        <v>0</v>
      </c>
      <c r="AF2710" s="10">
        <v>0</v>
      </c>
      <c r="AG2710" s="11">
        <f t="shared" si="2757"/>
        <v>0</v>
      </c>
      <c r="AH2710" s="10">
        <v>35</v>
      </c>
      <c r="AI2710" s="11">
        <f t="shared" si="2758"/>
        <v>2275</v>
      </c>
      <c r="AK2710" s="13">
        <f t="shared" si="2759"/>
        <v>0</v>
      </c>
      <c r="AM2710" s="13">
        <f t="shared" si="2760"/>
        <v>0</v>
      </c>
      <c r="AO2710" s="11">
        <f t="shared" si="2761"/>
        <v>0</v>
      </c>
      <c r="AQ2710" s="11">
        <f t="shared" si="2762"/>
        <v>0</v>
      </c>
      <c r="AS2710" s="11">
        <f t="shared" si="2763"/>
        <v>0</v>
      </c>
      <c r="AU2710" s="11">
        <f t="shared" si="2764"/>
        <v>0</v>
      </c>
      <c r="AW2710" s="11">
        <f t="shared" si="2765"/>
        <v>0</v>
      </c>
      <c r="AY2710" s="11">
        <f t="shared" si="2766"/>
        <v>0</v>
      </c>
      <c r="BA2710" s="11">
        <f t="shared" si="2767"/>
        <v>0</v>
      </c>
      <c r="BC2710" s="11">
        <f t="shared" si="2768"/>
        <v>0</v>
      </c>
      <c r="BE2710" s="11">
        <f t="shared" si="2769"/>
        <v>0</v>
      </c>
      <c r="BG2710" s="11">
        <f t="shared" si="2770"/>
        <v>0</v>
      </c>
      <c r="BN2710" s="8">
        <f t="shared" si="2730"/>
        <v>1638</v>
      </c>
      <c r="BO2710" s="8">
        <f t="shared" si="2710"/>
        <v>81900</v>
      </c>
      <c r="BP2710" s="8">
        <f t="shared" si="2731"/>
        <v>35</v>
      </c>
      <c r="BQ2710" s="12">
        <f t="shared" si="2732"/>
        <v>2275</v>
      </c>
    </row>
    <row r="2711" spans="1:69">
      <c r="A2711" s="28">
        <v>1996</v>
      </c>
      <c r="B2711" s="27" t="s">
        <v>126</v>
      </c>
      <c r="C2711" s="24">
        <f t="shared" si="2709"/>
        <v>2670</v>
      </c>
      <c r="D2711" s="7" t="e">
        <f t="shared" ca="1" si="2733"/>
        <v>#N/A</v>
      </c>
      <c r="E2711" s="26">
        <f t="array" aca="1" ref="E2711" ca="1">AVERAGE(IF(INDIRECT(DatCol&amp;"$"&amp;TEXT(C2711,"###")):INDIRECT(DatCol&amp;"$"&amp;TEXT(C2711+57,"###"))&gt;0,INDIRECT(DatCol&amp;"$"&amp;TEXT(C2711,"###")):INDIRECT(DatCol&amp;"$"&amp;TEXT(C2711+57,"###"))))</f>
        <v>150.4375</v>
      </c>
      <c r="F2711" s="26" t="str">
        <f t="shared" si="2752"/>
        <v>I</v>
      </c>
      <c r="G2711" s="9">
        <v>6</v>
      </c>
      <c r="H2711" s="9">
        <v>0</v>
      </c>
      <c r="I2711" s="9">
        <v>12</v>
      </c>
      <c r="J2711" s="9">
        <v>26</v>
      </c>
      <c r="K2711" s="9">
        <f t="shared" si="2711"/>
        <v>32</v>
      </c>
      <c r="L2711" s="10">
        <v>0</v>
      </c>
      <c r="M2711" s="11">
        <f t="shared" si="2753"/>
        <v>0</v>
      </c>
      <c r="N2711" s="10">
        <v>0</v>
      </c>
      <c r="O2711" s="11">
        <f t="shared" si="2754"/>
        <v>0</v>
      </c>
      <c r="P2711" s="10">
        <v>0</v>
      </c>
      <c r="Q2711" s="11">
        <f t="shared" si="2755"/>
        <v>0</v>
      </c>
      <c r="X2711" s="10">
        <v>0</v>
      </c>
      <c r="Y2711" s="11">
        <f t="shared" si="2756"/>
        <v>0</v>
      </c>
      <c r="AF2711" s="10">
        <v>2120</v>
      </c>
      <c r="AG2711" s="11">
        <f t="shared" si="2757"/>
        <v>137800</v>
      </c>
      <c r="AH2711" s="10">
        <v>32</v>
      </c>
      <c r="AI2711" s="11">
        <f t="shared" si="2758"/>
        <v>2080</v>
      </c>
      <c r="AK2711" s="13">
        <f t="shared" si="2759"/>
        <v>0</v>
      </c>
      <c r="AM2711" s="13">
        <f t="shared" si="2760"/>
        <v>0</v>
      </c>
      <c r="AO2711" s="11">
        <f t="shared" si="2761"/>
        <v>0</v>
      </c>
      <c r="AQ2711" s="11">
        <f t="shared" si="2762"/>
        <v>0</v>
      </c>
      <c r="AS2711" s="11">
        <f t="shared" si="2763"/>
        <v>0</v>
      </c>
      <c r="AU2711" s="11">
        <f t="shared" si="2764"/>
        <v>0</v>
      </c>
      <c r="AW2711" s="11">
        <f t="shared" si="2765"/>
        <v>0</v>
      </c>
      <c r="AY2711" s="11">
        <f t="shared" si="2766"/>
        <v>0</v>
      </c>
      <c r="BA2711" s="11">
        <f t="shared" si="2767"/>
        <v>0</v>
      </c>
      <c r="BC2711" s="11">
        <f t="shared" si="2768"/>
        <v>0</v>
      </c>
      <c r="BE2711" s="11">
        <f t="shared" si="2769"/>
        <v>0</v>
      </c>
      <c r="BG2711" s="11">
        <f t="shared" si="2770"/>
        <v>0</v>
      </c>
      <c r="BN2711" s="8">
        <f t="shared" si="2730"/>
        <v>2120</v>
      </c>
      <c r="BO2711" s="8">
        <f t="shared" si="2710"/>
        <v>137800</v>
      </c>
      <c r="BP2711" s="8">
        <f t="shared" si="2731"/>
        <v>32</v>
      </c>
      <c r="BQ2711" s="12">
        <f t="shared" si="2732"/>
        <v>2080</v>
      </c>
    </row>
    <row r="2712" spans="1:69">
      <c r="A2712" s="28">
        <v>1997</v>
      </c>
      <c r="B2712" s="27" t="s">
        <v>126</v>
      </c>
      <c r="C2712" s="24">
        <f t="shared" si="2709"/>
        <v>2670</v>
      </c>
      <c r="D2712" s="7" t="e">
        <f t="shared" ca="1" si="2733"/>
        <v>#N/A</v>
      </c>
      <c r="E2712" s="26">
        <f t="array" aca="1" ref="E2712" ca="1">AVERAGE(IF(INDIRECT(DatCol&amp;"$"&amp;TEXT(C2712,"###")):INDIRECT(DatCol&amp;"$"&amp;TEXT(C2712+57,"###"))&gt;0,INDIRECT(DatCol&amp;"$"&amp;TEXT(C2712,"###")):INDIRECT(DatCol&amp;"$"&amp;TEXT(C2712+57,"###"))))</f>
        <v>150.4375</v>
      </c>
      <c r="F2712" s="26" t="str">
        <f t="shared" si="2752"/>
        <v>I</v>
      </c>
      <c r="G2712" s="9">
        <v>10</v>
      </c>
      <c r="H2712" s="9">
        <v>0</v>
      </c>
      <c r="I2712" s="9">
        <v>14</v>
      </c>
      <c r="J2712" s="9">
        <v>20</v>
      </c>
      <c r="K2712" s="9">
        <f t="shared" si="2711"/>
        <v>30</v>
      </c>
      <c r="L2712" s="10">
        <v>0</v>
      </c>
      <c r="M2712" s="11">
        <f t="shared" si="2753"/>
        <v>0</v>
      </c>
      <c r="N2712" s="10">
        <v>0</v>
      </c>
      <c r="O2712" s="11">
        <f t="shared" si="2754"/>
        <v>0</v>
      </c>
      <c r="P2712" s="10">
        <v>0</v>
      </c>
      <c r="Q2712" s="11">
        <f t="shared" si="2755"/>
        <v>0</v>
      </c>
      <c r="X2712" s="10">
        <v>0</v>
      </c>
      <c r="Y2712" s="11">
        <f t="shared" si="2756"/>
        <v>0</v>
      </c>
      <c r="AF2712" s="10">
        <v>1180</v>
      </c>
      <c r="AG2712" s="11">
        <f t="shared" si="2757"/>
        <v>76700</v>
      </c>
      <c r="AH2712" s="10">
        <v>50</v>
      </c>
      <c r="AI2712" s="11">
        <f t="shared" si="2758"/>
        <v>3250</v>
      </c>
      <c r="AK2712" s="13">
        <f t="shared" si="2759"/>
        <v>0</v>
      </c>
      <c r="AM2712" s="13">
        <f t="shared" si="2760"/>
        <v>0</v>
      </c>
      <c r="AO2712" s="11">
        <f t="shared" si="2761"/>
        <v>0</v>
      </c>
      <c r="AQ2712" s="11">
        <f t="shared" si="2762"/>
        <v>0</v>
      </c>
      <c r="AS2712" s="11">
        <f t="shared" si="2763"/>
        <v>0</v>
      </c>
      <c r="AU2712" s="11">
        <f t="shared" si="2764"/>
        <v>0</v>
      </c>
      <c r="AW2712" s="11">
        <f t="shared" si="2765"/>
        <v>0</v>
      </c>
      <c r="AY2712" s="11">
        <f t="shared" si="2766"/>
        <v>0</v>
      </c>
      <c r="BA2712" s="11">
        <f t="shared" si="2767"/>
        <v>0</v>
      </c>
      <c r="BC2712" s="11">
        <f t="shared" si="2768"/>
        <v>0</v>
      </c>
      <c r="BE2712" s="11">
        <f t="shared" si="2769"/>
        <v>0</v>
      </c>
      <c r="BG2712" s="11">
        <f t="shared" si="2770"/>
        <v>0</v>
      </c>
      <c r="BN2712" s="8">
        <f t="shared" si="2730"/>
        <v>1180</v>
      </c>
      <c r="BO2712" s="8">
        <f t="shared" si="2710"/>
        <v>76700</v>
      </c>
      <c r="BP2712" s="8">
        <f t="shared" si="2731"/>
        <v>50</v>
      </c>
      <c r="BQ2712" s="12">
        <f t="shared" si="2732"/>
        <v>3250</v>
      </c>
    </row>
    <row r="2713" spans="1:69">
      <c r="A2713" s="28">
        <v>1998</v>
      </c>
      <c r="B2713" s="27" t="s">
        <v>126</v>
      </c>
      <c r="C2713" s="24">
        <f t="shared" si="2709"/>
        <v>2670</v>
      </c>
      <c r="D2713" s="7" t="e">
        <f t="shared" ca="1" si="2733"/>
        <v>#N/A</v>
      </c>
      <c r="E2713" s="26">
        <f t="array" aca="1" ref="E2713" ca="1">AVERAGE(IF(INDIRECT(DatCol&amp;"$"&amp;TEXT(C2713,"###")):INDIRECT(DatCol&amp;"$"&amp;TEXT(C2713+57,"###"))&gt;0,INDIRECT(DatCol&amp;"$"&amp;TEXT(C2713,"###")):INDIRECT(DatCol&amp;"$"&amp;TEXT(C2713+57,"###"))))</f>
        <v>150.4375</v>
      </c>
      <c r="F2713" s="26" t="str">
        <f t="shared" si="2752"/>
        <v>I</v>
      </c>
      <c r="G2713" s="9">
        <v>10</v>
      </c>
      <c r="H2713" s="9">
        <v>0</v>
      </c>
      <c r="I2713" s="9">
        <v>11</v>
      </c>
      <c r="J2713" s="9">
        <v>29</v>
      </c>
      <c r="K2713" s="9">
        <f t="shared" si="2711"/>
        <v>39</v>
      </c>
      <c r="L2713" s="10">
        <v>0</v>
      </c>
      <c r="M2713" s="11">
        <v>0</v>
      </c>
      <c r="N2713" s="10">
        <v>0</v>
      </c>
      <c r="O2713" s="11">
        <v>0</v>
      </c>
      <c r="P2713" s="10">
        <v>0</v>
      </c>
      <c r="Q2713" s="11">
        <v>0</v>
      </c>
      <c r="R2713" s="10">
        <v>0</v>
      </c>
      <c r="S2713" s="11">
        <v>0</v>
      </c>
      <c r="T2713" s="10">
        <v>0</v>
      </c>
      <c r="U2713" s="11">
        <v>0</v>
      </c>
      <c r="V2713" s="10">
        <v>0</v>
      </c>
      <c r="W2713" s="11">
        <v>0</v>
      </c>
      <c r="X2713" s="10">
        <v>0</v>
      </c>
      <c r="Y2713" s="11">
        <v>0</v>
      </c>
      <c r="Z2713" s="10">
        <v>0</v>
      </c>
      <c r="AA2713" s="11">
        <v>0</v>
      </c>
      <c r="AB2713" s="10">
        <v>0</v>
      </c>
      <c r="AC2713" s="11">
        <v>0</v>
      </c>
      <c r="AD2713" s="10">
        <v>0</v>
      </c>
      <c r="AE2713" s="11">
        <v>0</v>
      </c>
      <c r="AF2713" s="10">
        <f>(AG2713/50)</f>
        <v>1915</v>
      </c>
      <c r="AG2713" s="11">
        <v>95750</v>
      </c>
      <c r="AH2713" s="10">
        <f>(AI2713/65)</f>
        <v>37.692307692307693</v>
      </c>
      <c r="AI2713" s="11">
        <v>2450</v>
      </c>
      <c r="AK2713" s="13"/>
      <c r="AM2713" s="13"/>
      <c r="BN2713" s="8">
        <f t="shared" si="2730"/>
        <v>1915</v>
      </c>
      <c r="BO2713" s="8">
        <f t="shared" si="2710"/>
        <v>95750</v>
      </c>
      <c r="BP2713" s="8">
        <f t="shared" si="2731"/>
        <v>37.692307692307693</v>
      </c>
      <c r="BQ2713" s="12">
        <f t="shared" si="2732"/>
        <v>2450</v>
      </c>
    </row>
    <row r="2714" spans="1:69">
      <c r="A2714" s="28">
        <v>1999</v>
      </c>
      <c r="B2714" s="27" t="s">
        <v>126</v>
      </c>
      <c r="C2714" s="24">
        <f t="shared" si="2709"/>
        <v>2670</v>
      </c>
      <c r="D2714" s="7" t="e">
        <f t="shared" ca="1" si="2733"/>
        <v>#N/A</v>
      </c>
      <c r="E2714" s="26">
        <f t="array" aca="1" ref="E2714" ca="1">AVERAGE(IF(INDIRECT(DatCol&amp;"$"&amp;TEXT(C2714,"###")):INDIRECT(DatCol&amp;"$"&amp;TEXT(C2714+57,"###"))&gt;0,INDIRECT(DatCol&amp;"$"&amp;TEXT(C2714,"###")):INDIRECT(DatCol&amp;"$"&amp;TEXT(C2714+57,"###"))))</f>
        <v>150.4375</v>
      </c>
      <c r="F2714" s="26" t="str">
        <f t="shared" si="2752"/>
        <v>I</v>
      </c>
      <c r="G2714" s="9">
        <v>8</v>
      </c>
      <c r="H2714" s="9">
        <v>0</v>
      </c>
      <c r="I2714" s="9">
        <v>9</v>
      </c>
      <c r="J2714" s="9">
        <v>35</v>
      </c>
      <c r="K2714" s="9">
        <f t="shared" si="2711"/>
        <v>43</v>
      </c>
      <c r="L2714" s="10">
        <v>0</v>
      </c>
      <c r="M2714" s="11">
        <v>0</v>
      </c>
      <c r="N2714" s="10">
        <v>0</v>
      </c>
      <c r="O2714" s="11">
        <v>0</v>
      </c>
      <c r="P2714" s="10">
        <v>0</v>
      </c>
      <c r="Q2714" s="11">
        <v>0</v>
      </c>
      <c r="R2714" s="10">
        <v>0</v>
      </c>
      <c r="S2714" s="11">
        <v>0</v>
      </c>
      <c r="T2714" s="10">
        <v>0</v>
      </c>
      <c r="U2714" s="11">
        <v>0</v>
      </c>
      <c r="V2714" s="10">
        <v>0</v>
      </c>
      <c r="W2714" s="11">
        <v>0</v>
      </c>
      <c r="X2714" s="10">
        <v>0</v>
      </c>
      <c r="Y2714" s="11">
        <v>0</v>
      </c>
      <c r="Z2714" s="10">
        <v>0</v>
      </c>
      <c r="AA2714" s="11">
        <v>0</v>
      </c>
      <c r="AB2714" s="10">
        <v>0</v>
      </c>
      <c r="AC2714" s="11">
        <v>0</v>
      </c>
      <c r="AD2714" s="10">
        <v>0</v>
      </c>
      <c r="AE2714" s="11">
        <v>0</v>
      </c>
      <c r="AF2714" s="10">
        <f>AG2714/50</f>
        <v>1680</v>
      </c>
      <c r="AG2714" s="11">
        <v>84000</v>
      </c>
      <c r="AH2714" s="10">
        <f>AI2714/50</f>
        <v>172</v>
      </c>
      <c r="AI2714" s="11">
        <v>8600</v>
      </c>
      <c r="AK2714" s="13"/>
      <c r="AM2714" s="13"/>
      <c r="BN2714" s="8">
        <f t="shared" si="2730"/>
        <v>1680</v>
      </c>
      <c r="BO2714" s="8">
        <f t="shared" si="2710"/>
        <v>84000</v>
      </c>
      <c r="BP2714" s="8">
        <f t="shared" si="2731"/>
        <v>172</v>
      </c>
      <c r="BQ2714" s="12">
        <f t="shared" si="2732"/>
        <v>8600</v>
      </c>
    </row>
    <row r="2715" spans="1:69">
      <c r="A2715" s="28">
        <v>2000</v>
      </c>
      <c r="B2715" s="27" t="s">
        <v>126</v>
      </c>
      <c r="C2715" s="24">
        <f t="shared" si="2709"/>
        <v>2670</v>
      </c>
      <c r="D2715" s="7" t="e">
        <f t="shared" ca="1" si="2733"/>
        <v>#N/A</v>
      </c>
      <c r="E2715" s="26">
        <f t="array" aca="1" ref="E2715" ca="1">AVERAGE(IF(INDIRECT(DatCol&amp;"$"&amp;TEXT(C2715,"###")):INDIRECT(DatCol&amp;"$"&amp;TEXT(C2715+57,"###"))&gt;0,INDIRECT(DatCol&amp;"$"&amp;TEXT(C2715,"###")):INDIRECT(DatCol&amp;"$"&amp;TEXT(C2715+57,"###"))))</f>
        <v>150.4375</v>
      </c>
      <c r="F2715" s="26" t="str">
        <f t="shared" si="2752"/>
        <v>I</v>
      </c>
      <c r="G2715" s="9">
        <v>9</v>
      </c>
      <c r="H2715" s="9">
        <v>0</v>
      </c>
      <c r="I2715" s="9">
        <v>11</v>
      </c>
      <c r="J2715" s="9">
        <v>21</v>
      </c>
      <c r="K2715" s="9">
        <f t="shared" si="2711"/>
        <v>30</v>
      </c>
      <c r="L2715" s="10">
        <v>0</v>
      </c>
      <c r="M2715" s="11">
        <v>0</v>
      </c>
      <c r="N2715" s="10">
        <v>0</v>
      </c>
      <c r="O2715" s="11">
        <v>0</v>
      </c>
      <c r="P2715" s="10">
        <v>0</v>
      </c>
      <c r="Q2715" s="11">
        <v>0</v>
      </c>
      <c r="R2715" s="10">
        <v>0</v>
      </c>
      <c r="S2715" s="11">
        <v>0</v>
      </c>
      <c r="T2715" s="10">
        <v>0</v>
      </c>
      <c r="U2715" s="11">
        <v>0</v>
      </c>
      <c r="V2715" s="10">
        <v>0</v>
      </c>
      <c r="W2715" s="11">
        <v>0</v>
      </c>
      <c r="X2715" s="10">
        <v>0</v>
      </c>
      <c r="Y2715" s="11">
        <v>0</v>
      </c>
      <c r="Z2715" s="10">
        <v>0</v>
      </c>
      <c r="AA2715" s="11">
        <v>0</v>
      </c>
      <c r="AB2715" s="10">
        <v>0</v>
      </c>
      <c r="AC2715" s="11">
        <v>0</v>
      </c>
      <c r="AD2715" s="10">
        <v>0</v>
      </c>
      <c r="AE2715" s="11">
        <v>0</v>
      </c>
      <c r="AF2715" s="10">
        <f>AG2715/47.5</f>
        <v>1473.6842105263158</v>
      </c>
      <c r="AG2715" s="11">
        <v>70000</v>
      </c>
      <c r="AH2715" s="10">
        <f>AI2715/47.5</f>
        <v>21.05263157894737</v>
      </c>
      <c r="AI2715" s="11">
        <v>1000</v>
      </c>
      <c r="AJ2715" s="10">
        <v>0</v>
      </c>
      <c r="AK2715" s="13">
        <v>0</v>
      </c>
      <c r="AL2715" s="10">
        <v>0</v>
      </c>
      <c r="AM2715" s="13">
        <v>0</v>
      </c>
      <c r="AN2715" s="10">
        <v>0</v>
      </c>
      <c r="AO2715" s="11">
        <v>0</v>
      </c>
      <c r="AP2715" s="10">
        <v>0</v>
      </c>
      <c r="AQ2715" s="11">
        <v>0</v>
      </c>
      <c r="AR2715" s="10">
        <v>0</v>
      </c>
      <c r="AS2715" s="11">
        <v>0</v>
      </c>
      <c r="AT2715" s="10">
        <v>0</v>
      </c>
      <c r="AU2715" s="11">
        <v>0</v>
      </c>
      <c r="AV2715" s="10">
        <v>0</v>
      </c>
      <c r="AW2715" s="11">
        <v>0</v>
      </c>
      <c r="AX2715" s="10">
        <v>0</v>
      </c>
      <c r="AY2715" s="11">
        <v>0</v>
      </c>
      <c r="AZ2715" s="10">
        <v>0</v>
      </c>
      <c r="BN2715" s="8">
        <f t="shared" si="2730"/>
        <v>1473.6842105263158</v>
      </c>
      <c r="BO2715" s="8">
        <f t="shared" si="2710"/>
        <v>70000</v>
      </c>
      <c r="BP2715" s="8">
        <f t="shared" si="2731"/>
        <v>21.05263157894737</v>
      </c>
      <c r="BQ2715" s="12">
        <f t="shared" si="2732"/>
        <v>1000</v>
      </c>
    </row>
    <row r="2716" spans="1:69">
      <c r="A2716" s="28">
        <v>2001</v>
      </c>
      <c r="B2716" s="27" t="s">
        <v>126</v>
      </c>
      <c r="C2716" s="24">
        <f t="shared" si="2709"/>
        <v>2670</v>
      </c>
      <c r="D2716" s="7" t="e">
        <f t="shared" ca="1" si="2733"/>
        <v>#N/A</v>
      </c>
      <c r="E2716" s="26">
        <f t="array" aca="1" ref="E2716" ca="1">AVERAGE(IF(INDIRECT(DatCol&amp;"$"&amp;TEXT(C2716,"###")):INDIRECT(DatCol&amp;"$"&amp;TEXT(C2716+57,"###"))&gt;0,INDIRECT(DatCol&amp;"$"&amp;TEXT(C2716,"###")):INDIRECT(DatCol&amp;"$"&amp;TEXT(C2716+57,"###"))))</f>
        <v>150.4375</v>
      </c>
      <c r="F2716" s="26" t="str">
        <f t="shared" si="2752"/>
        <v>I</v>
      </c>
      <c r="G2716" s="9">
        <v>0</v>
      </c>
      <c r="H2716" s="9">
        <v>0</v>
      </c>
      <c r="I2716" s="9">
        <v>19</v>
      </c>
      <c r="J2716" s="9">
        <v>24</v>
      </c>
      <c r="K2716" s="9">
        <f t="shared" si="2711"/>
        <v>24</v>
      </c>
      <c r="L2716" s="10">
        <v>0</v>
      </c>
      <c r="M2716" s="11">
        <v>0</v>
      </c>
      <c r="N2716" s="10">
        <v>0</v>
      </c>
      <c r="O2716" s="11">
        <v>0</v>
      </c>
      <c r="P2716" s="10">
        <v>0</v>
      </c>
      <c r="Q2716" s="11">
        <v>0</v>
      </c>
      <c r="R2716" s="10">
        <v>0</v>
      </c>
      <c r="S2716" s="11">
        <v>0</v>
      </c>
      <c r="T2716" s="10">
        <v>0</v>
      </c>
      <c r="U2716" s="11">
        <v>0</v>
      </c>
      <c r="V2716" s="10">
        <v>0</v>
      </c>
      <c r="W2716" s="11">
        <v>0</v>
      </c>
      <c r="X2716" s="10">
        <v>0</v>
      </c>
      <c r="Y2716" s="11">
        <v>0</v>
      </c>
      <c r="Z2716" s="10">
        <v>0</v>
      </c>
      <c r="AA2716" s="11">
        <v>0</v>
      </c>
      <c r="AB2716" s="10">
        <v>0</v>
      </c>
      <c r="AC2716" s="11">
        <v>0</v>
      </c>
      <c r="AD2716" s="10">
        <v>0</v>
      </c>
      <c r="AE2716" s="11">
        <v>0</v>
      </c>
      <c r="AF2716" s="10">
        <f>AG2716/47.5</f>
        <v>162.10526315789474</v>
      </c>
      <c r="AG2716" s="11">
        <v>7700</v>
      </c>
      <c r="AH2716" s="10">
        <f>AI2716/47.5</f>
        <v>184.21052631578948</v>
      </c>
      <c r="AI2716" s="11">
        <v>8750</v>
      </c>
      <c r="AJ2716" s="10">
        <v>0</v>
      </c>
      <c r="AK2716" s="13">
        <v>0</v>
      </c>
      <c r="AL2716" s="10">
        <v>0</v>
      </c>
      <c r="AM2716" s="13">
        <v>0</v>
      </c>
      <c r="AN2716" s="10">
        <v>0</v>
      </c>
      <c r="AO2716" s="11">
        <v>0</v>
      </c>
      <c r="AP2716" s="10">
        <v>0</v>
      </c>
      <c r="AQ2716" s="11">
        <v>0</v>
      </c>
      <c r="AR2716" s="10">
        <v>0</v>
      </c>
      <c r="AS2716" s="11">
        <v>0</v>
      </c>
      <c r="AT2716" s="10">
        <v>0</v>
      </c>
      <c r="AU2716" s="11">
        <v>0</v>
      </c>
      <c r="AV2716" s="10">
        <v>0</v>
      </c>
      <c r="AW2716" s="11">
        <v>0</v>
      </c>
      <c r="AX2716" s="10">
        <v>0</v>
      </c>
      <c r="AY2716" s="11">
        <v>0</v>
      </c>
      <c r="AZ2716" s="10">
        <v>0</v>
      </c>
      <c r="BN2716" s="8">
        <f t="shared" si="2730"/>
        <v>162.10526315789474</v>
      </c>
      <c r="BO2716" s="8">
        <f t="shared" si="2710"/>
        <v>7700</v>
      </c>
      <c r="BP2716" s="8">
        <f t="shared" si="2731"/>
        <v>184.21052631578948</v>
      </c>
      <c r="BQ2716" s="12">
        <f t="shared" si="2732"/>
        <v>8750</v>
      </c>
    </row>
    <row r="2717" spans="1:69">
      <c r="A2717" s="28">
        <v>2002</v>
      </c>
      <c r="B2717" s="27" t="s">
        <v>126</v>
      </c>
      <c r="C2717" s="24">
        <f t="shared" si="2709"/>
        <v>2670</v>
      </c>
      <c r="D2717" s="7" t="e">
        <f t="shared" ca="1" si="2733"/>
        <v>#N/A</v>
      </c>
      <c r="E2717" s="26">
        <f t="array" aca="1" ref="E2717" ca="1">AVERAGE(IF(INDIRECT(DatCol&amp;"$"&amp;TEXT(C2717,"###")):INDIRECT(DatCol&amp;"$"&amp;TEXT(C2717+57,"###"))&gt;0,INDIRECT(DatCol&amp;"$"&amp;TEXT(C2717,"###")):INDIRECT(DatCol&amp;"$"&amp;TEXT(C2717+57,"###"))))</f>
        <v>150.4375</v>
      </c>
      <c r="F2717" s="26" t="str">
        <f t="shared" si="2752"/>
        <v>I</v>
      </c>
      <c r="G2717" s="9">
        <v>0</v>
      </c>
      <c r="H2717" s="9">
        <v>0</v>
      </c>
      <c r="I2717" s="9">
        <v>14</v>
      </c>
      <c r="J2717" s="9">
        <v>30</v>
      </c>
      <c r="K2717" s="9">
        <f t="shared" si="2711"/>
        <v>30</v>
      </c>
      <c r="L2717" s="10">
        <f>M2717/50</f>
        <v>1350</v>
      </c>
      <c r="M2717" s="11">
        <v>67500</v>
      </c>
      <c r="N2717" s="10">
        <f>O2717/50</f>
        <v>30</v>
      </c>
      <c r="O2717" s="11">
        <v>1500</v>
      </c>
      <c r="P2717" s="10">
        <v>0</v>
      </c>
      <c r="Q2717" s="11">
        <v>0</v>
      </c>
      <c r="AK2717" s="13"/>
      <c r="AM2717" s="13"/>
      <c r="BN2717" s="8">
        <f t="shared" si="2730"/>
        <v>1350</v>
      </c>
      <c r="BO2717" s="8">
        <f t="shared" si="2710"/>
        <v>67500</v>
      </c>
      <c r="BP2717" s="8">
        <f t="shared" si="2731"/>
        <v>30</v>
      </c>
      <c r="BQ2717" s="12">
        <f t="shared" si="2732"/>
        <v>1500</v>
      </c>
    </row>
    <row r="2718" spans="1:69">
      <c r="A2718" s="28">
        <v>2003</v>
      </c>
      <c r="B2718" s="27" t="s">
        <v>126</v>
      </c>
      <c r="C2718" s="24">
        <f t="shared" si="2709"/>
        <v>2670</v>
      </c>
      <c r="D2718" s="7" t="e">
        <f t="shared" ca="1" si="2733"/>
        <v>#N/A</v>
      </c>
      <c r="E2718" s="26">
        <f t="array" aca="1" ref="E2718" ca="1">AVERAGE(IF(INDIRECT(DatCol&amp;"$"&amp;TEXT(C2718,"###")):INDIRECT(DatCol&amp;"$"&amp;TEXT(C2718+57,"###"))&gt;0,INDIRECT(DatCol&amp;"$"&amp;TEXT(C2718,"###")):INDIRECT(DatCol&amp;"$"&amp;TEXT(C2718+57,"###"))))</f>
        <v>150.4375</v>
      </c>
      <c r="F2718" s="26" t="str">
        <f t="shared" si="2752"/>
        <v>I</v>
      </c>
      <c r="K2718" s="9">
        <f t="shared" si="2711"/>
        <v>0</v>
      </c>
      <c r="AK2718" s="13"/>
      <c r="AM2718" s="13"/>
      <c r="BN2718" s="8">
        <f t="shared" si="2730"/>
        <v>0</v>
      </c>
      <c r="BO2718" s="8">
        <f t="shared" si="2710"/>
        <v>0</v>
      </c>
      <c r="BP2718" s="8">
        <f t="shared" si="2731"/>
        <v>0</v>
      </c>
      <c r="BQ2718" s="12">
        <f t="shared" si="2732"/>
        <v>0</v>
      </c>
    </row>
    <row r="2719" spans="1:69">
      <c r="A2719" s="28">
        <v>2004</v>
      </c>
      <c r="B2719" s="27" t="s">
        <v>126</v>
      </c>
      <c r="C2719" s="24">
        <f t="shared" si="2709"/>
        <v>2670</v>
      </c>
      <c r="D2719" s="7" t="e">
        <f t="shared" ca="1" si="2733"/>
        <v>#N/A</v>
      </c>
      <c r="E2719" s="26">
        <f t="array" aca="1" ref="E2719" ca="1">AVERAGE(IF(INDIRECT(DatCol&amp;"$"&amp;TEXT(C2719,"###")):INDIRECT(DatCol&amp;"$"&amp;TEXT(C2719+57,"###"))&gt;0,INDIRECT(DatCol&amp;"$"&amp;TEXT(C2719,"###")):INDIRECT(DatCol&amp;"$"&amp;TEXT(C2719+57,"###"))))</f>
        <v>150.4375</v>
      </c>
      <c r="F2719" s="26" t="str">
        <f t="shared" si="2752"/>
        <v>I</v>
      </c>
      <c r="K2719" s="9">
        <f t="shared" si="2711"/>
        <v>0</v>
      </c>
      <c r="AK2719" s="13"/>
      <c r="AM2719" s="13"/>
      <c r="BN2719" s="8">
        <f t="shared" si="2730"/>
        <v>0</v>
      </c>
      <c r="BO2719" s="8">
        <f t="shared" si="2710"/>
        <v>0</v>
      </c>
      <c r="BP2719" s="8">
        <f t="shared" si="2731"/>
        <v>0</v>
      </c>
      <c r="BQ2719" s="12">
        <f t="shared" si="2732"/>
        <v>0</v>
      </c>
    </row>
    <row r="2720" spans="1:69">
      <c r="A2720" s="28">
        <v>2005</v>
      </c>
      <c r="B2720" s="27" t="s">
        <v>126</v>
      </c>
      <c r="C2720" s="24">
        <f t="shared" si="2709"/>
        <v>2670</v>
      </c>
      <c r="D2720" s="7" t="e">
        <f t="shared" ca="1" si="2733"/>
        <v>#N/A</v>
      </c>
      <c r="E2720" s="26">
        <f t="array" aca="1" ref="E2720" ca="1">AVERAGE(IF(INDIRECT(DatCol&amp;"$"&amp;TEXT(C2720,"###")):INDIRECT(DatCol&amp;"$"&amp;TEXT(C2720+57,"###"))&gt;0,INDIRECT(DatCol&amp;"$"&amp;TEXT(C2720,"###")):INDIRECT(DatCol&amp;"$"&amp;TEXT(C2720+57,"###"))))</f>
        <v>150.4375</v>
      </c>
      <c r="F2720" s="26" t="str">
        <f t="shared" si="2752"/>
        <v>I</v>
      </c>
      <c r="K2720" s="9">
        <f t="shared" si="2711"/>
        <v>0</v>
      </c>
      <c r="AK2720" s="13"/>
      <c r="AM2720" s="13"/>
      <c r="BN2720" s="8">
        <f t="shared" si="2730"/>
        <v>0</v>
      </c>
      <c r="BO2720" s="8">
        <f t="shared" si="2710"/>
        <v>0</v>
      </c>
      <c r="BP2720" s="8">
        <f t="shared" si="2731"/>
        <v>0</v>
      </c>
      <c r="BQ2720" s="12">
        <f t="shared" si="2732"/>
        <v>0</v>
      </c>
    </row>
    <row r="2721" spans="1:69">
      <c r="A2721" s="28">
        <v>2006</v>
      </c>
      <c r="B2721" s="27" t="s">
        <v>126</v>
      </c>
      <c r="C2721" s="24">
        <f t="shared" si="2709"/>
        <v>2670</v>
      </c>
      <c r="D2721" s="7" t="e">
        <f t="shared" ca="1" si="2733"/>
        <v>#N/A</v>
      </c>
      <c r="E2721" s="26">
        <f t="array" aca="1" ref="E2721" ca="1">AVERAGE(IF(INDIRECT(DatCol&amp;"$"&amp;TEXT(C2721,"###")):INDIRECT(DatCol&amp;"$"&amp;TEXT(C2721+57,"###"))&gt;0,INDIRECT(DatCol&amp;"$"&amp;TEXT(C2721,"###")):INDIRECT(DatCol&amp;"$"&amp;TEXT(C2721+57,"###"))))</f>
        <v>150.4375</v>
      </c>
      <c r="F2721" s="26" t="str">
        <f t="shared" si="2752"/>
        <v>I</v>
      </c>
      <c r="K2721" s="9">
        <f t="shared" si="2711"/>
        <v>0</v>
      </c>
      <c r="AK2721" s="13"/>
      <c r="AM2721" s="13"/>
      <c r="BN2721" s="8">
        <f t="shared" si="2730"/>
        <v>0</v>
      </c>
      <c r="BO2721" s="8">
        <f t="shared" si="2710"/>
        <v>0</v>
      </c>
      <c r="BP2721" s="8">
        <f t="shared" si="2731"/>
        <v>0</v>
      </c>
      <c r="BQ2721" s="12">
        <f t="shared" si="2732"/>
        <v>0</v>
      </c>
    </row>
    <row r="2722" spans="1:69">
      <c r="A2722" s="28">
        <v>2007</v>
      </c>
      <c r="B2722" s="27" t="s">
        <v>126</v>
      </c>
      <c r="C2722" s="24">
        <f t="shared" si="2709"/>
        <v>2670</v>
      </c>
      <c r="D2722" s="7" t="e">
        <f t="shared" ca="1" si="2733"/>
        <v>#N/A</v>
      </c>
      <c r="E2722" s="26">
        <f t="array" aca="1" ref="E2722" ca="1">AVERAGE(IF(INDIRECT(DatCol&amp;"$"&amp;TEXT(C2722,"###")):INDIRECT(DatCol&amp;"$"&amp;TEXT(C2722+57,"###"))&gt;0,INDIRECT(DatCol&amp;"$"&amp;TEXT(C2722,"###")):INDIRECT(DatCol&amp;"$"&amp;TEXT(C2722+57,"###"))))</f>
        <v>150.4375</v>
      </c>
      <c r="F2722" s="26" t="str">
        <f t="shared" si="2752"/>
        <v>I</v>
      </c>
      <c r="K2722" s="9">
        <f t="shared" si="2711"/>
        <v>0</v>
      </c>
      <c r="AK2722" s="13"/>
      <c r="AM2722" s="13"/>
      <c r="BN2722" s="8">
        <f t="shared" si="2730"/>
        <v>0</v>
      </c>
      <c r="BO2722" s="8">
        <f t="shared" si="2710"/>
        <v>0</v>
      </c>
      <c r="BP2722" s="8">
        <f t="shared" si="2731"/>
        <v>0</v>
      </c>
      <c r="BQ2722" s="12">
        <f t="shared" si="2732"/>
        <v>0</v>
      </c>
    </row>
    <row r="2723" spans="1:69">
      <c r="A2723" s="28">
        <v>2008</v>
      </c>
      <c r="B2723" s="27" t="s">
        <v>126</v>
      </c>
      <c r="C2723" s="24">
        <f t="shared" si="2709"/>
        <v>2670</v>
      </c>
      <c r="D2723" s="7" t="e">
        <f t="shared" ca="1" si="2733"/>
        <v>#N/A</v>
      </c>
      <c r="E2723" s="26">
        <f t="array" aca="1" ref="E2723" ca="1">AVERAGE(IF(INDIRECT(DatCol&amp;"$"&amp;TEXT(C2723,"###")):INDIRECT(DatCol&amp;"$"&amp;TEXT(C2723+57,"###"))&gt;0,INDIRECT(DatCol&amp;"$"&amp;TEXT(C2723,"###")):INDIRECT(DatCol&amp;"$"&amp;TEXT(C2723+57,"###"))))</f>
        <v>150.4375</v>
      </c>
      <c r="F2723" s="26" t="str">
        <f t="shared" si="2752"/>
        <v>I</v>
      </c>
      <c r="K2723" s="9">
        <f t="shared" si="2711"/>
        <v>0</v>
      </c>
      <c r="AK2723" s="13"/>
      <c r="AM2723" s="13"/>
      <c r="BN2723" s="8">
        <f t="shared" si="2730"/>
        <v>0</v>
      </c>
      <c r="BO2723" s="8">
        <f t="shared" si="2710"/>
        <v>0</v>
      </c>
      <c r="BP2723" s="8">
        <f t="shared" si="2731"/>
        <v>0</v>
      </c>
      <c r="BQ2723" s="12">
        <f t="shared" si="2732"/>
        <v>0</v>
      </c>
    </row>
    <row r="2724" spans="1:69">
      <c r="A2724" s="28">
        <v>2009</v>
      </c>
      <c r="B2724" s="27" t="s">
        <v>126</v>
      </c>
      <c r="C2724" s="24">
        <f t="shared" si="2709"/>
        <v>2670</v>
      </c>
      <c r="D2724" s="7" t="e">
        <f t="shared" ca="1" si="2733"/>
        <v>#N/A</v>
      </c>
      <c r="E2724" s="26">
        <f t="array" aca="1" ref="E2724" ca="1">AVERAGE(IF(INDIRECT(DatCol&amp;"$"&amp;TEXT(C2724,"###")):INDIRECT(DatCol&amp;"$"&amp;TEXT(C2724+57,"###"))&gt;0,INDIRECT(DatCol&amp;"$"&amp;TEXT(C2724,"###")):INDIRECT(DatCol&amp;"$"&amp;TEXT(C2724+57,"###"))))</f>
        <v>150.4375</v>
      </c>
      <c r="F2724" s="26" t="str">
        <f t="shared" si="2752"/>
        <v>I</v>
      </c>
      <c r="K2724" s="9">
        <f t="shared" si="2711"/>
        <v>0</v>
      </c>
      <c r="AK2724" s="13"/>
      <c r="AM2724" s="13"/>
      <c r="BN2724" s="8">
        <f t="shared" si="2730"/>
        <v>0</v>
      </c>
      <c r="BO2724" s="8">
        <f t="shared" si="2710"/>
        <v>0</v>
      </c>
      <c r="BP2724" s="8">
        <f t="shared" si="2731"/>
        <v>0</v>
      </c>
      <c r="BQ2724" s="12">
        <f t="shared" si="2732"/>
        <v>0</v>
      </c>
    </row>
    <row r="2725" spans="1:69">
      <c r="A2725" s="28">
        <v>2010</v>
      </c>
      <c r="B2725" s="27" t="s">
        <v>126</v>
      </c>
      <c r="C2725" s="24">
        <f t="shared" si="2709"/>
        <v>2670</v>
      </c>
      <c r="D2725" s="7" t="e">
        <f t="shared" ca="1" si="2733"/>
        <v>#N/A</v>
      </c>
      <c r="E2725" s="26">
        <f t="array" aca="1" ref="E2725" ca="1">AVERAGE(IF(INDIRECT(DatCol&amp;"$"&amp;TEXT(C2725,"###")):INDIRECT(DatCol&amp;"$"&amp;TEXT(C2725+57,"###"))&gt;0,INDIRECT(DatCol&amp;"$"&amp;TEXT(C2725,"###")):INDIRECT(DatCol&amp;"$"&amp;TEXT(C2725+57,"###"))))</f>
        <v>150.4375</v>
      </c>
      <c r="F2725" s="26" t="str">
        <f t="shared" ref="F2725:F2727" si="2771">VLOOKUP(B2725,town_region,2,FALSE)</f>
        <v>I</v>
      </c>
      <c r="AK2725" s="13"/>
      <c r="AM2725" s="13"/>
      <c r="BN2725" s="8"/>
      <c r="BO2725" s="8"/>
      <c r="BP2725" s="8"/>
      <c r="BQ2725" s="12"/>
    </row>
    <row r="2726" spans="1:69">
      <c r="A2726" s="28">
        <v>2011</v>
      </c>
      <c r="B2726" s="27" t="s">
        <v>126</v>
      </c>
      <c r="C2726" s="24">
        <f t="shared" si="2709"/>
        <v>2670</v>
      </c>
      <c r="D2726" s="7" t="e">
        <f t="shared" ca="1" si="2733"/>
        <v>#N/A</v>
      </c>
      <c r="E2726" s="26">
        <f t="array" aca="1" ref="E2726" ca="1">AVERAGE(IF(INDIRECT(DatCol&amp;"$"&amp;TEXT(C2726,"###")):INDIRECT(DatCol&amp;"$"&amp;TEXT(C2726+57,"###"))&gt;0,INDIRECT(DatCol&amp;"$"&amp;TEXT(C2726,"###")):INDIRECT(DatCol&amp;"$"&amp;TEXT(C2726+57,"###"))))</f>
        <v>150.4375</v>
      </c>
      <c r="F2726" s="26" t="str">
        <f t="shared" si="2771"/>
        <v>I</v>
      </c>
      <c r="AK2726" s="13"/>
      <c r="AM2726" s="13"/>
      <c r="BN2726" s="8"/>
      <c r="BO2726" s="8"/>
      <c r="BP2726" s="8"/>
      <c r="BQ2726" s="12"/>
    </row>
    <row r="2727" spans="1:69">
      <c r="A2727" s="28">
        <v>2012</v>
      </c>
      <c r="B2727" s="27" t="s">
        <v>126</v>
      </c>
      <c r="C2727" s="24">
        <f t="shared" si="2709"/>
        <v>2670</v>
      </c>
      <c r="D2727" s="7" t="e">
        <f t="shared" ca="1" si="2733"/>
        <v>#N/A</v>
      </c>
      <c r="E2727" s="26">
        <f t="array" aca="1" ref="E2727" ca="1">AVERAGE(IF(INDIRECT(DatCol&amp;"$"&amp;TEXT(C2727,"###")):INDIRECT(DatCol&amp;"$"&amp;TEXT(C2727+57,"###"))&gt;0,INDIRECT(DatCol&amp;"$"&amp;TEXT(C2727,"###")):INDIRECT(DatCol&amp;"$"&amp;TEXT(C2727+57,"###"))))</f>
        <v>150.4375</v>
      </c>
      <c r="F2727" s="26" t="str">
        <f t="shared" si="2771"/>
        <v>I</v>
      </c>
      <c r="AK2727" s="13"/>
      <c r="AM2727" s="13"/>
      <c r="BN2727" s="8"/>
      <c r="BO2727" s="8"/>
      <c r="BP2727" s="8"/>
      <c r="BQ2727" s="12"/>
    </row>
    <row r="2728" spans="1:69">
      <c r="A2728" s="28">
        <v>1955</v>
      </c>
      <c r="B2728" s="27" t="s">
        <v>127</v>
      </c>
      <c r="C2728" s="24">
        <f>ROW()</f>
        <v>2728</v>
      </c>
      <c r="D2728" s="7" t="e">
        <f t="shared" ca="1" si="2733"/>
        <v>#N/A</v>
      </c>
      <c r="E2728" s="26">
        <f t="array" aca="1" ref="E2728" ca="1">AVERAGE(IF(INDIRECT(DatCol&amp;"$"&amp;TEXT(C2728,"###")):INDIRECT(DatCol&amp;"$"&amp;TEXT(C2728+57,"###"))&gt;0,INDIRECT(DatCol&amp;"$"&amp;TEXT(C2728,"###")):INDIRECT(DatCol&amp;"$"&amp;TEXT(C2728+57,"###"))))</f>
        <v>243.81496598639458</v>
      </c>
      <c r="F2728" s="26" t="str">
        <f t="shared" si="2752"/>
        <v>C</v>
      </c>
      <c r="G2728" s="8"/>
      <c r="H2728" s="8">
        <v>263</v>
      </c>
      <c r="I2728" s="8">
        <v>47</v>
      </c>
      <c r="J2728" s="8">
        <v>664</v>
      </c>
      <c r="K2728" s="9">
        <f t="shared" si="2711"/>
        <v>927</v>
      </c>
      <c r="M2728" s="11">
        <f t="shared" si="2753"/>
        <v>0</v>
      </c>
      <c r="N2728" s="12">
        <v>110</v>
      </c>
      <c r="O2728" s="11">
        <f t="shared" si="2754"/>
        <v>5500</v>
      </c>
      <c r="Q2728" s="11">
        <f t="shared" si="2755"/>
        <v>0</v>
      </c>
      <c r="X2728" s="12">
        <v>3970</v>
      </c>
      <c r="Y2728" s="11">
        <f t="shared" si="2756"/>
        <v>238200</v>
      </c>
      <c r="AG2728" s="11">
        <f t="shared" si="2757"/>
        <v>0</v>
      </c>
      <c r="AH2728" s="12">
        <v>300</v>
      </c>
      <c r="AI2728" s="11">
        <f t="shared" si="2758"/>
        <v>19500</v>
      </c>
      <c r="AJ2728" s="12">
        <v>1065</v>
      </c>
      <c r="AK2728" s="13">
        <f t="shared" si="2759"/>
        <v>9585</v>
      </c>
      <c r="AM2728" s="13">
        <f t="shared" si="2760"/>
        <v>0</v>
      </c>
      <c r="AO2728" s="11">
        <f t="shared" si="2761"/>
        <v>0</v>
      </c>
      <c r="AQ2728" s="11">
        <f t="shared" si="2762"/>
        <v>0</v>
      </c>
      <c r="AS2728" s="11">
        <f t="shared" si="2763"/>
        <v>0</v>
      </c>
      <c r="AU2728" s="11">
        <f t="shared" si="2764"/>
        <v>0</v>
      </c>
      <c r="AW2728" s="11">
        <f t="shared" si="2765"/>
        <v>0</v>
      </c>
      <c r="AY2728" s="11">
        <f t="shared" si="2766"/>
        <v>0</v>
      </c>
      <c r="BA2728" s="11">
        <f t="shared" si="2767"/>
        <v>0</v>
      </c>
      <c r="BC2728" s="11">
        <f t="shared" si="2768"/>
        <v>0</v>
      </c>
      <c r="BE2728" s="11">
        <f t="shared" si="2769"/>
        <v>0</v>
      </c>
      <c r="BG2728" s="11">
        <f t="shared" si="2770"/>
        <v>0</v>
      </c>
      <c r="BN2728" s="8">
        <f t="shared" si="2730"/>
        <v>5035</v>
      </c>
      <c r="BO2728" s="8">
        <f t="shared" si="2710"/>
        <v>247785</v>
      </c>
      <c r="BP2728" s="8">
        <f t="shared" si="2731"/>
        <v>4380</v>
      </c>
      <c r="BQ2728" s="12">
        <f t="shared" si="2732"/>
        <v>263200</v>
      </c>
    </row>
    <row r="2729" spans="1:69">
      <c r="A2729" s="28">
        <v>1956</v>
      </c>
      <c r="B2729" s="27" t="s">
        <v>127</v>
      </c>
      <c r="C2729" s="24">
        <f t="shared" ref="C2729:C2795" si="2772">C2728</f>
        <v>2728</v>
      </c>
      <c r="D2729" s="7" t="e">
        <f t="shared" ca="1" si="2733"/>
        <v>#N/A</v>
      </c>
      <c r="E2729" s="26">
        <f t="array" aca="1" ref="E2729" ca="1">AVERAGE(IF(INDIRECT(DatCol&amp;"$"&amp;TEXT(C2729,"###")):INDIRECT(DatCol&amp;"$"&amp;TEXT(C2729+57,"###"))&gt;0,INDIRECT(DatCol&amp;"$"&amp;TEXT(C2729,"###")):INDIRECT(DatCol&amp;"$"&amp;TEXT(C2729+57,"###"))))</f>
        <v>243.81496598639458</v>
      </c>
      <c r="F2729" s="26" t="str">
        <f t="shared" si="2752"/>
        <v>C</v>
      </c>
      <c r="G2729" s="8"/>
      <c r="H2729" s="8">
        <v>303</v>
      </c>
      <c r="I2729" s="8">
        <v>53</v>
      </c>
      <c r="J2729" s="8">
        <v>686</v>
      </c>
      <c r="K2729" s="9">
        <f t="shared" si="2711"/>
        <v>989</v>
      </c>
      <c r="M2729" s="11">
        <f t="shared" si="2753"/>
        <v>0</v>
      </c>
      <c r="N2729" s="12">
        <v>260</v>
      </c>
      <c r="O2729" s="11">
        <f t="shared" si="2754"/>
        <v>13000</v>
      </c>
      <c r="Q2729" s="11">
        <f t="shared" si="2755"/>
        <v>0</v>
      </c>
      <c r="X2729" s="12">
        <v>2510</v>
      </c>
      <c r="Y2729" s="11">
        <f t="shared" si="2756"/>
        <v>150600</v>
      </c>
      <c r="AG2729" s="11">
        <f t="shared" si="2757"/>
        <v>0</v>
      </c>
      <c r="AH2729" s="12">
        <v>430</v>
      </c>
      <c r="AI2729" s="11">
        <f t="shared" si="2758"/>
        <v>27950</v>
      </c>
      <c r="AJ2729" s="12">
        <v>1150</v>
      </c>
      <c r="AK2729" s="13">
        <f t="shared" si="2759"/>
        <v>10350</v>
      </c>
      <c r="AM2729" s="13">
        <f t="shared" si="2760"/>
        <v>0</v>
      </c>
      <c r="AO2729" s="11">
        <f t="shared" si="2761"/>
        <v>0</v>
      </c>
      <c r="AQ2729" s="11">
        <f t="shared" si="2762"/>
        <v>0</v>
      </c>
      <c r="AS2729" s="11">
        <f t="shared" si="2763"/>
        <v>0</v>
      </c>
      <c r="AU2729" s="11">
        <f t="shared" si="2764"/>
        <v>0</v>
      </c>
      <c r="AW2729" s="11">
        <f t="shared" si="2765"/>
        <v>0</v>
      </c>
      <c r="AY2729" s="11">
        <f t="shared" si="2766"/>
        <v>0</v>
      </c>
      <c r="BA2729" s="11">
        <f t="shared" si="2767"/>
        <v>0</v>
      </c>
      <c r="BC2729" s="11">
        <f t="shared" si="2768"/>
        <v>0</v>
      </c>
      <c r="BE2729" s="11">
        <f t="shared" si="2769"/>
        <v>0</v>
      </c>
      <c r="BG2729" s="11">
        <f t="shared" si="2770"/>
        <v>0</v>
      </c>
      <c r="BN2729" s="8">
        <f t="shared" si="2730"/>
        <v>3660</v>
      </c>
      <c r="BO2729" s="8">
        <f t="shared" si="2710"/>
        <v>160950</v>
      </c>
      <c r="BP2729" s="8">
        <f t="shared" si="2731"/>
        <v>3200</v>
      </c>
      <c r="BQ2729" s="12">
        <f t="shared" si="2732"/>
        <v>191550</v>
      </c>
    </row>
    <row r="2730" spans="1:69">
      <c r="A2730" s="28">
        <v>1957</v>
      </c>
      <c r="B2730" s="27" t="s">
        <v>127</v>
      </c>
      <c r="C2730" s="24">
        <f t="shared" si="2772"/>
        <v>2728</v>
      </c>
      <c r="D2730" s="7" t="e">
        <f t="shared" ca="1" si="2733"/>
        <v>#N/A</v>
      </c>
      <c r="E2730" s="26">
        <f t="array" aca="1" ref="E2730" ca="1">AVERAGE(IF(INDIRECT(DatCol&amp;"$"&amp;TEXT(C2730,"###")):INDIRECT(DatCol&amp;"$"&amp;TEXT(C2730+57,"###"))&gt;0,INDIRECT(DatCol&amp;"$"&amp;TEXT(C2730,"###")):INDIRECT(DatCol&amp;"$"&amp;TEXT(C2730+57,"###"))))</f>
        <v>243.81496598639458</v>
      </c>
      <c r="F2730" s="26" t="str">
        <f t="shared" si="2752"/>
        <v>C</v>
      </c>
      <c r="G2730" s="8"/>
      <c r="H2730" s="8">
        <v>477</v>
      </c>
      <c r="I2730" s="8">
        <v>90</v>
      </c>
      <c r="J2730" s="8">
        <v>869</v>
      </c>
      <c r="K2730" s="9">
        <f t="shared" si="2711"/>
        <v>1346</v>
      </c>
      <c r="L2730" s="12">
        <v>408</v>
      </c>
      <c r="M2730" s="11">
        <f t="shared" si="2753"/>
        <v>20400</v>
      </c>
      <c r="N2730" s="12">
        <v>132</v>
      </c>
      <c r="O2730" s="11">
        <f t="shared" si="2754"/>
        <v>6600</v>
      </c>
      <c r="P2730" s="12">
        <v>850</v>
      </c>
      <c r="Q2730" s="11">
        <f t="shared" si="2755"/>
        <v>51000</v>
      </c>
      <c r="X2730" s="12">
        <v>1250</v>
      </c>
      <c r="Y2730" s="11">
        <f t="shared" si="2756"/>
        <v>75000</v>
      </c>
      <c r="AG2730" s="11">
        <f t="shared" si="2757"/>
        <v>0</v>
      </c>
      <c r="AH2730" s="12">
        <v>420</v>
      </c>
      <c r="AI2730" s="11">
        <f t="shared" si="2758"/>
        <v>27300</v>
      </c>
      <c r="AJ2730" s="12">
        <v>3585</v>
      </c>
      <c r="AK2730" s="13">
        <f t="shared" si="2759"/>
        <v>32265</v>
      </c>
      <c r="AL2730" s="12">
        <v>1050</v>
      </c>
      <c r="AM2730" s="13">
        <f t="shared" si="2760"/>
        <v>9450</v>
      </c>
      <c r="AO2730" s="11">
        <f t="shared" si="2761"/>
        <v>0</v>
      </c>
      <c r="AQ2730" s="11">
        <f t="shared" si="2762"/>
        <v>0</v>
      </c>
      <c r="AS2730" s="11">
        <f t="shared" si="2763"/>
        <v>0</v>
      </c>
      <c r="AU2730" s="11">
        <f t="shared" si="2764"/>
        <v>0</v>
      </c>
      <c r="AW2730" s="11">
        <f t="shared" si="2765"/>
        <v>0</v>
      </c>
      <c r="AY2730" s="11">
        <f t="shared" si="2766"/>
        <v>0</v>
      </c>
      <c r="BA2730" s="11">
        <f t="shared" si="2767"/>
        <v>0</v>
      </c>
      <c r="BC2730" s="11">
        <f t="shared" si="2768"/>
        <v>0</v>
      </c>
      <c r="BE2730" s="11">
        <f t="shared" si="2769"/>
        <v>0</v>
      </c>
      <c r="BG2730" s="11">
        <f t="shared" si="2770"/>
        <v>0</v>
      </c>
      <c r="BN2730" s="8">
        <f t="shared" si="2730"/>
        <v>6093</v>
      </c>
      <c r="BO2730" s="8">
        <f t="shared" si="2710"/>
        <v>178665</v>
      </c>
      <c r="BP2730" s="8">
        <f t="shared" si="2731"/>
        <v>2852</v>
      </c>
      <c r="BQ2730" s="12">
        <f t="shared" si="2732"/>
        <v>118350</v>
      </c>
    </row>
    <row r="2731" spans="1:69">
      <c r="A2731" s="28">
        <v>1958</v>
      </c>
      <c r="B2731" s="27" t="s">
        <v>127</v>
      </c>
      <c r="C2731" s="24">
        <f t="shared" si="2772"/>
        <v>2728</v>
      </c>
      <c r="D2731" s="7" t="e">
        <f t="shared" ca="1" si="2733"/>
        <v>#N/A</v>
      </c>
      <c r="E2731" s="26">
        <f t="array" aca="1" ref="E2731" ca="1">AVERAGE(IF(INDIRECT(DatCol&amp;"$"&amp;TEXT(C2731,"###")):INDIRECT(DatCol&amp;"$"&amp;TEXT(C2731+57,"###"))&gt;0,INDIRECT(DatCol&amp;"$"&amp;TEXT(C2731,"###")):INDIRECT(DatCol&amp;"$"&amp;TEXT(C2731+57,"###"))))</f>
        <v>243.81496598639458</v>
      </c>
      <c r="F2731" s="26" t="str">
        <f t="shared" si="2752"/>
        <v>C</v>
      </c>
      <c r="G2731" s="8"/>
      <c r="H2731" s="8">
        <v>236</v>
      </c>
      <c r="I2731" s="8">
        <v>54</v>
      </c>
      <c r="J2731" s="8">
        <v>747</v>
      </c>
      <c r="K2731" s="9">
        <f t="shared" si="2711"/>
        <v>983</v>
      </c>
      <c r="L2731" s="12">
        <v>450</v>
      </c>
      <c r="M2731" s="11">
        <f t="shared" si="2753"/>
        <v>22500</v>
      </c>
      <c r="N2731" s="12">
        <v>160</v>
      </c>
      <c r="O2731" s="11">
        <f t="shared" si="2754"/>
        <v>8000</v>
      </c>
      <c r="P2731" s="12">
        <v>900</v>
      </c>
      <c r="Q2731" s="11">
        <f t="shared" si="2755"/>
        <v>54000</v>
      </c>
      <c r="X2731" s="12">
        <v>1175</v>
      </c>
      <c r="Y2731" s="11">
        <f t="shared" si="2756"/>
        <v>70500</v>
      </c>
      <c r="AG2731" s="11">
        <f t="shared" si="2757"/>
        <v>0</v>
      </c>
      <c r="AH2731" s="12">
        <v>350</v>
      </c>
      <c r="AI2731" s="11">
        <f t="shared" si="2758"/>
        <v>22750</v>
      </c>
      <c r="AJ2731" s="12">
        <v>2300</v>
      </c>
      <c r="AK2731" s="13">
        <f t="shared" si="2759"/>
        <v>20700</v>
      </c>
      <c r="AL2731" s="12">
        <v>750</v>
      </c>
      <c r="AM2731" s="13">
        <f t="shared" si="2760"/>
        <v>6750</v>
      </c>
      <c r="AO2731" s="11">
        <f t="shared" si="2761"/>
        <v>0</v>
      </c>
      <c r="AQ2731" s="11">
        <f t="shared" si="2762"/>
        <v>0</v>
      </c>
      <c r="AS2731" s="11">
        <f t="shared" si="2763"/>
        <v>0</v>
      </c>
      <c r="AU2731" s="11">
        <f t="shared" si="2764"/>
        <v>0</v>
      </c>
      <c r="AW2731" s="11">
        <f t="shared" si="2765"/>
        <v>0</v>
      </c>
      <c r="AY2731" s="11">
        <f t="shared" si="2766"/>
        <v>0</v>
      </c>
      <c r="BA2731" s="11">
        <f t="shared" si="2767"/>
        <v>0</v>
      </c>
      <c r="BC2731" s="11">
        <f t="shared" si="2768"/>
        <v>0</v>
      </c>
      <c r="BE2731" s="11">
        <f t="shared" si="2769"/>
        <v>0</v>
      </c>
      <c r="BG2731" s="11">
        <f t="shared" si="2770"/>
        <v>0</v>
      </c>
      <c r="BN2731" s="8">
        <f t="shared" si="2730"/>
        <v>4825</v>
      </c>
      <c r="BO2731" s="8">
        <f t="shared" si="2710"/>
        <v>167700</v>
      </c>
      <c r="BP2731" s="8">
        <f t="shared" si="2731"/>
        <v>2435</v>
      </c>
      <c r="BQ2731" s="12">
        <f t="shared" si="2732"/>
        <v>108000</v>
      </c>
    </row>
    <row r="2732" spans="1:69">
      <c r="A2732" s="28">
        <v>1959</v>
      </c>
      <c r="B2732" s="27" t="s">
        <v>127</v>
      </c>
      <c r="C2732" s="24">
        <f t="shared" si="2772"/>
        <v>2728</v>
      </c>
      <c r="D2732" s="7" t="e">
        <f t="shared" ca="1" si="2733"/>
        <v>#N/A</v>
      </c>
      <c r="E2732" s="26">
        <f t="array" aca="1" ref="E2732" ca="1">AVERAGE(IF(INDIRECT(DatCol&amp;"$"&amp;TEXT(C2732,"###")):INDIRECT(DatCol&amp;"$"&amp;TEXT(C2732+57,"###"))&gt;0,INDIRECT(DatCol&amp;"$"&amp;TEXT(C2732,"###")):INDIRECT(DatCol&amp;"$"&amp;TEXT(C2732+57,"###"))))</f>
        <v>243.81496598639458</v>
      </c>
      <c r="F2732" s="26" t="str">
        <f t="shared" si="2752"/>
        <v>C</v>
      </c>
      <c r="G2732" s="8"/>
      <c r="H2732" s="8">
        <v>273</v>
      </c>
      <c r="I2732" s="8">
        <v>32</v>
      </c>
      <c r="J2732" s="8">
        <v>797</v>
      </c>
      <c r="K2732" s="9">
        <f t="shared" si="2711"/>
        <v>1070</v>
      </c>
      <c r="L2732" s="12">
        <v>450</v>
      </c>
      <c r="M2732" s="11">
        <f t="shared" si="2753"/>
        <v>22500</v>
      </c>
      <c r="N2732" s="12">
        <v>150</v>
      </c>
      <c r="O2732" s="11">
        <f t="shared" si="2754"/>
        <v>7500</v>
      </c>
      <c r="P2732" s="12">
        <v>950</v>
      </c>
      <c r="Q2732" s="11">
        <f t="shared" si="2755"/>
        <v>57000</v>
      </c>
      <c r="X2732" s="12">
        <v>1125</v>
      </c>
      <c r="Y2732" s="11">
        <f t="shared" si="2756"/>
        <v>67500</v>
      </c>
      <c r="AG2732" s="11">
        <f t="shared" si="2757"/>
        <v>0</v>
      </c>
      <c r="AH2732" s="12">
        <v>250</v>
      </c>
      <c r="AI2732" s="11">
        <f t="shared" si="2758"/>
        <v>16250</v>
      </c>
      <c r="AJ2732" s="12">
        <v>325</v>
      </c>
      <c r="AK2732" s="13">
        <f t="shared" si="2759"/>
        <v>2925</v>
      </c>
      <c r="AL2732" s="12">
        <v>25</v>
      </c>
      <c r="AM2732" s="13">
        <f t="shared" si="2760"/>
        <v>225</v>
      </c>
      <c r="AO2732" s="11">
        <f t="shared" si="2761"/>
        <v>0</v>
      </c>
      <c r="AQ2732" s="11">
        <f t="shared" si="2762"/>
        <v>0</v>
      </c>
      <c r="AS2732" s="11">
        <f t="shared" si="2763"/>
        <v>0</v>
      </c>
      <c r="AU2732" s="11">
        <f t="shared" si="2764"/>
        <v>0</v>
      </c>
      <c r="AW2732" s="11">
        <f t="shared" si="2765"/>
        <v>0</v>
      </c>
      <c r="AY2732" s="11">
        <f t="shared" si="2766"/>
        <v>0</v>
      </c>
      <c r="BA2732" s="11">
        <f t="shared" si="2767"/>
        <v>0</v>
      </c>
      <c r="BC2732" s="11">
        <f t="shared" si="2768"/>
        <v>0</v>
      </c>
      <c r="BE2732" s="11">
        <f t="shared" si="2769"/>
        <v>0</v>
      </c>
      <c r="BG2732" s="11">
        <f t="shared" si="2770"/>
        <v>0</v>
      </c>
      <c r="BN2732" s="8">
        <f t="shared" si="2730"/>
        <v>2850</v>
      </c>
      <c r="BO2732" s="8">
        <f t="shared" si="2710"/>
        <v>149925</v>
      </c>
      <c r="BP2732" s="8">
        <f t="shared" si="2731"/>
        <v>1550</v>
      </c>
      <c r="BQ2732" s="12">
        <f t="shared" si="2732"/>
        <v>91475</v>
      </c>
    </row>
    <row r="2733" spans="1:69">
      <c r="A2733" s="28">
        <v>1960</v>
      </c>
      <c r="B2733" s="27" t="s">
        <v>127</v>
      </c>
      <c r="C2733" s="24">
        <f t="shared" si="2772"/>
        <v>2728</v>
      </c>
      <c r="D2733" s="7" t="e">
        <f t="shared" ca="1" si="2733"/>
        <v>#N/A</v>
      </c>
      <c r="E2733" s="26">
        <f t="array" aca="1" ref="E2733" ca="1">AVERAGE(IF(INDIRECT(DatCol&amp;"$"&amp;TEXT(C2733,"###")):INDIRECT(DatCol&amp;"$"&amp;TEXT(C2733+57,"###"))&gt;0,INDIRECT(DatCol&amp;"$"&amp;TEXT(C2733,"###")):INDIRECT(DatCol&amp;"$"&amp;TEXT(C2733+57,"###"))))</f>
        <v>243.81496598639458</v>
      </c>
      <c r="F2733" s="26" t="str">
        <f t="shared" si="2752"/>
        <v>C</v>
      </c>
      <c r="G2733" s="8"/>
      <c r="H2733" s="8">
        <v>298</v>
      </c>
      <c r="I2733" s="8">
        <v>60</v>
      </c>
      <c r="J2733" s="8">
        <v>900</v>
      </c>
      <c r="K2733" s="9">
        <f t="shared" si="2711"/>
        <v>1198</v>
      </c>
      <c r="L2733" s="12">
        <v>475</v>
      </c>
      <c r="M2733" s="11">
        <f t="shared" si="2753"/>
        <v>23750</v>
      </c>
      <c r="N2733" s="12">
        <v>125</v>
      </c>
      <c r="O2733" s="11">
        <f t="shared" si="2754"/>
        <v>6250</v>
      </c>
      <c r="P2733" s="12">
        <v>800</v>
      </c>
      <c r="Q2733" s="11">
        <f t="shared" si="2755"/>
        <v>48000</v>
      </c>
      <c r="X2733" s="12">
        <v>1075</v>
      </c>
      <c r="Y2733" s="11">
        <f t="shared" si="2756"/>
        <v>64500</v>
      </c>
      <c r="AF2733" s="12">
        <v>150</v>
      </c>
      <c r="AG2733" s="11">
        <f t="shared" si="2757"/>
        <v>9750</v>
      </c>
      <c r="AH2733" s="12">
        <v>225</v>
      </c>
      <c r="AI2733" s="11">
        <f t="shared" si="2758"/>
        <v>14625</v>
      </c>
      <c r="AJ2733" s="12">
        <v>4800</v>
      </c>
      <c r="AK2733" s="13">
        <f t="shared" si="2759"/>
        <v>43200</v>
      </c>
      <c r="AL2733" s="12">
        <v>1100</v>
      </c>
      <c r="AM2733" s="13">
        <f t="shared" si="2760"/>
        <v>9900</v>
      </c>
      <c r="AO2733" s="11">
        <f t="shared" si="2761"/>
        <v>0</v>
      </c>
      <c r="AQ2733" s="11">
        <f t="shared" si="2762"/>
        <v>0</v>
      </c>
      <c r="AS2733" s="11">
        <f t="shared" si="2763"/>
        <v>0</v>
      </c>
      <c r="AU2733" s="11">
        <f t="shared" si="2764"/>
        <v>0</v>
      </c>
      <c r="AW2733" s="11">
        <f t="shared" si="2765"/>
        <v>0</v>
      </c>
      <c r="AY2733" s="11">
        <f t="shared" si="2766"/>
        <v>0</v>
      </c>
      <c r="BA2733" s="11">
        <f t="shared" si="2767"/>
        <v>0</v>
      </c>
      <c r="BC2733" s="11">
        <f t="shared" si="2768"/>
        <v>0</v>
      </c>
      <c r="BE2733" s="11">
        <f t="shared" si="2769"/>
        <v>0</v>
      </c>
      <c r="BG2733" s="11">
        <f t="shared" si="2770"/>
        <v>0</v>
      </c>
      <c r="BN2733" s="8">
        <f t="shared" si="2730"/>
        <v>7300</v>
      </c>
      <c r="BO2733" s="8">
        <f t="shared" si="2710"/>
        <v>189200</v>
      </c>
      <c r="BP2733" s="8">
        <f t="shared" si="2731"/>
        <v>2525</v>
      </c>
      <c r="BQ2733" s="12">
        <f t="shared" si="2732"/>
        <v>95275</v>
      </c>
    </row>
    <row r="2734" spans="1:69">
      <c r="A2734" s="28">
        <v>1961</v>
      </c>
      <c r="B2734" s="27" t="s">
        <v>127</v>
      </c>
      <c r="C2734" s="24">
        <f t="shared" si="2772"/>
        <v>2728</v>
      </c>
      <c r="D2734" s="7" t="e">
        <f t="shared" ca="1" si="2733"/>
        <v>#N/A</v>
      </c>
      <c r="E2734" s="26">
        <f t="array" aca="1" ref="E2734" ca="1">AVERAGE(IF(INDIRECT(DatCol&amp;"$"&amp;TEXT(C2734,"###")):INDIRECT(DatCol&amp;"$"&amp;TEXT(C2734+57,"###"))&gt;0,INDIRECT(DatCol&amp;"$"&amp;TEXT(C2734,"###")):INDIRECT(DatCol&amp;"$"&amp;TEXT(C2734+57,"###"))))</f>
        <v>243.81496598639458</v>
      </c>
      <c r="F2734" s="26" t="str">
        <f t="shared" si="2752"/>
        <v>C</v>
      </c>
      <c r="G2734" s="8"/>
      <c r="H2734" s="8">
        <v>270</v>
      </c>
      <c r="I2734" s="8">
        <v>51</v>
      </c>
      <c r="J2734" s="8">
        <v>800</v>
      </c>
      <c r="K2734" s="9">
        <f t="shared" si="2711"/>
        <v>1070</v>
      </c>
      <c r="M2734" s="11">
        <f t="shared" si="2753"/>
        <v>0</v>
      </c>
      <c r="O2734" s="11">
        <f t="shared" si="2754"/>
        <v>0</v>
      </c>
      <c r="Q2734" s="11">
        <f t="shared" si="2755"/>
        <v>0</v>
      </c>
      <c r="X2734" s="12" t="s">
        <v>128</v>
      </c>
      <c r="Y2734" s="11">
        <f t="shared" si="2756"/>
        <v>0</v>
      </c>
      <c r="AG2734" s="11">
        <f t="shared" si="2757"/>
        <v>0</v>
      </c>
      <c r="AI2734" s="11">
        <f t="shared" si="2758"/>
        <v>0</v>
      </c>
      <c r="AJ2734" s="12" t="s">
        <v>129</v>
      </c>
      <c r="AK2734" s="13">
        <f t="shared" si="2759"/>
        <v>0</v>
      </c>
      <c r="AM2734" s="13">
        <f t="shared" si="2760"/>
        <v>0</v>
      </c>
      <c r="AO2734" s="11">
        <f t="shared" si="2761"/>
        <v>0</v>
      </c>
      <c r="AQ2734" s="11">
        <f t="shared" si="2762"/>
        <v>0</v>
      </c>
      <c r="AS2734" s="11">
        <f t="shared" si="2763"/>
        <v>0</v>
      </c>
      <c r="AU2734" s="11">
        <f t="shared" si="2764"/>
        <v>0</v>
      </c>
      <c r="AW2734" s="11">
        <f t="shared" si="2765"/>
        <v>0</v>
      </c>
      <c r="AY2734" s="11">
        <f t="shared" si="2766"/>
        <v>0</v>
      </c>
      <c r="BA2734" s="11">
        <f t="shared" si="2767"/>
        <v>0</v>
      </c>
      <c r="BC2734" s="11">
        <f t="shared" si="2768"/>
        <v>0</v>
      </c>
      <c r="BE2734" s="11">
        <f t="shared" si="2769"/>
        <v>0</v>
      </c>
      <c r="BG2734" s="11">
        <f t="shared" si="2770"/>
        <v>0</v>
      </c>
      <c r="BN2734" s="8">
        <f t="shared" si="2730"/>
        <v>0</v>
      </c>
      <c r="BO2734" s="8">
        <f t="shared" si="2710"/>
        <v>0</v>
      </c>
      <c r="BP2734" s="8">
        <f t="shared" si="2731"/>
        <v>0</v>
      </c>
      <c r="BQ2734" s="12">
        <f t="shared" si="2732"/>
        <v>0</v>
      </c>
    </row>
    <row r="2735" spans="1:69">
      <c r="A2735" s="28">
        <v>1962</v>
      </c>
      <c r="B2735" s="27" t="s">
        <v>127</v>
      </c>
      <c r="C2735" s="24">
        <f t="shared" si="2772"/>
        <v>2728</v>
      </c>
      <c r="D2735" s="7" t="e">
        <f t="shared" ca="1" si="2733"/>
        <v>#N/A</v>
      </c>
      <c r="E2735" s="26">
        <f t="array" aca="1" ref="E2735" ca="1">AVERAGE(IF(INDIRECT(DatCol&amp;"$"&amp;TEXT(C2735,"###")):INDIRECT(DatCol&amp;"$"&amp;TEXT(C2735+57,"###"))&gt;0,INDIRECT(DatCol&amp;"$"&amp;TEXT(C2735,"###")):INDIRECT(DatCol&amp;"$"&amp;TEXT(C2735+57,"###"))))</f>
        <v>243.81496598639458</v>
      </c>
      <c r="F2735" s="26" t="str">
        <f t="shared" si="2752"/>
        <v>C</v>
      </c>
      <c r="G2735" s="8"/>
      <c r="H2735" s="8">
        <v>243</v>
      </c>
      <c r="I2735" s="8">
        <v>37</v>
      </c>
      <c r="J2735" s="8">
        <v>983</v>
      </c>
      <c r="K2735" s="9">
        <f t="shared" si="2711"/>
        <v>1226</v>
      </c>
      <c r="M2735" s="11">
        <f t="shared" si="2753"/>
        <v>0</v>
      </c>
      <c r="O2735" s="11">
        <f t="shared" si="2754"/>
        <v>0</v>
      </c>
      <c r="Q2735" s="11">
        <f t="shared" si="2755"/>
        <v>0</v>
      </c>
      <c r="X2735" s="12" t="s">
        <v>130</v>
      </c>
      <c r="Y2735" s="11">
        <f t="shared" si="2756"/>
        <v>0</v>
      </c>
      <c r="AG2735" s="11">
        <f t="shared" si="2757"/>
        <v>0</v>
      </c>
      <c r="AI2735" s="11">
        <f t="shared" si="2758"/>
        <v>0</v>
      </c>
      <c r="AK2735" s="13">
        <f t="shared" si="2759"/>
        <v>0</v>
      </c>
      <c r="AM2735" s="13">
        <f t="shared" si="2760"/>
        <v>0</v>
      </c>
      <c r="AO2735" s="11">
        <f t="shared" si="2761"/>
        <v>0</v>
      </c>
      <c r="AQ2735" s="11">
        <f t="shared" si="2762"/>
        <v>0</v>
      </c>
      <c r="AS2735" s="11">
        <f t="shared" si="2763"/>
        <v>0</v>
      </c>
      <c r="AU2735" s="11">
        <f t="shared" si="2764"/>
        <v>0</v>
      </c>
      <c r="AW2735" s="11">
        <f t="shared" si="2765"/>
        <v>0</v>
      </c>
      <c r="AY2735" s="11">
        <f t="shared" si="2766"/>
        <v>0</v>
      </c>
      <c r="BA2735" s="11">
        <f t="shared" si="2767"/>
        <v>0</v>
      </c>
      <c r="BC2735" s="11">
        <f t="shared" si="2768"/>
        <v>0</v>
      </c>
      <c r="BE2735" s="11">
        <f t="shared" si="2769"/>
        <v>0</v>
      </c>
      <c r="BG2735" s="11">
        <f t="shared" si="2770"/>
        <v>0</v>
      </c>
      <c r="BN2735" s="8">
        <f t="shared" si="2730"/>
        <v>0</v>
      </c>
      <c r="BO2735" s="8">
        <f t="shared" si="2710"/>
        <v>0</v>
      </c>
      <c r="BP2735" s="8">
        <f t="shared" si="2731"/>
        <v>0</v>
      </c>
      <c r="BQ2735" s="12">
        <f t="shared" si="2732"/>
        <v>0</v>
      </c>
    </row>
    <row r="2736" spans="1:69">
      <c r="A2736" s="28">
        <v>1963</v>
      </c>
      <c r="B2736" s="27" t="s">
        <v>127</v>
      </c>
      <c r="C2736" s="24">
        <f t="shared" si="2772"/>
        <v>2728</v>
      </c>
      <c r="D2736" s="7" t="e">
        <f t="shared" ca="1" si="2733"/>
        <v>#N/A</v>
      </c>
      <c r="E2736" s="26">
        <f t="array" aca="1" ref="E2736" ca="1">AVERAGE(IF(INDIRECT(DatCol&amp;"$"&amp;TEXT(C2736,"###")):INDIRECT(DatCol&amp;"$"&amp;TEXT(C2736+57,"###"))&gt;0,INDIRECT(DatCol&amp;"$"&amp;TEXT(C2736,"###")):INDIRECT(DatCol&amp;"$"&amp;TEXT(C2736+57,"###"))))</f>
        <v>243.81496598639458</v>
      </c>
      <c r="F2736" s="26" t="str">
        <f t="shared" si="2752"/>
        <v>C</v>
      </c>
      <c r="G2736" s="8"/>
      <c r="H2736" s="8">
        <v>185</v>
      </c>
      <c r="I2736" s="8">
        <v>36</v>
      </c>
      <c r="J2736" s="8">
        <v>947</v>
      </c>
      <c r="K2736" s="9">
        <f t="shared" si="2711"/>
        <v>1132</v>
      </c>
      <c r="L2736" s="12">
        <v>1075</v>
      </c>
      <c r="M2736" s="11">
        <f t="shared" si="2753"/>
        <v>53750</v>
      </c>
      <c r="N2736" s="12">
        <v>225</v>
      </c>
      <c r="O2736" s="11">
        <f t="shared" si="2754"/>
        <v>11250</v>
      </c>
      <c r="P2736" s="12">
        <v>1000</v>
      </c>
      <c r="Q2736" s="11">
        <f t="shared" si="2755"/>
        <v>60000</v>
      </c>
      <c r="X2736" s="12">
        <v>500</v>
      </c>
      <c r="Y2736" s="11">
        <f t="shared" si="2756"/>
        <v>30000</v>
      </c>
      <c r="AF2736" s="12">
        <v>2000</v>
      </c>
      <c r="AG2736" s="11">
        <f t="shared" si="2757"/>
        <v>130000</v>
      </c>
      <c r="AH2736" s="12">
        <v>100</v>
      </c>
      <c r="AI2736" s="11">
        <f t="shared" si="2758"/>
        <v>6500</v>
      </c>
      <c r="AJ2736" s="12">
        <v>1600</v>
      </c>
      <c r="AK2736" s="13">
        <f t="shared" si="2759"/>
        <v>14400</v>
      </c>
      <c r="AL2736" s="12">
        <v>400</v>
      </c>
      <c r="AM2736" s="13">
        <f t="shared" si="2760"/>
        <v>3600</v>
      </c>
      <c r="AO2736" s="11">
        <f t="shared" si="2761"/>
        <v>0</v>
      </c>
      <c r="AQ2736" s="11">
        <f t="shared" si="2762"/>
        <v>0</v>
      </c>
      <c r="AS2736" s="11">
        <f t="shared" si="2763"/>
        <v>0</v>
      </c>
      <c r="AU2736" s="11">
        <f t="shared" si="2764"/>
        <v>0</v>
      </c>
      <c r="AW2736" s="11">
        <f t="shared" si="2765"/>
        <v>0</v>
      </c>
      <c r="AY2736" s="11">
        <f t="shared" si="2766"/>
        <v>0</v>
      </c>
      <c r="BA2736" s="11">
        <f t="shared" si="2767"/>
        <v>0</v>
      </c>
      <c r="BC2736" s="11">
        <f t="shared" si="2768"/>
        <v>0</v>
      </c>
      <c r="BE2736" s="11">
        <f t="shared" si="2769"/>
        <v>0</v>
      </c>
      <c r="BG2736" s="11">
        <f t="shared" si="2770"/>
        <v>0</v>
      </c>
      <c r="BN2736" s="8">
        <f t="shared" si="2730"/>
        <v>6175</v>
      </c>
      <c r="BO2736" s="8">
        <f t="shared" si="2710"/>
        <v>288150</v>
      </c>
      <c r="BP2736" s="8">
        <f t="shared" si="2731"/>
        <v>1225</v>
      </c>
      <c r="BQ2736" s="12">
        <f t="shared" si="2732"/>
        <v>51350</v>
      </c>
    </row>
    <row r="2737" spans="1:69">
      <c r="A2737" s="28">
        <v>1964</v>
      </c>
      <c r="B2737" s="27" t="s">
        <v>127</v>
      </c>
      <c r="C2737" s="24">
        <f t="shared" si="2772"/>
        <v>2728</v>
      </c>
      <c r="D2737" s="7" t="e">
        <f t="shared" ca="1" si="2733"/>
        <v>#N/A</v>
      </c>
      <c r="E2737" s="26">
        <f t="array" aca="1" ref="E2737" ca="1">AVERAGE(IF(INDIRECT(DatCol&amp;"$"&amp;TEXT(C2737,"###")):INDIRECT(DatCol&amp;"$"&amp;TEXT(C2737+57,"###"))&gt;0,INDIRECT(DatCol&amp;"$"&amp;TEXT(C2737,"###")):INDIRECT(DatCol&amp;"$"&amp;TEXT(C2737+57,"###"))))</f>
        <v>243.81496598639458</v>
      </c>
      <c r="F2737" s="26" t="str">
        <f t="shared" si="2752"/>
        <v>C</v>
      </c>
      <c r="G2737" s="8"/>
      <c r="H2737" s="8">
        <v>177</v>
      </c>
      <c r="I2737" s="8">
        <v>37</v>
      </c>
      <c r="J2737" s="8">
        <v>1009</v>
      </c>
      <c r="K2737" s="9">
        <f t="shared" si="2711"/>
        <v>1186</v>
      </c>
      <c r="L2737" s="12">
        <v>1200</v>
      </c>
      <c r="M2737" s="11">
        <f t="shared" si="2753"/>
        <v>60000</v>
      </c>
      <c r="N2737" s="12">
        <v>350</v>
      </c>
      <c r="O2737" s="11">
        <f t="shared" si="2754"/>
        <v>17500</v>
      </c>
      <c r="P2737" s="12">
        <v>1100</v>
      </c>
      <c r="Q2737" s="11">
        <f t="shared" si="2755"/>
        <v>66000</v>
      </c>
      <c r="X2737" s="12">
        <v>600</v>
      </c>
      <c r="Y2737" s="11">
        <f t="shared" si="2756"/>
        <v>36000</v>
      </c>
      <c r="AG2737" s="11">
        <f t="shared" si="2757"/>
        <v>0</v>
      </c>
      <c r="AH2737" s="12">
        <v>50</v>
      </c>
      <c r="AI2737" s="11">
        <f t="shared" si="2758"/>
        <v>3250</v>
      </c>
      <c r="AJ2737" s="12">
        <v>2800</v>
      </c>
      <c r="AK2737" s="13">
        <f t="shared" si="2759"/>
        <v>25200</v>
      </c>
      <c r="AL2737" s="12">
        <v>500</v>
      </c>
      <c r="AM2737" s="13">
        <f t="shared" si="2760"/>
        <v>4500</v>
      </c>
      <c r="AO2737" s="11">
        <f t="shared" si="2761"/>
        <v>0</v>
      </c>
      <c r="AQ2737" s="11">
        <f t="shared" si="2762"/>
        <v>0</v>
      </c>
      <c r="AS2737" s="11">
        <f t="shared" si="2763"/>
        <v>0</v>
      </c>
      <c r="AU2737" s="11">
        <f t="shared" si="2764"/>
        <v>0</v>
      </c>
      <c r="AW2737" s="11">
        <f t="shared" si="2765"/>
        <v>0</v>
      </c>
      <c r="AY2737" s="11">
        <f t="shared" si="2766"/>
        <v>0</v>
      </c>
      <c r="BA2737" s="11">
        <f t="shared" si="2767"/>
        <v>0</v>
      </c>
      <c r="BC2737" s="11">
        <f t="shared" si="2768"/>
        <v>0</v>
      </c>
      <c r="BE2737" s="11">
        <f t="shared" si="2769"/>
        <v>0</v>
      </c>
      <c r="BG2737" s="11">
        <f t="shared" si="2770"/>
        <v>0</v>
      </c>
      <c r="BN2737" s="8">
        <f t="shared" si="2730"/>
        <v>5700</v>
      </c>
      <c r="BO2737" s="8">
        <f t="shared" ref="BO2737:BO2782" si="2773">(M2737+Q2737+S2737+U2737+W2737+Y2737+AA2737+AC2737+AG2737+AK2737+AO2737+AS2737+AW2737+BA2737+BE2737)</f>
        <v>187200</v>
      </c>
      <c r="BP2737" s="8">
        <f t="shared" si="2731"/>
        <v>1500</v>
      </c>
      <c r="BQ2737" s="12">
        <f t="shared" si="2732"/>
        <v>61250</v>
      </c>
    </row>
    <row r="2738" spans="1:69">
      <c r="A2738" s="28">
        <v>1965</v>
      </c>
      <c r="B2738" s="27" t="s">
        <v>127</v>
      </c>
      <c r="C2738" s="24">
        <f t="shared" si="2772"/>
        <v>2728</v>
      </c>
      <c r="D2738" s="7" t="e">
        <f t="shared" ca="1" si="2733"/>
        <v>#N/A</v>
      </c>
      <c r="E2738" s="26">
        <f t="array" aca="1" ref="E2738" ca="1">AVERAGE(IF(INDIRECT(DatCol&amp;"$"&amp;TEXT(C2738,"###")):INDIRECT(DatCol&amp;"$"&amp;TEXT(C2738+57,"###"))&gt;0,INDIRECT(DatCol&amp;"$"&amp;TEXT(C2738,"###")):INDIRECT(DatCol&amp;"$"&amp;TEXT(C2738+57,"###"))))</f>
        <v>243.81496598639458</v>
      </c>
      <c r="F2738" s="26" t="str">
        <f t="shared" si="2752"/>
        <v>C</v>
      </c>
      <c r="G2738" s="8"/>
      <c r="H2738" s="8">
        <v>187</v>
      </c>
      <c r="I2738" s="8">
        <v>27</v>
      </c>
      <c r="J2738" s="8">
        <v>1068</v>
      </c>
      <c r="K2738" s="9">
        <f t="shared" ref="K2738:K2782" si="2774">G2738+H2738+J2738</f>
        <v>1255</v>
      </c>
      <c r="L2738" s="12">
        <v>900</v>
      </c>
      <c r="M2738" s="11">
        <f t="shared" si="2753"/>
        <v>45000</v>
      </c>
      <c r="N2738" s="12">
        <v>225</v>
      </c>
      <c r="O2738" s="11">
        <f t="shared" si="2754"/>
        <v>11250</v>
      </c>
      <c r="P2738" s="12">
        <v>800</v>
      </c>
      <c r="Q2738" s="11">
        <f t="shared" si="2755"/>
        <v>48000</v>
      </c>
      <c r="X2738" s="12">
        <v>350</v>
      </c>
      <c r="Y2738" s="11">
        <f t="shared" si="2756"/>
        <v>21000</v>
      </c>
      <c r="AG2738" s="11">
        <f t="shared" si="2757"/>
        <v>0</v>
      </c>
      <c r="AH2738" s="12">
        <v>50</v>
      </c>
      <c r="AI2738" s="11">
        <f t="shared" si="2758"/>
        <v>3250</v>
      </c>
      <c r="AJ2738" s="12">
        <v>1200</v>
      </c>
      <c r="AK2738" s="13">
        <f t="shared" si="2759"/>
        <v>10800</v>
      </c>
      <c r="AL2738" s="12">
        <v>400</v>
      </c>
      <c r="AM2738" s="13">
        <f t="shared" si="2760"/>
        <v>3600</v>
      </c>
      <c r="AO2738" s="11">
        <f t="shared" si="2761"/>
        <v>0</v>
      </c>
      <c r="AQ2738" s="11">
        <f t="shared" si="2762"/>
        <v>0</v>
      </c>
      <c r="AS2738" s="11">
        <f t="shared" si="2763"/>
        <v>0</v>
      </c>
      <c r="AU2738" s="11">
        <f t="shared" si="2764"/>
        <v>0</v>
      </c>
      <c r="AW2738" s="11">
        <f t="shared" si="2765"/>
        <v>0</v>
      </c>
      <c r="AY2738" s="11">
        <f t="shared" si="2766"/>
        <v>0</v>
      </c>
      <c r="BA2738" s="11">
        <f t="shared" si="2767"/>
        <v>0</v>
      </c>
      <c r="BC2738" s="11">
        <f t="shared" si="2768"/>
        <v>0</v>
      </c>
      <c r="BE2738" s="11">
        <f t="shared" si="2769"/>
        <v>0</v>
      </c>
      <c r="BG2738" s="11">
        <f t="shared" si="2770"/>
        <v>0</v>
      </c>
      <c r="BN2738" s="8">
        <f t="shared" si="2730"/>
        <v>3250</v>
      </c>
      <c r="BO2738" s="8">
        <f t="shared" si="2773"/>
        <v>124800</v>
      </c>
      <c r="BP2738" s="8">
        <f t="shared" si="2731"/>
        <v>1025</v>
      </c>
      <c r="BQ2738" s="12">
        <f t="shared" si="2732"/>
        <v>39100</v>
      </c>
    </row>
    <row r="2739" spans="1:69">
      <c r="A2739" s="28">
        <v>1966</v>
      </c>
      <c r="B2739" s="27" t="s">
        <v>127</v>
      </c>
      <c r="C2739" s="24">
        <f t="shared" si="2772"/>
        <v>2728</v>
      </c>
      <c r="D2739" s="7" t="e">
        <f t="shared" ca="1" si="2733"/>
        <v>#N/A</v>
      </c>
      <c r="E2739" s="26">
        <f t="array" aca="1" ref="E2739" ca="1">AVERAGE(IF(INDIRECT(DatCol&amp;"$"&amp;TEXT(C2739,"###")):INDIRECT(DatCol&amp;"$"&amp;TEXT(C2739+57,"###"))&gt;0,INDIRECT(DatCol&amp;"$"&amp;TEXT(C2739,"###")):INDIRECT(DatCol&amp;"$"&amp;TEXT(C2739+57,"###"))))</f>
        <v>243.81496598639458</v>
      </c>
      <c r="F2739" s="26" t="str">
        <f t="shared" si="2752"/>
        <v>C</v>
      </c>
      <c r="G2739" s="8"/>
      <c r="H2739" s="8">
        <v>204</v>
      </c>
      <c r="I2739" s="8">
        <v>26</v>
      </c>
      <c r="J2739" s="8">
        <v>1229</v>
      </c>
      <c r="K2739" s="9">
        <f t="shared" si="2774"/>
        <v>1433</v>
      </c>
      <c r="L2739" s="12">
        <v>700</v>
      </c>
      <c r="M2739" s="11">
        <f t="shared" si="2753"/>
        <v>35000</v>
      </c>
      <c r="N2739" s="12">
        <v>320</v>
      </c>
      <c r="O2739" s="11">
        <f t="shared" si="2754"/>
        <v>16000</v>
      </c>
      <c r="P2739" s="12">
        <v>500</v>
      </c>
      <c r="Q2739" s="11">
        <f t="shared" si="2755"/>
        <v>30000</v>
      </c>
      <c r="X2739" s="12">
        <v>420</v>
      </c>
      <c r="Y2739" s="11">
        <f t="shared" si="2756"/>
        <v>25200</v>
      </c>
      <c r="AG2739" s="11">
        <f t="shared" si="2757"/>
        <v>0</v>
      </c>
      <c r="AH2739" s="12">
        <v>10</v>
      </c>
      <c r="AI2739" s="11">
        <f t="shared" si="2758"/>
        <v>650</v>
      </c>
      <c r="AJ2739" s="12">
        <v>1540</v>
      </c>
      <c r="AK2739" s="13">
        <f t="shared" si="2759"/>
        <v>13860</v>
      </c>
      <c r="AL2739" s="12">
        <v>920</v>
      </c>
      <c r="AM2739" s="13">
        <f t="shared" si="2760"/>
        <v>8280</v>
      </c>
      <c r="AO2739" s="11">
        <f t="shared" si="2761"/>
        <v>0</v>
      </c>
      <c r="AQ2739" s="11">
        <f t="shared" si="2762"/>
        <v>0</v>
      </c>
      <c r="AS2739" s="11">
        <f t="shared" si="2763"/>
        <v>0</v>
      </c>
      <c r="AU2739" s="11">
        <f t="shared" si="2764"/>
        <v>0</v>
      </c>
      <c r="AW2739" s="11">
        <f t="shared" si="2765"/>
        <v>0</v>
      </c>
      <c r="AY2739" s="11">
        <f t="shared" si="2766"/>
        <v>0</v>
      </c>
      <c r="BA2739" s="11">
        <f t="shared" si="2767"/>
        <v>0</v>
      </c>
      <c r="BC2739" s="11">
        <f t="shared" si="2768"/>
        <v>0</v>
      </c>
      <c r="BE2739" s="11">
        <f t="shared" si="2769"/>
        <v>0</v>
      </c>
      <c r="BG2739" s="11">
        <f t="shared" si="2770"/>
        <v>0</v>
      </c>
      <c r="BN2739" s="8">
        <f t="shared" si="2730"/>
        <v>3160</v>
      </c>
      <c r="BO2739" s="8">
        <f t="shared" si="2773"/>
        <v>104060</v>
      </c>
      <c r="BP2739" s="8">
        <f t="shared" si="2731"/>
        <v>1670</v>
      </c>
      <c r="BQ2739" s="12">
        <f t="shared" si="2732"/>
        <v>50130</v>
      </c>
    </row>
    <row r="2740" spans="1:69">
      <c r="A2740" s="28">
        <v>1967</v>
      </c>
      <c r="B2740" s="27" t="s">
        <v>127</v>
      </c>
      <c r="C2740" s="24">
        <f t="shared" si="2772"/>
        <v>2728</v>
      </c>
      <c r="D2740" s="7" t="e">
        <f t="shared" ca="1" si="2733"/>
        <v>#N/A</v>
      </c>
      <c r="E2740" s="26">
        <f t="array" aca="1" ref="E2740" ca="1">AVERAGE(IF(INDIRECT(DatCol&amp;"$"&amp;TEXT(C2740,"###")):INDIRECT(DatCol&amp;"$"&amp;TEXT(C2740+57,"###"))&gt;0,INDIRECT(DatCol&amp;"$"&amp;TEXT(C2740,"###")):INDIRECT(DatCol&amp;"$"&amp;TEXT(C2740+57,"###"))))</f>
        <v>243.81496598639458</v>
      </c>
      <c r="F2740" s="26" t="str">
        <f t="shared" si="2752"/>
        <v>C</v>
      </c>
      <c r="G2740" s="8"/>
      <c r="H2740" s="8">
        <v>183</v>
      </c>
      <c r="I2740" s="8">
        <v>20</v>
      </c>
      <c r="J2740" s="8">
        <v>1160</v>
      </c>
      <c r="K2740" s="9">
        <f t="shared" si="2774"/>
        <v>1343</v>
      </c>
      <c r="L2740" s="12">
        <v>152</v>
      </c>
      <c r="M2740" s="11">
        <f t="shared" ref="M2740:M2755" si="2775">(L2740*50)</f>
        <v>7600</v>
      </c>
      <c r="N2740" s="12">
        <v>70</v>
      </c>
      <c r="O2740" s="11">
        <f t="shared" ref="O2740:O2755" si="2776">(N2740*50)</f>
        <v>3500</v>
      </c>
      <c r="P2740" s="12">
        <v>144</v>
      </c>
      <c r="Q2740" s="11">
        <f t="shared" ref="Q2740:Q2755" si="2777">((P2740*330)/5.5)</f>
        <v>8640</v>
      </c>
      <c r="X2740" s="12">
        <v>115</v>
      </c>
      <c r="Y2740" s="11">
        <f t="shared" ref="Y2740:Y2755" si="2778">((X2740*330)/5.5)</f>
        <v>6900</v>
      </c>
      <c r="AG2740" s="11">
        <f t="shared" ref="AG2740:AG2755" si="2779">(AF2740*65)</f>
        <v>0</v>
      </c>
      <c r="AI2740" s="11">
        <f t="shared" ref="AI2740:AI2755" si="2780">(AH2740*65)</f>
        <v>0</v>
      </c>
      <c r="AJ2740" s="12">
        <v>1283</v>
      </c>
      <c r="AK2740" s="13">
        <f t="shared" ref="AK2740:AK2755" si="2781">(AJ2740*9)</f>
        <v>11547</v>
      </c>
      <c r="AL2740" s="12">
        <v>100</v>
      </c>
      <c r="AM2740" s="13">
        <f t="shared" ref="AM2740:AM2755" si="2782">(AL2740*9)</f>
        <v>900</v>
      </c>
      <c r="AO2740" s="11">
        <f t="shared" ref="AO2740:AO2755" si="2783">(AN2740*80)</f>
        <v>0</v>
      </c>
      <c r="AQ2740" s="11">
        <f t="shared" ref="AQ2740:AQ2755" si="2784">(AP2740*80)</f>
        <v>0</v>
      </c>
      <c r="AS2740" s="11">
        <f t="shared" ref="AS2740:AS2755" si="2785">(AR2740*50)</f>
        <v>0</v>
      </c>
      <c r="AU2740" s="11">
        <f t="shared" ref="AU2740:AU2755" si="2786">(AT2740*50)</f>
        <v>0</v>
      </c>
      <c r="AW2740" s="11">
        <f t="shared" ref="AW2740:AW2755" si="2787">(AV2740*60)</f>
        <v>0</v>
      </c>
      <c r="AY2740" s="11">
        <f t="shared" ref="AY2740:AY2755" si="2788">(AX2740*60)</f>
        <v>0</v>
      </c>
      <c r="BA2740" s="11">
        <f t="shared" ref="BA2740:BA2755" si="2789">(AZ2740*40)</f>
        <v>0</v>
      </c>
      <c r="BC2740" s="11">
        <f t="shared" ref="BC2740:BC2755" si="2790">(BB2740*40)</f>
        <v>0</v>
      </c>
      <c r="BE2740" s="11">
        <f t="shared" ref="BE2740:BE2755" si="2791">(BD2740*95)</f>
        <v>0</v>
      </c>
      <c r="BG2740" s="11">
        <f t="shared" ref="BG2740:BG2755" si="2792">(BF2740*95)</f>
        <v>0</v>
      </c>
      <c r="BN2740" s="8">
        <f t="shared" si="2730"/>
        <v>1694</v>
      </c>
      <c r="BO2740" s="8">
        <f t="shared" si="2773"/>
        <v>34687</v>
      </c>
      <c r="BP2740" s="8">
        <f t="shared" si="2731"/>
        <v>285</v>
      </c>
      <c r="BQ2740" s="12">
        <f t="shared" si="2732"/>
        <v>11300</v>
      </c>
    </row>
    <row r="2741" spans="1:69">
      <c r="A2741" s="28">
        <v>1968</v>
      </c>
      <c r="B2741" s="27" t="s">
        <v>127</v>
      </c>
      <c r="C2741" s="24">
        <f t="shared" si="2772"/>
        <v>2728</v>
      </c>
      <c r="D2741" s="7" t="e">
        <f t="shared" ca="1" si="2733"/>
        <v>#N/A</v>
      </c>
      <c r="E2741" s="26">
        <f t="array" aca="1" ref="E2741" ca="1">AVERAGE(IF(INDIRECT(DatCol&amp;"$"&amp;TEXT(C2741,"###")):INDIRECT(DatCol&amp;"$"&amp;TEXT(C2741+57,"###"))&gt;0,INDIRECT(DatCol&amp;"$"&amp;TEXT(C2741,"###")):INDIRECT(DatCol&amp;"$"&amp;TEXT(C2741+57,"###"))))</f>
        <v>243.81496598639458</v>
      </c>
      <c r="F2741" s="26" t="str">
        <f t="shared" si="2752"/>
        <v>C</v>
      </c>
      <c r="G2741" s="8"/>
      <c r="H2741" s="8">
        <v>171</v>
      </c>
      <c r="I2741" s="8">
        <v>11</v>
      </c>
      <c r="J2741" s="8">
        <v>1194</v>
      </c>
      <c r="K2741" s="9">
        <f t="shared" si="2774"/>
        <v>1365</v>
      </c>
      <c r="L2741" s="12">
        <v>152</v>
      </c>
      <c r="M2741" s="11">
        <f t="shared" si="2775"/>
        <v>7600</v>
      </c>
      <c r="N2741" s="12">
        <v>89</v>
      </c>
      <c r="O2741" s="11">
        <f t="shared" si="2776"/>
        <v>4450</v>
      </c>
      <c r="P2741" s="12">
        <v>154</v>
      </c>
      <c r="Q2741" s="11">
        <f t="shared" si="2777"/>
        <v>9240</v>
      </c>
      <c r="X2741" s="12">
        <v>84</v>
      </c>
      <c r="Y2741" s="11">
        <f t="shared" si="2778"/>
        <v>5040</v>
      </c>
      <c r="AG2741" s="11">
        <f t="shared" si="2779"/>
        <v>0</v>
      </c>
      <c r="AI2741" s="11">
        <f t="shared" si="2780"/>
        <v>0</v>
      </c>
      <c r="AJ2741" s="12">
        <v>1103</v>
      </c>
      <c r="AK2741" s="13">
        <f t="shared" si="2781"/>
        <v>9927</v>
      </c>
      <c r="AL2741" s="12">
        <v>121</v>
      </c>
      <c r="AM2741" s="13">
        <f t="shared" si="2782"/>
        <v>1089</v>
      </c>
      <c r="AO2741" s="11">
        <f t="shared" si="2783"/>
        <v>0</v>
      </c>
      <c r="AQ2741" s="11">
        <f t="shared" si="2784"/>
        <v>0</v>
      </c>
      <c r="AS2741" s="11">
        <f t="shared" si="2785"/>
        <v>0</v>
      </c>
      <c r="AU2741" s="11">
        <f t="shared" si="2786"/>
        <v>0</v>
      </c>
      <c r="AW2741" s="11">
        <f t="shared" si="2787"/>
        <v>0</v>
      </c>
      <c r="AY2741" s="11">
        <f t="shared" si="2788"/>
        <v>0</v>
      </c>
      <c r="BA2741" s="11">
        <f t="shared" si="2789"/>
        <v>0</v>
      </c>
      <c r="BC2741" s="11">
        <f t="shared" si="2790"/>
        <v>0</v>
      </c>
      <c r="BE2741" s="11">
        <f t="shared" si="2791"/>
        <v>0</v>
      </c>
      <c r="BG2741" s="11">
        <f t="shared" si="2792"/>
        <v>0</v>
      </c>
      <c r="BN2741" s="8">
        <f t="shared" si="2730"/>
        <v>1493</v>
      </c>
      <c r="BO2741" s="8">
        <f t="shared" si="2773"/>
        <v>31807</v>
      </c>
      <c r="BP2741" s="8">
        <f t="shared" si="2731"/>
        <v>294</v>
      </c>
      <c r="BQ2741" s="12">
        <f t="shared" si="2732"/>
        <v>10579</v>
      </c>
    </row>
    <row r="2742" spans="1:69">
      <c r="A2742" s="28">
        <v>1969</v>
      </c>
      <c r="B2742" s="27" t="s">
        <v>127</v>
      </c>
      <c r="C2742" s="24">
        <f t="shared" si="2772"/>
        <v>2728</v>
      </c>
      <c r="D2742" s="7" t="e">
        <f t="shared" ca="1" si="2733"/>
        <v>#N/A</v>
      </c>
      <c r="E2742" s="26">
        <f t="array" aca="1" ref="E2742" ca="1">AVERAGE(IF(INDIRECT(DatCol&amp;"$"&amp;TEXT(C2742,"###")):INDIRECT(DatCol&amp;"$"&amp;TEXT(C2742+57,"###"))&gt;0,INDIRECT(DatCol&amp;"$"&amp;TEXT(C2742,"###")):INDIRECT(DatCol&amp;"$"&amp;TEXT(C2742+57,"###"))))</f>
        <v>243.81496598639458</v>
      </c>
      <c r="F2742" s="26" t="str">
        <f t="shared" si="2752"/>
        <v>C</v>
      </c>
      <c r="G2742" s="8"/>
      <c r="H2742" s="8">
        <v>200</v>
      </c>
      <c r="I2742" s="8">
        <v>30</v>
      </c>
      <c r="J2742" s="8">
        <v>1418</v>
      </c>
      <c r="K2742" s="9">
        <f t="shared" si="2774"/>
        <v>1618</v>
      </c>
      <c r="L2742" s="12">
        <v>108</v>
      </c>
      <c r="M2742" s="11">
        <f t="shared" si="2775"/>
        <v>5400</v>
      </c>
      <c r="N2742" s="12">
        <v>116</v>
      </c>
      <c r="O2742" s="11">
        <f t="shared" si="2776"/>
        <v>5800</v>
      </c>
      <c r="P2742" s="12">
        <v>47</v>
      </c>
      <c r="Q2742" s="11">
        <f t="shared" si="2777"/>
        <v>2820</v>
      </c>
      <c r="X2742" s="12">
        <v>165</v>
      </c>
      <c r="Y2742" s="11">
        <f t="shared" si="2778"/>
        <v>9900</v>
      </c>
      <c r="AG2742" s="11">
        <f t="shared" si="2779"/>
        <v>0</v>
      </c>
      <c r="AI2742" s="11">
        <f t="shared" si="2780"/>
        <v>0</v>
      </c>
      <c r="AJ2742" s="12">
        <v>68</v>
      </c>
      <c r="AK2742" s="13">
        <f t="shared" si="2781"/>
        <v>612</v>
      </c>
      <c r="AL2742" s="12">
        <v>167</v>
      </c>
      <c r="AM2742" s="13">
        <f t="shared" si="2782"/>
        <v>1503</v>
      </c>
      <c r="AO2742" s="11">
        <f t="shared" si="2783"/>
        <v>0</v>
      </c>
      <c r="AQ2742" s="11">
        <f t="shared" si="2784"/>
        <v>0</v>
      </c>
      <c r="AS2742" s="11">
        <f t="shared" si="2785"/>
        <v>0</v>
      </c>
      <c r="AU2742" s="11">
        <f t="shared" si="2786"/>
        <v>0</v>
      </c>
      <c r="AW2742" s="11">
        <f t="shared" si="2787"/>
        <v>0</v>
      </c>
      <c r="AY2742" s="11">
        <f t="shared" si="2788"/>
        <v>0</v>
      </c>
      <c r="BA2742" s="11">
        <f t="shared" si="2789"/>
        <v>0</v>
      </c>
      <c r="BC2742" s="11">
        <f t="shared" si="2790"/>
        <v>0</v>
      </c>
      <c r="BE2742" s="11">
        <f t="shared" si="2791"/>
        <v>0</v>
      </c>
      <c r="BG2742" s="11">
        <f t="shared" si="2792"/>
        <v>0</v>
      </c>
      <c r="BN2742" s="8">
        <f t="shared" si="2730"/>
        <v>388</v>
      </c>
      <c r="BO2742" s="8">
        <f t="shared" si="2773"/>
        <v>18732</v>
      </c>
      <c r="BP2742" s="8">
        <f t="shared" si="2731"/>
        <v>448</v>
      </c>
      <c r="BQ2742" s="12">
        <f t="shared" si="2732"/>
        <v>17203</v>
      </c>
    </row>
    <row r="2743" spans="1:69">
      <c r="A2743" s="28">
        <v>1970</v>
      </c>
      <c r="B2743" s="27" t="s">
        <v>127</v>
      </c>
      <c r="C2743" s="24">
        <f t="shared" si="2772"/>
        <v>2728</v>
      </c>
      <c r="D2743" s="7" t="e">
        <f t="shared" ca="1" si="2733"/>
        <v>#N/A</v>
      </c>
      <c r="E2743" s="26">
        <f t="array" aca="1" ref="E2743" ca="1">AVERAGE(IF(INDIRECT(DatCol&amp;"$"&amp;TEXT(C2743,"###")):INDIRECT(DatCol&amp;"$"&amp;TEXT(C2743+57,"###"))&gt;0,INDIRECT(DatCol&amp;"$"&amp;TEXT(C2743,"###")):INDIRECT(DatCol&amp;"$"&amp;TEXT(C2743+57,"###"))))</f>
        <v>243.81496598639458</v>
      </c>
      <c r="F2743" s="26" t="str">
        <f t="shared" si="2752"/>
        <v>C</v>
      </c>
      <c r="G2743" s="8"/>
      <c r="H2743" s="8">
        <v>154</v>
      </c>
      <c r="I2743" s="8">
        <v>33</v>
      </c>
      <c r="J2743" s="8">
        <v>1529</v>
      </c>
      <c r="K2743" s="9">
        <f t="shared" si="2774"/>
        <v>1683</v>
      </c>
      <c r="L2743" s="12">
        <v>254</v>
      </c>
      <c r="M2743" s="11">
        <f t="shared" si="2775"/>
        <v>12700</v>
      </c>
      <c r="N2743" s="12">
        <v>178</v>
      </c>
      <c r="O2743" s="11">
        <f t="shared" si="2776"/>
        <v>8900</v>
      </c>
      <c r="P2743" s="12">
        <v>177</v>
      </c>
      <c r="Q2743" s="11">
        <f t="shared" si="2777"/>
        <v>10620</v>
      </c>
      <c r="X2743" s="12">
        <v>362</v>
      </c>
      <c r="Y2743" s="11">
        <f t="shared" si="2778"/>
        <v>21720</v>
      </c>
      <c r="AG2743" s="11">
        <f t="shared" si="2779"/>
        <v>0</v>
      </c>
      <c r="AI2743" s="11">
        <f t="shared" si="2780"/>
        <v>0</v>
      </c>
      <c r="AJ2743" s="12">
        <v>575</v>
      </c>
      <c r="AK2743" s="13">
        <f t="shared" si="2781"/>
        <v>5175</v>
      </c>
      <c r="AL2743" s="12">
        <v>580</v>
      </c>
      <c r="AM2743" s="13">
        <f t="shared" si="2782"/>
        <v>5220</v>
      </c>
      <c r="AO2743" s="11">
        <f t="shared" si="2783"/>
        <v>0</v>
      </c>
      <c r="AQ2743" s="11">
        <f t="shared" si="2784"/>
        <v>0</v>
      </c>
      <c r="AS2743" s="11">
        <f t="shared" si="2785"/>
        <v>0</v>
      </c>
      <c r="AU2743" s="11">
        <f t="shared" si="2786"/>
        <v>0</v>
      </c>
      <c r="AW2743" s="11">
        <f t="shared" si="2787"/>
        <v>0</v>
      </c>
      <c r="AY2743" s="11">
        <f t="shared" si="2788"/>
        <v>0</v>
      </c>
      <c r="BA2743" s="11">
        <f t="shared" si="2789"/>
        <v>0</v>
      </c>
      <c r="BC2743" s="11">
        <f t="shared" si="2790"/>
        <v>0</v>
      </c>
      <c r="BE2743" s="11">
        <f t="shared" si="2791"/>
        <v>0</v>
      </c>
      <c r="BG2743" s="11">
        <f t="shared" si="2792"/>
        <v>0</v>
      </c>
      <c r="BN2743" s="8">
        <f t="shared" si="2730"/>
        <v>1368</v>
      </c>
      <c r="BO2743" s="8">
        <f t="shared" si="2773"/>
        <v>50215</v>
      </c>
      <c r="BP2743" s="8">
        <f t="shared" si="2731"/>
        <v>1120</v>
      </c>
      <c r="BQ2743" s="12">
        <f t="shared" si="2732"/>
        <v>35840</v>
      </c>
    </row>
    <row r="2744" spans="1:69">
      <c r="A2744" s="28">
        <v>1971</v>
      </c>
      <c r="B2744" s="27" t="s">
        <v>127</v>
      </c>
      <c r="C2744" s="24">
        <f t="shared" si="2772"/>
        <v>2728</v>
      </c>
      <c r="D2744" s="7" t="e">
        <f t="shared" ca="1" si="2733"/>
        <v>#N/A</v>
      </c>
      <c r="E2744" s="26">
        <f t="array" aca="1" ref="E2744" ca="1">AVERAGE(IF(INDIRECT(DatCol&amp;"$"&amp;TEXT(C2744,"###")):INDIRECT(DatCol&amp;"$"&amp;TEXT(C2744+57,"###"))&gt;0,INDIRECT(DatCol&amp;"$"&amp;TEXT(C2744,"###")):INDIRECT(DatCol&amp;"$"&amp;TEXT(C2744+57,"###"))))</f>
        <v>243.81496598639458</v>
      </c>
      <c r="F2744" s="26" t="str">
        <f t="shared" si="2752"/>
        <v>C</v>
      </c>
      <c r="G2744" s="8"/>
      <c r="H2744" s="8">
        <v>87</v>
      </c>
      <c r="I2744" s="8">
        <v>9</v>
      </c>
      <c r="J2744" s="8">
        <v>1502</v>
      </c>
      <c r="K2744" s="9">
        <f t="shared" si="2774"/>
        <v>1589</v>
      </c>
      <c r="L2744" s="12">
        <v>190</v>
      </c>
      <c r="M2744" s="11">
        <f t="shared" si="2775"/>
        <v>9500</v>
      </c>
      <c r="N2744" s="12">
        <v>300</v>
      </c>
      <c r="O2744" s="11">
        <f t="shared" si="2776"/>
        <v>15000</v>
      </c>
      <c r="P2744" s="12">
        <v>475</v>
      </c>
      <c r="Q2744" s="11">
        <f t="shared" si="2777"/>
        <v>28500</v>
      </c>
      <c r="X2744" s="12">
        <v>1560</v>
      </c>
      <c r="Y2744" s="11">
        <f t="shared" si="2778"/>
        <v>93600</v>
      </c>
      <c r="AG2744" s="11">
        <f t="shared" si="2779"/>
        <v>0</v>
      </c>
      <c r="AI2744" s="11">
        <f t="shared" si="2780"/>
        <v>0</v>
      </c>
      <c r="AJ2744" s="12">
        <v>1000</v>
      </c>
      <c r="AK2744" s="13">
        <f t="shared" si="2781"/>
        <v>9000</v>
      </c>
      <c r="AL2744" s="12">
        <v>400</v>
      </c>
      <c r="AM2744" s="13">
        <f t="shared" si="2782"/>
        <v>3600</v>
      </c>
      <c r="AO2744" s="11">
        <f t="shared" si="2783"/>
        <v>0</v>
      </c>
      <c r="AQ2744" s="11">
        <f t="shared" si="2784"/>
        <v>0</v>
      </c>
      <c r="AS2744" s="11">
        <f t="shared" si="2785"/>
        <v>0</v>
      </c>
      <c r="AU2744" s="11">
        <f t="shared" si="2786"/>
        <v>0</v>
      </c>
      <c r="AW2744" s="11">
        <f t="shared" si="2787"/>
        <v>0</v>
      </c>
      <c r="AY2744" s="11">
        <f t="shared" si="2788"/>
        <v>0</v>
      </c>
      <c r="BA2744" s="11">
        <f t="shared" si="2789"/>
        <v>0</v>
      </c>
      <c r="BC2744" s="11">
        <f t="shared" si="2790"/>
        <v>0</v>
      </c>
      <c r="BE2744" s="11">
        <f t="shared" si="2791"/>
        <v>0</v>
      </c>
      <c r="BG2744" s="11">
        <f t="shared" si="2792"/>
        <v>0</v>
      </c>
      <c r="BN2744" s="8">
        <f t="shared" si="2730"/>
        <v>3225</v>
      </c>
      <c r="BO2744" s="8">
        <f t="shared" si="2773"/>
        <v>140600</v>
      </c>
      <c r="BP2744" s="8">
        <f t="shared" si="2731"/>
        <v>2260</v>
      </c>
      <c r="BQ2744" s="12">
        <f t="shared" si="2732"/>
        <v>112200</v>
      </c>
    </row>
    <row r="2745" spans="1:69">
      <c r="A2745" s="28">
        <v>1972</v>
      </c>
      <c r="B2745" s="27" t="s">
        <v>127</v>
      </c>
      <c r="C2745" s="24">
        <f t="shared" si="2772"/>
        <v>2728</v>
      </c>
      <c r="D2745" s="7" t="e">
        <f t="shared" ca="1" si="2733"/>
        <v>#N/A</v>
      </c>
      <c r="E2745" s="26">
        <f t="array" aca="1" ref="E2745" ca="1">AVERAGE(IF(INDIRECT(DatCol&amp;"$"&amp;TEXT(C2745,"###")):INDIRECT(DatCol&amp;"$"&amp;TEXT(C2745+57,"###"))&gt;0,INDIRECT(DatCol&amp;"$"&amp;TEXT(C2745,"###")):INDIRECT(DatCol&amp;"$"&amp;TEXT(C2745+57,"###"))))</f>
        <v>243.81496598639458</v>
      </c>
      <c r="F2745" s="26" t="str">
        <f t="shared" si="2752"/>
        <v>C</v>
      </c>
      <c r="G2745" s="8"/>
      <c r="H2745" s="8">
        <v>122</v>
      </c>
      <c r="I2745" s="8">
        <v>17</v>
      </c>
      <c r="J2745" s="8">
        <v>1683</v>
      </c>
      <c r="K2745" s="9">
        <f t="shared" si="2774"/>
        <v>1805</v>
      </c>
      <c r="M2745" s="11">
        <f t="shared" si="2775"/>
        <v>0</v>
      </c>
      <c r="O2745" s="11">
        <f t="shared" si="2776"/>
        <v>0</v>
      </c>
      <c r="Q2745" s="11">
        <f t="shared" si="2777"/>
        <v>0</v>
      </c>
      <c r="Y2745" s="11">
        <f t="shared" si="2778"/>
        <v>0</v>
      </c>
      <c r="AG2745" s="11">
        <f t="shared" si="2779"/>
        <v>0</v>
      </c>
      <c r="AH2745" s="12" t="s">
        <v>4</v>
      </c>
      <c r="AI2745" s="11">
        <f t="shared" si="2780"/>
        <v>0</v>
      </c>
      <c r="AJ2745" s="12" t="s">
        <v>131</v>
      </c>
      <c r="AK2745" s="13">
        <f t="shared" si="2781"/>
        <v>0</v>
      </c>
      <c r="AM2745" s="13">
        <f t="shared" si="2782"/>
        <v>0</v>
      </c>
      <c r="AO2745" s="11">
        <f t="shared" si="2783"/>
        <v>0</v>
      </c>
      <c r="AQ2745" s="11">
        <f t="shared" si="2784"/>
        <v>0</v>
      </c>
      <c r="AS2745" s="11">
        <f t="shared" si="2785"/>
        <v>0</v>
      </c>
      <c r="AU2745" s="11">
        <f t="shared" si="2786"/>
        <v>0</v>
      </c>
      <c r="AW2745" s="11">
        <f t="shared" si="2787"/>
        <v>0</v>
      </c>
      <c r="AY2745" s="11">
        <f t="shared" si="2788"/>
        <v>0</v>
      </c>
      <c r="BA2745" s="11">
        <f t="shared" si="2789"/>
        <v>0</v>
      </c>
      <c r="BC2745" s="11">
        <f t="shared" si="2790"/>
        <v>0</v>
      </c>
      <c r="BE2745" s="11">
        <f t="shared" si="2791"/>
        <v>0</v>
      </c>
      <c r="BG2745" s="11">
        <f t="shared" si="2792"/>
        <v>0</v>
      </c>
      <c r="BN2745" s="8">
        <f t="shared" si="2730"/>
        <v>0</v>
      </c>
      <c r="BO2745" s="8">
        <f t="shared" si="2773"/>
        <v>0</v>
      </c>
      <c r="BP2745" s="8">
        <f t="shared" si="2731"/>
        <v>0</v>
      </c>
      <c r="BQ2745" s="12">
        <f t="shared" si="2732"/>
        <v>0</v>
      </c>
    </row>
    <row r="2746" spans="1:69">
      <c r="A2746" s="28">
        <v>1973</v>
      </c>
      <c r="B2746" s="27" t="s">
        <v>127</v>
      </c>
      <c r="C2746" s="24">
        <f t="shared" si="2772"/>
        <v>2728</v>
      </c>
      <c r="D2746" s="7" t="e">
        <f t="shared" ca="1" si="2733"/>
        <v>#N/A</v>
      </c>
      <c r="E2746" s="26">
        <f t="array" aca="1" ref="E2746" ca="1">AVERAGE(IF(INDIRECT(DatCol&amp;"$"&amp;TEXT(C2746,"###")):INDIRECT(DatCol&amp;"$"&amp;TEXT(C2746+57,"###"))&gt;0,INDIRECT(DatCol&amp;"$"&amp;TEXT(C2746,"###")):INDIRECT(DatCol&amp;"$"&amp;TEXT(C2746+57,"###"))))</f>
        <v>243.81496598639458</v>
      </c>
      <c r="F2746" s="26" t="str">
        <f t="shared" si="2752"/>
        <v>C</v>
      </c>
      <c r="G2746" s="8"/>
      <c r="H2746" s="8">
        <v>41</v>
      </c>
      <c r="I2746" s="8">
        <v>12</v>
      </c>
      <c r="J2746" s="8">
        <v>2130</v>
      </c>
      <c r="K2746" s="9">
        <f t="shared" si="2774"/>
        <v>2171</v>
      </c>
      <c r="L2746" s="12">
        <v>165</v>
      </c>
      <c r="M2746" s="11">
        <f t="shared" si="2775"/>
        <v>8250</v>
      </c>
      <c r="N2746" s="12">
        <v>54</v>
      </c>
      <c r="O2746" s="11">
        <f t="shared" si="2776"/>
        <v>2700</v>
      </c>
      <c r="P2746" s="12">
        <v>205</v>
      </c>
      <c r="Q2746" s="11">
        <f t="shared" si="2777"/>
        <v>12300</v>
      </c>
      <c r="X2746" s="12">
        <v>655</v>
      </c>
      <c r="Y2746" s="11">
        <f t="shared" si="2778"/>
        <v>39300</v>
      </c>
      <c r="AG2746" s="11">
        <f t="shared" si="2779"/>
        <v>0</v>
      </c>
      <c r="AH2746" s="12">
        <v>100</v>
      </c>
      <c r="AI2746" s="11">
        <f t="shared" si="2780"/>
        <v>6500</v>
      </c>
      <c r="AJ2746" s="12">
        <v>965</v>
      </c>
      <c r="AK2746" s="13">
        <f t="shared" si="2781"/>
        <v>8685</v>
      </c>
      <c r="AL2746" s="12">
        <v>100</v>
      </c>
      <c r="AM2746" s="13">
        <f t="shared" si="2782"/>
        <v>900</v>
      </c>
      <c r="AO2746" s="11">
        <f t="shared" si="2783"/>
        <v>0</v>
      </c>
      <c r="AQ2746" s="11">
        <f t="shared" si="2784"/>
        <v>0</v>
      </c>
      <c r="AS2746" s="11">
        <f t="shared" si="2785"/>
        <v>0</v>
      </c>
      <c r="AU2746" s="11">
        <f t="shared" si="2786"/>
        <v>0</v>
      </c>
      <c r="AW2746" s="11">
        <f t="shared" si="2787"/>
        <v>0</v>
      </c>
      <c r="AY2746" s="11">
        <f t="shared" si="2788"/>
        <v>0</v>
      </c>
      <c r="BA2746" s="11">
        <f t="shared" si="2789"/>
        <v>0</v>
      </c>
      <c r="BC2746" s="11">
        <f t="shared" si="2790"/>
        <v>0</v>
      </c>
      <c r="BE2746" s="11">
        <f t="shared" si="2791"/>
        <v>0</v>
      </c>
      <c r="BG2746" s="11">
        <f t="shared" si="2792"/>
        <v>0</v>
      </c>
      <c r="BN2746" s="8">
        <f t="shared" ref="BN2746:BN2782" si="2793">(L2746+P2746+R2746+T2746+V2746+X2746+Z2746+AB2746+AD2746+AF2746+AJ2746+AN2746+AR2746+AV2746+AZ2746+BD2746)</f>
        <v>1990</v>
      </c>
      <c r="BO2746" s="8">
        <f t="shared" si="2773"/>
        <v>68535</v>
      </c>
      <c r="BP2746" s="8">
        <f t="shared" si="2731"/>
        <v>909</v>
      </c>
      <c r="BQ2746" s="12">
        <f t="shared" si="2732"/>
        <v>49400</v>
      </c>
    </row>
    <row r="2747" spans="1:69">
      <c r="A2747" s="28">
        <v>1974</v>
      </c>
      <c r="B2747" s="27" t="s">
        <v>127</v>
      </c>
      <c r="C2747" s="24">
        <f t="shared" si="2772"/>
        <v>2728</v>
      </c>
      <c r="D2747" s="7" t="e">
        <f t="shared" ca="1" si="2733"/>
        <v>#N/A</v>
      </c>
      <c r="E2747" s="26">
        <f t="array" aca="1" ref="E2747" ca="1">AVERAGE(IF(INDIRECT(DatCol&amp;"$"&amp;TEXT(C2747,"###")):INDIRECT(DatCol&amp;"$"&amp;TEXT(C2747+57,"###"))&gt;0,INDIRECT(DatCol&amp;"$"&amp;TEXT(C2747,"###")):INDIRECT(DatCol&amp;"$"&amp;TEXT(C2747+57,"###"))))</f>
        <v>243.81496598639458</v>
      </c>
      <c r="F2747" s="26" t="str">
        <f t="shared" si="2752"/>
        <v>C</v>
      </c>
      <c r="G2747" s="8"/>
      <c r="H2747" s="8">
        <v>41</v>
      </c>
      <c r="I2747" s="8">
        <v>12</v>
      </c>
      <c r="J2747" s="8">
        <v>2130</v>
      </c>
      <c r="K2747" s="9">
        <f t="shared" si="2774"/>
        <v>2171</v>
      </c>
      <c r="L2747" s="12">
        <v>260</v>
      </c>
      <c r="M2747" s="11">
        <f t="shared" si="2775"/>
        <v>13000</v>
      </c>
      <c r="N2747" s="12">
        <v>434</v>
      </c>
      <c r="O2747" s="11">
        <f t="shared" si="2776"/>
        <v>21700</v>
      </c>
      <c r="P2747" s="12">
        <v>925</v>
      </c>
      <c r="Q2747" s="11">
        <f t="shared" si="2777"/>
        <v>55500</v>
      </c>
      <c r="X2747" s="12">
        <v>997</v>
      </c>
      <c r="Y2747" s="11">
        <f t="shared" si="2778"/>
        <v>59820</v>
      </c>
      <c r="AG2747" s="11">
        <f t="shared" si="2779"/>
        <v>0</v>
      </c>
      <c r="AH2747" s="12">
        <v>45</v>
      </c>
      <c r="AI2747" s="11">
        <f t="shared" si="2780"/>
        <v>2925</v>
      </c>
      <c r="AJ2747" s="12">
        <v>40</v>
      </c>
      <c r="AK2747" s="13">
        <f t="shared" si="2781"/>
        <v>360</v>
      </c>
      <c r="AL2747" s="12">
        <v>133</v>
      </c>
      <c r="AM2747" s="13">
        <f t="shared" si="2782"/>
        <v>1197</v>
      </c>
      <c r="AO2747" s="11">
        <f t="shared" si="2783"/>
        <v>0</v>
      </c>
      <c r="AQ2747" s="11">
        <f t="shared" si="2784"/>
        <v>0</v>
      </c>
      <c r="AS2747" s="11">
        <f t="shared" si="2785"/>
        <v>0</v>
      </c>
      <c r="AU2747" s="11">
        <f t="shared" si="2786"/>
        <v>0</v>
      </c>
      <c r="AW2747" s="11">
        <f t="shared" si="2787"/>
        <v>0</v>
      </c>
      <c r="AY2747" s="11">
        <f t="shared" si="2788"/>
        <v>0</v>
      </c>
      <c r="BA2747" s="11">
        <f t="shared" si="2789"/>
        <v>0</v>
      </c>
      <c r="BC2747" s="11">
        <f t="shared" si="2790"/>
        <v>0</v>
      </c>
      <c r="BE2747" s="11">
        <f t="shared" si="2791"/>
        <v>0</v>
      </c>
      <c r="BG2747" s="11">
        <f t="shared" si="2792"/>
        <v>0</v>
      </c>
      <c r="BN2747" s="8">
        <f t="shared" si="2793"/>
        <v>2222</v>
      </c>
      <c r="BO2747" s="8">
        <f t="shared" si="2773"/>
        <v>128680</v>
      </c>
      <c r="BP2747" s="8">
        <f t="shared" ref="BP2747:BP2782" si="2794">(N2747+X2747+Z2747+AB2747+AD2747+AH2747+AL2747+AP2747+AT2747+AX2747+BB2747+BF2747)</f>
        <v>1609</v>
      </c>
      <c r="BQ2747" s="12">
        <f t="shared" ref="BQ2747:BQ2782" si="2795">(O2747+Y2747+AA2747+AC2747+AE2747+AI2747+AM2747+AQ2747+AU2747+AY2747+BC2747+BG2747)</f>
        <v>85642</v>
      </c>
    </row>
    <row r="2748" spans="1:69">
      <c r="A2748" s="28">
        <v>1975</v>
      </c>
      <c r="B2748" s="27" t="s">
        <v>127</v>
      </c>
      <c r="C2748" s="24">
        <f t="shared" si="2772"/>
        <v>2728</v>
      </c>
      <c r="D2748" s="7" t="e">
        <f t="shared" ca="1" si="2733"/>
        <v>#N/A</v>
      </c>
      <c r="E2748" s="26">
        <f t="array" aca="1" ref="E2748" ca="1">AVERAGE(IF(INDIRECT(DatCol&amp;"$"&amp;TEXT(C2748,"###")):INDIRECT(DatCol&amp;"$"&amp;TEXT(C2748+57,"###"))&gt;0,INDIRECT(DatCol&amp;"$"&amp;TEXT(C2748,"###")):INDIRECT(DatCol&amp;"$"&amp;TEXT(C2748+57,"###"))))</f>
        <v>243.81496598639458</v>
      </c>
      <c r="F2748" s="26" t="str">
        <f t="shared" si="2752"/>
        <v>C</v>
      </c>
      <c r="G2748" s="8"/>
      <c r="H2748" s="8">
        <v>41</v>
      </c>
      <c r="I2748" s="8">
        <v>46</v>
      </c>
      <c r="J2748" s="8">
        <v>2100</v>
      </c>
      <c r="K2748" s="9">
        <f t="shared" si="2774"/>
        <v>2141</v>
      </c>
      <c r="M2748" s="11">
        <f t="shared" si="2775"/>
        <v>0</v>
      </c>
      <c r="N2748" s="12">
        <v>261</v>
      </c>
      <c r="O2748" s="11">
        <f t="shared" si="2776"/>
        <v>13050</v>
      </c>
      <c r="Q2748" s="11">
        <f t="shared" si="2777"/>
        <v>0</v>
      </c>
      <c r="X2748" s="12">
        <v>1098</v>
      </c>
      <c r="Y2748" s="11">
        <f t="shared" si="2778"/>
        <v>65880</v>
      </c>
      <c r="AG2748" s="11">
        <f t="shared" si="2779"/>
        <v>0</v>
      </c>
      <c r="AH2748" s="12">
        <v>33</v>
      </c>
      <c r="AI2748" s="11">
        <f t="shared" si="2780"/>
        <v>2145</v>
      </c>
      <c r="AJ2748" s="12">
        <v>484</v>
      </c>
      <c r="AK2748" s="13">
        <f t="shared" si="2781"/>
        <v>4356</v>
      </c>
      <c r="AL2748" s="12">
        <v>390</v>
      </c>
      <c r="AM2748" s="13">
        <f t="shared" si="2782"/>
        <v>3510</v>
      </c>
      <c r="AO2748" s="11">
        <f t="shared" si="2783"/>
        <v>0</v>
      </c>
      <c r="AQ2748" s="11">
        <f t="shared" si="2784"/>
        <v>0</v>
      </c>
      <c r="AS2748" s="11">
        <f t="shared" si="2785"/>
        <v>0</v>
      </c>
      <c r="AU2748" s="11">
        <f t="shared" si="2786"/>
        <v>0</v>
      </c>
      <c r="AW2748" s="11">
        <f t="shared" si="2787"/>
        <v>0</v>
      </c>
      <c r="AY2748" s="11">
        <f t="shared" si="2788"/>
        <v>0</v>
      </c>
      <c r="BA2748" s="11">
        <f t="shared" si="2789"/>
        <v>0</v>
      </c>
      <c r="BC2748" s="11">
        <f t="shared" si="2790"/>
        <v>0</v>
      </c>
      <c r="BE2748" s="11">
        <f t="shared" si="2791"/>
        <v>0</v>
      </c>
      <c r="BG2748" s="11">
        <f t="shared" si="2792"/>
        <v>0</v>
      </c>
      <c r="BN2748" s="8">
        <f t="shared" si="2793"/>
        <v>1582</v>
      </c>
      <c r="BO2748" s="8">
        <f t="shared" si="2773"/>
        <v>70236</v>
      </c>
      <c r="BP2748" s="8">
        <f t="shared" si="2794"/>
        <v>1782</v>
      </c>
      <c r="BQ2748" s="12">
        <f t="shared" si="2795"/>
        <v>84585</v>
      </c>
    </row>
    <row r="2749" spans="1:69">
      <c r="A2749" s="28">
        <v>1976</v>
      </c>
      <c r="B2749" s="27" t="s">
        <v>127</v>
      </c>
      <c r="C2749" s="24">
        <f t="shared" si="2772"/>
        <v>2728</v>
      </c>
      <c r="D2749" s="7" t="e">
        <f t="shared" ca="1" si="2733"/>
        <v>#N/A</v>
      </c>
      <c r="E2749" s="26">
        <f t="array" aca="1" ref="E2749" ca="1">AVERAGE(IF(INDIRECT(DatCol&amp;"$"&amp;TEXT(C2749,"###")):INDIRECT(DatCol&amp;"$"&amp;TEXT(C2749+57,"###"))&gt;0,INDIRECT(DatCol&amp;"$"&amp;TEXT(C2749,"###")):INDIRECT(DatCol&amp;"$"&amp;TEXT(C2749+57,"###"))))</f>
        <v>243.81496598639458</v>
      </c>
      <c r="F2749" s="26" t="str">
        <f t="shared" si="2752"/>
        <v>C</v>
      </c>
      <c r="G2749" s="8"/>
      <c r="H2749" s="8">
        <v>5</v>
      </c>
      <c r="I2749" s="8">
        <v>50</v>
      </c>
      <c r="J2749" s="8">
        <v>1785</v>
      </c>
      <c r="K2749" s="9">
        <f t="shared" si="2774"/>
        <v>1790</v>
      </c>
      <c r="L2749" s="12">
        <v>987</v>
      </c>
      <c r="M2749" s="11">
        <f t="shared" si="2775"/>
        <v>49350</v>
      </c>
      <c r="N2749" s="12">
        <v>198</v>
      </c>
      <c r="O2749" s="11">
        <f t="shared" si="2776"/>
        <v>9900</v>
      </c>
      <c r="P2749" s="12">
        <v>452</v>
      </c>
      <c r="Q2749" s="11">
        <f t="shared" si="2777"/>
        <v>27120</v>
      </c>
      <c r="X2749" s="12">
        <v>1000</v>
      </c>
      <c r="Y2749" s="11">
        <f t="shared" si="2778"/>
        <v>60000</v>
      </c>
      <c r="AG2749" s="11">
        <f t="shared" si="2779"/>
        <v>0</v>
      </c>
      <c r="AH2749" s="12">
        <v>5</v>
      </c>
      <c r="AI2749" s="11">
        <f t="shared" si="2780"/>
        <v>325</v>
      </c>
      <c r="AJ2749" s="12">
        <v>973</v>
      </c>
      <c r="AK2749" s="13">
        <f t="shared" si="2781"/>
        <v>8757</v>
      </c>
      <c r="AL2749" s="12">
        <v>794</v>
      </c>
      <c r="AM2749" s="13">
        <f t="shared" si="2782"/>
        <v>7146</v>
      </c>
      <c r="AO2749" s="11">
        <f t="shared" si="2783"/>
        <v>0</v>
      </c>
      <c r="AP2749" s="12">
        <v>10</v>
      </c>
      <c r="AQ2749" s="11">
        <f t="shared" si="2784"/>
        <v>800</v>
      </c>
      <c r="AS2749" s="11">
        <f t="shared" si="2785"/>
        <v>0</v>
      </c>
      <c r="AT2749" s="12">
        <v>20</v>
      </c>
      <c r="AU2749" s="11">
        <f t="shared" si="2786"/>
        <v>1000</v>
      </c>
      <c r="AW2749" s="11">
        <f t="shared" si="2787"/>
        <v>0</v>
      </c>
      <c r="AY2749" s="11">
        <f t="shared" si="2788"/>
        <v>0</v>
      </c>
      <c r="BA2749" s="11">
        <f t="shared" si="2789"/>
        <v>0</v>
      </c>
      <c r="BB2749" s="12">
        <v>2</v>
      </c>
      <c r="BC2749" s="11">
        <f t="shared" si="2790"/>
        <v>80</v>
      </c>
      <c r="BE2749" s="11">
        <f t="shared" si="2791"/>
        <v>0</v>
      </c>
      <c r="BG2749" s="11">
        <f t="shared" si="2792"/>
        <v>0</v>
      </c>
      <c r="BN2749" s="8">
        <f t="shared" si="2793"/>
        <v>3412</v>
      </c>
      <c r="BO2749" s="8">
        <f t="shared" si="2773"/>
        <v>145227</v>
      </c>
      <c r="BP2749" s="8">
        <f t="shared" si="2794"/>
        <v>2029</v>
      </c>
      <c r="BQ2749" s="12">
        <f t="shared" si="2795"/>
        <v>79251</v>
      </c>
    </row>
    <row r="2750" spans="1:69">
      <c r="A2750" s="28">
        <v>1977</v>
      </c>
      <c r="B2750" s="27" t="s">
        <v>127</v>
      </c>
      <c r="C2750" s="24">
        <f t="shared" si="2772"/>
        <v>2728</v>
      </c>
      <c r="D2750" s="7" t="e">
        <f t="shared" ca="1" si="2733"/>
        <v>#N/A</v>
      </c>
      <c r="E2750" s="26">
        <f t="array" aca="1" ref="E2750" ca="1">AVERAGE(IF(INDIRECT(DatCol&amp;"$"&amp;TEXT(C2750,"###")):INDIRECT(DatCol&amp;"$"&amp;TEXT(C2750+57,"###"))&gt;0,INDIRECT(DatCol&amp;"$"&amp;TEXT(C2750,"###")):INDIRECT(DatCol&amp;"$"&amp;TEXT(C2750+57,"###"))))</f>
        <v>243.81496598639458</v>
      </c>
      <c r="F2750" s="26" t="str">
        <f t="shared" si="2752"/>
        <v>C</v>
      </c>
      <c r="G2750" s="8"/>
      <c r="H2750" s="8">
        <v>24</v>
      </c>
      <c r="I2750" s="8">
        <v>38</v>
      </c>
      <c r="J2750" s="8">
        <v>1749</v>
      </c>
      <c r="K2750" s="9">
        <f t="shared" si="2774"/>
        <v>1773</v>
      </c>
      <c r="L2750" s="12">
        <v>867</v>
      </c>
      <c r="M2750" s="11">
        <f t="shared" si="2775"/>
        <v>43350</v>
      </c>
      <c r="N2750" s="12">
        <v>348</v>
      </c>
      <c r="O2750" s="11">
        <f t="shared" si="2776"/>
        <v>17400</v>
      </c>
      <c r="P2750" s="12">
        <v>7</v>
      </c>
      <c r="Q2750" s="11">
        <f t="shared" si="2777"/>
        <v>420</v>
      </c>
      <c r="X2750" s="12">
        <v>1420</v>
      </c>
      <c r="Y2750" s="11">
        <f t="shared" si="2778"/>
        <v>85200</v>
      </c>
      <c r="AG2750" s="11">
        <f t="shared" si="2779"/>
        <v>0</v>
      </c>
      <c r="AH2750" s="12">
        <v>48</v>
      </c>
      <c r="AI2750" s="11">
        <f t="shared" si="2780"/>
        <v>3120</v>
      </c>
      <c r="AJ2750" s="12">
        <v>37</v>
      </c>
      <c r="AK2750" s="13">
        <f t="shared" si="2781"/>
        <v>333</v>
      </c>
      <c r="AL2750" s="12">
        <v>121</v>
      </c>
      <c r="AM2750" s="13">
        <f t="shared" si="2782"/>
        <v>1089</v>
      </c>
      <c r="AO2750" s="11">
        <f t="shared" si="2783"/>
        <v>0</v>
      </c>
      <c r="AP2750" s="12">
        <v>15</v>
      </c>
      <c r="AQ2750" s="11">
        <f t="shared" si="2784"/>
        <v>1200</v>
      </c>
      <c r="AS2750" s="11">
        <f t="shared" si="2785"/>
        <v>0</v>
      </c>
      <c r="AT2750" s="12">
        <v>10</v>
      </c>
      <c r="AU2750" s="11">
        <f t="shared" si="2786"/>
        <v>500</v>
      </c>
      <c r="AW2750" s="11">
        <f t="shared" si="2787"/>
        <v>0</v>
      </c>
      <c r="AY2750" s="11">
        <f t="shared" si="2788"/>
        <v>0</v>
      </c>
      <c r="BA2750" s="11">
        <f t="shared" si="2789"/>
        <v>0</v>
      </c>
      <c r="BB2750" s="12">
        <v>2</v>
      </c>
      <c r="BC2750" s="11">
        <f t="shared" si="2790"/>
        <v>80</v>
      </c>
      <c r="BE2750" s="11">
        <f t="shared" si="2791"/>
        <v>0</v>
      </c>
      <c r="BG2750" s="11">
        <f t="shared" si="2792"/>
        <v>0</v>
      </c>
      <c r="BN2750" s="8">
        <f t="shared" si="2793"/>
        <v>2331</v>
      </c>
      <c r="BO2750" s="8">
        <f t="shared" si="2773"/>
        <v>129303</v>
      </c>
      <c r="BP2750" s="8">
        <f t="shared" si="2794"/>
        <v>1964</v>
      </c>
      <c r="BQ2750" s="12">
        <f t="shared" si="2795"/>
        <v>108589</v>
      </c>
    </row>
    <row r="2751" spans="1:69">
      <c r="A2751" s="28">
        <v>1978</v>
      </c>
      <c r="B2751" s="27" t="s">
        <v>127</v>
      </c>
      <c r="C2751" s="24">
        <f t="shared" si="2772"/>
        <v>2728</v>
      </c>
      <c r="D2751" s="7" t="e">
        <f t="shared" ca="1" si="2733"/>
        <v>#N/A</v>
      </c>
      <c r="E2751" s="26">
        <f t="array" aca="1" ref="E2751" ca="1">AVERAGE(IF(INDIRECT(DatCol&amp;"$"&amp;TEXT(C2751,"###")):INDIRECT(DatCol&amp;"$"&amp;TEXT(C2751+57,"###"))&gt;0,INDIRECT(DatCol&amp;"$"&amp;TEXT(C2751,"###")):INDIRECT(DatCol&amp;"$"&amp;TEXT(C2751+57,"###"))))</f>
        <v>243.81496598639458</v>
      </c>
      <c r="F2751" s="26" t="str">
        <f t="shared" si="2752"/>
        <v>C</v>
      </c>
      <c r="G2751" s="8"/>
      <c r="H2751" s="8">
        <v>20</v>
      </c>
      <c r="I2751" s="8">
        <v>32</v>
      </c>
      <c r="J2751" s="8">
        <v>1879</v>
      </c>
      <c r="K2751" s="9">
        <f t="shared" si="2774"/>
        <v>1899</v>
      </c>
      <c r="L2751" s="12">
        <v>684</v>
      </c>
      <c r="M2751" s="11">
        <f t="shared" si="2775"/>
        <v>34200</v>
      </c>
      <c r="N2751" s="12">
        <v>85</v>
      </c>
      <c r="O2751" s="11">
        <f t="shared" si="2776"/>
        <v>4250</v>
      </c>
      <c r="P2751" s="12">
        <v>260</v>
      </c>
      <c r="Q2751" s="11">
        <f t="shared" si="2777"/>
        <v>15600</v>
      </c>
      <c r="X2751" s="12">
        <v>1140</v>
      </c>
      <c r="Y2751" s="11">
        <f t="shared" si="2778"/>
        <v>68400</v>
      </c>
      <c r="AG2751" s="11">
        <f t="shared" si="2779"/>
        <v>0</v>
      </c>
      <c r="AI2751" s="11">
        <f t="shared" si="2780"/>
        <v>0</v>
      </c>
      <c r="AJ2751" s="12">
        <v>350</v>
      </c>
      <c r="AK2751" s="13">
        <f t="shared" si="2781"/>
        <v>3150</v>
      </c>
      <c r="AL2751" s="12">
        <v>640</v>
      </c>
      <c r="AM2751" s="13">
        <f t="shared" si="2782"/>
        <v>5760</v>
      </c>
      <c r="AO2751" s="11">
        <f t="shared" si="2783"/>
        <v>0</v>
      </c>
      <c r="AQ2751" s="11">
        <f t="shared" si="2784"/>
        <v>0</v>
      </c>
      <c r="AS2751" s="11">
        <f t="shared" si="2785"/>
        <v>0</v>
      </c>
      <c r="AU2751" s="11">
        <f t="shared" si="2786"/>
        <v>0</v>
      </c>
      <c r="AW2751" s="11">
        <f t="shared" si="2787"/>
        <v>0</v>
      </c>
      <c r="AY2751" s="11">
        <f t="shared" si="2788"/>
        <v>0</v>
      </c>
      <c r="BA2751" s="11">
        <f t="shared" si="2789"/>
        <v>0</v>
      </c>
      <c r="BC2751" s="11">
        <f t="shared" si="2790"/>
        <v>0</v>
      </c>
      <c r="BE2751" s="11">
        <f t="shared" si="2791"/>
        <v>0</v>
      </c>
      <c r="BG2751" s="11">
        <f t="shared" si="2792"/>
        <v>0</v>
      </c>
      <c r="BN2751" s="8">
        <f t="shared" si="2793"/>
        <v>2434</v>
      </c>
      <c r="BO2751" s="8">
        <f t="shared" si="2773"/>
        <v>121350</v>
      </c>
      <c r="BP2751" s="8">
        <f t="shared" si="2794"/>
        <v>1865</v>
      </c>
      <c r="BQ2751" s="12">
        <f t="shared" si="2795"/>
        <v>78410</v>
      </c>
    </row>
    <row r="2752" spans="1:69">
      <c r="A2752" s="28">
        <v>1979</v>
      </c>
      <c r="B2752" s="27" t="s">
        <v>127</v>
      </c>
      <c r="C2752" s="24">
        <f t="shared" si="2772"/>
        <v>2728</v>
      </c>
      <c r="D2752" s="7" t="e">
        <f t="shared" ca="1" si="2733"/>
        <v>#N/A</v>
      </c>
      <c r="E2752" s="26">
        <f t="array" aca="1" ref="E2752" ca="1">AVERAGE(IF(INDIRECT(DatCol&amp;"$"&amp;TEXT(C2752,"###")):INDIRECT(DatCol&amp;"$"&amp;TEXT(C2752+57,"###"))&gt;0,INDIRECT(DatCol&amp;"$"&amp;TEXT(C2752,"###")):INDIRECT(DatCol&amp;"$"&amp;TEXT(C2752+57,"###"))))</f>
        <v>243.81496598639458</v>
      </c>
      <c r="F2752" s="26" t="str">
        <f t="shared" si="2752"/>
        <v>C</v>
      </c>
      <c r="G2752" s="8"/>
      <c r="H2752" s="8">
        <v>49</v>
      </c>
      <c r="I2752" s="8">
        <v>59</v>
      </c>
      <c r="J2752" s="8">
        <v>2170</v>
      </c>
      <c r="K2752" s="9">
        <f t="shared" si="2774"/>
        <v>2219</v>
      </c>
      <c r="M2752" s="11">
        <f t="shared" si="2775"/>
        <v>0</v>
      </c>
      <c r="O2752" s="11">
        <f t="shared" si="2776"/>
        <v>0</v>
      </c>
      <c r="Q2752" s="11">
        <f t="shared" si="2777"/>
        <v>0</v>
      </c>
      <c r="Y2752" s="11">
        <f t="shared" si="2778"/>
        <v>0</v>
      </c>
      <c r="AG2752" s="11">
        <f t="shared" si="2779"/>
        <v>0</v>
      </c>
      <c r="AI2752" s="11">
        <f t="shared" si="2780"/>
        <v>0</v>
      </c>
      <c r="AK2752" s="13">
        <f t="shared" si="2781"/>
        <v>0</v>
      </c>
      <c r="AM2752" s="13">
        <f t="shared" si="2782"/>
        <v>0</v>
      </c>
      <c r="AO2752" s="11">
        <f t="shared" si="2783"/>
        <v>0</v>
      </c>
      <c r="AQ2752" s="11">
        <f t="shared" si="2784"/>
        <v>0</v>
      </c>
      <c r="AS2752" s="11">
        <f t="shared" si="2785"/>
        <v>0</v>
      </c>
      <c r="AU2752" s="11">
        <f t="shared" si="2786"/>
        <v>0</v>
      </c>
      <c r="AW2752" s="11">
        <f t="shared" si="2787"/>
        <v>0</v>
      </c>
      <c r="AY2752" s="11">
        <f t="shared" si="2788"/>
        <v>0</v>
      </c>
      <c r="BA2752" s="11">
        <f t="shared" si="2789"/>
        <v>0</v>
      </c>
      <c r="BB2752" s="12">
        <v>10</v>
      </c>
      <c r="BC2752" s="11">
        <f t="shared" si="2790"/>
        <v>400</v>
      </c>
      <c r="BE2752" s="11">
        <f t="shared" si="2791"/>
        <v>0</v>
      </c>
      <c r="BG2752" s="11">
        <f t="shared" si="2792"/>
        <v>0</v>
      </c>
      <c r="BN2752" s="8">
        <f t="shared" si="2793"/>
        <v>0</v>
      </c>
      <c r="BO2752" s="8">
        <f t="shared" si="2773"/>
        <v>0</v>
      </c>
      <c r="BP2752" s="8">
        <f t="shared" si="2794"/>
        <v>10</v>
      </c>
      <c r="BQ2752" s="12">
        <f t="shared" si="2795"/>
        <v>400</v>
      </c>
    </row>
    <row r="2753" spans="1:69">
      <c r="A2753" s="28">
        <v>1980</v>
      </c>
      <c r="B2753" s="27" t="s">
        <v>127</v>
      </c>
      <c r="C2753" s="24">
        <f t="shared" si="2772"/>
        <v>2728</v>
      </c>
      <c r="D2753" s="7" t="e">
        <f t="shared" ca="1" si="2733"/>
        <v>#N/A</v>
      </c>
      <c r="E2753" s="26">
        <f t="array" aca="1" ref="E2753" ca="1">AVERAGE(IF(INDIRECT(DatCol&amp;"$"&amp;TEXT(C2753,"###")):INDIRECT(DatCol&amp;"$"&amp;TEXT(C2753+57,"###"))&gt;0,INDIRECT(DatCol&amp;"$"&amp;TEXT(C2753,"###")):INDIRECT(DatCol&amp;"$"&amp;TEXT(C2753+57,"###"))))</f>
        <v>243.81496598639458</v>
      </c>
      <c r="F2753" s="26" t="str">
        <f t="shared" si="2752"/>
        <v>C</v>
      </c>
      <c r="G2753" s="8"/>
      <c r="H2753" s="8">
        <v>46</v>
      </c>
      <c r="I2753" s="8">
        <v>77</v>
      </c>
      <c r="J2753" s="8">
        <v>2321</v>
      </c>
      <c r="K2753" s="9">
        <f t="shared" si="2774"/>
        <v>2367</v>
      </c>
      <c r="L2753" s="12">
        <v>2520</v>
      </c>
      <c r="M2753" s="11">
        <f t="shared" si="2775"/>
        <v>126000</v>
      </c>
      <c r="N2753" s="12">
        <v>1157</v>
      </c>
      <c r="O2753" s="11">
        <f t="shared" si="2776"/>
        <v>57850</v>
      </c>
      <c r="P2753" s="12">
        <v>160</v>
      </c>
      <c r="Q2753" s="11">
        <f t="shared" si="2777"/>
        <v>9600</v>
      </c>
      <c r="X2753" s="12">
        <v>3470</v>
      </c>
      <c r="Y2753" s="11">
        <f t="shared" si="2778"/>
        <v>208200</v>
      </c>
      <c r="AG2753" s="11">
        <f t="shared" si="2779"/>
        <v>0</v>
      </c>
      <c r="AH2753" s="12">
        <v>317</v>
      </c>
      <c r="AI2753" s="11">
        <f t="shared" si="2780"/>
        <v>20605</v>
      </c>
      <c r="AJ2753" s="12">
        <v>1120</v>
      </c>
      <c r="AK2753" s="13">
        <f t="shared" si="2781"/>
        <v>10080</v>
      </c>
      <c r="AL2753" s="12">
        <v>1514</v>
      </c>
      <c r="AM2753" s="13">
        <f t="shared" si="2782"/>
        <v>13626</v>
      </c>
      <c r="AO2753" s="11">
        <f t="shared" si="2783"/>
        <v>0</v>
      </c>
      <c r="AP2753" s="12">
        <v>30</v>
      </c>
      <c r="AQ2753" s="11">
        <f t="shared" si="2784"/>
        <v>2400</v>
      </c>
      <c r="AS2753" s="11">
        <f t="shared" si="2785"/>
        <v>0</v>
      </c>
      <c r="AT2753" s="12">
        <v>50</v>
      </c>
      <c r="AU2753" s="11">
        <f t="shared" si="2786"/>
        <v>2500</v>
      </c>
      <c r="AW2753" s="11">
        <f t="shared" si="2787"/>
        <v>0</v>
      </c>
      <c r="AX2753" s="12">
        <v>15</v>
      </c>
      <c r="AY2753" s="11">
        <f t="shared" si="2788"/>
        <v>900</v>
      </c>
      <c r="BA2753" s="11">
        <f t="shared" si="2789"/>
        <v>0</v>
      </c>
      <c r="BB2753" s="12">
        <v>1</v>
      </c>
      <c r="BC2753" s="11">
        <f t="shared" si="2790"/>
        <v>40</v>
      </c>
      <c r="BE2753" s="11">
        <f t="shared" si="2791"/>
        <v>0</v>
      </c>
      <c r="BG2753" s="11">
        <f t="shared" si="2792"/>
        <v>0</v>
      </c>
      <c r="BN2753" s="8">
        <f t="shared" si="2793"/>
        <v>7270</v>
      </c>
      <c r="BO2753" s="8">
        <f t="shared" si="2773"/>
        <v>353880</v>
      </c>
      <c r="BP2753" s="8">
        <f t="shared" si="2794"/>
        <v>6554</v>
      </c>
      <c r="BQ2753" s="12">
        <f t="shared" si="2795"/>
        <v>306121</v>
      </c>
    </row>
    <row r="2754" spans="1:69">
      <c r="A2754" s="28">
        <v>1981</v>
      </c>
      <c r="B2754" s="27" t="s">
        <v>127</v>
      </c>
      <c r="C2754" s="24">
        <f t="shared" si="2772"/>
        <v>2728</v>
      </c>
      <c r="D2754" s="7" t="e">
        <f t="shared" ref="D2754:D2817" ca="1" si="2796">IF(AND((INDIRECT(DatCol&amp;TEXT(ROW(),"###"))&gt;0),((F2754=RegionSelect)+(RegionSelect="A"))),INDIRECT(DatCol&amp;TEXT(ROW(),"###"))/E2754,NA())</f>
        <v>#N/A</v>
      </c>
      <c r="E2754" s="26">
        <f t="array" aca="1" ref="E2754" ca="1">AVERAGE(IF(INDIRECT(DatCol&amp;"$"&amp;TEXT(C2754,"###")):INDIRECT(DatCol&amp;"$"&amp;TEXT(C2754+57,"###"))&gt;0,INDIRECT(DatCol&amp;"$"&amp;TEXT(C2754,"###")):INDIRECT(DatCol&amp;"$"&amp;TEXT(C2754+57,"###"))))</f>
        <v>243.81496598639458</v>
      </c>
      <c r="F2754" s="26" t="str">
        <f t="shared" si="2752"/>
        <v>C</v>
      </c>
      <c r="G2754" s="8"/>
      <c r="H2754" s="8">
        <v>32</v>
      </c>
      <c r="I2754" s="8">
        <v>22</v>
      </c>
      <c r="J2754" s="8">
        <v>1897</v>
      </c>
      <c r="K2754" s="9">
        <f t="shared" si="2774"/>
        <v>1929</v>
      </c>
      <c r="L2754" s="12">
        <v>1170</v>
      </c>
      <c r="M2754" s="11">
        <f t="shared" si="2775"/>
        <v>58500</v>
      </c>
      <c r="N2754" s="12">
        <v>11</v>
      </c>
      <c r="O2754" s="11">
        <f t="shared" si="2776"/>
        <v>550</v>
      </c>
      <c r="P2754" s="12">
        <v>100</v>
      </c>
      <c r="Q2754" s="11">
        <f t="shared" si="2777"/>
        <v>6000</v>
      </c>
      <c r="X2754" s="12">
        <v>846</v>
      </c>
      <c r="Y2754" s="11">
        <f t="shared" si="2778"/>
        <v>50760</v>
      </c>
      <c r="AG2754" s="11">
        <f t="shared" si="2779"/>
        <v>0</v>
      </c>
      <c r="AH2754" s="12">
        <v>72</v>
      </c>
      <c r="AI2754" s="11">
        <f t="shared" si="2780"/>
        <v>4680</v>
      </c>
      <c r="AK2754" s="13">
        <f t="shared" si="2781"/>
        <v>0</v>
      </c>
      <c r="AL2754" s="12">
        <v>5</v>
      </c>
      <c r="AM2754" s="13">
        <f t="shared" si="2782"/>
        <v>45</v>
      </c>
      <c r="AO2754" s="11">
        <f t="shared" si="2783"/>
        <v>0</v>
      </c>
      <c r="AP2754" s="12">
        <v>15</v>
      </c>
      <c r="AQ2754" s="11">
        <f t="shared" si="2784"/>
        <v>1200</v>
      </c>
      <c r="AS2754" s="11">
        <f t="shared" si="2785"/>
        <v>0</v>
      </c>
      <c r="AT2754" s="12">
        <v>5</v>
      </c>
      <c r="AU2754" s="11">
        <f t="shared" si="2786"/>
        <v>250</v>
      </c>
      <c r="AW2754" s="11">
        <f t="shared" si="2787"/>
        <v>0</v>
      </c>
      <c r="AY2754" s="11">
        <f t="shared" si="2788"/>
        <v>0</v>
      </c>
      <c r="BA2754" s="11">
        <f t="shared" si="2789"/>
        <v>0</v>
      </c>
      <c r="BB2754" s="12">
        <v>1</v>
      </c>
      <c r="BC2754" s="11">
        <f t="shared" si="2790"/>
        <v>40</v>
      </c>
      <c r="BE2754" s="11">
        <f t="shared" si="2791"/>
        <v>0</v>
      </c>
      <c r="BG2754" s="11">
        <f t="shared" si="2792"/>
        <v>0</v>
      </c>
      <c r="BN2754" s="8">
        <f t="shared" si="2793"/>
        <v>2116</v>
      </c>
      <c r="BO2754" s="8">
        <f t="shared" si="2773"/>
        <v>115260</v>
      </c>
      <c r="BP2754" s="8">
        <f t="shared" si="2794"/>
        <v>955</v>
      </c>
      <c r="BQ2754" s="12">
        <f t="shared" si="2795"/>
        <v>57525</v>
      </c>
    </row>
    <row r="2755" spans="1:69">
      <c r="A2755" s="28">
        <v>1982</v>
      </c>
      <c r="B2755" s="27" t="s">
        <v>127</v>
      </c>
      <c r="C2755" s="24">
        <f t="shared" si="2772"/>
        <v>2728</v>
      </c>
      <c r="D2755" s="7" t="e">
        <f t="shared" ca="1" si="2796"/>
        <v>#N/A</v>
      </c>
      <c r="E2755" s="26">
        <f t="array" aca="1" ref="E2755" ca="1">AVERAGE(IF(INDIRECT(DatCol&amp;"$"&amp;TEXT(C2755,"###")):INDIRECT(DatCol&amp;"$"&amp;TEXT(C2755+57,"###"))&gt;0,INDIRECT(DatCol&amp;"$"&amp;TEXT(C2755,"###")):INDIRECT(DatCol&amp;"$"&amp;TEXT(C2755+57,"###"))))</f>
        <v>243.81496598639458</v>
      </c>
      <c r="F2755" s="26" t="str">
        <f t="shared" si="2752"/>
        <v>C</v>
      </c>
      <c r="G2755" s="8"/>
      <c r="H2755" s="8">
        <v>36</v>
      </c>
      <c r="I2755" s="8">
        <v>45</v>
      </c>
      <c r="J2755" s="8">
        <v>1924</v>
      </c>
      <c r="K2755" s="9">
        <f t="shared" si="2774"/>
        <v>1960</v>
      </c>
      <c r="L2755" s="12">
        <v>1665</v>
      </c>
      <c r="M2755" s="11">
        <f t="shared" si="2775"/>
        <v>83250</v>
      </c>
      <c r="N2755" s="12">
        <v>3405</v>
      </c>
      <c r="O2755" s="11">
        <f t="shared" si="2776"/>
        <v>170250</v>
      </c>
      <c r="P2755" s="12">
        <v>626</v>
      </c>
      <c r="Q2755" s="11">
        <f t="shared" si="2777"/>
        <v>37560</v>
      </c>
      <c r="X2755" s="12">
        <v>503.5</v>
      </c>
      <c r="Y2755" s="11">
        <f t="shared" si="2778"/>
        <v>30210</v>
      </c>
      <c r="AG2755" s="11">
        <f t="shared" si="2779"/>
        <v>0</v>
      </c>
      <c r="AH2755" s="12">
        <v>82</v>
      </c>
      <c r="AI2755" s="11">
        <f t="shared" si="2780"/>
        <v>5330</v>
      </c>
      <c r="AJ2755" s="12">
        <v>898</v>
      </c>
      <c r="AK2755" s="13">
        <f t="shared" si="2781"/>
        <v>8082</v>
      </c>
      <c r="AL2755" s="12">
        <v>475</v>
      </c>
      <c r="AM2755" s="13">
        <f t="shared" si="2782"/>
        <v>4275</v>
      </c>
      <c r="AO2755" s="11">
        <f t="shared" si="2783"/>
        <v>0</v>
      </c>
      <c r="AP2755" s="12">
        <v>15</v>
      </c>
      <c r="AQ2755" s="11">
        <f t="shared" si="2784"/>
        <v>1200</v>
      </c>
      <c r="AS2755" s="11">
        <f t="shared" si="2785"/>
        <v>0</v>
      </c>
      <c r="AT2755" s="12">
        <v>3</v>
      </c>
      <c r="AU2755" s="11">
        <f t="shared" si="2786"/>
        <v>150</v>
      </c>
      <c r="AW2755" s="11">
        <f t="shared" si="2787"/>
        <v>0</v>
      </c>
      <c r="AY2755" s="11">
        <f t="shared" si="2788"/>
        <v>0</v>
      </c>
      <c r="BA2755" s="11">
        <f t="shared" si="2789"/>
        <v>0</v>
      </c>
      <c r="BC2755" s="11">
        <f t="shared" si="2790"/>
        <v>0</v>
      </c>
      <c r="BE2755" s="11">
        <f t="shared" si="2791"/>
        <v>0</v>
      </c>
      <c r="BG2755" s="11">
        <f t="shared" si="2792"/>
        <v>0</v>
      </c>
      <c r="BH2755" s="13" t="s">
        <v>132</v>
      </c>
      <c r="BN2755" s="8">
        <f t="shared" si="2793"/>
        <v>3692.5</v>
      </c>
      <c r="BO2755" s="8">
        <f t="shared" si="2773"/>
        <v>159102</v>
      </c>
      <c r="BP2755" s="8">
        <f t="shared" si="2794"/>
        <v>4483.5</v>
      </c>
      <c r="BQ2755" s="12">
        <f t="shared" si="2795"/>
        <v>211415</v>
      </c>
    </row>
    <row r="2756" spans="1:69">
      <c r="A2756" s="28">
        <v>1983</v>
      </c>
      <c r="B2756" s="27" t="s">
        <v>127</v>
      </c>
      <c r="C2756" s="24">
        <f t="shared" si="2772"/>
        <v>2728</v>
      </c>
      <c r="D2756" s="7" t="e">
        <f t="shared" ca="1" si="2796"/>
        <v>#N/A</v>
      </c>
      <c r="E2756" s="26">
        <f t="array" aca="1" ref="E2756" ca="1">AVERAGE(IF(INDIRECT(DatCol&amp;"$"&amp;TEXT(C2756,"###")):INDIRECT(DatCol&amp;"$"&amp;TEXT(C2756+57,"###"))&gt;0,INDIRECT(DatCol&amp;"$"&amp;TEXT(C2756,"###")):INDIRECT(DatCol&amp;"$"&amp;TEXT(C2756+57,"###"))))</f>
        <v>243.81496598639458</v>
      </c>
      <c r="F2756" s="26" t="str">
        <f t="shared" si="2752"/>
        <v>C</v>
      </c>
      <c r="G2756" s="8"/>
      <c r="H2756" s="8">
        <v>30</v>
      </c>
      <c r="I2756" s="8">
        <v>43</v>
      </c>
      <c r="J2756" s="8">
        <v>1669</v>
      </c>
      <c r="K2756" s="9">
        <f t="shared" si="2774"/>
        <v>1699</v>
      </c>
      <c r="L2756" s="12">
        <v>3130</v>
      </c>
      <c r="M2756" s="11">
        <f t="shared" ref="M2756:M2770" si="2797">(L2756*50)</f>
        <v>156500</v>
      </c>
      <c r="N2756" s="12">
        <v>511</v>
      </c>
      <c r="O2756" s="11">
        <f t="shared" ref="O2756:O2770" si="2798">(N2756*50)</f>
        <v>25550</v>
      </c>
      <c r="P2756" s="12">
        <v>102</v>
      </c>
      <c r="Q2756" s="11">
        <f t="shared" ref="Q2756:Q2770" si="2799">((P2756*330)/5.5)</f>
        <v>6120</v>
      </c>
      <c r="X2756" s="12">
        <v>536</v>
      </c>
      <c r="Y2756" s="11">
        <f t="shared" ref="Y2756:Y2770" si="2800">((X2756*330)/5.5)</f>
        <v>32160</v>
      </c>
      <c r="AG2756" s="11">
        <f t="shared" ref="AG2756:AG2770" si="2801">(AF2756*65)</f>
        <v>0</v>
      </c>
      <c r="AH2756" s="12">
        <v>68</v>
      </c>
      <c r="AI2756" s="11">
        <f t="shared" ref="AI2756:AI2770" si="2802">(AH2756*65)</f>
        <v>4420</v>
      </c>
      <c r="AK2756" s="13">
        <f t="shared" ref="AK2756:AK2770" si="2803">(AJ2756*9)</f>
        <v>0</v>
      </c>
      <c r="AL2756" s="12">
        <v>419</v>
      </c>
      <c r="AM2756" s="13">
        <f t="shared" ref="AM2756:AM2770" si="2804">(AL2756*9)</f>
        <v>3771</v>
      </c>
      <c r="AN2756" s="12">
        <v>838</v>
      </c>
      <c r="AO2756" s="11">
        <f t="shared" ref="AO2756:AO2770" si="2805">(AN2756*80)</f>
        <v>67040</v>
      </c>
      <c r="AP2756" s="12">
        <v>60</v>
      </c>
      <c r="AQ2756" s="11">
        <f t="shared" ref="AQ2756:AQ2770" si="2806">(AP2756*80)</f>
        <v>4800</v>
      </c>
      <c r="AS2756" s="11">
        <f t="shared" ref="AS2756:AS2770" si="2807">(AR2756*50)</f>
        <v>0</v>
      </c>
      <c r="AU2756" s="11">
        <f t="shared" ref="AU2756:AU2770" si="2808">(AT2756*50)</f>
        <v>0</v>
      </c>
      <c r="AW2756" s="11">
        <f t="shared" ref="AW2756:AW2770" si="2809">(AV2756*60)</f>
        <v>0</v>
      </c>
      <c r="AY2756" s="11">
        <f t="shared" ref="AY2756:AY2770" si="2810">(AX2756*60)</f>
        <v>0</v>
      </c>
      <c r="BA2756" s="11">
        <f t="shared" ref="BA2756:BA2770" si="2811">(AZ2756*40)</f>
        <v>0</v>
      </c>
      <c r="BC2756" s="11">
        <f t="shared" ref="BC2756:BC2770" si="2812">(BB2756*40)</f>
        <v>0</v>
      </c>
      <c r="BE2756" s="11">
        <f t="shared" ref="BE2756:BE2770" si="2813">(BD2756*95)</f>
        <v>0</v>
      </c>
      <c r="BG2756" s="11">
        <f t="shared" ref="BG2756:BG2770" si="2814">(BF2756*95)</f>
        <v>0</v>
      </c>
      <c r="BN2756" s="8">
        <f t="shared" si="2793"/>
        <v>4606</v>
      </c>
      <c r="BO2756" s="8">
        <f t="shared" si="2773"/>
        <v>261820</v>
      </c>
      <c r="BP2756" s="8">
        <f t="shared" si="2794"/>
        <v>1594</v>
      </c>
      <c r="BQ2756" s="12">
        <f t="shared" si="2795"/>
        <v>70701</v>
      </c>
    </row>
    <row r="2757" spans="1:69">
      <c r="A2757" s="28">
        <v>1984</v>
      </c>
      <c r="B2757" s="27" t="s">
        <v>127</v>
      </c>
      <c r="C2757" s="24">
        <f t="shared" si="2772"/>
        <v>2728</v>
      </c>
      <c r="D2757" s="7" t="e">
        <f t="shared" ca="1" si="2796"/>
        <v>#N/A</v>
      </c>
      <c r="E2757" s="26">
        <f t="array" aca="1" ref="E2757" ca="1">AVERAGE(IF(INDIRECT(DatCol&amp;"$"&amp;TEXT(C2757,"###")):INDIRECT(DatCol&amp;"$"&amp;TEXT(C2757+57,"###"))&gt;0,INDIRECT(DatCol&amp;"$"&amp;TEXT(C2757,"###")):INDIRECT(DatCol&amp;"$"&amp;TEXT(C2757+57,"###"))))</f>
        <v>243.81496598639458</v>
      </c>
      <c r="F2757" s="26" t="str">
        <f t="shared" si="2752"/>
        <v>C</v>
      </c>
      <c r="G2757" s="8"/>
      <c r="H2757" s="8">
        <v>32</v>
      </c>
      <c r="I2757" s="8">
        <v>32</v>
      </c>
      <c r="J2757" s="8">
        <v>1562</v>
      </c>
      <c r="K2757" s="9">
        <f t="shared" si="2774"/>
        <v>1594</v>
      </c>
      <c r="L2757" s="12">
        <v>3210</v>
      </c>
      <c r="M2757" s="11">
        <f t="shared" si="2797"/>
        <v>160500</v>
      </c>
      <c r="N2757" s="12">
        <v>318</v>
      </c>
      <c r="O2757" s="11">
        <f t="shared" si="2798"/>
        <v>15900</v>
      </c>
      <c r="P2757" s="12">
        <v>208</v>
      </c>
      <c r="Q2757" s="11">
        <f t="shared" si="2799"/>
        <v>12480</v>
      </c>
      <c r="X2757" s="12">
        <v>875</v>
      </c>
      <c r="Y2757" s="11">
        <f t="shared" si="2800"/>
        <v>52500</v>
      </c>
      <c r="AG2757" s="11">
        <f t="shared" si="2801"/>
        <v>0</v>
      </c>
      <c r="AH2757" s="12">
        <v>120</v>
      </c>
      <c r="AI2757" s="11">
        <f t="shared" si="2802"/>
        <v>7800</v>
      </c>
      <c r="AJ2757" s="12">
        <v>300</v>
      </c>
      <c r="AK2757" s="13">
        <f t="shared" si="2803"/>
        <v>2700</v>
      </c>
      <c r="AL2757" s="12">
        <v>283</v>
      </c>
      <c r="AM2757" s="13">
        <f t="shared" si="2804"/>
        <v>2547</v>
      </c>
      <c r="AO2757" s="11">
        <f t="shared" si="2805"/>
        <v>0</v>
      </c>
      <c r="AP2757" s="12">
        <v>42</v>
      </c>
      <c r="AQ2757" s="11">
        <f t="shared" si="2806"/>
        <v>3360</v>
      </c>
      <c r="AS2757" s="11">
        <f t="shared" si="2807"/>
        <v>0</v>
      </c>
      <c r="AT2757" s="12">
        <v>50</v>
      </c>
      <c r="AU2757" s="11">
        <f t="shared" si="2808"/>
        <v>2500</v>
      </c>
      <c r="AW2757" s="11">
        <f t="shared" si="2809"/>
        <v>0</v>
      </c>
      <c r="AY2757" s="11">
        <f t="shared" si="2810"/>
        <v>0</v>
      </c>
      <c r="BA2757" s="11">
        <f t="shared" si="2811"/>
        <v>0</v>
      </c>
      <c r="BC2757" s="11">
        <f t="shared" si="2812"/>
        <v>0</v>
      </c>
      <c r="BE2757" s="11">
        <f t="shared" si="2813"/>
        <v>0</v>
      </c>
      <c r="BG2757" s="11">
        <f t="shared" si="2814"/>
        <v>0</v>
      </c>
      <c r="BN2757" s="8">
        <f t="shared" si="2793"/>
        <v>4593</v>
      </c>
      <c r="BO2757" s="8">
        <f t="shared" si="2773"/>
        <v>228180</v>
      </c>
      <c r="BP2757" s="8">
        <f t="shared" si="2794"/>
        <v>1688</v>
      </c>
      <c r="BQ2757" s="12">
        <f t="shared" si="2795"/>
        <v>84607</v>
      </c>
    </row>
    <row r="2758" spans="1:69">
      <c r="A2758" s="28">
        <v>1985</v>
      </c>
      <c r="B2758" s="27" t="s">
        <v>127</v>
      </c>
      <c r="C2758" s="24">
        <f t="shared" si="2772"/>
        <v>2728</v>
      </c>
      <c r="D2758" s="7" t="e">
        <f t="shared" ca="1" si="2796"/>
        <v>#N/A</v>
      </c>
      <c r="E2758" s="26">
        <f t="array" aca="1" ref="E2758" ca="1">AVERAGE(IF(INDIRECT(DatCol&amp;"$"&amp;TEXT(C2758,"###")):INDIRECT(DatCol&amp;"$"&amp;TEXT(C2758+57,"###"))&gt;0,INDIRECT(DatCol&amp;"$"&amp;TEXT(C2758,"###")):INDIRECT(DatCol&amp;"$"&amp;TEXT(C2758+57,"###"))))</f>
        <v>243.81496598639458</v>
      </c>
      <c r="F2758" s="26" t="str">
        <f t="shared" si="2752"/>
        <v>C</v>
      </c>
      <c r="G2758" s="8"/>
      <c r="H2758" s="8">
        <v>69</v>
      </c>
      <c r="I2758" s="8">
        <v>63</v>
      </c>
      <c r="J2758" s="8">
        <v>1617</v>
      </c>
      <c r="K2758" s="9">
        <f t="shared" si="2774"/>
        <v>1686</v>
      </c>
      <c r="L2758" s="12">
        <v>4602</v>
      </c>
      <c r="M2758" s="11">
        <f t="shared" si="2797"/>
        <v>230100</v>
      </c>
      <c r="N2758" s="12">
        <v>260</v>
      </c>
      <c r="O2758" s="11">
        <f t="shared" si="2798"/>
        <v>13000</v>
      </c>
      <c r="P2758" s="12">
        <v>60</v>
      </c>
      <c r="Q2758" s="11">
        <f t="shared" si="2799"/>
        <v>3600</v>
      </c>
      <c r="X2758" s="12">
        <v>447</v>
      </c>
      <c r="Y2758" s="11">
        <f t="shared" si="2800"/>
        <v>26820</v>
      </c>
      <c r="AG2758" s="11">
        <f t="shared" si="2801"/>
        <v>0</v>
      </c>
      <c r="AH2758" s="12">
        <v>86</v>
      </c>
      <c r="AI2758" s="11">
        <f t="shared" si="2802"/>
        <v>5590</v>
      </c>
      <c r="AJ2758" s="12">
        <v>3381</v>
      </c>
      <c r="AK2758" s="13">
        <f t="shared" si="2803"/>
        <v>30429</v>
      </c>
      <c r="AL2758" s="12">
        <v>1058</v>
      </c>
      <c r="AM2758" s="13">
        <f t="shared" si="2804"/>
        <v>9522</v>
      </c>
      <c r="AO2758" s="11">
        <f t="shared" si="2805"/>
        <v>0</v>
      </c>
      <c r="AP2758" s="12">
        <v>31</v>
      </c>
      <c r="AQ2758" s="11">
        <f t="shared" si="2806"/>
        <v>2480</v>
      </c>
      <c r="AS2758" s="11">
        <f t="shared" si="2807"/>
        <v>0</v>
      </c>
      <c r="AT2758" s="12">
        <v>91</v>
      </c>
      <c r="AU2758" s="11">
        <f t="shared" si="2808"/>
        <v>4550</v>
      </c>
      <c r="AW2758" s="11">
        <f t="shared" si="2809"/>
        <v>0</v>
      </c>
      <c r="AY2758" s="11">
        <f t="shared" si="2810"/>
        <v>0</v>
      </c>
      <c r="BA2758" s="11">
        <f t="shared" si="2811"/>
        <v>0</v>
      </c>
      <c r="BB2758" s="12">
        <v>2</v>
      </c>
      <c r="BC2758" s="11">
        <f t="shared" si="2812"/>
        <v>80</v>
      </c>
      <c r="BE2758" s="11">
        <f t="shared" si="2813"/>
        <v>0</v>
      </c>
      <c r="BG2758" s="11">
        <f t="shared" si="2814"/>
        <v>0</v>
      </c>
      <c r="BN2758" s="8">
        <f t="shared" si="2793"/>
        <v>8490</v>
      </c>
      <c r="BO2758" s="8">
        <f t="shared" si="2773"/>
        <v>290949</v>
      </c>
      <c r="BP2758" s="8">
        <f t="shared" si="2794"/>
        <v>1975</v>
      </c>
      <c r="BQ2758" s="12">
        <f t="shared" si="2795"/>
        <v>62042</v>
      </c>
    </row>
    <row r="2759" spans="1:69">
      <c r="A2759" s="28">
        <v>1986</v>
      </c>
      <c r="B2759" s="27" t="s">
        <v>127</v>
      </c>
      <c r="C2759" s="24">
        <f t="shared" si="2772"/>
        <v>2728</v>
      </c>
      <c r="D2759" s="7" t="e">
        <f t="shared" ca="1" si="2796"/>
        <v>#N/A</v>
      </c>
      <c r="E2759" s="26">
        <f t="array" aca="1" ref="E2759" ca="1">AVERAGE(IF(INDIRECT(DatCol&amp;"$"&amp;TEXT(C2759,"###")):INDIRECT(DatCol&amp;"$"&amp;TEXT(C2759+57,"###"))&gt;0,INDIRECT(DatCol&amp;"$"&amp;TEXT(C2759,"###")):INDIRECT(DatCol&amp;"$"&amp;TEXT(C2759+57,"###"))))</f>
        <v>243.81496598639458</v>
      </c>
      <c r="F2759" s="26" t="str">
        <f t="shared" si="2752"/>
        <v>C</v>
      </c>
      <c r="G2759" s="8"/>
      <c r="H2759" s="8">
        <v>24</v>
      </c>
      <c r="I2759" s="8">
        <v>37</v>
      </c>
      <c r="J2759" s="8">
        <v>1233</v>
      </c>
      <c r="K2759" s="9">
        <f t="shared" si="2774"/>
        <v>1257</v>
      </c>
      <c r="L2759" s="12">
        <v>4876</v>
      </c>
      <c r="M2759" s="11">
        <f t="shared" si="2797"/>
        <v>243800</v>
      </c>
      <c r="N2759" s="12">
        <v>147</v>
      </c>
      <c r="O2759" s="11">
        <f t="shared" si="2798"/>
        <v>7350</v>
      </c>
      <c r="P2759" s="12">
        <v>132</v>
      </c>
      <c r="Q2759" s="11">
        <f t="shared" si="2799"/>
        <v>7920</v>
      </c>
      <c r="X2759" s="12">
        <v>456</v>
      </c>
      <c r="Y2759" s="11">
        <f t="shared" si="2800"/>
        <v>27360</v>
      </c>
      <c r="AG2759" s="11">
        <f t="shared" si="2801"/>
        <v>0</v>
      </c>
      <c r="AH2759" s="12">
        <v>68</v>
      </c>
      <c r="AI2759" s="11">
        <f t="shared" si="2802"/>
        <v>4420</v>
      </c>
      <c r="AJ2759" s="12">
        <v>1032</v>
      </c>
      <c r="AK2759" s="13">
        <f t="shared" si="2803"/>
        <v>9288</v>
      </c>
      <c r="AL2759" s="12">
        <v>88</v>
      </c>
      <c r="AM2759" s="13">
        <f t="shared" si="2804"/>
        <v>792</v>
      </c>
      <c r="AO2759" s="11">
        <f t="shared" si="2805"/>
        <v>0</v>
      </c>
      <c r="AP2759" s="12">
        <v>29</v>
      </c>
      <c r="AQ2759" s="11">
        <f t="shared" si="2806"/>
        <v>2320</v>
      </c>
      <c r="AS2759" s="11">
        <f t="shared" si="2807"/>
        <v>0</v>
      </c>
      <c r="AT2759" s="12">
        <v>12</v>
      </c>
      <c r="AU2759" s="11">
        <f t="shared" si="2808"/>
        <v>600</v>
      </c>
      <c r="AW2759" s="11">
        <f t="shared" si="2809"/>
        <v>0</v>
      </c>
      <c r="AX2759" s="12">
        <v>12</v>
      </c>
      <c r="AY2759" s="11">
        <f t="shared" si="2810"/>
        <v>720</v>
      </c>
      <c r="BA2759" s="11">
        <f t="shared" si="2811"/>
        <v>0</v>
      </c>
      <c r="BB2759" s="12">
        <v>2</v>
      </c>
      <c r="BC2759" s="11">
        <f t="shared" si="2812"/>
        <v>80</v>
      </c>
      <c r="BE2759" s="11">
        <f t="shared" si="2813"/>
        <v>0</v>
      </c>
      <c r="BG2759" s="11">
        <f t="shared" si="2814"/>
        <v>0</v>
      </c>
      <c r="BH2759" s="13" t="s">
        <v>133</v>
      </c>
      <c r="BN2759" s="8">
        <f t="shared" si="2793"/>
        <v>6496</v>
      </c>
      <c r="BO2759" s="8">
        <f t="shared" si="2773"/>
        <v>288368</v>
      </c>
      <c r="BP2759" s="8">
        <f t="shared" si="2794"/>
        <v>814</v>
      </c>
      <c r="BQ2759" s="12">
        <f t="shared" si="2795"/>
        <v>43642</v>
      </c>
    </row>
    <row r="2760" spans="1:69">
      <c r="A2760" s="28">
        <v>1987</v>
      </c>
      <c r="B2760" s="27" t="s">
        <v>127</v>
      </c>
      <c r="C2760" s="24">
        <f t="shared" si="2772"/>
        <v>2728</v>
      </c>
      <c r="D2760" s="7" t="e">
        <f t="shared" ca="1" si="2796"/>
        <v>#N/A</v>
      </c>
      <c r="E2760" s="26">
        <f t="array" aca="1" ref="E2760" ca="1">AVERAGE(IF(INDIRECT(DatCol&amp;"$"&amp;TEXT(C2760,"###")):INDIRECT(DatCol&amp;"$"&amp;TEXT(C2760+57,"###"))&gt;0,INDIRECT(DatCol&amp;"$"&amp;TEXT(C2760,"###")):INDIRECT(DatCol&amp;"$"&amp;TEXT(C2760+57,"###"))))</f>
        <v>243.81496598639458</v>
      </c>
      <c r="F2760" s="26" t="str">
        <f t="shared" si="2752"/>
        <v>C</v>
      </c>
      <c r="G2760" s="8"/>
      <c r="H2760" s="8">
        <v>17</v>
      </c>
      <c r="I2760" s="8">
        <v>43</v>
      </c>
      <c r="J2760" s="8">
        <v>987</v>
      </c>
      <c r="K2760" s="9">
        <f t="shared" si="2774"/>
        <v>1004</v>
      </c>
      <c r="L2760" s="12">
        <v>5184</v>
      </c>
      <c r="M2760" s="11">
        <f t="shared" si="2797"/>
        <v>259200</v>
      </c>
      <c r="N2760" s="12">
        <v>44</v>
      </c>
      <c r="O2760" s="11">
        <f t="shared" si="2798"/>
        <v>2200</v>
      </c>
      <c r="P2760" s="12">
        <v>20</v>
      </c>
      <c r="Q2760" s="11">
        <f t="shared" si="2799"/>
        <v>1200</v>
      </c>
      <c r="X2760" s="12">
        <v>241</v>
      </c>
      <c r="Y2760" s="11">
        <f t="shared" si="2800"/>
        <v>14460</v>
      </c>
      <c r="AG2760" s="11">
        <f t="shared" si="2801"/>
        <v>0</v>
      </c>
      <c r="AH2760" s="12">
        <v>65</v>
      </c>
      <c r="AI2760" s="11">
        <f t="shared" si="2802"/>
        <v>4225</v>
      </c>
      <c r="AJ2760" s="12">
        <v>1584</v>
      </c>
      <c r="AK2760" s="13">
        <f t="shared" si="2803"/>
        <v>14256</v>
      </c>
      <c r="AL2760" s="12">
        <v>251</v>
      </c>
      <c r="AM2760" s="13">
        <f t="shared" si="2804"/>
        <v>2259</v>
      </c>
      <c r="AO2760" s="11">
        <f t="shared" si="2805"/>
        <v>0</v>
      </c>
      <c r="AP2760" s="12">
        <v>15</v>
      </c>
      <c r="AQ2760" s="11">
        <f t="shared" si="2806"/>
        <v>1200</v>
      </c>
      <c r="AS2760" s="11">
        <f t="shared" si="2807"/>
        <v>0</v>
      </c>
      <c r="AU2760" s="11">
        <f t="shared" si="2808"/>
        <v>0</v>
      </c>
      <c r="AW2760" s="11">
        <f t="shared" si="2809"/>
        <v>0</v>
      </c>
      <c r="AX2760" s="12">
        <v>23</v>
      </c>
      <c r="AY2760" s="11">
        <f t="shared" si="2810"/>
        <v>1380</v>
      </c>
      <c r="BA2760" s="11">
        <f t="shared" si="2811"/>
        <v>0</v>
      </c>
      <c r="BB2760" s="12">
        <v>5</v>
      </c>
      <c r="BC2760" s="11">
        <f t="shared" si="2812"/>
        <v>200</v>
      </c>
      <c r="BE2760" s="11">
        <f t="shared" si="2813"/>
        <v>0</v>
      </c>
      <c r="BG2760" s="11">
        <f t="shared" si="2814"/>
        <v>0</v>
      </c>
      <c r="BH2760" s="13" t="s">
        <v>134</v>
      </c>
      <c r="BN2760" s="8">
        <f t="shared" si="2793"/>
        <v>7029</v>
      </c>
      <c r="BO2760" s="8">
        <f t="shared" si="2773"/>
        <v>289116</v>
      </c>
      <c r="BP2760" s="8">
        <f t="shared" si="2794"/>
        <v>644</v>
      </c>
      <c r="BQ2760" s="12">
        <f t="shared" si="2795"/>
        <v>25924</v>
      </c>
    </row>
    <row r="2761" spans="1:69">
      <c r="A2761" s="28">
        <v>1988</v>
      </c>
      <c r="B2761" s="27" t="s">
        <v>127</v>
      </c>
      <c r="C2761" s="24">
        <f t="shared" si="2772"/>
        <v>2728</v>
      </c>
      <c r="D2761" s="7" t="e">
        <f t="shared" ca="1" si="2796"/>
        <v>#N/A</v>
      </c>
      <c r="E2761" s="26">
        <f t="array" aca="1" ref="E2761" ca="1">AVERAGE(IF(INDIRECT(DatCol&amp;"$"&amp;TEXT(C2761,"###")):INDIRECT(DatCol&amp;"$"&amp;TEXT(C2761+57,"###"))&gt;0,INDIRECT(DatCol&amp;"$"&amp;TEXT(C2761,"###")):INDIRECT(DatCol&amp;"$"&amp;TEXT(C2761+57,"###"))))</f>
        <v>243.81496598639458</v>
      </c>
      <c r="F2761" s="26" t="str">
        <f t="shared" si="2752"/>
        <v>C</v>
      </c>
      <c r="G2761" s="8"/>
      <c r="H2761" s="8">
        <v>8</v>
      </c>
      <c r="I2761" s="8">
        <v>35</v>
      </c>
      <c r="J2761" s="8">
        <v>841</v>
      </c>
      <c r="K2761" s="9">
        <f t="shared" si="2774"/>
        <v>849</v>
      </c>
      <c r="L2761" s="12">
        <v>1974</v>
      </c>
      <c r="M2761" s="11">
        <f t="shared" si="2797"/>
        <v>98700</v>
      </c>
      <c r="N2761" s="12">
        <v>27</v>
      </c>
      <c r="O2761" s="11">
        <f t="shared" si="2798"/>
        <v>1350</v>
      </c>
      <c r="P2761" s="12">
        <v>120</v>
      </c>
      <c r="Q2761" s="11">
        <f t="shared" si="2799"/>
        <v>7200</v>
      </c>
      <c r="X2761" s="12">
        <v>460</v>
      </c>
      <c r="Y2761" s="11">
        <f t="shared" si="2800"/>
        <v>27600</v>
      </c>
      <c r="AG2761" s="11">
        <f t="shared" si="2801"/>
        <v>0</v>
      </c>
      <c r="AH2761" s="12">
        <v>0</v>
      </c>
      <c r="AI2761" s="11">
        <f t="shared" si="2802"/>
        <v>0</v>
      </c>
      <c r="AJ2761" s="12">
        <v>450</v>
      </c>
      <c r="AK2761" s="13">
        <f t="shared" si="2803"/>
        <v>4050</v>
      </c>
      <c r="AL2761" s="12">
        <v>120</v>
      </c>
      <c r="AM2761" s="13">
        <f t="shared" si="2804"/>
        <v>1080</v>
      </c>
      <c r="AO2761" s="11">
        <f t="shared" si="2805"/>
        <v>0</v>
      </c>
      <c r="AP2761" s="12">
        <v>0</v>
      </c>
      <c r="AQ2761" s="11">
        <f t="shared" si="2806"/>
        <v>0</v>
      </c>
      <c r="AS2761" s="11">
        <f t="shared" si="2807"/>
        <v>0</v>
      </c>
      <c r="AT2761" s="12">
        <v>5</v>
      </c>
      <c r="AU2761" s="11">
        <f t="shared" si="2808"/>
        <v>250</v>
      </c>
      <c r="AW2761" s="11">
        <f t="shared" si="2809"/>
        <v>0</v>
      </c>
      <c r="AX2761" s="12">
        <v>5</v>
      </c>
      <c r="AY2761" s="11">
        <f t="shared" si="2810"/>
        <v>300</v>
      </c>
      <c r="BA2761" s="11">
        <f t="shared" si="2811"/>
        <v>0</v>
      </c>
      <c r="BB2761" s="12">
        <v>5</v>
      </c>
      <c r="BC2761" s="11">
        <f t="shared" si="2812"/>
        <v>200</v>
      </c>
      <c r="BE2761" s="11">
        <f t="shared" si="2813"/>
        <v>0</v>
      </c>
      <c r="BG2761" s="11">
        <f t="shared" si="2814"/>
        <v>0</v>
      </c>
      <c r="BN2761" s="8">
        <f t="shared" si="2793"/>
        <v>3004</v>
      </c>
      <c r="BO2761" s="8">
        <f t="shared" si="2773"/>
        <v>137550</v>
      </c>
      <c r="BP2761" s="8">
        <f t="shared" si="2794"/>
        <v>622</v>
      </c>
      <c r="BQ2761" s="12">
        <f t="shared" si="2795"/>
        <v>30780</v>
      </c>
    </row>
    <row r="2762" spans="1:69">
      <c r="A2762" s="28">
        <v>1989</v>
      </c>
      <c r="B2762" s="27" t="s">
        <v>127</v>
      </c>
      <c r="C2762" s="24">
        <f t="shared" si="2772"/>
        <v>2728</v>
      </c>
      <c r="D2762" s="7" t="e">
        <f t="shared" ca="1" si="2796"/>
        <v>#N/A</v>
      </c>
      <c r="E2762" s="26">
        <f t="array" aca="1" ref="E2762" ca="1">AVERAGE(IF(INDIRECT(DatCol&amp;"$"&amp;TEXT(C2762,"###")):INDIRECT(DatCol&amp;"$"&amp;TEXT(C2762+57,"###"))&gt;0,INDIRECT(DatCol&amp;"$"&amp;TEXT(C2762,"###")):INDIRECT(DatCol&amp;"$"&amp;TEXT(C2762+57,"###"))))</f>
        <v>243.81496598639458</v>
      </c>
      <c r="F2762" s="26" t="str">
        <f t="shared" si="2752"/>
        <v>C</v>
      </c>
      <c r="G2762" s="8"/>
      <c r="H2762" s="8">
        <v>2</v>
      </c>
      <c r="I2762" s="8">
        <v>30</v>
      </c>
      <c r="J2762" s="8">
        <v>629</v>
      </c>
      <c r="K2762" s="9">
        <f t="shared" si="2774"/>
        <v>631</v>
      </c>
      <c r="L2762" s="12">
        <v>2100</v>
      </c>
      <c r="M2762" s="11">
        <f t="shared" si="2797"/>
        <v>105000</v>
      </c>
      <c r="N2762" s="12">
        <v>80</v>
      </c>
      <c r="O2762" s="11">
        <f t="shared" si="2798"/>
        <v>4000</v>
      </c>
      <c r="P2762" s="12">
        <v>200</v>
      </c>
      <c r="Q2762" s="11">
        <f t="shared" si="2799"/>
        <v>12000</v>
      </c>
      <c r="X2762" s="12">
        <v>270</v>
      </c>
      <c r="Y2762" s="11">
        <f t="shared" si="2800"/>
        <v>16200</v>
      </c>
      <c r="AF2762" s="12">
        <v>0</v>
      </c>
      <c r="AG2762" s="11">
        <f t="shared" si="2801"/>
        <v>0</v>
      </c>
      <c r="AH2762" s="12">
        <v>0</v>
      </c>
      <c r="AI2762" s="11">
        <f t="shared" si="2802"/>
        <v>0</v>
      </c>
      <c r="AJ2762" s="12">
        <v>10</v>
      </c>
      <c r="AK2762" s="13">
        <f t="shared" si="2803"/>
        <v>90</v>
      </c>
      <c r="AL2762" s="12">
        <v>5</v>
      </c>
      <c r="AM2762" s="13">
        <f t="shared" si="2804"/>
        <v>45</v>
      </c>
      <c r="AO2762" s="11">
        <f t="shared" si="2805"/>
        <v>0</v>
      </c>
      <c r="AQ2762" s="11">
        <f t="shared" si="2806"/>
        <v>0</v>
      </c>
      <c r="AS2762" s="11">
        <f t="shared" si="2807"/>
        <v>0</v>
      </c>
      <c r="AT2762" s="12">
        <v>0</v>
      </c>
      <c r="AU2762" s="11">
        <f t="shared" si="2808"/>
        <v>0</v>
      </c>
      <c r="AW2762" s="11">
        <f t="shared" si="2809"/>
        <v>0</v>
      </c>
      <c r="AX2762" s="12">
        <v>5</v>
      </c>
      <c r="AY2762" s="11">
        <f t="shared" si="2810"/>
        <v>300</v>
      </c>
      <c r="BA2762" s="11">
        <f t="shared" si="2811"/>
        <v>0</v>
      </c>
      <c r="BC2762" s="11">
        <f t="shared" si="2812"/>
        <v>0</v>
      </c>
      <c r="BE2762" s="11">
        <f t="shared" si="2813"/>
        <v>0</v>
      </c>
      <c r="BG2762" s="11">
        <f t="shared" si="2814"/>
        <v>0</v>
      </c>
      <c r="BN2762" s="8">
        <f t="shared" si="2793"/>
        <v>2580</v>
      </c>
      <c r="BO2762" s="8">
        <f t="shared" si="2773"/>
        <v>133290</v>
      </c>
      <c r="BP2762" s="8">
        <f t="shared" si="2794"/>
        <v>360</v>
      </c>
      <c r="BQ2762" s="12">
        <f t="shared" si="2795"/>
        <v>20545</v>
      </c>
    </row>
    <row r="2763" spans="1:69">
      <c r="A2763" s="28">
        <v>1990</v>
      </c>
      <c r="B2763" s="27" t="s">
        <v>127</v>
      </c>
      <c r="C2763" s="24">
        <f t="shared" si="2772"/>
        <v>2728</v>
      </c>
      <c r="D2763" s="7" t="e">
        <f t="shared" ca="1" si="2796"/>
        <v>#N/A</v>
      </c>
      <c r="E2763" s="26">
        <f t="array" aca="1" ref="E2763" ca="1">AVERAGE(IF(INDIRECT(DatCol&amp;"$"&amp;TEXT(C2763,"###")):INDIRECT(DatCol&amp;"$"&amp;TEXT(C2763+57,"###"))&gt;0,INDIRECT(DatCol&amp;"$"&amp;TEXT(C2763,"###")):INDIRECT(DatCol&amp;"$"&amp;TEXT(C2763+57,"###"))))</f>
        <v>243.81496598639458</v>
      </c>
      <c r="F2763" s="26" t="str">
        <f t="shared" si="2752"/>
        <v>C</v>
      </c>
      <c r="G2763" s="8"/>
      <c r="H2763" s="8">
        <v>2</v>
      </c>
      <c r="I2763" s="8">
        <v>39</v>
      </c>
      <c r="J2763" s="8">
        <v>518</v>
      </c>
      <c r="K2763" s="9">
        <f t="shared" si="2774"/>
        <v>520</v>
      </c>
      <c r="L2763" s="12">
        <v>2285</v>
      </c>
      <c r="M2763" s="11">
        <f t="shared" si="2797"/>
        <v>114250</v>
      </c>
      <c r="N2763" s="12">
        <v>144</v>
      </c>
      <c r="O2763" s="11">
        <f t="shared" si="2798"/>
        <v>7200</v>
      </c>
      <c r="P2763" s="12">
        <v>0</v>
      </c>
      <c r="Q2763" s="11">
        <f t="shared" si="2799"/>
        <v>0</v>
      </c>
      <c r="X2763" s="12">
        <v>200</v>
      </c>
      <c r="Y2763" s="11">
        <f t="shared" si="2800"/>
        <v>12000</v>
      </c>
      <c r="AF2763" s="12">
        <v>0</v>
      </c>
      <c r="AG2763" s="11">
        <f t="shared" si="2801"/>
        <v>0</v>
      </c>
      <c r="AH2763" s="12">
        <v>0</v>
      </c>
      <c r="AI2763" s="11">
        <f t="shared" si="2802"/>
        <v>0</v>
      </c>
      <c r="AJ2763" s="12">
        <v>294</v>
      </c>
      <c r="AK2763" s="13">
        <f t="shared" si="2803"/>
        <v>2646</v>
      </c>
      <c r="AL2763" s="12">
        <v>30</v>
      </c>
      <c r="AM2763" s="13">
        <f t="shared" si="2804"/>
        <v>270</v>
      </c>
      <c r="AO2763" s="11">
        <f t="shared" si="2805"/>
        <v>0</v>
      </c>
      <c r="AQ2763" s="11">
        <f t="shared" si="2806"/>
        <v>0</v>
      </c>
      <c r="AS2763" s="11">
        <f t="shared" si="2807"/>
        <v>0</v>
      </c>
      <c r="AU2763" s="11">
        <f t="shared" si="2808"/>
        <v>0</v>
      </c>
      <c r="AW2763" s="11">
        <f t="shared" si="2809"/>
        <v>0</v>
      </c>
      <c r="AX2763" s="12">
        <v>10</v>
      </c>
      <c r="AY2763" s="11">
        <f t="shared" si="2810"/>
        <v>600</v>
      </c>
      <c r="BA2763" s="11">
        <f t="shared" si="2811"/>
        <v>0</v>
      </c>
      <c r="BC2763" s="11">
        <f t="shared" si="2812"/>
        <v>0</v>
      </c>
      <c r="BE2763" s="11">
        <f t="shared" si="2813"/>
        <v>0</v>
      </c>
      <c r="BG2763" s="11">
        <f t="shared" si="2814"/>
        <v>0</v>
      </c>
      <c r="BN2763" s="8">
        <f t="shared" si="2793"/>
        <v>2779</v>
      </c>
      <c r="BO2763" s="8">
        <f t="shared" si="2773"/>
        <v>128896</v>
      </c>
      <c r="BP2763" s="8">
        <f t="shared" si="2794"/>
        <v>384</v>
      </c>
      <c r="BQ2763" s="12">
        <f t="shared" si="2795"/>
        <v>20070</v>
      </c>
    </row>
    <row r="2764" spans="1:69">
      <c r="A2764" s="28">
        <v>1991</v>
      </c>
      <c r="B2764" s="27" t="s">
        <v>127</v>
      </c>
      <c r="C2764" s="24">
        <f t="shared" si="2772"/>
        <v>2728</v>
      </c>
      <c r="D2764" s="7" t="e">
        <f t="shared" ca="1" si="2796"/>
        <v>#N/A</v>
      </c>
      <c r="E2764" s="26">
        <f t="array" aca="1" ref="E2764" ca="1">AVERAGE(IF(INDIRECT(DatCol&amp;"$"&amp;TEXT(C2764,"###")):INDIRECT(DatCol&amp;"$"&amp;TEXT(C2764+57,"###"))&gt;0,INDIRECT(DatCol&amp;"$"&amp;TEXT(C2764,"###")):INDIRECT(DatCol&amp;"$"&amp;TEXT(C2764+57,"###"))))</f>
        <v>243.81496598639458</v>
      </c>
      <c r="F2764" s="26" t="str">
        <f t="shared" si="2752"/>
        <v>C</v>
      </c>
      <c r="G2764" s="8"/>
      <c r="H2764" s="8">
        <v>1</v>
      </c>
      <c r="I2764" s="8">
        <v>41</v>
      </c>
      <c r="J2764" s="8">
        <v>587</v>
      </c>
      <c r="K2764" s="9">
        <f t="shared" si="2774"/>
        <v>588</v>
      </c>
      <c r="L2764" s="12">
        <v>2568</v>
      </c>
      <c r="M2764" s="11">
        <f t="shared" si="2797"/>
        <v>128400</v>
      </c>
      <c r="N2764" s="12">
        <v>156</v>
      </c>
      <c r="O2764" s="11">
        <f t="shared" si="2798"/>
        <v>7800</v>
      </c>
      <c r="P2764" s="12">
        <v>190</v>
      </c>
      <c r="Q2764" s="11">
        <f t="shared" si="2799"/>
        <v>11400</v>
      </c>
      <c r="X2764" s="12">
        <v>340</v>
      </c>
      <c r="Y2764" s="11">
        <f t="shared" si="2800"/>
        <v>20400</v>
      </c>
      <c r="AF2764" s="12">
        <v>0</v>
      </c>
      <c r="AG2764" s="11">
        <f t="shared" si="2801"/>
        <v>0</v>
      </c>
      <c r="AH2764" s="12">
        <v>0</v>
      </c>
      <c r="AI2764" s="11">
        <f t="shared" si="2802"/>
        <v>0</v>
      </c>
      <c r="AJ2764" s="12">
        <v>20</v>
      </c>
      <c r="AK2764" s="13">
        <f t="shared" si="2803"/>
        <v>180</v>
      </c>
      <c r="AL2764" s="12">
        <v>10</v>
      </c>
      <c r="AM2764" s="13">
        <f t="shared" si="2804"/>
        <v>90</v>
      </c>
      <c r="AO2764" s="11">
        <f t="shared" si="2805"/>
        <v>0</v>
      </c>
      <c r="AQ2764" s="11">
        <f t="shared" si="2806"/>
        <v>0</v>
      </c>
      <c r="AS2764" s="11">
        <f t="shared" si="2807"/>
        <v>0</v>
      </c>
      <c r="AU2764" s="11">
        <f t="shared" si="2808"/>
        <v>0</v>
      </c>
      <c r="AW2764" s="11">
        <f t="shared" si="2809"/>
        <v>0</v>
      </c>
      <c r="AY2764" s="11">
        <f t="shared" si="2810"/>
        <v>0</v>
      </c>
      <c r="BA2764" s="11">
        <f t="shared" si="2811"/>
        <v>0</v>
      </c>
      <c r="BC2764" s="11">
        <f t="shared" si="2812"/>
        <v>0</v>
      </c>
      <c r="BE2764" s="11">
        <f t="shared" si="2813"/>
        <v>0</v>
      </c>
      <c r="BG2764" s="11">
        <f t="shared" si="2814"/>
        <v>0</v>
      </c>
      <c r="BN2764" s="8">
        <f t="shared" si="2793"/>
        <v>3118</v>
      </c>
      <c r="BO2764" s="8">
        <f t="shared" si="2773"/>
        <v>160380</v>
      </c>
      <c r="BP2764" s="8">
        <f t="shared" si="2794"/>
        <v>506</v>
      </c>
      <c r="BQ2764" s="12">
        <f t="shared" si="2795"/>
        <v>28290</v>
      </c>
    </row>
    <row r="2765" spans="1:69">
      <c r="A2765" s="28">
        <v>1992</v>
      </c>
      <c r="B2765" s="27" t="s">
        <v>127</v>
      </c>
      <c r="C2765" s="24">
        <f t="shared" si="2772"/>
        <v>2728</v>
      </c>
      <c r="D2765" s="7" t="e">
        <f t="shared" ca="1" si="2796"/>
        <v>#N/A</v>
      </c>
      <c r="E2765" s="26">
        <f t="array" aca="1" ref="E2765" ca="1">AVERAGE(IF(INDIRECT(DatCol&amp;"$"&amp;TEXT(C2765,"###")):INDIRECT(DatCol&amp;"$"&amp;TEXT(C2765+57,"###"))&gt;0,INDIRECT(DatCol&amp;"$"&amp;TEXT(C2765,"###")):INDIRECT(DatCol&amp;"$"&amp;TEXT(C2765+57,"###"))))</f>
        <v>243.81496598639458</v>
      </c>
      <c r="F2765" s="26" t="str">
        <f t="shared" si="2752"/>
        <v>C</v>
      </c>
      <c r="G2765" s="8"/>
      <c r="H2765" s="8">
        <v>5</v>
      </c>
      <c r="I2765" s="8">
        <v>34</v>
      </c>
      <c r="J2765" s="8">
        <v>574</v>
      </c>
      <c r="K2765" s="9">
        <f t="shared" si="2774"/>
        <v>579</v>
      </c>
      <c r="L2765" s="12">
        <v>2736</v>
      </c>
      <c r="M2765" s="11">
        <f t="shared" si="2797"/>
        <v>136800</v>
      </c>
      <c r="N2765" s="12">
        <v>98</v>
      </c>
      <c r="O2765" s="11">
        <f t="shared" si="2798"/>
        <v>4900</v>
      </c>
      <c r="P2765" s="12">
        <v>10</v>
      </c>
      <c r="Q2765" s="11">
        <f t="shared" si="2799"/>
        <v>600</v>
      </c>
      <c r="X2765" s="12">
        <v>490</v>
      </c>
      <c r="Y2765" s="11">
        <f t="shared" si="2800"/>
        <v>29400</v>
      </c>
      <c r="AF2765" s="12">
        <v>0</v>
      </c>
      <c r="AG2765" s="11">
        <f t="shared" si="2801"/>
        <v>0</v>
      </c>
      <c r="AH2765" s="12">
        <v>0</v>
      </c>
      <c r="AI2765" s="11">
        <f t="shared" si="2802"/>
        <v>0</v>
      </c>
      <c r="AJ2765" s="12">
        <v>10</v>
      </c>
      <c r="AK2765" s="13">
        <f t="shared" si="2803"/>
        <v>90</v>
      </c>
      <c r="AL2765" s="12">
        <v>20</v>
      </c>
      <c r="AM2765" s="13">
        <f t="shared" si="2804"/>
        <v>180</v>
      </c>
      <c r="AO2765" s="11">
        <f t="shared" si="2805"/>
        <v>0</v>
      </c>
      <c r="AQ2765" s="11">
        <f t="shared" si="2806"/>
        <v>0</v>
      </c>
      <c r="AS2765" s="11">
        <f t="shared" si="2807"/>
        <v>0</v>
      </c>
      <c r="AU2765" s="11">
        <f t="shared" si="2808"/>
        <v>0</v>
      </c>
      <c r="AW2765" s="11">
        <f t="shared" si="2809"/>
        <v>0</v>
      </c>
      <c r="AY2765" s="11">
        <f t="shared" si="2810"/>
        <v>0</v>
      </c>
      <c r="BA2765" s="11">
        <f t="shared" si="2811"/>
        <v>0</v>
      </c>
      <c r="BC2765" s="11">
        <f t="shared" si="2812"/>
        <v>0</v>
      </c>
      <c r="BE2765" s="11">
        <f t="shared" si="2813"/>
        <v>0</v>
      </c>
      <c r="BG2765" s="11">
        <f t="shared" si="2814"/>
        <v>0</v>
      </c>
      <c r="BH2765" s="13">
        <v>3695</v>
      </c>
      <c r="BN2765" s="8">
        <f t="shared" si="2793"/>
        <v>3246</v>
      </c>
      <c r="BO2765" s="8">
        <f t="shared" si="2773"/>
        <v>166890</v>
      </c>
      <c r="BP2765" s="8">
        <f t="shared" si="2794"/>
        <v>608</v>
      </c>
      <c r="BQ2765" s="12">
        <f t="shared" si="2795"/>
        <v>34480</v>
      </c>
    </row>
    <row r="2766" spans="1:69">
      <c r="A2766" s="28">
        <v>1993</v>
      </c>
      <c r="B2766" s="27" t="s">
        <v>127</v>
      </c>
      <c r="C2766" s="24">
        <f t="shared" si="2772"/>
        <v>2728</v>
      </c>
      <c r="D2766" s="7" t="e">
        <f t="shared" ca="1" si="2796"/>
        <v>#N/A</v>
      </c>
      <c r="E2766" s="26">
        <f t="array" aca="1" ref="E2766" ca="1">AVERAGE(IF(INDIRECT(DatCol&amp;"$"&amp;TEXT(C2766,"###")):INDIRECT(DatCol&amp;"$"&amp;TEXT(C2766+57,"###"))&gt;0,INDIRECT(DatCol&amp;"$"&amp;TEXT(C2766,"###")):INDIRECT(DatCol&amp;"$"&amp;TEXT(C2766+57,"###"))))</f>
        <v>243.81496598639458</v>
      </c>
      <c r="F2766" s="26" t="str">
        <f t="shared" si="2752"/>
        <v>C</v>
      </c>
      <c r="G2766" s="8"/>
      <c r="H2766" s="8">
        <v>4</v>
      </c>
      <c r="I2766" s="8">
        <v>31</v>
      </c>
      <c r="J2766" s="8">
        <v>730</v>
      </c>
      <c r="K2766" s="9">
        <f t="shared" si="2774"/>
        <v>734</v>
      </c>
      <c r="L2766" s="12">
        <v>3924</v>
      </c>
      <c r="M2766" s="11">
        <f t="shared" si="2797"/>
        <v>196200</v>
      </c>
      <c r="N2766" s="12">
        <v>236</v>
      </c>
      <c r="O2766" s="11">
        <f t="shared" si="2798"/>
        <v>11800</v>
      </c>
      <c r="P2766" s="12">
        <v>40</v>
      </c>
      <c r="Q2766" s="11">
        <f t="shared" si="2799"/>
        <v>2400</v>
      </c>
      <c r="X2766" s="12">
        <v>475</v>
      </c>
      <c r="Y2766" s="11">
        <f t="shared" si="2800"/>
        <v>28500</v>
      </c>
      <c r="AF2766" s="12">
        <v>0</v>
      </c>
      <c r="AG2766" s="11">
        <f t="shared" si="2801"/>
        <v>0</v>
      </c>
      <c r="AH2766" s="12">
        <v>0</v>
      </c>
      <c r="AI2766" s="11">
        <f t="shared" si="2802"/>
        <v>0</v>
      </c>
      <c r="AJ2766" s="12">
        <v>140</v>
      </c>
      <c r="AK2766" s="13">
        <f t="shared" si="2803"/>
        <v>1260</v>
      </c>
      <c r="AL2766" s="12">
        <v>30</v>
      </c>
      <c r="AM2766" s="13">
        <f t="shared" si="2804"/>
        <v>270</v>
      </c>
      <c r="AN2766" s="12">
        <v>0</v>
      </c>
      <c r="AO2766" s="11">
        <f t="shared" si="2805"/>
        <v>0</v>
      </c>
      <c r="AP2766" s="12">
        <v>0</v>
      </c>
      <c r="AQ2766" s="11">
        <f t="shared" si="2806"/>
        <v>0</v>
      </c>
      <c r="AR2766" s="12">
        <v>0</v>
      </c>
      <c r="AS2766" s="11">
        <f t="shared" si="2807"/>
        <v>0</v>
      </c>
      <c r="AT2766" s="12">
        <v>20</v>
      </c>
      <c r="AU2766" s="11">
        <f t="shared" si="2808"/>
        <v>1000</v>
      </c>
      <c r="AW2766" s="11">
        <f t="shared" si="2809"/>
        <v>0</v>
      </c>
      <c r="AY2766" s="11">
        <f t="shared" si="2810"/>
        <v>0</v>
      </c>
      <c r="BA2766" s="11">
        <f t="shared" si="2811"/>
        <v>0</v>
      </c>
      <c r="BC2766" s="11">
        <f t="shared" si="2812"/>
        <v>0</v>
      </c>
      <c r="BE2766" s="11">
        <f t="shared" si="2813"/>
        <v>0</v>
      </c>
      <c r="BG2766" s="11">
        <f t="shared" si="2814"/>
        <v>0</v>
      </c>
      <c r="BH2766" s="13">
        <v>2500</v>
      </c>
      <c r="BI2766" s="13">
        <v>0</v>
      </c>
      <c r="BN2766" s="8">
        <f t="shared" si="2793"/>
        <v>4579</v>
      </c>
      <c r="BO2766" s="8">
        <f t="shared" si="2773"/>
        <v>228360</v>
      </c>
      <c r="BP2766" s="8">
        <f t="shared" si="2794"/>
        <v>761</v>
      </c>
      <c r="BQ2766" s="12">
        <f t="shared" si="2795"/>
        <v>41570</v>
      </c>
    </row>
    <row r="2767" spans="1:69">
      <c r="A2767" s="28">
        <v>1994</v>
      </c>
      <c r="B2767" s="27" t="s">
        <v>127</v>
      </c>
      <c r="C2767" s="24">
        <f t="shared" si="2772"/>
        <v>2728</v>
      </c>
      <c r="D2767" s="7" t="e">
        <f t="shared" ca="1" si="2796"/>
        <v>#N/A</v>
      </c>
      <c r="E2767" s="26">
        <f t="array" aca="1" ref="E2767" ca="1">AVERAGE(IF(INDIRECT(DatCol&amp;"$"&amp;TEXT(C2767,"###")):INDIRECT(DatCol&amp;"$"&amp;TEXT(C2767+57,"###"))&gt;0,INDIRECT(DatCol&amp;"$"&amp;TEXT(C2767,"###")):INDIRECT(DatCol&amp;"$"&amp;TEXT(C2767+57,"###"))))</f>
        <v>243.81496598639458</v>
      </c>
      <c r="F2767" s="26" t="str">
        <f t="shared" ref="F2767:F2833" si="2815">VLOOKUP(B2767,town_region,2,FALSE)</f>
        <v>C</v>
      </c>
      <c r="G2767" s="8"/>
      <c r="H2767" s="8">
        <v>18</v>
      </c>
      <c r="I2767" s="8">
        <v>50</v>
      </c>
      <c r="J2767" s="8">
        <v>855</v>
      </c>
      <c r="K2767" s="9">
        <f t="shared" si="2774"/>
        <v>873</v>
      </c>
      <c r="L2767" s="12">
        <v>2340</v>
      </c>
      <c r="M2767" s="11">
        <f t="shared" si="2797"/>
        <v>117000</v>
      </c>
      <c r="N2767" s="12">
        <v>250</v>
      </c>
      <c r="O2767" s="11">
        <f t="shared" si="2798"/>
        <v>12500</v>
      </c>
      <c r="P2767" s="12">
        <v>339</v>
      </c>
      <c r="Q2767" s="11">
        <f t="shared" si="2799"/>
        <v>20340</v>
      </c>
      <c r="X2767" s="12">
        <v>550</v>
      </c>
      <c r="Y2767" s="11">
        <f t="shared" si="2800"/>
        <v>33000</v>
      </c>
      <c r="AF2767" s="12">
        <v>0</v>
      </c>
      <c r="AG2767" s="11">
        <f t="shared" si="2801"/>
        <v>0</v>
      </c>
      <c r="AH2767" s="12">
        <v>4</v>
      </c>
      <c r="AI2767" s="11">
        <f t="shared" si="2802"/>
        <v>260</v>
      </c>
      <c r="AJ2767" s="12">
        <v>1800</v>
      </c>
      <c r="AK2767" s="13">
        <f t="shared" si="2803"/>
        <v>16200</v>
      </c>
      <c r="AL2767" s="12">
        <v>180</v>
      </c>
      <c r="AM2767" s="13">
        <f t="shared" si="2804"/>
        <v>1620</v>
      </c>
      <c r="AO2767" s="11">
        <f t="shared" si="2805"/>
        <v>0</v>
      </c>
      <c r="AQ2767" s="11">
        <f t="shared" si="2806"/>
        <v>0</v>
      </c>
      <c r="AS2767" s="11">
        <f t="shared" si="2807"/>
        <v>0</v>
      </c>
      <c r="AU2767" s="11">
        <f t="shared" si="2808"/>
        <v>0</v>
      </c>
      <c r="AW2767" s="11">
        <f t="shared" si="2809"/>
        <v>0</v>
      </c>
      <c r="AY2767" s="11">
        <f t="shared" si="2810"/>
        <v>0</v>
      </c>
      <c r="BA2767" s="11">
        <f t="shared" si="2811"/>
        <v>0</v>
      </c>
      <c r="BC2767" s="11">
        <f t="shared" si="2812"/>
        <v>0</v>
      </c>
      <c r="BE2767" s="11">
        <f t="shared" si="2813"/>
        <v>0</v>
      </c>
      <c r="BG2767" s="11">
        <f t="shared" si="2814"/>
        <v>0</v>
      </c>
      <c r="BN2767" s="8">
        <f t="shared" si="2793"/>
        <v>5029</v>
      </c>
      <c r="BO2767" s="8">
        <f t="shared" si="2773"/>
        <v>186540</v>
      </c>
      <c r="BP2767" s="8">
        <f t="shared" si="2794"/>
        <v>984</v>
      </c>
      <c r="BQ2767" s="12">
        <f t="shared" si="2795"/>
        <v>47380</v>
      </c>
    </row>
    <row r="2768" spans="1:69">
      <c r="A2768" s="28">
        <v>1995</v>
      </c>
      <c r="B2768" s="27" t="s">
        <v>127</v>
      </c>
      <c r="C2768" s="24">
        <f t="shared" si="2772"/>
        <v>2728</v>
      </c>
      <c r="D2768" s="7" t="e">
        <f t="shared" ca="1" si="2796"/>
        <v>#N/A</v>
      </c>
      <c r="E2768" s="26">
        <f t="array" aca="1" ref="E2768" ca="1">AVERAGE(IF(INDIRECT(DatCol&amp;"$"&amp;TEXT(C2768,"###")):INDIRECT(DatCol&amp;"$"&amp;TEXT(C2768+57,"###"))&gt;0,INDIRECT(DatCol&amp;"$"&amp;TEXT(C2768,"###")):INDIRECT(DatCol&amp;"$"&amp;TEXT(C2768+57,"###"))))</f>
        <v>243.81496598639458</v>
      </c>
      <c r="F2768" s="26" t="str">
        <f t="shared" si="2815"/>
        <v>C</v>
      </c>
      <c r="G2768" s="8"/>
      <c r="H2768" s="9">
        <v>6</v>
      </c>
      <c r="I2768" s="9">
        <v>48</v>
      </c>
      <c r="J2768" s="9">
        <v>848</v>
      </c>
      <c r="K2768" s="9">
        <f t="shared" si="2774"/>
        <v>854</v>
      </c>
      <c r="L2768" s="10">
        <v>4048</v>
      </c>
      <c r="M2768" s="11">
        <f t="shared" si="2797"/>
        <v>202400</v>
      </c>
      <c r="N2768" s="10">
        <v>154</v>
      </c>
      <c r="O2768" s="11">
        <f t="shared" si="2798"/>
        <v>7700</v>
      </c>
      <c r="P2768" s="10">
        <v>156</v>
      </c>
      <c r="Q2768" s="11">
        <f t="shared" si="2799"/>
        <v>9360</v>
      </c>
      <c r="X2768" s="10">
        <v>561</v>
      </c>
      <c r="Y2768" s="11">
        <f t="shared" si="2800"/>
        <v>33660</v>
      </c>
      <c r="AF2768" s="10">
        <v>0</v>
      </c>
      <c r="AG2768" s="11">
        <f t="shared" si="2801"/>
        <v>0</v>
      </c>
      <c r="AH2768" s="10">
        <v>0</v>
      </c>
      <c r="AI2768" s="11">
        <f t="shared" si="2802"/>
        <v>0</v>
      </c>
      <c r="AJ2768" s="10">
        <v>0</v>
      </c>
      <c r="AK2768" s="13">
        <f t="shared" si="2803"/>
        <v>0</v>
      </c>
      <c r="AL2768" s="10">
        <v>20</v>
      </c>
      <c r="AM2768" s="13">
        <f t="shared" si="2804"/>
        <v>180</v>
      </c>
      <c r="AN2768" s="10">
        <v>0</v>
      </c>
      <c r="AO2768" s="11">
        <f t="shared" si="2805"/>
        <v>0</v>
      </c>
      <c r="AP2768" s="10">
        <v>0</v>
      </c>
      <c r="AQ2768" s="11">
        <f t="shared" si="2806"/>
        <v>0</v>
      </c>
      <c r="AR2768" s="10">
        <v>0</v>
      </c>
      <c r="AS2768" s="11">
        <f t="shared" si="2807"/>
        <v>0</v>
      </c>
      <c r="AT2768" s="10">
        <v>0</v>
      </c>
      <c r="AU2768" s="11">
        <f t="shared" si="2808"/>
        <v>0</v>
      </c>
      <c r="AV2768" s="10">
        <v>0</v>
      </c>
      <c r="AW2768" s="11">
        <f t="shared" si="2809"/>
        <v>0</v>
      </c>
      <c r="AX2768" s="10">
        <v>0</v>
      </c>
      <c r="AY2768" s="11">
        <f t="shared" si="2810"/>
        <v>0</v>
      </c>
      <c r="AZ2768" s="10">
        <v>0</v>
      </c>
      <c r="BA2768" s="11">
        <f t="shared" si="2811"/>
        <v>0</v>
      </c>
      <c r="BB2768" s="10">
        <v>0</v>
      </c>
      <c r="BC2768" s="11">
        <f t="shared" si="2812"/>
        <v>0</v>
      </c>
      <c r="BD2768" s="10">
        <v>0</v>
      </c>
      <c r="BE2768" s="11">
        <f t="shared" si="2813"/>
        <v>0</v>
      </c>
      <c r="BF2768" s="10">
        <v>0</v>
      </c>
      <c r="BG2768" s="11">
        <f t="shared" si="2814"/>
        <v>0</v>
      </c>
      <c r="BH2768" s="11">
        <v>2000</v>
      </c>
      <c r="BI2768" s="11">
        <v>0</v>
      </c>
      <c r="BN2768" s="8">
        <f t="shared" si="2793"/>
        <v>4765</v>
      </c>
      <c r="BO2768" s="8">
        <f t="shared" si="2773"/>
        <v>245420</v>
      </c>
      <c r="BP2768" s="8">
        <f t="shared" si="2794"/>
        <v>735</v>
      </c>
      <c r="BQ2768" s="12">
        <f t="shared" si="2795"/>
        <v>41540</v>
      </c>
    </row>
    <row r="2769" spans="1:69">
      <c r="A2769" s="28">
        <v>1996</v>
      </c>
      <c r="B2769" s="27" t="s">
        <v>127</v>
      </c>
      <c r="C2769" s="24">
        <f t="shared" si="2772"/>
        <v>2728</v>
      </c>
      <c r="D2769" s="7" t="e">
        <f t="shared" ca="1" si="2796"/>
        <v>#N/A</v>
      </c>
      <c r="E2769" s="26">
        <f t="array" aca="1" ref="E2769" ca="1">AVERAGE(IF(INDIRECT(DatCol&amp;"$"&amp;TEXT(C2769,"###")):INDIRECT(DatCol&amp;"$"&amp;TEXT(C2769+57,"###"))&gt;0,INDIRECT(DatCol&amp;"$"&amp;TEXT(C2769,"###")):INDIRECT(DatCol&amp;"$"&amp;TEXT(C2769+57,"###"))))</f>
        <v>243.81496598639458</v>
      </c>
      <c r="F2769" s="26" t="str">
        <f t="shared" si="2815"/>
        <v>C</v>
      </c>
      <c r="G2769" s="8"/>
      <c r="H2769" s="9">
        <v>8</v>
      </c>
      <c r="I2769" s="9">
        <v>46</v>
      </c>
      <c r="J2769" s="9">
        <v>890</v>
      </c>
      <c r="K2769" s="9">
        <f t="shared" si="2774"/>
        <v>898</v>
      </c>
      <c r="L2769" s="10">
        <v>1672</v>
      </c>
      <c r="M2769" s="11">
        <f t="shared" si="2797"/>
        <v>83600</v>
      </c>
      <c r="N2769" s="10">
        <v>165</v>
      </c>
      <c r="O2769" s="11">
        <f t="shared" si="2798"/>
        <v>8250</v>
      </c>
      <c r="P2769" s="10">
        <v>0</v>
      </c>
      <c r="Q2769" s="11">
        <f t="shared" si="2799"/>
        <v>0</v>
      </c>
      <c r="R2769" s="10">
        <v>100</v>
      </c>
      <c r="S2769" s="11">
        <f>R2769*60</f>
        <v>6000</v>
      </c>
      <c r="T2769" s="10">
        <v>25</v>
      </c>
      <c r="U2769" s="11">
        <f>T2769*60</f>
        <v>1500</v>
      </c>
      <c r="V2769" s="10">
        <v>75</v>
      </c>
      <c r="W2769" s="11">
        <f>V2769*60</f>
        <v>4500</v>
      </c>
      <c r="X2769" s="10">
        <v>638</v>
      </c>
      <c r="Y2769" s="11">
        <f t="shared" si="2800"/>
        <v>38280</v>
      </c>
      <c r="Z2769" s="10">
        <v>0</v>
      </c>
      <c r="AA2769" s="11">
        <v>0</v>
      </c>
      <c r="AB2769" s="10">
        <v>0</v>
      </c>
      <c r="AC2769" s="11">
        <v>0</v>
      </c>
      <c r="AD2769" s="10">
        <v>0</v>
      </c>
      <c r="AE2769" s="11">
        <v>0</v>
      </c>
      <c r="AF2769" s="10">
        <v>0</v>
      </c>
      <c r="AG2769" s="11">
        <f t="shared" si="2801"/>
        <v>0</v>
      </c>
      <c r="AH2769" s="10">
        <v>0</v>
      </c>
      <c r="AI2769" s="11">
        <f t="shared" si="2802"/>
        <v>0</v>
      </c>
      <c r="AJ2769" s="10">
        <v>785</v>
      </c>
      <c r="AK2769" s="13">
        <f t="shared" si="2803"/>
        <v>7065</v>
      </c>
      <c r="AL2769" s="10">
        <v>120</v>
      </c>
      <c r="AM2769" s="13">
        <f t="shared" si="2804"/>
        <v>1080</v>
      </c>
      <c r="AN2769" s="10">
        <v>0</v>
      </c>
      <c r="AO2769" s="11">
        <f t="shared" si="2805"/>
        <v>0</v>
      </c>
      <c r="AP2769" s="10">
        <v>0</v>
      </c>
      <c r="AQ2769" s="11">
        <f t="shared" si="2806"/>
        <v>0</v>
      </c>
      <c r="AR2769" s="10">
        <v>0</v>
      </c>
      <c r="AS2769" s="11">
        <f t="shared" si="2807"/>
        <v>0</v>
      </c>
      <c r="AT2769" s="10">
        <v>0</v>
      </c>
      <c r="AU2769" s="11">
        <f t="shared" si="2808"/>
        <v>0</v>
      </c>
      <c r="AV2769" s="10">
        <v>0</v>
      </c>
      <c r="AW2769" s="11">
        <f t="shared" si="2809"/>
        <v>0</v>
      </c>
      <c r="AX2769" s="10">
        <v>0</v>
      </c>
      <c r="AY2769" s="11">
        <f t="shared" si="2810"/>
        <v>0</v>
      </c>
      <c r="AZ2769" s="10">
        <v>0</v>
      </c>
      <c r="BA2769" s="11">
        <f t="shared" si="2811"/>
        <v>0</v>
      </c>
      <c r="BB2769" s="10">
        <v>0</v>
      </c>
      <c r="BC2769" s="11">
        <f t="shared" si="2812"/>
        <v>0</v>
      </c>
      <c r="BD2769" s="10">
        <v>0</v>
      </c>
      <c r="BE2769" s="11">
        <f t="shared" si="2813"/>
        <v>0</v>
      </c>
      <c r="BF2769" s="10">
        <v>0</v>
      </c>
      <c r="BG2769" s="11">
        <f t="shared" si="2814"/>
        <v>0</v>
      </c>
      <c r="BH2769" s="11">
        <v>2000</v>
      </c>
      <c r="BI2769" s="11">
        <v>0</v>
      </c>
      <c r="BN2769" s="8">
        <f t="shared" si="2793"/>
        <v>3295</v>
      </c>
      <c r="BO2769" s="8">
        <f t="shared" si="2773"/>
        <v>140945</v>
      </c>
      <c r="BP2769" s="8">
        <f t="shared" si="2794"/>
        <v>923</v>
      </c>
      <c r="BQ2769" s="12">
        <f t="shared" si="2795"/>
        <v>47610</v>
      </c>
    </row>
    <row r="2770" spans="1:69">
      <c r="A2770" s="28">
        <v>1997</v>
      </c>
      <c r="B2770" s="27" t="s">
        <v>127</v>
      </c>
      <c r="C2770" s="24">
        <f t="shared" si="2772"/>
        <v>2728</v>
      </c>
      <c r="D2770" s="7" t="e">
        <f t="shared" ca="1" si="2796"/>
        <v>#N/A</v>
      </c>
      <c r="E2770" s="26">
        <f t="array" aca="1" ref="E2770" ca="1">AVERAGE(IF(INDIRECT(DatCol&amp;"$"&amp;TEXT(C2770,"###")):INDIRECT(DatCol&amp;"$"&amp;TEXT(C2770+57,"###"))&gt;0,INDIRECT(DatCol&amp;"$"&amp;TEXT(C2770,"###")):INDIRECT(DatCol&amp;"$"&amp;TEXT(C2770+57,"###"))))</f>
        <v>243.81496598639458</v>
      </c>
      <c r="F2770" s="26" t="str">
        <f t="shared" si="2815"/>
        <v>C</v>
      </c>
      <c r="G2770" s="8"/>
      <c r="H2770" s="9">
        <v>10</v>
      </c>
      <c r="I2770" s="9">
        <v>58</v>
      </c>
      <c r="J2770" s="9">
        <v>924</v>
      </c>
      <c r="K2770" s="9">
        <f t="shared" si="2774"/>
        <v>934</v>
      </c>
      <c r="L2770" s="10">
        <v>2207.5</v>
      </c>
      <c r="M2770" s="11">
        <f t="shared" si="2797"/>
        <v>110375</v>
      </c>
      <c r="N2770" s="10">
        <v>150</v>
      </c>
      <c r="O2770" s="11">
        <f t="shared" si="2798"/>
        <v>7500</v>
      </c>
      <c r="P2770" s="10">
        <v>619.5</v>
      </c>
      <c r="Q2770" s="11">
        <f t="shared" si="2799"/>
        <v>37170</v>
      </c>
      <c r="X2770" s="10">
        <v>725</v>
      </c>
      <c r="Y2770" s="11">
        <f t="shared" si="2800"/>
        <v>43500</v>
      </c>
      <c r="AF2770" s="10">
        <v>0</v>
      </c>
      <c r="AG2770" s="11">
        <f t="shared" si="2801"/>
        <v>0</v>
      </c>
      <c r="AH2770" s="10">
        <v>4</v>
      </c>
      <c r="AI2770" s="11">
        <f t="shared" si="2802"/>
        <v>260</v>
      </c>
      <c r="AJ2770" s="10">
        <v>40</v>
      </c>
      <c r="AK2770" s="13">
        <f t="shared" si="2803"/>
        <v>360</v>
      </c>
      <c r="AL2770" s="10">
        <v>0</v>
      </c>
      <c r="AM2770" s="13">
        <f t="shared" si="2804"/>
        <v>0</v>
      </c>
      <c r="AN2770" s="10">
        <v>0</v>
      </c>
      <c r="AO2770" s="11">
        <f t="shared" si="2805"/>
        <v>0</v>
      </c>
      <c r="AP2770" s="10">
        <v>0</v>
      </c>
      <c r="AQ2770" s="11">
        <f t="shared" si="2806"/>
        <v>0</v>
      </c>
      <c r="AR2770" s="10">
        <v>0</v>
      </c>
      <c r="AS2770" s="11">
        <f t="shared" si="2807"/>
        <v>0</v>
      </c>
      <c r="AT2770" s="10">
        <v>0</v>
      </c>
      <c r="AU2770" s="11">
        <f t="shared" si="2808"/>
        <v>0</v>
      </c>
      <c r="AV2770" s="10">
        <v>0</v>
      </c>
      <c r="AW2770" s="11">
        <f t="shared" si="2809"/>
        <v>0</v>
      </c>
      <c r="AX2770" s="10">
        <v>0</v>
      </c>
      <c r="AY2770" s="11">
        <f t="shared" si="2810"/>
        <v>0</v>
      </c>
      <c r="AZ2770" s="10">
        <v>0</v>
      </c>
      <c r="BA2770" s="11">
        <f t="shared" si="2811"/>
        <v>0</v>
      </c>
      <c r="BB2770" s="10">
        <v>0</v>
      </c>
      <c r="BC2770" s="11">
        <f t="shared" si="2812"/>
        <v>0</v>
      </c>
      <c r="BD2770" s="10">
        <v>0</v>
      </c>
      <c r="BE2770" s="11">
        <f t="shared" si="2813"/>
        <v>0</v>
      </c>
      <c r="BF2770" s="10">
        <v>0</v>
      </c>
      <c r="BG2770" s="11">
        <f t="shared" si="2814"/>
        <v>0</v>
      </c>
      <c r="BH2770" s="11">
        <v>0</v>
      </c>
      <c r="BI2770" s="11">
        <v>0</v>
      </c>
      <c r="BN2770" s="8">
        <f t="shared" si="2793"/>
        <v>3592</v>
      </c>
      <c r="BO2770" s="8">
        <f t="shared" si="2773"/>
        <v>191405</v>
      </c>
      <c r="BP2770" s="8">
        <f t="shared" si="2794"/>
        <v>879</v>
      </c>
      <c r="BQ2770" s="12">
        <f t="shared" si="2795"/>
        <v>51260</v>
      </c>
    </row>
    <row r="2771" spans="1:69">
      <c r="A2771" s="28">
        <v>1998</v>
      </c>
      <c r="B2771" s="27" t="s">
        <v>127</v>
      </c>
      <c r="C2771" s="24">
        <f t="shared" si="2772"/>
        <v>2728</v>
      </c>
      <c r="D2771" s="7" t="e">
        <f t="shared" ca="1" si="2796"/>
        <v>#N/A</v>
      </c>
      <c r="E2771" s="26">
        <f t="array" aca="1" ref="E2771" ca="1">AVERAGE(IF(INDIRECT(DatCol&amp;"$"&amp;TEXT(C2771,"###")):INDIRECT(DatCol&amp;"$"&amp;TEXT(C2771+57,"###"))&gt;0,INDIRECT(DatCol&amp;"$"&amp;TEXT(C2771,"###")):INDIRECT(DatCol&amp;"$"&amp;TEXT(C2771+57,"###"))))</f>
        <v>243.81496598639458</v>
      </c>
      <c r="F2771" s="26" t="str">
        <f t="shared" si="2815"/>
        <v>C</v>
      </c>
      <c r="G2771" s="8"/>
      <c r="H2771" s="9">
        <v>8</v>
      </c>
      <c r="I2771" s="9">
        <v>60</v>
      </c>
      <c r="J2771" s="9">
        <v>893</v>
      </c>
      <c r="K2771" s="9">
        <f t="shared" si="2774"/>
        <v>901</v>
      </c>
      <c r="L2771" s="10">
        <f>M2771/60</f>
        <v>2023.3333333333333</v>
      </c>
      <c r="M2771" s="11">
        <v>121400</v>
      </c>
      <c r="N2771" s="10">
        <f>O2771/60</f>
        <v>128.33333333333334</v>
      </c>
      <c r="O2771" s="11">
        <v>7700</v>
      </c>
      <c r="P2771" s="10">
        <f>Q2771/60</f>
        <v>225</v>
      </c>
      <c r="Q2771" s="11">
        <v>13500</v>
      </c>
      <c r="R2771" s="10">
        <v>0</v>
      </c>
      <c r="S2771" s="11">
        <v>0</v>
      </c>
      <c r="T2771" s="10">
        <v>0</v>
      </c>
      <c r="U2771" s="11">
        <v>0</v>
      </c>
      <c r="V2771" s="10">
        <v>0</v>
      </c>
      <c r="W2771" s="11">
        <v>0</v>
      </c>
      <c r="X2771" s="10">
        <f>Y2771/60</f>
        <v>800</v>
      </c>
      <c r="Y2771" s="11">
        <v>48000</v>
      </c>
      <c r="Z2771" s="10">
        <v>0</v>
      </c>
      <c r="AA2771" s="11">
        <v>0</v>
      </c>
      <c r="AB2771" s="10">
        <v>0</v>
      </c>
      <c r="AC2771" s="11">
        <v>0</v>
      </c>
      <c r="AD2771" s="10">
        <v>0</v>
      </c>
      <c r="AE2771" s="11">
        <v>0</v>
      </c>
      <c r="AF2771" s="10">
        <v>0</v>
      </c>
      <c r="AG2771" s="11">
        <v>0</v>
      </c>
      <c r="AH2771" s="10">
        <v>0</v>
      </c>
      <c r="AI2771" s="11">
        <v>0</v>
      </c>
      <c r="AJ2771" s="10">
        <f t="shared" ref="AJ2771:AJ2780" si="2816">AK2771/9</f>
        <v>747.22222222222217</v>
      </c>
      <c r="AK2771" s="13">
        <v>6725</v>
      </c>
      <c r="AL2771" s="10">
        <f t="shared" ref="AL2771:AL2780" si="2817">AM2771/9</f>
        <v>83.333333333333329</v>
      </c>
      <c r="AM2771" s="13">
        <v>750</v>
      </c>
      <c r="AN2771" s="10">
        <v>0</v>
      </c>
      <c r="AO2771" s="11">
        <v>0</v>
      </c>
      <c r="AP2771" s="10">
        <v>0</v>
      </c>
      <c r="AQ2771" s="11">
        <v>0</v>
      </c>
      <c r="AR2771" s="10">
        <v>0</v>
      </c>
      <c r="AS2771" s="11">
        <v>0</v>
      </c>
      <c r="AT2771" s="10">
        <v>0</v>
      </c>
      <c r="AU2771" s="11">
        <v>0</v>
      </c>
      <c r="AV2771" s="10">
        <v>0</v>
      </c>
      <c r="AW2771" s="11">
        <v>0</v>
      </c>
      <c r="AX2771" s="10">
        <v>0</v>
      </c>
      <c r="AY2771" s="11">
        <v>0</v>
      </c>
      <c r="AZ2771" s="10">
        <v>0</v>
      </c>
      <c r="BA2771" s="11">
        <v>0</v>
      </c>
      <c r="BB2771" s="10">
        <v>0</v>
      </c>
      <c r="BC2771" s="11">
        <v>0</v>
      </c>
      <c r="BD2771" s="10">
        <v>0</v>
      </c>
      <c r="BE2771" s="11">
        <v>0</v>
      </c>
      <c r="BF2771" s="10">
        <v>0</v>
      </c>
      <c r="BG2771" s="11">
        <v>0</v>
      </c>
      <c r="BH2771" s="11">
        <v>0</v>
      </c>
      <c r="BI2771" s="11">
        <v>0</v>
      </c>
      <c r="BN2771" s="8">
        <f t="shared" si="2793"/>
        <v>3795.5555555555552</v>
      </c>
      <c r="BO2771" s="8">
        <f t="shared" si="2773"/>
        <v>189625</v>
      </c>
      <c r="BP2771" s="8">
        <f t="shared" si="2794"/>
        <v>1011.6666666666667</v>
      </c>
      <c r="BQ2771" s="12">
        <f t="shared" si="2795"/>
        <v>56450</v>
      </c>
    </row>
    <row r="2772" spans="1:69">
      <c r="A2772" s="28">
        <v>1999</v>
      </c>
      <c r="B2772" s="27" t="s">
        <v>127</v>
      </c>
      <c r="C2772" s="24">
        <f t="shared" si="2772"/>
        <v>2728</v>
      </c>
      <c r="D2772" s="7" t="e">
        <f t="shared" ca="1" si="2796"/>
        <v>#N/A</v>
      </c>
      <c r="E2772" s="26">
        <f t="array" aca="1" ref="E2772" ca="1">AVERAGE(IF(INDIRECT(DatCol&amp;"$"&amp;TEXT(C2772,"###")):INDIRECT(DatCol&amp;"$"&amp;TEXT(C2772+57,"###"))&gt;0,INDIRECT(DatCol&amp;"$"&amp;TEXT(C2772,"###")):INDIRECT(DatCol&amp;"$"&amp;TEXT(C2772+57,"###"))))</f>
        <v>243.81496598639458</v>
      </c>
      <c r="F2772" s="26" t="str">
        <f t="shared" si="2815"/>
        <v>C</v>
      </c>
      <c r="G2772" s="8">
        <v>0</v>
      </c>
      <c r="H2772" s="9">
        <v>10</v>
      </c>
      <c r="I2772" s="9">
        <v>60</v>
      </c>
      <c r="J2772" s="9">
        <v>1210</v>
      </c>
      <c r="K2772" s="9">
        <f t="shared" si="2774"/>
        <v>1220</v>
      </c>
      <c r="L2772" s="10">
        <f t="shared" ref="L2772:L2780" si="2818">M2772/50</f>
        <v>2027.5</v>
      </c>
      <c r="M2772" s="11">
        <v>101375</v>
      </c>
      <c r="N2772" s="10">
        <f>O2772/50</f>
        <v>132</v>
      </c>
      <c r="O2772" s="11">
        <v>6600</v>
      </c>
      <c r="P2772" s="10">
        <f>Q2772/60</f>
        <v>407.5</v>
      </c>
      <c r="Q2772" s="11">
        <v>24450</v>
      </c>
      <c r="R2772" s="10">
        <v>0</v>
      </c>
      <c r="S2772" s="11">
        <v>0</v>
      </c>
      <c r="T2772" s="10">
        <v>0</v>
      </c>
      <c r="U2772" s="11">
        <v>0</v>
      </c>
      <c r="V2772" s="10">
        <v>0</v>
      </c>
      <c r="W2772" s="11">
        <v>0</v>
      </c>
      <c r="X2772" s="10">
        <f>Y2772/60</f>
        <v>850</v>
      </c>
      <c r="Y2772" s="11">
        <v>51000</v>
      </c>
      <c r="Z2772" s="10">
        <v>0</v>
      </c>
      <c r="AA2772" s="11">
        <v>0</v>
      </c>
      <c r="AB2772" s="10">
        <v>0</v>
      </c>
      <c r="AC2772" s="11">
        <v>0</v>
      </c>
      <c r="AD2772" s="10">
        <v>0</v>
      </c>
      <c r="AE2772" s="11">
        <v>0</v>
      </c>
      <c r="AF2772" s="10">
        <v>0</v>
      </c>
      <c r="AG2772" s="11">
        <v>0</v>
      </c>
      <c r="AH2772" s="10">
        <v>0</v>
      </c>
      <c r="AI2772" s="11">
        <v>0</v>
      </c>
      <c r="AJ2772" s="10">
        <f t="shared" si="2816"/>
        <v>1308.3333333333333</v>
      </c>
      <c r="AK2772" s="13">
        <v>11775</v>
      </c>
      <c r="AL2772" s="10">
        <f t="shared" si="2817"/>
        <v>77.777777777777771</v>
      </c>
      <c r="AM2772" s="13">
        <v>700</v>
      </c>
      <c r="AN2772" s="10">
        <v>0</v>
      </c>
      <c r="AO2772" s="11">
        <v>0</v>
      </c>
      <c r="AP2772" s="10">
        <v>0</v>
      </c>
      <c r="AQ2772" s="11">
        <v>0</v>
      </c>
      <c r="AR2772" s="10">
        <v>0</v>
      </c>
      <c r="AS2772" s="11">
        <v>0</v>
      </c>
      <c r="AT2772" s="10">
        <v>0</v>
      </c>
      <c r="AU2772" s="11">
        <v>0</v>
      </c>
      <c r="AV2772" s="10">
        <v>0</v>
      </c>
      <c r="AW2772" s="11">
        <v>0</v>
      </c>
      <c r="AX2772" s="10">
        <v>0</v>
      </c>
      <c r="AY2772" s="11">
        <v>0</v>
      </c>
      <c r="AZ2772" s="10">
        <v>0</v>
      </c>
      <c r="BA2772" s="11">
        <v>0</v>
      </c>
      <c r="BB2772" s="10">
        <v>0</v>
      </c>
      <c r="BC2772" s="11">
        <v>0</v>
      </c>
      <c r="BD2772" s="10">
        <v>0</v>
      </c>
      <c r="BE2772" s="11">
        <v>0</v>
      </c>
      <c r="BF2772" s="10">
        <v>0</v>
      </c>
      <c r="BG2772" s="11">
        <v>0</v>
      </c>
      <c r="BH2772" s="11">
        <v>0</v>
      </c>
      <c r="BI2772" s="11">
        <v>0</v>
      </c>
      <c r="BN2772" s="8">
        <f t="shared" si="2793"/>
        <v>4593.333333333333</v>
      </c>
      <c r="BO2772" s="8">
        <f t="shared" si="2773"/>
        <v>188600</v>
      </c>
      <c r="BP2772" s="8">
        <f t="shared" si="2794"/>
        <v>1059.7777777777778</v>
      </c>
      <c r="BQ2772" s="12">
        <f t="shared" si="2795"/>
        <v>58300</v>
      </c>
    </row>
    <row r="2773" spans="1:69">
      <c r="A2773" s="28">
        <v>2000</v>
      </c>
      <c r="B2773" s="27" t="s">
        <v>127</v>
      </c>
      <c r="C2773" s="24">
        <f t="shared" si="2772"/>
        <v>2728</v>
      </c>
      <c r="D2773" s="7" t="e">
        <f t="shared" ca="1" si="2796"/>
        <v>#N/A</v>
      </c>
      <c r="E2773" s="26">
        <f t="array" aca="1" ref="E2773" ca="1">AVERAGE(IF(INDIRECT(DatCol&amp;"$"&amp;TEXT(C2773,"###")):INDIRECT(DatCol&amp;"$"&amp;TEXT(C2773+57,"###"))&gt;0,INDIRECT(DatCol&amp;"$"&amp;TEXT(C2773,"###")):INDIRECT(DatCol&amp;"$"&amp;TEXT(C2773+57,"###"))))</f>
        <v>243.81496598639458</v>
      </c>
      <c r="F2773" s="26" t="str">
        <f t="shared" si="2815"/>
        <v>C</v>
      </c>
      <c r="G2773" s="8">
        <v>0</v>
      </c>
      <c r="H2773" s="9">
        <v>17</v>
      </c>
      <c r="I2773" s="9">
        <v>52</v>
      </c>
      <c r="J2773" s="9">
        <v>1078</v>
      </c>
      <c r="K2773" s="9">
        <f t="shared" si="2774"/>
        <v>1095</v>
      </c>
      <c r="L2773" s="10">
        <f t="shared" si="2818"/>
        <v>1419.5</v>
      </c>
      <c r="M2773" s="11">
        <v>70975</v>
      </c>
      <c r="N2773" s="10">
        <f>O2773/50</f>
        <v>90</v>
      </c>
      <c r="O2773" s="11">
        <v>4500</v>
      </c>
      <c r="P2773" s="10">
        <f>Q2773/49.5</f>
        <v>829.09090909090912</v>
      </c>
      <c r="Q2773" s="11">
        <v>41040</v>
      </c>
      <c r="R2773" s="10">
        <v>0</v>
      </c>
      <c r="S2773" s="11">
        <v>0</v>
      </c>
      <c r="T2773" s="10">
        <v>0</v>
      </c>
      <c r="U2773" s="11">
        <v>0</v>
      </c>
      <c r="V2773" s="10">
        <v>0</v>
      </c>
      <c r="W2773" s="11">
        <v>0</v>
      </c>
      <c r="X2773" s="10">
        <f>Y2773/49.5</f>
        <v>1115.1515151515152</v>
      </c>
      <c r="Y2773" s="11">
        <v>55200</v>
      </c>
      <c r="Z2773" s="10">
        <v>0</v>
      </c>
      <c r="AA2773" s="11">
        <v>0</v>
      </c>
      <c r="AB2773" s="10">
        <v>0</v>
      </c>
      <c r="AC2773" s="11">
        <v>0</v>
      </c>
      <c r="AD2773" s="10">
        <v>0</v>
      </c>
      <c r="AE2773" s="11">
        <v>0</v>
      </c>
      <c r="AF2773" s="10">
        <v>0</v>
      </c>
      <c r="AG2773" s="11">
        <v>0</v>
      </c>
      <c r="AH2773" s="10">
        <v>0</v>
      </c>
      <c r="AI2773" s="11">
        <v>0</v>
      </c>
      <c r="AJ2773" s="10">
        <f t="shared" si="2816"/>
        <v>3138.8888888888887</v>
      </c>
      <c r="AK2773" s="13">
        <v>28250</v>
      </c>
      <c r="AL2773" s="10">
        <f t="shared" si="2817"/>
        <v>322.22222222222223</v>
      </c>
      <c r="AM2773" s="13">
        <v>2900</v>
      </c>
      <c r="AN2773" s="10">
        <v>0</v>
      </c>
      <c r="AO2773" s="11">
        <v>0</v>
      </c>
      <c r="AP2773" s="10">
        <v>0</v>
      </c>
      <c r="AQ2773" s="11">
        <v>0</v>
      </c>
      <c r="AR2773" s="10">
        <v>0</v>
      </c>
      <c r="AS2773" s="11">
        <v>0</v>
      </c>
      <c r="AT2773" s="10">
        <v>0</v>
      </c>
      <c r="AU2773" s="11">
        <v>0</v>
      </c>
      <c r="AV2773" s="10">
        <v>0</v>
      </c>
      <c r="AW2773" s="11">
        <v>0</v>
      </c>
      <c r="AX2773" s="10">
        <v>0</v>
      </c>
      <c r="AY2773" s="11">
        <v>0</v>
      </c>
      <c r="AZ2773" s="10">
        <v>0</v>
      </c>
      <c r="BA2773" s="11">
        <v>0</v>
      </c>
      <c r="BB2773" s="10">
        <v>0</v>
      </c>
      <c r="BC2773" s="11">
        <v>0</v>
      </c>
      <c r="BD2773" s="10">
        <v>0</v>
      </c>
      <c r="BE2773" s="11">
        <v>0</v>
      </c>
      <c r="BF2773" s="10">
        <v>0</v>
      </c>
      <c r="BG2773" s="11">
        <v>0</v>
      </c>
      <c r="BH2773" s="11">
        <v>0</v>
      </c>
      <c r="BI2773" s="11">
        <v>0</v>
      </c>
      <c r="BN2773" s="8">
        <f t="shared" si="2793"/>
        <v>6502.6313131313127</v>
      </c>
      <c r="BO2773" s="8">
        <f t="shared" si="2773"/>
        <v>195465</v>
      </c>
      <c r="BP2773" s="8">
        <f t="shared" si="2794"/>
        <v>1527.3737373737374</v>
      </c>
      <c r="BQ2773" s="12">
        <f t="shared" si="2795"/>
        <v>62600</v>
      </c>
    </row>
    <row r="2774" spans="1:69">
      <c r="A2774" s="28">
        <v>2001</v>
      </c>
      <c r="B2774" s="27" t="s">
        <v>127</v>
      </c>
      <c r="C2774" s="24">
        <f t="shared" si="2772"/>
        <v>2728</v>
      </c>
      <c r="D2774" s="7" t="e">
        <f t="shared" ca="1" si="2796"/>
        <v>#N/A</v>
      </c>
      <c r="E2774" s="26">
        <f t="array" aca="1" ref="E2774" ca="1">AVERAGE(IF(INDIRECT(DatCol&amp;"$"&amp;TEXT(C2774,"###")):INDIRECT(DatCol&amp;"$"&amp;TEXT(C2774+57,"###"))&gt;0,INDIRECT(DatCol&amp;"$"&amp;TEXT(C2774,"###")):INDIRECT(DatCol&amp;"$"&amp;TEXT(C2774+57,"###"))))</f>
        <v>243.81496598639458</v>
      </c>
      <c r="F2774" s="26" t="str">
        <f t="shared" si="2815"/>
        <v>C</v>
      </c>
      <c r="G2774" s="8">
        <v>0</v>
      </c>
      <c r="H2774" s="9">
        <v>14</v>
      </c>
      <c r="I2774" s="9">
        <v>43</v>
      </c>
      <c r="J2774" s="9">
        <v>1075</v>
      </c>
      <c r="K2774" s="9">
        <f t="shared" si="2774"/>
        <v>1089</v>
      </c>
      <c r="L2774" s="10">
        <f t="shared" si="2818"/>
        <v>589.70000000000005</v>
      </c>
      <c r="M2774" s="11">
        <v>29485</v>
      </c>
      <c r="N2774" s="10">
        <f>O2774/50</f>
        <v>50</v>
      </c>
      <c r="O2774" s="11">
        <v>2500</v>
      </c>
      <c r="P2774" s="10">
        <f t="shared" ref="P2774:P2780" si="2819">Q2774/75</f>
        <v>1335.7866666666666</v>
      </c>
      <c r="Q2774" s="11">
        <v>100184</v>
      </c>
      <c r="R2774" s="10">
        <v>0</v>
      </c>
      <c r="S2774" s="11">
        <v>0</v>
      </c>
      <c r="T2774" s="10">
        <v>0</v>
      </c>
      <c r="U2774" s="11">
        <v>0</v>
      </c>
      <c r="V2774" s="10">
        <v>0</v>
      </c>
      <c r="W2774" s="11">
        <v>0</v>
      </c>
      <c r="X2774" s="10">
        <f t="shared" ref="X2774:X2780" si="2820">Y2774/75</f>
        <v>869.33333333333337</v>
      </c>
      <c r="Y2774" s="11">
        <v>65200</v>
      </c>
      <c r="Z2774" s="10">
        <v>0</v>
      </c>
      <c r="AA2774" s="11">
        <v>0</v>
      </c>
      <c r="AB2774" s="10">
        <v>0</v>
      </c>
      <c r="AC2774" s="11">
        <v>0</v>
      </c>
      <c r="AD2774" s="10">
        <v>0</v>
      </c>
      <c r="AE2774" s="11">
        <v>0</v>
      </c>
      <c r="AF2774" s="10">
        <v>0</v>
      </c>
      <c r="AG2774" s="11">
        <v>0</v>
      </c>
      <c r="AH2774" s="10">
        <v>0</v>
      </c>
      <c r="AI2774" s="11">
        <v>0</v>
      </c>
      <c r="AJ2774" s="10">
        <f t="shared" si="2816"/>
        <v>2522.2222222222222</v>
      </c>
      <c r="AK2774" s="13">
        <v>22700</v>
      </c>
      <c r="AL2774" s="10">
        <f t="shared" si="2817"/>
        <v>255.55555555555554</v>
      </c>
      <c r="AM2774" s="13">
        <v>2300</v>
      </c>
      <c r="AN2774" s="10">
        <v>0</v>
      </c>
      <c r="AO2774" s="11">
        <v>0</v>
      </c>
      <c r="AP2774" s="10">
        <v>0</v>
      </c>
      <c r="AQ2774" s="11">
        <v>0</v>
      </c>
      <c r="AR2774" s="10">
        <v>0</v>
      </c>
      <c r="AS2774" s="11">
        <v>0</v>
      </c>
      <c r="AT2774" s="10">
        <v>0</v>
      </c>
      <c r="AU2774" s="11">
        <v>0</v>
      </c>
      <c r="AV2774" s="10">
        <v>0</v>
      </c>
      <c r="AW2774" s="11">
        <v>0</v>
      </c>
      <c r="AX2774" s="10">
        <v>0</v>
      </c>
      <c r="AY2774" s="11">
        <v>0</v>
      </c>
      <c r="AZ2774" s="10">
        <v>0</v>
      </c>
      <c r="BA2774" s="11">
        <v>0</v>
      </c>
      <c r="BB2774" s="10">
        <v>0</v>
      </c>
      <c r="BC2774" s="11">
        <v>0</v>
      </c>
      <c r="BD2774" s="10">
        <v>0</v>
      </c>
      <c r="BE2774" s="11">
        <v>0</v>
      </c>
      <c r="BF2774" s="10">
        <v>0</v>
      </c>
      <c r="BG2774" s="11">
        <v>0</v>
      </c>
      <c r="BH2774" s="11">
        <v>0</v>
      </c>
      <c r="BI2774" s="11">
        <v>0</v>
      </c>
      <c r="BN2774" s="8">
        <f t="shared" si="2793"/>
        <v>5317.0422222222223</v>
      </c>
      <c r="BO2774" s="8">
        <f t="shared" si="2773"/>
        <v>217569</v>
      </c>
      <c r="BP2774" s="8">
        <f t="shared" si="2794"/>
        <v>1174.8888888888889</v>
      </c>
      <c r="BQ2774" s="12">
        <f t="shared" si="2795"/>
        <v>70000</v>
      </c>
    </row>
    <row r="2775" spans="1:69">
      <c r="A2775" s="28">
        <v>2002</v>
      </c>
      <c r="B2775" s="27" t="s">
        <v>127</v>
      </c>
      <c r="C2775" s="24">
        <f t="shared" si="2772"/>
        <v>2728</v>
      </c>
      <c r="D2775" s="7" t="e">
        <f t="shared" ca="1" si="2796"/>
        <v>#N/A</v>
      </c>
      <c r="E2775" s="26">
        <f t="array" aca="1" ref="E2775" ca="1">AVERAGE(IF(INDIRECT(DatCol&amp;"$"&amp;TEXT(C2775,"###")):INDIRECT(DatCol&amp;"$"&amp;TEXT(C2775+57,"###"))&gt;0,INDIRECT(DatCol&amp;"$"&amp;TEXT(C2775,"###")):INDIRECT(DatCol&amp;"$"&amp;TEXT(C2775+57,"###"))))</f>
        <v>243.81496598639458</v>
      </c>
      <c r="F2775" s="26" t="str">
        <f t="shared" si="2815"/>
        <v>C</v>
      </c>
      <c r="G2775" s="8">
        <v>0</v>
      </c>
      <c r="H2775" s="9">
        <v>7</v>
      </c>
      <c r="I2775" s="9">
        <v>37</v>
      </c>
      <c r="J2775" s="9">
        <v>1061</v>
      </c>
      <c r="K2775" s="9">
        <f t="shared" si="2774"/>
        <v>1068</v>
      </c>
      <c r="L2775" s="10">
        <f t="shared" si="2818"/>
        <v>300</v>
      </c>
      <c r="M2775" s="11">
        <v>15000</v>
      </c>
      <c r="N2775" s="10">
        <f>O2775/50</f>
        <v>4</v>
      </c>
      <c r="O2775" s="11">
        <v>200</v>
      </c>
      <c r="P2775" s="10">
        <f t="shared" si="2819"/>
        <v>880</v>
      </c>
      <c r="Q2775" s="11">
        <v>66000</v>
      </c>
      <c r="R2775" s="10">
        <v>0</v>
      </c>
      <c r="S2775" s="11">
        <v>0</v>
      </c>
      <c r="T2775" s="10">
        <v>0</v>
      </c>
      <c r="U2775" s="11">
        <v>0</v>
      </c>
      <c r="V2775" s="10">
        <v>0</v>
      </c>
      <c r="W2775" s="11">
        <v>0</v>
      </c>
      <c r="X2775" s="10">
        <f t="shared" si="2820"/>
        <v>800</v>
      </c>
      <c r="Y2775" s="11">
        <v>60000</v>
      </c>
      <c r="Z2775" s="10">
        <v>0</v>
      </c>
      <c r="AA2775" s="11">
        <v>0</v>
      </c>
      <c r="AB2775" s="10">
        <v>0</v>
      </c>
      <c r="AC2775" s="11">
        <v>0</v>
      </c>
      <c r="AD2775" s="10">
        <v>0</v>
      </c>
      <c r="AE2775" s="11">
        <v>0</v>
      </c>
      <c r="AF2775" s="10">
        <v>0</v>
      </c>
      <c r="AG2775" s="11">
        <v>0</v>
      </c>
      <c r="AH2775" s="10">
        <v>0</v>
      </c>
      <c r="AI2775" s="11">
        <v>0</v>
      </c>
      <c r="AJ2775" s="10">
        <f t="shared" si="2816"/>
        <v>1666.6666666666667</v>
      </c>
      <c r="AK2775" s="13">
        <v>15000</v>
      </c>
      <c r="AL2775" s="10">
        <f t="shared" si="2817"/>
        <v>222.22222222222223</v>
      </c>
      <c r="AM2775" s="13">
        <v>2000</v>
      </c>
      <c r="AN2775" s="10">
        <v>0</v>
      </c>
      <c r="AO2775" s="11">
        <v>0</v>
      </c>
      <c r="AP2775" s="10">
        <v>0</v>
      </c>
      <c r="AQ2775" s="11">
        <v>0</v>
      </c>
      <c r="AR2775" s="10">
        <v>0</v>
      </c>
      <c r="AS2775" s="11">
        <v>0</v>
      </c>
      <c r="AT2775" s="10">
        <v>0</v>
      </c>
      <c r="AU2775" s="11">
        <v>0</v>
      </c>
      <c r="AV2775" s="10">
        <v>0</v>
      </c>
      <c r="AW2775" s="11">
        <v>0</v>
      </c>
      <c r="AX2775" s="10">
        <v>0</v>
      </c>
      <c r="AY2775" s="11">
        <v>0</v>
      </c>
      <c r="AZ2775" s="10">
        <v>0</v>
      </c>
      <c r="BA2775" s="11">
        <v>0</v>
      </c>
      <c r="BB2775" s="10">
        <v>0</v>
      </c>
      <c r="BC2775" s="11">
        <v>0</v>
      </c>
      <c r="BD2775" s="10">
        <v>0</v>
      </c>
      <c r="BN2775" s="8">
        <f t="shared" si="2793"/>
        <v>3646.666666666667</v>
      </c>
      <c r="BO2775" s="8">
        <f t="shared" si="2773"/>
        <v>156000</v>
      </c>
      <c r="BP2775" s="8">
        <f t="shared" si="2794"/>
        <v>1026.2222222222222</v>
      </c>
      <c r="BQ2775" s="12">
        <f t="shared" si="2795"/>
        <v>62200</v>
      </c>
    </row>
    <row r="2776" spans="1:69">
      <c r="A2776" s="28">
        <v>2003</v>
      </c>
      <c r="B2776" s="27" t="s">
        <v>127</v>
      </c>
      <c r="C2776" s="24">
        <f t="shared" si="2772"/>
        <v>2728</v>
      </c>
      <c r="D2776" s="7" t="e">
        <f t="shared" ca="1" si="2796"/>
        <v>#N/A</v>
      </c>
      <c r="E2776" s="26">
        <f t="array" aca="1" ref="E2776" ca="1">AVERAGE(IF(INDIRECT(DatCol&amp;"$"&amp;TEXT(C2776,"###")):INDIRECT(DatCol&amp;"$"&amp;TEXT(C2776+57,"###"))&gt;0,INDIRECT(DatCol&amp;"$"&amp;TEXT(C2776,"###")):INDIRECT(DatCol&amp;"$"&amp;TEXT(C2776+57,"###"))))</f>
        <v>243.81496598639458</v>
      </c>
      <c r="F2776" s="26" t="str">
        <f t="shared" si="2815"/>
        <v>C</v>
      </c>
      <c r="G2776" s="8">
        <v>0</v>
      </c>
      <c r="H2776" s="9">
        <v>12</v>
      </c>
      <c r="I2776" s="9">
        <v>23</v>
      </c>
      <c r="J2776" s="9">
        <v>985</v>
      </c>
      <c r="K2776" s="9">
        <f t="shared" si="2774"/>
        <v>997</v>
      </c>
      <c r="L2776" s="10">
        <f t="shared" si="2818"/>
        <v>423</v>
      </c>
      <c r="M2776" s="11">
        <v>21150</v>
      </c>
      <c r="N2776" s="10">
        <v>0</v>
      </c>
      <c r="O2776" s="11">
        <v>0</v>
      </c>
      <c r="P2776" s="10">
        <f t="shared" si="2819"/>
        <v>1264</v>
      </c>
      <c r="Q2776" s="11">
        <v>94800</v>
      </c>
      <c r="R2776" s="10">
        <v>0</v>
      </c>
      <c r="S2776" s="11">
        <v>0</v>
      </c>
      <c r="T2776" s="10">
        <v>0</v>
      </c>
      <c r="U2776" s="11">
        <v>0</v>
      </c>
      <c r="V2776" s="10">
        <v>0</v>
      </c>
      <c r="W2776" s="11">
        <v>0</v>
      </c>
      <c r="X2776" s="10">
        <f t="shared" si="2820"/>
        <v>950</v>
      </c>
      <c r="Y2776" s="11">
        <v>71250</v>
      </c>
      <c r="Z2776" s="10">
        <v>0</v>
      </c>
      <c r="AA2776" s="11">
        <v>0</v>
      </c>
      <c r="AB2776" s="10">
        <v>0</v>
      </c>
      <c r="AC2776" s="11">
        <v>0</v>
      </c>
      <c r="AD2776" s="10">
        <v>0</v>
      </c>
      <c r="AE2776" s="11">
        <v>0</v>
      </c>
      <c r="AF2776" s="10">
        <v>0</v>
      </c>
      <c r="AG2776" s="11">
        <v>0</v>
      </c>
      <c r="AH2776" s="10">
        <v>0</v>
      </c>
      <c r="AI2776" s="11">
        <v>0</v>
      </c>
      <c r="AJ2776" s="10">
        <f t="shared" si="2816"/>
        <v>1372.2222222222222</v>
      </c>
      <c r="AK2776" s="13">
        <v>12350</v>
      </c>
      <c r="AL2776" s="10">
        <f t="shared" si="2817"/>
        <v>255.55555555555554</v>
      </c>
      <c r="AM2776" s="13">
        <v>2300</v>
      </c>
      <c r="AN2776" s="10">
        <v>0</v>
      </c>
      <c r="AO2776" s="11">
        <v>0</v>
      </c>
      <c r="AP2776" s="10">
        <v>0</v>
      </c>
      <c r="AQ2776" s="11">
        <v>0</v>
      </c>
      <c r="AR2776" s="10">
        <v>0</v>
      </c>
      <c r="AS2776" s="11">
        <v>0</v>
      </c>
      <c r="AT2776" s="10">
        <v>0</v>
      </c>
      <c r="AU2776" s="11">
        <v>0</v>
      </c>
      <c r="AV2776" s="10">
        <v>0</v>
      </c>
      <c r="AW2776" s="11">
        <v>0</v>
      </c>
      <c r="AX2776" s="10">
        <v>0</v>
      </c>
      <c r="AY2776" s="11">
        <v>0</v>
      </c>
      <c r="AZ2776" s="10">
        <v>0</v>
      </c>
      <c r="BA2776" s="11">
        <v>0</v>
      </c>
      <c r="BB2776" s="10">
        <v>0</v>
      </c>
      <c r="BC2776" s="11">
        <v>0</v>
      </c>
      <c r="BD2776" s="10">
        <v>0</v>
      </c>
      <c r="BE2776" s="11">
        <v>0</v>
      </c>
      <c r="BN2776" s="8">
        <f t="shared" si="2793"/>
        <v>4009.2222222222222</v>
      </c>
      <c r="BO2776" s="8">
        <f t="shared" si="2773"/>
        <v>199550</v>
      </c>
      <c r="BP2776" s="8">
        <f t="shared" si="2794"/>
        <v>1205.5555555555557</v>
      </c>
      <c r="BQ2776" s="12">
        <f t="shared" si="2795"/>
        <v>73550</v>
      </c>
    </row>
    <row r="2777" spans="1:69">
      <c r="A2777" s="28">
        <v>2004</v>
      </c>
      <c r="B2777" s="27" t="s">
        <v>127</v>
      </c>
      <c r="C2777" s="24">
        <f t="shared" si="2772"/>
        <v>2728</v>
      </c>
      <c r="D2777" s="7" t="e">
        <f t="shared" ca="1" si="2796"/>
        <v>#N/A</v>
      </c>
      <c r="E2777" s="26">
        <f t="array" aca="1" ref="E2777" ca="1">AVERAGE(IF(INDIRECT(DatCol&amp;"$"&amp;TEXT(C2777,"###")):INDIRECT(DatCol&amp;"$"&amp;TEXT(C2777+57,"###"))&gt;0,INDIRECT(DatCol&amp;"$"&amp;TEXT(C2777,"###")):INDIRECT(DatCol&amp;"$"&amp;TEXT(C2777+57,"###"))))</f>
        <v>243.81496598639458</v>
      </c>
      <c r="F2777" s="26" t="str">
        <f t="shared" si="2815"/>
        <v>C</v>
      </c>
      <c r="G2777" s="8"/>
      <c r="H2777" s="9">
        <v>10</v>
      </c>
      <c r="I2777" s="9">
        <v>20</v>
      </c>
      <c r="J2777" s="9">
        <v>1090</v>
      </c>
      <c r="K2777" s="9">
        <f t="shared" si="2774"/>
        <v>1100</v>
      </c>
      <c r="L2777" s="10">
        <f t="shared" si="2818"/>
        <v>100</v>
      </c>
      <c r="M2777" s="11">
        <v>5000</v>
      </c>
      <c r="N2777" s="10">
        <f>O2777/50</f>
        <v>7</v>
      </c>
      <c r="O2777" s="11">
        <v>350</v>
      </c>
      <c r="P2777" s="10">
        <f t="shared" si="2819"/>
        <v>1028.5333333333333</v>
      </c>
      <c r="Q2777" s="11">
        <v>77140</v>
      </c>
      <c r="R2777" s="10">
        <v>0</v>
      </c>
      <c r="S2777" s="11">
        <v>0</v>
      </c>
      <c r="T2777" s="10">
        <v>0</v>
      </c>
      <c r="U2777" s="11">
        <v>0</v>
      </c>
      <c r="V2777" s="10">
        <v>0</v>
      </c>
      <c r="W2777" s="11">
        <v>0</v>
      </c>
      <c r="X2777" s="10">
        <f t="shared" si="2820"/>
        <v>750.13333333333333</v>
      </c>
      <c r="Y2777" s="11">
        <v>56260</v>
      </c>
      <c r="Z2777" s="10">
        <v>0</v>
      </c>
      <c r="AA2777" s="11">
        <v>0</v>
      </c>
      <c r="AB2777" s="10">
        <v>0</v>
      </c>
      <c r="AC2777" s="11">
        <v>0</v>
      </c>
      <c r="AD2777" s="10">
        <v>0</v>
      </c>
      <c r="AE2777" s="11">
        <v>0</v>
      </c>
      <c r="AF2777" s="10">
        <v>0</v>
      </c>
      <c r="AG2777" s="11">
        <v>0</v>
      </c>
      <c r="AH2777" s="10">
        <v>0</v>
      </c>
      <c r="AI2777" s="11">
        <v>0</v>
      </c>
      <c r="AJ2777" s="10">
        <f t="shared" si="2816"/>
        <v>1388.8888888888889</v>
      </c>
      <c r="AK2777" s="13">
        <v>12500</v>
      </c>
      <c r="AL2777" s="10">
        <f t="shared" si="2817"/>
        <v>555.55555555555554</v>
      </c>
      <c r="AM2777" s="13">
        <v>5000</v>
      </c>
      <c r="AN2777" s="10">
        <v>0</v>
      </c>
      <c r="AO2777" s="11">
        <v>0</v>
      </c>
      <c r="AP2777" s="10">
        <v>0</v>
      </c>
      <c r="AQ2777" s="11">
        <v>0</v>
      </c>
      <c r="AR2777" s="10">
        <v>0</v>
      </c>
      <c r="AS2777" s="11">
        <v>0</v>
      </c>
      <c r="AT2777" s="10">
        <v>0</v>
      </c>
      <c r="AU2777" s="11">
        <v>0</v>
      </c>
      <c r="AV2777" s="10">
        <v>0</v>
      </c>
      <c r="AW2777" s="11">
        <v>0</v>
      </c>
      <c r="AX2777" s="10">
        <v>0</v>
      </c>
      <c r="AY2777" s="11">
        <v>0</v>
      </c>
      <c r="AZ2777" s="10">
        <v>0</v>
      </c>
      <c r="BA2777" s="11">
        <v>0</v>
      </c>
      <c r="BB2777" s="10">
        <v>0</v>
      </c>
      <c r="BC2777" s="11">
        <v>0</v>
      </c>
      <c r="BD2777" s="10">
        <v>0</v>
      </c>
      <c r="BE2777" s="11">
        <v>0</v>
      </c>
      <c r="BF2777" s="10">
        <v>0</v>
      </c>
      <c r="BG2777" s="11">
        <v>0</v>
      </c>
      <c r="BN2777" s="8">
        <f t="shared" si="2793"/>
        <v>3267.5555555555557</v>
      </c>
      <c r="BO2777" s="8">
        <f t="shared" si="2773"/>
        <v>150900</v>
      </c>
      <c r="BP2777" s="8">
        <f t="shared" si="2794"/>
        <v>1312.6888888888889</v>
      </c>
      <c r="BQ2777" s="12">
        <f t="shared" si="2795"/>
        <v>61610</v>
      </c>
    </row>
    <row r="2778" spans="1:69">
      <c r="A2778" s="28">
        <v>2005</v>
      </c>
      <c r="B2778" s="27" t="s">
        <v>127</v>
      </c>
      <c r="C2778" s="24">
        <f t="shared" si="2772"/>
        <v>2728</v>
      </c>
      <c r="D2778" s="7" t="e">
        <f t="shared" ca="1" si="2796"/>
        <v>#N/A</v>
      </c>
      <c r="E2778" s="26">
        <f t="array" aca="1" ref="E2778" ca="1">AVERAGE(IF(INDIRECT(DatCol&amp;"$"&amp;TEXT(C2778,"###")):INDIRECT(DatCol&amp;"$"&amp;TEXT(C2778+57,"###"))&gt;0,INDIRECT(DatCol&amp;"$"&amp;TEXT(C2778,"###")):INDIRECT(DatCol&amp;"$"&amp;TEXT(C2778+57,"###"))))</f>
        <v>243.81496598639458</v>
      </c>
      <c r="F2778" s="26" t="str">
        <f t="shared" si="2815"/>
        <v>C</v>
      </c>
      <c r="G2778" s="8"/>
      <c r="H2778" s="9">
        <v>24</v>
      </c>
      <c r="I2778" s="9">
        <v>21</v>
      </c>
      <c r="J2778" s="9">
        <v>1021</v>
      </c>
      <c r="K2778" s="9">
        <f t="shared" si="2774"/>
        <v>1045</v>
      </c>
      <c r="L2778" s="10">
        <f t="shared" si="2818"/>
        <v>611.5</v>
      </c>
      <c r="M2778" s="11">
        <v>30575</v>
      </c>
      <c r="N2778" s="10">
        <f>O2778/50</f>
        <v>10</v>
      </c>
      <c r="O2778" s="11">
        <v>500</v>
      </c>
      <c r="P2778" s="10">
        <f t="shared" si="2819"/>
        <v>413.73333333333335</v>
      </c>
      <c r="Q2778" s="11">
        <v>31030</v>
      </c>
      <c r="R2778" s="10">
        <v>0</v>
      </c>
      <c r="S2778" s="11">
        <v>0</v>
      </c>
      <c r="T2778" s="10">
        <v>0</v>
      </c>
      <c r="U2778" s="11">
        <v>0</v>
      </c>
      <c r="V2778" s="10">
        <v>0</v>
      </c>
      <c r="W2778" s="11">
        <v>0</v>
      </c>
      <c r="X2778" s="10">
        <f t="shared" si="2820"/>
        <v>762.50666666666666</v>
      </c>
      <c r="Y2778" s="11">
        <v>57188</v>
      </c>
      <c r="Z2778" s="10">
        <v>0</v>
      </c>
      <c r="AA2778" s="11">
        <v>0</v>
      </c>
      <c r="AB2778" s="10">
        <v>0</v>
      </c>
      <c r="AC2778" s="11">
        <v>0</v>
      </c>
      <c r="AD2778" s="10">
        <v>0</v>
      </c>
      <c r="AE2778" s="11">
        <v>0</v>
      </c>
      <c r="AF2778" s="10">
        <v>0</v>
      </c>
      <c r="AG2778" s="11">
        <v>0</v>
      </c>
      <c r="AH2778" s="10">
        <v>0</v>
      </c>
      <c r="AI2778" s="11">
        <v>0</v>
      </c>
      <c r="AJ2778" s="10">
        <f t="shared" si="2816"/>
        <v>2488.8888888888887</v>
      </c>
      <c r="AK2778" s="13">
        <v>22400</v>
      </c>
      <c r="AL2778" s="10">
        <f t="shared" si="2817"/>
        <v>638.88888888888891</v>
      </c>
      <c r="AM2778" s="13">
        <v>5750</v>
      </c>
      <c r="AN2778" s="10">
        <v>0</v>
      </c>
      <c r="AO2778" s="11">
        <v>0</v>
      </c>
      <c r="AP2778" s="10">
        <v>0</v>
      </c>
      <c r="AQ2778" s="11">
        <v>0</v>
      </c>
      <c r="AR2778" s="10">
        <v>0</v>
      </c>
      <c r="AS2778" s="11">
        <v>0</v>
      </c>
      <c r="AT2778" s="10">
        <v>0</v>
      </c>
      <c r="AU2778" s="11">
        <v>0</v>
      </c>
      <c r="AV2778" s="10">
        <v>0</v>
      </c>
      <c r="AW2778" s="11">
        <v>0</v>
      </c>
      <c r="AX2778" s="10">
        <v>0</v>
      </c>
      <c r="AY2778" s="11">
        <v>0</v>
      </c>
      <c r="AZ2778" s="10">
        <v>0</v>
      </c>
      <c r="BA2778" s="11">
        <v>0</v>
      </c>
      <c r="BB2778" s="10">
        <v>0</v>
      </c>
      <c r="BC2778" s="11">
        <v>0</v>
      </c>
      <c r="BD2778" s="10">
        <v>0</v>
      </c>
      <c r="BE2778" s="11">
        <v>0</v>
      </c>
      <c r="BF2778" s="10">
        <v>0</v>
      </c>
      <c r="BG2778" s="11">
        <v>0</v>
      </c>
      <c r="BH2778" s="11">
        <v>0</v>
      </c>
      <c r="BN2778" s="8">
        <f t="shared" si="2793"/>
        <v>4276.6288888888885</v>
      </c>
      <c r="BO2778" s="8">
        <f t="shared" si="2773"/>
        <v>141193</v>
      </c>
      <c r="BP2778" s="8">
        <f t="shared" si="2794"/>
        <v>1411.3955555555556</v>
      </c>
      <c r="BQ2778" s="12">
        <f t="shared" si="2795"/>
        <v>63438</v>
      </c>
    </row>
    <row r="2779" spans="1:69">
      <c r="A2779" s="28">
        <v>2006</v>
      </c>
      <c r="B2779" s="27" t="s">
        <v>127</v>
      </c>
      <c r="C2779" s="24">
        <f t="shared" si="2772"/>
        <v>2728</v>
      </c>
      <c r="D2779" s="7" t="e">
        <f t="shared" ca="1" si="2796"/>
        <v>#N/A</v>
      </c>
      <c r="E2779" s="26">
        <f t="array" aca="1" ref="E2779" ca="1">AVERAGE(IF(INDIRECT(DatCol&amp;"$"&amp;TEXT(C2779,"###")):INDIRECT(DatCol&amp;"$"&amp;TEXT(C2779+57,"###"))&gt;0,INDIRECT(DatCol&amp;"$"&amp;TEXT(C2779,"###")):INDIRECT(DatCol&amp;"$"&amp;TEXT(C2779+57,"###"))))</f>
        <v>243.81496598639458</v>
      </c>
      <c r="F2779" s="26" t="str">
        <f t="shared" si="2815"/>
        <v>C</v>
      </c>
      <c r="G2779" s="8"/>
      <c r="H2779" s="9">
        <v>18</v>
      </c>
      <c r="I2779" s="9">
        <v>28</v>
      </c>
      <c r="J2779" s="9">
        <v>947</v>
      </c>
      <c r="K2779" s="9">
        <f t="shared" si="2774"/>
        <v>965</v>
      </c>
      <c r="L2779" s="10">
        <f t="shared" si="2818"/>
        <v>455</v>
      </c>
      <c r="M2779" s="11">
        <v>22750</v>
      </c>
      <c r="N2779" s="10">
        <f>O2779/50</f>
        <v>9</v>
      </c>
      <c r="O2779" s="11">
        <v>450</v>
      </c>
      <c r="P2779" s="10">
        <f t="shared" si="2819"/>
        <v>1015</v>
      </c>
      <c r="Q2779" s="11">
        <v>76125</v>
      </c>
      <c r="R2779" s="10">
        <v>0</v>
      </c>
      <c r="S2779" s="11">
        <v>0</v>
      </c>
      <c r="T2779" s="10">
        <v>0</v>
      </c>
      <c r="U2779" s="11">
        <v>0</v>
      </c>
      <c r="V2779" s="10">
        <v>0</v>
      </c>
      <c r="W2779" s="11">
        <v>0</v>
      </c>
      <c r="X2779" s="10">
        <f t="shared" si="2820"/>
        <v>766.37333333333333</v>
      </c>
      <c r="Y2779" s="11">
        <v>57478</v>
      </c>
      <c r="Z2779" s="10">
        <v>0</v>
      </c>
      <c r="AA2779" s="11">
        <v>0</v>
      </c>
      <c r="AB2779" s="10">
        <v>0</v>
      </c>
      <c r="AC2779" s="11">
        <v>0</v>
      </c>
      <c r="AD2779" s="10">
        <v>0</v>
      </c>
      <c r="AE2779" s="11">
        <v>0</v>
      </c>
      <c r="AF2779" s="10">
        <v>0</v>
      </c>
      <c r="AG2779" s="11">
        <v>0</v>
      </c>
      <c r="AH2779" s="10">
        <v>0</v>
      </c>
      <c r="AI2779" s="11">
        <v>0</v>
      </c>
      <c r="AJ2779" s="10">
        <f t="shared" si="2816"/>
        <v>100</v>
      </c>
      <c r="AK2779" s="13">
        <v>900</v>
      </c>
      <c r="AL2779" s="10">
        <f t="shared" si="2817"/>
        <v>44.444444444444443</v>
      </c>
      <c r="AM2779" s="13">
        <v>400</v>
      </c>
      <c r="AN2779" s="10">
        <v>0</v>
      </c>
      <c r="AO2779" s="11">
        <v>0</v>
      </c>
      <c r="AP2779" s="10">
        <v>0</v>
      </c>
      <c r="AQ2779" s="11">
        <v>0</v>
      </c>
      <c r="AR2779" s="10">
        <v>0</v>
      </c>
      <c r="AS2779" s="11">
        <v>0</v>
      </c>
      <c r="AT2779" s="10">
        <v>0</v>
      </c>
      <c r="AU2779" s="11">
        <v>0</v>
      </c>
      <c r="AV2779" s="10">
        <v>0</v>
      </c>
      <c r="AW2779" s="11">
        <v>0</v>
      </c>
      <c r="AX2779" s="10">
        <v>0</v>
      </c>
      <c r="AY2779" s="11">
        <v>0</v>
      </c>
      <c r="AZ2779" s="10">
        <v>0</v>
      </c>
      <c r="BA2779" s="11">
        <v>0</v>
      </c>
      <c r="BB2779" s="10">
        <v>0</v>
      </c>
      <c r="BC2779" s="11">
        <v>0</v>
      </c>
      <c r="BD2779" s="10">
        <v>0</v>
      </c>
      <c r="BE2779" s="11">
        <v>0</v>
      </c>
      <c r="BF2779" s="10">
        <v>0</v>
      </c>
      <c r="BG2779" s="11">
        <v>0</v>
      </c>
      <c r="BH2779" s="11">
        <v>0</v>
      </c>
      <c r="BI2779" s="11">
        <v>0</v>
      </c>
      <c r="BJ2779" s="10">
        <v>0</v>
      </c>
      <c r="BN2779" s="8">
        <f t="shared" si="2793"/>
        <v>2336.3733333333334</v>
      </c>
      <c r="BO2779" s="8">
        <f t="shared" si="2773"/>
        <v>157253</v>
      </c>
      <c r="BP2779" s="8">
        <f t="shared" si="2794"/>
        <v>819.81777777777779</v>
      </c>
      <c r="BQ2779" s="12">
        <f t="shared" si="2795"/>
        <v>58328</v>
      </c>
    </row>
    <row r="2780" spans="1:69">
      <c r="A2780" s="28">
        <v>2007</v>
      </c>
      <c r="B2780" s="27" t="s">
        <v>127</v>
      </c>
      <c r="C2780" s="24">
        <f t="shared" si="2772"/>
        <v>2728</v>
      </c>
      <c r="D2780" s="7" t="e">
        <f t="shared" ca="1" si="2796"/>
        <v>#N/A</v>
      </c>
      <c r="E2780" s="26">
        <f t="array" aca="1" ref="E2780" ca="1">AVERAGE(IF(INDIRECT(DatCol&amp;"$"&amp;TEXT(C2780,"###")):INDIRECT(DatCol&amp;"$"&amp;TEXT(C2780+57,"###"))&gt;0,INDIRECT(DatCol&amp;"$"&amp;TEXT(C2780,"###")):INDIRECT(DatCol&amp;"$"&amp;TEXT(C2780+57,"###"))))</f>
        <v>243.81496598639458</v>
      </c>
      <c r="F2780" s="26" t="str">
        <f t="shared" si="2815"/>
        <v>C</v>
      </c>
      <c r="G2780" s="8"/>
      <c r="H2780" s="9">
        <v>16</v>
      </c>
      <c r="I2780" s="9">
        <v>23</v>
      </c>
      <c r="J2780" s="9">
        <v>1100</v>
      </c>
      <c r="K2780" s="9">
        <f t="shared" si="2774"/>
        <v>1116</v>
      </c>
      <c r="L2780" s="10">
        <f t="shared" si="2818"/>
        <v>408</v>
      </c>
      <c r="M2780" s="11">
        <v>20400</v>
      </c>
      <c r="N2780" s="10">
        <f>O2780/50</f>
        <v>6</v>
      </c>
      <c r="O2780" s="11">
        <v>300</v>
      </c>
      <c r="P2780" s="10">
        <f t="shared" si="2819"/>
        <v>956.61333333333334</v>
      </c>
      <c r="Q2780" s="11">
        <v>71746</v>
      </c>
      <c r="R2780" s="10">
        <v>0</v>
      </c>
      <c r="S2780" s="11">
        <v>0</v>
      </c>
      <c r="T2780" s="10">
        <v>0</v>
      </c>
      <c r="U2780" s="11">
        <v>0</v>
      </c>
      <c r="V2780" s="10">
        <v>0</v>
      </c>
      <c r="W2780" s="11">
        <v>0</v>
      </c>
      <c r="X2780" s="10">
        <f t="shared" si="2820"/>
        <v>742.4</v>
      </c>
      <c r="Y2780" s="11">
        <v>55680</v>
      </c>
      <c r="Z2780" s="10">
        <v>0</v>
      </c>
      <c r="AA2780" s="11">
        <v>0</v>
      </c>
      <c r="AB2780" s="10">
        <v>0</v>
      </c>
      <c r="AC2780" s="11">
        <v>0</v>
      </c>
      <c r="AD2780" s="10">
        <v>0</v>
      </c>
      <c r="AE2780" s="11">
        <v>0</v>
      </c>
      <c r="AF2780" s="10">
        <v>0</v>
      </c>
      <c r="AG2780" s="11">
        <v>0</v>
      </c>
      <c r="AH2780" s="10">
        <v>0</v>
      </c>
      <c r="AI2780" s="11">
        <v>0</v>
      </c>
      <c r="AJ2780" s="10">
        <f t="shared" si="2816"/>
        <v>611.11111111111109</v>
      </c>
      <c r="AK2780" s="13">
        <v>5500</v>
      </c>
      <c r="AL2780" s="10">
        <f t="shared" si="2817"/>
        <v>138.88888888888889</v>
      </c>
      <c r="AM2780" s="13">
        <v>1250</v>
      </c>
      <c r="AN2780" s="10">
        <v>0</v>
      </c>
      <c r="AO2780" s="11">
        <v>0</v>
      </c>
      <c r="AP2780" s="10">
        <v>0</v>
      </c>
      <c r="AQ2780" s="11">
        <v>0</v>
      </c>
      <c r="AR2780" s="10">
        <v>0</v>
      </c>
      <c r="AS2780" s="11">
        <v>0</v>
      </c>
      <c r="AT2780" s="10">
        <v>0</v>
      </c>
      <c r="AU2780" s="11">
        <v>0</v>
      </c>
      <c r="AV2780" s="10">
        <v>0</v>
      </c>
      <c r="AW2780" s="11">
        <v>0</v>
      </c>
      <c r="AX2780" s="10">
        <v>0</v>
      </c>
      <c r="AY2780" s="11">
        <v>0</v>
      </c>
      <c r="AZ2780" s="10">
        <v>0</v>
      </c>
      <c r="BA2780" s="11">
        <v>0</v>
      </c>
      <c r="BB2780" s="10">
        <v>0</v>
      </c>
      <c r="BC2780" s="11">
        <v>0</v>
      </c>
      <c r="BD2780" s="10">
        <v>0</v>
      </c>
      <c r="BE2780" s="11">
        <v>0</v>
      </c>
      <c r="BF2780" s="10">
        <v>0</v>
      </c>
      <c r="BG2780" s="11">
        <v>0</v>
      </c>
      <c r="BN2780" s="8">
        <f t="shared" si="2793"/>
        <v>2718.1244444444446</v>
      </c>
      <c r="BO2780" s="8">
        <f t="shared" si="2773"/>
        <v>153326</v>
      </c>
      <c r="BP2780" s="8">
        <f t="shared" si="2794"/>
        <v>887.28888888888889</v>
      </c>
      <c r="BQ2780" s="12">
        <f t="shared" si="2795"/>
        <v>57230</v>
      </c>
    </row>
    <row r="2781" spans="1:69">
      <c r="A2781" s="28">
        <v>2008</v>
      </c>
      <c r="B2781" s="27" t="s">
        <v>127</v>
      </c>
      <c r="C2781" s="24">
        <f t="shared" si="2772"/>
        <v>2728</v>
      </c>
      <c r="D2781" s="7" t="e">
        <f t="shared" ca="1" si="2796"/>
        <v>#N/A</v>
      </c>
      <c r="E2781" s="26">
        <f t="array" aca="1" ref="E2781" ca="1">AVERAGE(IF(INDIRECT(DatCol&amp;"$"&amp;TEXT(C2781,"###")):INDIRECT(DatCol&amp;"$"&amp;TEXT(C2781+57,"###"))&gt;0,INDIRECT(DatCol&amp;"$"&amp;TEXT(C2781,"###")):INDIRECT(DatCol&amp;"$"&amp;TEXT(C2781+57,"###"))))</f>
        <v>243.81496598639458</v>
      </c>
      <c r="F2781" s="26" t="str">
        <f t="shared" si="2815"/>
        <v>C</v>
      </c>
      <c r="G2781" s="8"/>
      <c r="K2781" s="9">
        <f t="shared" si="2774"/>
        <v>0</v>
      </c>
      <c r="AK2781" s="13"/>
      <c r="AM2781" s="13"/>
      <c r="BN2781" s="8">
        <f t="shared" si="2793"/>
        <v>0</v>
      </c>
      <c r="BO2781" s="8">
        <f t="shared" si="2773"/>
        <v>0</v>
      </c>
      <c r="BP2781" s="8">
        <f t="shared" si="2794"/>
        <v>0</v>
      </c>
      <c r="BQ2781" s="12">
        <f t="shared" si="2795"/>
        <v>0</v>
      </c>
    </row>
    <row r="2782" spans="1:69">
      <c r="A2782" s="28">
        <v>2009</v>
      </c>
      <c r="B2782" s="27" t="s">
        <v>127</v>
      </c>
      <c r="C2782" s="24">
        <f t="shared" si="2772"/>
        <v>2728</v>
      </c>
      <c r="D2782" s="7" t="e">
        <f t="shared" ca="1" si="2796"/>
        <v>#N/A</v>
      </c>
      <c r="E2782" s="26">
        <f t="array" aca="1" ref="E2782" ca="1">AVERAGE(IF(INDIRECT(DatCol&amp;"$"&amp;TEXT(C2782,"###")):INDIRECT(DatCol&amp;"$"&amp;TEXT(C2782+57,"###"))&gt;0,INDIRECT(DatCol&amp;"$"&amp;TEXT(C2782,"###")):INDIRECT(DatCol&amp;"$"&amp;TEXT(C2782+57,"###"))))</f>
        <v>243.81496598639458</v>
      </c>
      <c r="F2782" s="26" t="str">
        <f t="shared" si="2815"/>
        <v>C</v>
      </c>
      <c r="H2782" s="9">
        <v>17</v>
      </c>
      <c r="I2782" s="9">
        <v>30</v>
      </c>
      <c r="J2782" s="9">
        <v>953</v>
      </c>
      <c r="K2782" s="9">
        <f t="shared" si="2774"/>
        <v>970</v>
      </c>
      <c r="L2782" s="10">
        <f>M2782/50</f>
        <v>756</v>
      </c>
      <c r="M2782" s="11">
        <v>37800</v>
      </c>
      <c r="N2782" s="10">
        <f>O2782/50</f>
        <v>7.6</v>
      </c>
      <c r="O2782" s="11">
        <v>380</v>
      </c>
      <c r="P2782" s="10">
        <f>Q2782/75</f>
        <v>818.57333333333338</v>
      </c>
      <c r="Q2782" s="11">
        <v>61393</v>
      </c>
      <c r="R2782" s="10">
        <v>0</v>
      </c>
      <c r="S2782" s="11">
        <v>0</v>
      </c>
      <c r="T2782" s="10">
        <v>0</v>
      </c>
      <c r="U2782" s="11">
        <v>0</v>
      </c>
      <c r="V2782" s="10">
        <v>0</v>
      </c>
      <c r="W2782" s="11">
        <v>0</v>
      </c>
      <c r="X2782" s="10">
        <f>Y2782/75</f>
        <v>761.6</v>
      </c>
      <c r="Y2782" s="11">
        <v>57120</v>
      </c>
      <c r="Z2782" s="10">
        <v>0</v>
      </c>
      <c r="AA2782" s="11">
        <v>0</v>
      </c>
      <c r="AB2782" s="10">
        <v>0</v>
      </c>
      <c r="AC2782" s="11">
        <v>0</v>
      </c>
      <c r="AD2782" s="10">
        <v>0</v>
      </c>
      <c r="AE2782" s="11">
        <v>0</v>
      </c>
      <c r="AF2782" s="10">
        <v>0</v>
      </c>
      <c r="AG2782" s="11">
        <v>0</v>
      </c>
      <c r="AH2782" s="10">
        <v>0</v>
      </c>
      <c r="AI2782" s="11">
        <v>0</v>
      </c>
      <c r="AJ2782" s="10">
        <f>AK2782/9</f>
        <v>1888.8888888888889</v>
      </c>
      <c r="AK2782" s="11">
        <v>17000</v>
      </c>
      <c r="AL2782" s="10">
        <f>AM2782/9</f>
        <v>122.22222222222223</v>
      </c>
      <c r="AM2782" s="11">
        <v>1100</v>
      </c>
      <c r="BN2782" s="8">
        <f t="shared" si="2793"/>
        <v>4225.0622222222219</v>
      </c>
      <c r="BO2782" s="8">
        <f t="shared" si="2773"/>
        <v>173313</v>
      </c>
      <c r="BP2782" s="8">
        <f t="shared" si="2794"/>
        <v>891.42222222222222</v>
      </c>
      <c r="BQ2782" s="12">
        <f t="shared" si="2795"/>
        <v>58600</v>
      </c>
    </row>
    <row r="2783" spans="1:69">
      <c r="A2783" s="28">
        <v>2010</v>
      </c>
      <c r="B2783" s="27" t="s">
        <v>127</v>
      </c>
      <c r="C2783" s="24">
        <f t="shared" si="2772"/>
        <v>2728</v>
      </c>
      <c r="D2783" s="7" t="e">
        <f t="shared" ca="1" si="2796"/>
        <v>#N/A</v>
      </c>
      <c r="E2783" s="26">
        <f t="array" aca="1" ref="E2783" ca="1">AVERAGE(IF(INDIRECT(DatCol&amp;"$"&amp;TEXT(C2783,"###")):INDIRECT(DatCol&amp;"$"&amp;TEXT(C2783+57,"###"))&gt;0,INDIRECT(DatCol&amp;"$"&amp;TEXT(C2783,"###")):INDIRECT(DatCol&amp;"$"&amp;TEXT(C2783+57,"###"))))</f>
        <v>243.81496598639458</v>
      </c>
      <c r="F2783" s="26" t="str">
        <f t="shared" ref="F2783:F2785" si="2821">VLOOKUP(B2783,town_region,2,FALSE)</f>
        <v>C</v>
      </c>
      <c r="BN2783" s="8">
        <f t="shared" ref="BN2783:BN2843" si="2822">(L2783+P2783+R2783+T2783+V2783+X2783+Z2783+AB2783+AD2783+AF2783+AJ2783+AN2783+AR2783+AV2783+AZ2783+BD2783)</f>
        <v>0</v>
      </c>
      <c r="BO2783" s="8">
        <f t="shared" ref="BO2783:BO2843" si="2823">(M2783+Q2783+S2783+U2783+W2783+Y2783+AA2783+AC2783+AG2783+AK2783+AO2783+AS2783+AW2783+BA2783+BE2783)</f>
        <v>0</v>
      </c>
      <c r="BP2783" s="8">
        <f t="shared" ref="BP2783:BP2843" si="2824">(N2783+X2783+Z2783+AB2783+AD2783+AH2783+AL2783+AP2783+AT2783+AX2783+BB2783+BF2783)</f>
        <v>0</v>
      </c>
      <c r="BQ2783" s="12">
        <f t="shared" ref="BQ2783:BQ2843" si="2825">(O2783+Y2783+AA2783+AC2783+AE2783+AI2783+AM2783+AQ2783+AU2783+AY2783+BC2783+BG2783)</f>
        <v>0</v>
      </c>
    </row>
    <row r="2784" spans="1:69">
      <c r="A2784" s="28">
        <v>2011</v>
      </c>
      <c r="B2784" s="27" t="s">
        <v>127</v>
      </c>
      <c r="C2784" s="24">
        <f t="shared" si="2772"/>
        <v>2728</v>
      </c>
      <c r="D2784" s="7" t="e">
        <f t="shared" ca="1" si="2796"/>
        <v>#N/A</v>
      </c>
      <c r="E2784" s="26">
        <f t="array" aca="1" ref="E2784" ca="1">AVERAGE(IF(INDIRECT(DatCol&amp;"$"&amp;TEXT(C2784,"###")):INDIRECT(DatCol&amp;"$"&amp;TEXT(C2784+57,"###"))&gt;0,INDIRECT(DatCol&amp;"$"&amp;TEXT(C2784,"###")):INDIRECT(DatCol&amp;"$"&amp;TEXT(C2784+57,"###"))))</f>
        <v>243.81496598639458</v>
      </c>
      <c r="F2784" s="26" t="str">
        <f t="shared" si="2821"/>
        <v>C</v>
      </c>
      <c r="BN2784" s="8">
        <f t="shared" si="2822"/>
        <v>0</v>
      </c>
      <c r="BO2784" s="8">
        <f t="shared" si="2823"/>
        <v>0</v>
      </c>
      <c r="BP2784" s="8">
        <f t="shared" si="2824"/>
        <v>0</v>
      </c>
      <c r="BQ2784" s="12">
        <f t="shared" si="2825"/>
        <v>0</v>
      </c>
    </row>
    <row r="2785" spans="1:69">
      <c r="A2785" s="28">
        <v>2012</v>
      </c>
      <c r="B2785" s="27" t="s">
        <v>127</v>
      </c>
      <c r="C2785" s="24">
        <f t="shared" si="2772"/>
        <v>2728</v>
      </c>
      <c r="D2785" s="7" t="e">
        <f t="shared" ca="1" si="2796"/>
        <v>#N/A</v>
      </c>
      <c r="E2785" s="26">
        <f t="array" aca="1" ref="E2785" ca="1">AVERAGE(IF(INDIRECT(DatCol&amp;"$"&amp;TEXT(C2785,"###")):INDIRECT(DatCol&amp;"$"&amp;TEXT(C2785+57,"###"))&gt;0,INDIRECT(DatCol&amp;"$"&amp;TEXT(C2785,"###")):INDIRECT(DatCol&amp;"$"&amp;TEXT(C2785+57,"###"))))</f>
        <v>243.81496598639458</v>
      </c>
      <c r="F2785" s="26" t="str">
        <f t="shared" si="2821"/>
        <v>C</v>
      </c>
      <c r="BN2785" s="8">
        <f t="shared" si="2822"/>
        <v>0</v>
      </c>
      <c r="BO2785" s="8">
        <f t="shared" si="2823"/>
        <v>0</v>
      </c>
      <c r="BP2785" s="8">
        <f t="shared" si="2824"/>
        <v>0</v>
      </c>
      <c r="BQ2785" s="12">
        <f t="shared" si="2825"/>
        <v>0</v>
      </c>
    </row>
    <row r="2786" spans="1:69">
      <c r="A2786" s="28">
        <v>1955</v>
      </c>
      <c r="B2786" s="1" t="s">
        <v>267</v>
      </c>
      <c r="C2786" s="24">
        <f>ROW()</f>
        <v>2786</v>
      </c>
      <c r="D2786" s="7" t="e">
        <f t="shared" ca="1" si="2796"/>
        <v>#N/A</v>
      </c>
      <c r="E2786" s="26">
        <f t="array" aca="1" ref="E2786" ca="1">AVERAGE(IF(INDIRECT(DatCol&amp;"$"&amp;TEXT(C2786,"###")):INDIRECT(DatCol&amp;"$"&amp;TEXT(C2786+57,"###"))&gt;0,INDIRECT(DatCol&amp;"$"&amp;TEXT(C2786,"###")):INDIRECT(DatCol&amp;"$"&amp;TEXT(C2786+57,"###"))))</f>
        <v>24237.615384615383</v>
      </c>
      <c r="F2786" s="26" t="str">
        <f t="shared" si="2815"/>
        <v>O</v>
      </c>
      <c r="G2786" s="8"/>
      <c r="K2786" s="8"/>
      <c r="BN2786" s="8">
        <f t="shared" si="2822"/>
        <v>0</v>
      </c>
      <c r="BO2786" s="8">
        <f t="shared" si="2823"/>
        <v>0</v>
      </c>
      <c r="BP2786" s="8">
        <f t="shared" si="2824"/>
        <v>0</v>
      </c>
      <c r="BQ2786" s="12">
        <f t="shared" si="2825"/>
        <v>0</v>
      </c>
    </row>
    <row r="2787" spans="1:69">
      <c r="A2787" s="28">
        <v>1956</v>
      </c>
      <c r="B2787" s="1" t="s">
        <v>267</v>
      </c>
      <c r="C2787" s="24">
        <f t="shared" si="2772"/>
        <v>2786</v>
      </c>
      <c r="D2787" s="7" t="e">
        <f t="shared" ca="1" si="2796"/>
        <v>#N/A</v>
      </c>
      <c r="E2787" s="26">
        <f t="array" aca="1" ref="E2787" ca="1">AVERAGE(IF(INDIRECT(DatCol&amp;"$"&amp;TEXT(C2787,"###")):INDIRECT(DatCol&amp;"$"&amp;TEXT(C2787+57,"###"))&gt;0,INDIRECT(DatCol&amp;"$"&amp;TEXT(C2787,"###")):INDIRECT(DatCol&amp;"$"&amp;TEXT(C2787+57,"###"))))</f>
        <v>24237.615384615383</v>
      </c>
      <c r="F2787" s="26" t="str">
        <f t="shared" si="2815"/>
        <v>O</v>
      </c>
      <c r="G2787" s="8"/>
      <c r="H2787" s="8"/>
      <c r="I2787" s="8"/>
      <c r="J2787" s="8"/>
      <c r="K2787" s="8"/>
      <c r="L2787" s="12"/>
      <c r="BN2787" s="8">
        <f t="shared" si="2822"/>
        <v>0</v>
      </c>
      <c r="BO2787" s="8">
        <f t="shared" si="2823"/>
        <v>0</v>
      </c>
      <c r="BP2787" s="8">
        <f t="shared" si="2824"/>
        <v>0</v>
      </c>
      <c r="BQ2787" s="12">
        <f t="shared" si="2825"/>
        <v>0</v>
      </c>
    </row>
    <row r="2788" spans="1:69">
      <c r="A2788" s="28">
        <v>1957</v>
      </c>
      <c r="B2788" s="1" t="s">
        <v>267</v>
      </c>
      <c r="C2788" s="24">
        <f t="shared" si="2772"/>
        <v>2786</v>
      </c>
      <c r="D2788" s="7" t="e">
        <f t="shared" ca="1" si="2796"/>
        <v>#N/A</v>
      </c>
      <c r="E2788" s="26">
        <f t="array" aca="1" ref="E2788" ca="1">AVERAGE(IF(INDIRECT(DatCol&amp;"$"&amp;TEXT(C2788,"###")):INDIRECT(DatCol&amp;"$"&amp;TEXT(C2788+57,"###"))&gt;0,INDIRECT(DatCol&amp;"$"&amp;TEXT(C2788,"###")):INDIRECT(DatCol&amp;"$"&amp;TEXT(C2788+57,"###"))))</f>
        <v>24237.615384615383</v>
      </c>
      <c r="F2788" s="26" t="str">
        <f t="shared" si="2815"/>
        <v>O</v>
      </c>
      <c r="G2788" s="8"/>
      <c r="H2788" s="8"/>
      <c r="I2788" s="8"/>
      <c r="J2788" s="8"/>
      <c r="K2788" s="8"/>
      <c r="L2788" s="12"/>
      <c r="BN2788" s="8">
        <f t="shared" si="2822"/>
        <v>0</v>
      </c>
      <c r="BO2788" s="8">
        <f t="shared" si="2823"/>
        <v>0</v>
      </c>
      <c r="BP2788" s="8">
        <f t="shared" si="2824"/>
        <v>0</v>
      </c>
      <c r="BQ2788" s="12">
        <f t="shared" si="2825"/>
        <v>0</v>
      </c>
    </row>
    <row r="2789" spans="1:69">
      <c r="A2789" s="28">
        <v>1958</v>
      </c>
      <c r="B2789" s="1" t="s">
        <v>267</v>
      </c>
      <c r="C2789" s="24">
        <f t="shared" si="2772"/>
        <v>2786</v>
      </c>
      <c r="D2789" s="7" t="e">
        <f t="shared" ca="1" si="2796"/>
        <v>#N/A</v>
      </c>
      <c r="E2789" s="26">
        <f t="array" aca="1" ref="E2789" ca="1">AVERAGE(IF(INDIRECT(DatCol&amp;"$"&amp;TEXT(C2789,"###")):INDIRECT(DatCol&amp;"$"&amp;TEXT(C2789+57,"###"))&gt;0,INDIRECT(DatCol&amp;"$"&amp;TEXT(C2789,"###")):INDIRECT(DatCol&amp;"$"&amp;TEXT(C2789+57,"###"))))</f>
        <v>24237.615384615383</v>
      </c>
      <c r="F2789" s="26" t="str">
        <f t="shared" si="2815"/>
        <v>O</v>
      </c>
      <c r="G2789" s="8"/>
      <c r="H2789" s="8"/>
      <c r="I2789" s="8"/>
      <c r="J2789" s="8"/>
      <c r="K2789" s="8"/>
      <c r="L2789" s="12"/>
      <c r="BN2789" s="8">
        <f t="shared" si="2822"/>
        <v>0</v>
      </c>
      <c r="BO2789" s="8">
        <f t="shared" si="2823"/>
        <v>0</v>
      </c>
      <c r="BP2789" s="8">
        <f t="shared" si="2824"/>
        <v>0</v>
      </c>
      <c r="BQ2789" s="12">
        <f t="shared" si="2825"/>
        <v>0</v>
      </c>
    </row>
    <row r="2790" spans="1:69">
      <c r="A2790" s="28">
        <v>1959</v>
      </c>
      <c r="B2790" s="1" t="s">
        <v>267</v>
      </c>
      <c r="C2790" s="24">
        <f t="shared" si="2772"/>
        <v>2786</v>
      </c>
      <c r="D2790" s="7" t="e">
        <f t="shared" ca="1" si="2796"/>
        <v>#N/A</v>
      </c>
      <c r="E2790" s="26">
        <f t="array" aca="1" ref="E2790" ca="1">AVERAGE(IF(INDIRECT(DatCol&amp;"$"&amp;TEXT(C2790,"###")):INDIRECT(DatCol&amp;"$"&amp;TEXT(C2790+57,"###"))&gt;0,INDIRECT(DatCol&amp;"$"&amp;TEXT(C2790,"###")):INDIRECT(DatCol&amp;"$"&amp;TEXT(C2790+57,"###"))))</f>
        <v>24237.615384615383</v>
      </c>
      <c r="F2790" s="26" t="str">
        <f t="shared" si="2815"/>
        <v>O</v>
      </c>
      <c r="G2790" s="8"/>
      <c r="H2790" s="8"/>
      <c r="I2790" s="8"/>
      <c r="J2790" s="8"/>
      <c r="K2790" s="8"/>
      <c r="L2790" s="12"/>
      <c r="BN2790" s="8">
        <f t="shared" si="2822"/>
        <v>0</v>
      </c>
      <c r="BO2790" s="8">
        <f t="shared" si="2823"/>
        <v>0</v>
      </c>
      <c r="BP2790" s="8">
        <f t="shared" si="2824"/>
        <v>0</v>
      </c>
      <c r="BQ2790" s="12">
        <f t="shared" si="2825"/>
        <v>0</v>
      </c>
    </row>
    <row r="2791" spans="1:69">
      <c r="A2791" s="28">
        <v>1960</v>
      </c>
      <c r="B2791" s="1" t="s">
        <v>267</v>
      </c>
      <c r="C2791" s="24">
        <f t="shared" si="2772"/>
        <v>2786</v>
      </c>
      <c r="D2791" s="7" t="e">
        <f t="shared" ca="1" si="2796"/>
        <v>#N/A</v>
      </c>
      <c r="E2791" s="26">
        <f t="array" aca="1" ref="E2791" ca="1">AVERAGE(IF(INDIRECT(DatCol&amp;"$"&amp;TEXT(C2791,"###")):INDIRECT(DatCol&amp;"$"&amp;TEXT(C2791+57,"###"))&gt;0,INDIRECT(DatCol&amp;"$"&amp;TEXT(C2791,"###")):INDIRECT(DatCol&amp;"$"&amp;TEXT(C2791+57,"###"))))</f>
        <v>24237.615384615383</v>
      </c>
      <c r="F2791" s="26" t="str">
        <f t="shared" si="2815"/>
        <v>O</v>
      </c>
      <c r="G2791" s="8"/>
      <c r="H2791" s="8"/>
      <c r="I2791" s="8"/>
      <c r="J2791" s="8"/>
      <c r="K2791" s="8"/>
      <c r="L2791" s="12"/>
      <c r="BN2791" s="8">
        <f t="shared" si="2822"/>
        <v>0</v>
      </c>
      <c r="BO2791" s="8">
        <f t="shared" si="2823"/>
        <v>0</v>
      </c>
      <c r="BP2791" s="8">
        <f t="shared" si="2824"/>
        <v>0</v>
      </c>
      <c r="BQ2791" s="12">
        <f t="shared" si="2825"/>
        <v>0</v>
      </c>
    </row>
    <row r="2792" spans="1:69">
      <c r="A2792" s="28">
        <v>1961</v>
      </c>
      <c r="B2792" s="1" t="s">
        <v>267</v>
      </c>
      <c r="C2792" s="24">
        <f t="shared" si="2772"/>
        <v>2786</v>
      </c>
      <c r="D2792" s="7" t="e">
        <f t="shared" ca="1" si="2796"/>
        <v>#N/A</v>
      </c>
      <c r="E2792" s="26">
        <f t="array" aca="1" ref="E2792" ca="1">AVERAGE(IF(INDIRECT(DatCol&amp;"$"&amp;TEXT(C2792,"###")):INDIRECT(DatCol&amp;"$"&amp;TEXT(C2792+57,"###"))&gt;0,INDIRECT(DatCol&amp;"$"&amp;TEXT(C2792,"###")):INDIRECT(DatCol&amp;"$"&amp;TEXT(C2792+57,"###"))))</f>
        <v>24237.615384615383</v>
      </c>
      <c r="F2792" s="26" t="str">
        <f t="shared" si="2815"/>
        <v>O</v>
      </c>
      <c r="G2792" s="8"/>
      <c r="H2792" s="8"/>
      <c r="I2792" s="8"/>
      <c r="J2792" s="8"/>
      <c r="K2792" s="8"/>
      <c r="L2792" s="12"/>
      <c r="BN2792" s="8">
        <f t="shared" si="2822"/>
        <v>0</v>
      </c>
      <c r="BO2792" s="8">
        <f t="shared" si="2823"/>
        <v>0</v>
      </c>
      <c r="BP2792" s="8">
        <f t="shared" si="2824"/>
        <v>0</v>
      </c>
      <c r="BQ2792" s="12">
        <f t="shared" si="2825"/>
        <v>0</v>
      </c>
    </row>
    <row r="2793" spans="1:69">
      <c r="A2793" s="28">
        <v>1962</v>
      </c>
      <c r="B2793" s="1" t="s">
        <v>267</v>
      </c>
      <c r="C2793" s="24">
        <f t="shared" si="2772"/>
        <v>2786</v>
      </c>
      <c r="D2793" s="7" t="e">
        <f t="shared" ca="1" si="2796"/>
        <v>#N/A</v>
      </c>
      <c r="E2793" s="26">
        <f t="array" aca="1" ref="E2793" ca="1">AVERAGE(IF(INDIRECT(DatCol&amp;"$"&amp;TEXT(C2793,"###")):INDIRECT(DatCol&amp;"$"&amp;TEXT(C2793+57,"###"))&gt;0,INDIRECT(DatCol&amp;"$"&amp;TEXT(C2793,"###")):INDIRECT(DatCol&amp;"$"&amp;TEXT(C2793+57,"###"))))</f>
        <v>24237.615384615383</v>
      </c>
      <c r="F2793" s="26" t="str">
        <f t="shared" si="2815"/>
        <v>O</v>
      </c>
      <c r="G2793" s="8"/>
      <c r="H2793" s="8"/>
      <c r="I2793" s="8"/>
      <c r="J2793" s="8"/>
      <c r="K2793" s="8"/>
      <c r="L2793" s="12"/>
      <c r="BN2793" s="8">
        <f t="shared" si="2822"/>
        <v>0</v>
      </c>
      <c r="BO2793" s="8">
        <f t="shared" si="2823"/>
        <v>0</v>
      </c>
      <c r="BP2793" s="8">
        <f t="shared" si="2824"/>
        <v>0</v>
      </c>
      <c r="BQ2793" s="12">
        <f t="shared" si="2825"/>
        <v>0</v>
      </c>
    </row>
    <row r="2794" spans="1:69">
      <c r="A2794" s="28">
        <v>1963</v>
      </c>
      <c r="B2794" s="1" t="s">
        <v>267</v>
      </c>
      <c r="C2794" s="24">
        <f t="shared" si="2772"/>
        <v>2786</v>
      </c>
      <c r="D2794" s="7" t="e">
        <f t="shared" ca="1" si="2796"/>
        <v>#N/A</v>
      </c>
      <c r="E2794" s="26">
        <f t="array" aca="1" ref="E2794" ca="1">AVERAGE(IF(INDIRECT(DatCol&amp;"$"&amp;TEXT(C2794,"###")):INDIRECT(DatCol&amp;"$"&amp;TEXT(C2794+57,"###"))&gt;0,INDIRECT(DatCol&amp;"$"&amp;TEXT(C2794,"###")):INDIRECT(DatCol&amp;"$"&amp;TEXT(C2794+57,"###"))))</f>
        <v>24237.615384615383</v>
      </c>
      <c r="F2794" s="26" t="str">
        <f t="shared" si="2815"/>
        <v>O</v>
      </c>
      <c r="G2794" s="8"/>
      <c r="H2794" s="8"/>
      <c r="I2794" s="8"/>
      <c r="J2794" s="8"/>
      <c r="K2794" s="8"/>
      <c r="L2794" s="12"/>
      <c r="BN2794" s="8">
        <f t="shared" si="2822"/>
        <v>0</v>
      </c>
      <c r="BO2794" s="8">
        <f t="shared" si="2823"/>
        <v>0</v>
      </c>
      <c r="BP2794" s="8">
        <f t="shared" si="2824"/>
        <v>0</v>
      </c>
      <c r="BQ2794" s="12">
        <f t="shared" si="2825"/>
        <v>0</v>
      </c>
    </row>
    <row r="2795" spans="1:69">
      <c r="A2795" s="28">
        <v>1964</v>
      </c>
      <c r="B2795" s="1" t="s">
        <v>267</v>
      </c>
      <c r="C2795" s="24">
        <f t="shared" si="2772"/>
        <v>2786</v>
      </c>
      <c r="D2795" s="7" t="e">
        <f t="shared" ca="1" si="2796"/>
        <v>#N/A</v>
      </c>
      <c r="E2795" s="26">
        <f t="array" aca="1" ref="E2795" ca="1">AVERAGE(IF(INDIRECT(DatCol&amp;"$"&amp;TEXT(C2795,"###")):INDIRECT(DatCol&amp;"$"&amp;TEXT(C2795+57,"###"))&gt;0,INDIRECT(DatCol&amp;"$"&amp;TEXT(C2795,"###")):INDIRECT(DatCol&amp;"$"&amp;TEXT(C2795+57,"###"))))</f>
        <v>24237.615384615383</v>
      </c>
      <c r="F2795" s="26" t="str">
        <f t="shared" si="2815"/>
        <v>O</v>
      </c>
      <c r="G2795" s="8"/>
      <c r="H2795" s="8"/>
      <c r="I2795" s="8"/>
      <c r="J2795" s="8"/>
      <c r="K2795" s="8"/>
      <c r="L2795" s="12"/>
      <c r="BN2795" s="8">
        <f t="shared" si="2822"/>
        <v>0</v>
      </c>
      <c r="BO2795" s="8">
        <f t="shared" si="2823"/>
        <v>0</v>
      </c>
      <c r="BP2795" s="8">
        <f t="shared" si="2824"/>
        <v>0</v>
      </c>
      <c r="BQ2795" s="12">
        <f t="shared" si="2825"/>
        <v>0</v>
      </c>
    </row>
    <row r="2796" spans="1:69">
      <c r="A2796" s="28">
        <v>1965</v>
      </c>
      <c r="B2796" s="1" t="s">
        <v>267</v>
      </c>
      <c r="C2796" s="24">
        <f t="shared" ref="C2796:C2843" si="2826">C2795</f>
        <v>2786</v>
      </c>
      <c r="D2796" s="7" t="e">
        <f t="shared" ca="1" si="2796"/>
        <v>#N/A</v>
      </c>
      <c r="E2796" s="26">
        <f t="array" aca="1" ref="E2796" ca="1">AVERAGE(IF(INDIRECT(DatCol&amp;"$"&amp;TEXT(C2796,"###")):INDIRECT(DatCol&amp;"$"&amp;TEXT(C2796+57,"###"))&gt;0,INDIRECT(DatCol&amp;"$"&amp;TEXT(C2796,"###")):INDIRECT(DatCol&amp;"$"&amp;TEXT(C2796+57,"###"))))</f>
        <v>24237.615384615383</v>
      </c>
      <c r="F2796" s="26" t="str">
        <f t="shared" si="2815"/>
        <v>O</v>
      </c>
      <c r="G2796" s="8"/>
      <c r="H2796" s="8"/>
      <c r="I2796" s="8"/>
      <c r="J2796" s="8"/>
      <c r="K2796" s="8"/>
      <c r="L2796" s="12"/>
      <c r="N2796" s="10" t="s">
        <v>66</v>
      </c>
      <c r="BN2796" s="8">
        <f t="shared" si="2822"/>
        <v>0</v>
      </c>
      <c r="BO2796" s="8">
        <f t="shared" si="2823"/>
        <v>0</v>
      </c>
      <c r="BP2796" s="8">
        <f t="shared" si="2824"/>
        <v>0</v>
      </c>
      <c r="BQ2796" s="12">
        <f t="shared" si="2825"/>
        <v>0</v>
      </c>
    </row>
    <row r="2797" spans="1:69">
      <c r="A2797" s="28">
        <v>1966</v>
      </c>
      <c r="B2797" s="1" t="s">
        <v>267</v>
      </c>
      <c r="C2797" s="24">
        <f t="shared" si="2826"/>
        <v>2786</v>
      </c>
      <c r="D2797" s="7" t="e">
        <f t="shared" ca="1" si="2796"/>
        <v>#N/A</v>
      </c>
      <c r="E2797" s="26">
        <f t="array" aca="1" ref="E2797" ca="1">AVERAGE(IF(INDIRECT(DatCol&amp;"$"&amp;TEXT(C2797,"###")):INDIRECT(DatCol&amp;"$"&amp;TEXT(C2797+57,"###"))&gt;0,INDIRECT(DatCol&amp;"$"&amp;TEXT(C2797,"###")):INDIRECT(DatCol&amp;"$"&amp;TEXT(C2797+57,"###"))))</f>
        <v>24237.615384615383</v>
      </c>
      <c r="F2797" s="26" t="str">
        <f t="shared" si="2815"/>
        <v>O</v>
      </c>
      <c r="G2797" s="8"/>
      <c r="H2797" s="8"/>
      <c r="I2797" s="8"/>
      <c r="J2797" s="8"/>
      <c r="K2797" s="8"/>
      <c r="L2797" s="12"/>
      <c r="BN2797" s="8">
        <f t="shared" si="2822"/>
        <v>0</v>
      </c>
      <c r="BO2797" s="8">
        <f t="shared" si="2823"/>
        <v>0</v>
      </c>
      <c r="BP2797" s="8">
        <f t="shared" si="2824"/>
        <v>0</v>
      </c>
      <c r="BQ2797" s="12">
        <f t="shared" si="2825"/>
        <v>0</v>
      </c>
    </row>
    <row r="2798" spans="1:69">
      <c r="A2798" s="28">
        <v>1967</v>
      </c>
      <c r="B2798" s="1" t="s">
        <v>267</v>
      </c>
      <c r="C2798" s="24">
        <f t="shared" si="2826"/>
        <v>2786</v>
      </c>
      <c r="D2798" s="7" t="e">
        <f t="shared" ca="1" si="2796"/>
        <v>#N/A</v>
      </c>
      <c r="E2798" s="26">
        <f t="array" aca="1" ref="E2798" ca="1">AVERAGE(IF(INDIRECT(DatCol&amp;"$"&amp;TEXT(C2798,"###")):INDIRECT(DatCol&amp;"$"&amp;TEXT(C2798+57,"###"))&gt;0,INDIRECT(DatCol&amp;"$"&amp;TEXT(C2798,"###")):INDIRECT(DatCol&amp;"$"&amp;TEXT(C2798+57,"###"))))</f>
        <v>24237.615384615383</v>
      </c>
      <c r="F2798" s="26" t="str">
        <f t="shared" si="2815"/>
        <v>O</v>
      </c>
      <c r="G2798" s="8"/>
      <c r="H2798" s="8"/>
      <c r="I2798" s="8"/>
      <c r="J2798" s="8"/>
      <c r="K2798" s="8"/>
      <c r="L2798" s="12"/>
      <c r="BN2798" s="8">
        <f t="shared" si="2822"/>
        <v>0</v>
      </c>
      <c r="BO2798" s="8">
        <f t="shared" si="2823"/>
        <v>0</v>
      </c>
      <c r="BP2798" s="8">
        <f t="shared" si="2824"/>
        <v>0</v>
      </c>
      <c r="BQ2798" s="12">
        <f t="shared" si="2825"/>
        <v>0</v>
      </c>
    </row>
    <row r="2799" spans="1:69">
      <c r="A2799" s="28">
        <v>1968</v>
      </c>
      <c r="B2799" s="1" t="s">
        <v>267</v>
      </c>
      <c r="C2799" s="24">
        <f t="shared" si="2826"/>
        <v>2786</v>
      </c>
      <c r="D2799" s="7" t="e">
        <f t="shared" ca="1" si="2796"/>
        <v>#N/A</v>
      </c>
      <c r="E2799" s="26">
        <f t="array" aca="1" ref="E2799" ca="1">AVERAGE(IF(INDIRECT(DatCol&amp;"$"&amp;TEXT(C2799,"###")):INDIRECT(DatCol&amp;"$"&amp;TEXT(C2799+57,"###"))&gt;0,INDIRECT(DatCol&amp;"$"&amp;TEXT(C2799,"###")):INDIRECT(DatCol&amp;"$"&amp;TEXT(C2799+57,"###"))))</f>
        <v>24237.615384615383</v>
      </c>
      <c r="F2799" s="26" t="str">
        <f t="shared" si="2815"/>
        <v>O</v>
      </c>
      <c r="G2799" s="8"/>
      <c r="H2799" s="8"/>
      <c r="I2799" s="8"/>
      <c r="J2799" s="8"/>
      <c r="K2799" s="8"/>
      <c r="L2799" s="12"/>
      <c r="BN2799" s="8">
        <f t="shared" si="2822"/>
        <v>0</v>
      </c>
      <c r="BO2799" s="8">
        <f t="shared" si="2823"/>
        <v>0</v>
      </c>
      <c r="BP2799" s="8">
        <f t="shared" si="2824"/>
        <v>0</v>
      </c>
      <c r="BQ2799" s="12">
        <f t="shared" si="2825"/>
        <v>0</v>
      </c>
    </row>
    <row r="2800" spans="1:69">
      <c r="A2800" s="28">
        <v>1969</v>
      </c>
      <c r="B2800" s="1" t="s">
        <v>267</v>
      </c>
      <c r="C2800" s="24">
        <f t="shared" si="2826"/>
        <v>2786</v>
      </c>
      <c r="D2800" s="7" t="e">
        <f t="shared" ca="1" si="2796"/>
        <v>#N/A</v>
      </c>
      <c r="E2800" s="26">
        <f t="array" aca="1" ref="E2800" ca="1">AVERAGE(IF(INDIRECT(DatCol&amp;"$"&amp;TEXT(C2800,"###")):INDIRECT(DatCol&amp;"$"&amp;TEXT(C2800+57,"###"))&gt;0,INDIRECT(DatCol&amp;"$"&amp;TEXT(C2800,"###")):INDIRECT(DatCol&amp;"$"&amp;TEXT(C2800+57,"###"))))</f>
        <v>24237.615384615383</v>
      </c>
      <c r="F2800" s="26" t="str">
        <f t="shared" si="2815"/>
        <v>O</v>
      </c>
      <c r="G2800" s="8"/>
      <c r="H2800" s="8"/>
      <c r="I2800" s="8"/>
      <c r="J2800" s="8"/>
      <c r="K2800" s="8"/>
      <c r="L2800" s="12"/>
      <c r="BN2800" s="8">
        <f t="shared" si="2822"/>
        <v>0</v>
      </c>
      <c r="BO2800" s="8">
        <f t="shared" si="2823"/>
        <v>0</v>
      </c>
      <c r="BP2800" s="8">
        <f t="shared" si="2824"/>
        <v>0</v>
      </c>
      <c r="BQ2800" s="12">
        <f t="shared" si="2825"/>
        <v>0</v>
      </c>
    </row>
    <row r="2801" spans="1:69">
      <c r="A2801" s="28">
        <v>1970</v>
      </c>
      <c r="B2801" s="1" t="s">
        <v>267</v>
      </c>
      <c r="C2801" s="24">
        <f t="shared" si="2826"/>
        <v>2786</v>
      </c>
      <c r="D2801" s="7" t="e">
        <f t="shared" ca="1" si="2796"/>
        <v>#N/A</v>
      </c>
      <c r="E2801" s="26">
        <f t="array" aca="1" ref="E2801" ca="1">AVERAGE(IF(INDIRECT(DatCol&amp;"$"&amp;TEXT(C2801,"###")):INDIRECT(DatCol&amp;"$"&amp;TEXT(C2801+57,"###"))&gt;0,INDIRECT(DatCol&amp;"$"&amp;TEXT(C2801,"###")):INDIRECT(DatCol&amp;"$"&amp;TEXT(C2801+57,"###"))))</f>
        <v>24237.615384615383</v>
      </c>
      <c r="F2801" s="26" t="str">
        <f t="shared" si="2815"/>
        <v>O</v>
      </c>
      <c r="G2801" s="8"/>
      <c r="H2801" s="8"/>
      <c r="I2801" s="8"/>
      <c r="J2801" s="8"/>
      <c r="K2801" s="8"/>
      <c r="L2801" s="12"/>
      <c r="BN2801" s="8">
        <f t="shared" si="2822"/>
        <v>0</v>
      </c>
      <c r="BO2801" s="8">
        <f t="shared" si="2823"/>
        <v>0</v>
      </c>
      <c r="BP2801" s="8">
        <f t="shared" si="2824"/>
        <v>0</v>
      </c>
      <c r="BQ2801" s="12">
        <f t="shared" si="2825"/>
        <v>0</v>
      </c>
    </row>
    <row r="2802" spans="1:69">
      <c r="A2802" s="28">
        <v>1971</v>
      </c>
      <c r="B2802" s="1" t="s">
        <v>267</v>
      </c>
      <c r="C2802" s="24">
        <f t="shared" si="2826"/>
        <v>2786</v>
      </c>
      <c r="D2802" s="7" t="e">
        <f t="shared" ca="1" si="2796"/>
        <v>#N/A</v>
      </c>
      <c r="E2802" s="26">
        <f t="array" aca="1" ref="E2802" ca="1">AVERAGE(IF(INDIRECT(DatCol&amp;"$"&amp;TEXT(C2802,"###")):INDIRECT(DatCol&amp;"$"&amp;TEXT(C2802+57,"###"))&gt;0,INDIRECT(DatCol&amp;"$"&amp;TEXT(C2802,"###")):INDIRECT(DatCol&amp;"$"&amp;TEXT(C2802+57,"###"))))</f>
        <v>24237.615384615383</v>
      </c>
      <c r="F2802" s="26" t="str">
        <f t="shared" si="2815"/>
        <v>O</v>
      </c>
      <c r="G2802" s="8"/>
      <c r="H2802" s="8"/>
      <c r="I2802" s="8"/>
      <c r="J2802" s="8"/>
      <c r="K2802" s="8"/>
      <c r="L2802" s="12"/>
      <c r="BN2802" s="8">
        <f t="shared" si="2822"/>
        <v>0</v>
      </c>
      <c r="BO2802" s="8">
        <f t="shared" si="2823"/>
        <v>0</v>
      </c>
      <c r="BP2802" s="8">
        <f t="shared" si="2824"/>
        <v>0</v>
      </c>
      <c r="BQ2802" s="12">
        <f t="shared" si="2825"/>
        <v>0</v>
      </c>
    </row>
    <row r="2803" spans="1:69">
      <c r="A2803" s="28">
        <v>1972</v>
      </c>
      <c r="B2803" s="1" t="s">
        <v>267</v>
      </c>
      <c r="C2803" s="24">
        <f t="shared" si="2826"/>
        <v>2786</v>
      </c>
      <c r="D2803" s="7" t="e">
        <f t="shared" ca="1" si="2796"/>
        <v>#N/A</v>
      </c>
      <c r="E2803" s="26">
        <f t="array" aca="1" ref="E2803" ca="1">AVERAGE(IF(INDIRECT(DatCol&amp;"$"&amp;TEXT(C2803,"###")):INDIRECT(DatCol&amp;"$"&amp;TEXT(C2803+57,"###"))&gt;0,INDIRECT(DatCol&amp;"$"&amp;TEXT(C2803,"###")):INDIRECT(DatCol&amp;"$"&amp;TEXT(C2803+57,"###"))))</f>
        <v>24237.615384615383</v>
      </c>
      <c r="F2803" s="26" t="str">
        <f t="shared" si="2815"/>
        <v>O</v>
      </c>
      <c r="G2803" s="8"/>
      <c r="H2803" s="8"/>
      <c r="I2803" s="8"/>
      <c r="J2803" s="8"/>
      <c r="K2803" s="8"/>
      <c r="L2803" s="12"/>
      <c r="BN2803" s="8">
        <f t="shared" si="2822"/>
        <v>0</v>
      </c>
      <c r="BO2803" s="8">
        <f t="shared" si="2823"/>
        <v>0</v>
      </c>
      <c r="BP2803" s="8">
        <f t="shared" si="2824"/>
        <v>0</v>
      </c>
      <c r="BQ2803" s="12">
        <f t="shared" si="2825"/>
        <v>0</v>
      </c>
    </row>
    <row r="2804" spans="1:69">
      <c r="A2804" s="28">
        <v>1973</v>
      </c>
      <c r="B2804" s="1" t="s">
        <v>267</v>
      </c>
      <c r="C2804" s="24">
        <f t="shared" si="2826"/>
        <v>2786</v>
      </c>
      <c r="D2804" s="7" t="e">
        <f t="shared" ca="1" si="2796"/>
        <v>#N/A</v>
      </c>
      <c r="E2804" s="26">
        <f t="array" aca="1" ref="E2804" ca="1">AVERAGE(IF(INDIRECT(DatCol&amp;"$"&amp;TEXT(C2804,"###")):INDIRECT(DatCol&amp;"$"&amp;TEXT(C2804+57,"###"))&gt;0,INDIRECT(DatCol&amp;"$"&amp;TEXT(C2804,"###")):INDIRECT(DatCol&amp;"$"&amp;TEXT(C2804+57,"###"))))</f>
        <v>24237.615384615383</v>
      </c>
      <c r="F2804" s="26" t="str">
        <f t="shared" si="2815"/>
        <v>O</v>
      </c>
      <c r="G2804" s="8"/>
      <c r="H2804" s="8"/>
      <c r="I2804" s="8"/>
      <c r="J2804" s="8"/>
      <c r="K2804" s="8"/>
      <c r="L2804" s="12"/>
      <c r="BN2804" s="8">
        <f t="shared" si="2822"/>
        <v>0</v>
      </c>
      <c r="BO2804" s="8">
        <f t="shared" si="2823"/>
        <v>0</v>
      </c>
      <c r="BP2804" s="8">
        <f t="shared" si="2824"/>
        <v>0</v>
      </c>
      <c r="BQ2804" s="12">
        <f t="shared" si="2825"/>
        <v>0</v>
      </c>
    </row>
    <row r="2805" spans="1:69">
      <c r="A2805" s="28">
        <v>1974</v>
      </c>
      <c r="B2805" s="1" t="s">
        <v>267</v>
      </c>
      <c r="C2805" s="24">
        <f t="shared" si="2826"/>
        <v>2786</v>
      </c>
      <c r="D2805" s="7" t="e">
        <f t="shared" ca="1" si="2796"/>
        <v>#N/A</v>
      </c>
      <c r="E2805" s="26">
        <f t="array" aca="1" ref="E2805" ca="1">AVERAGE(IF(INDIRECT(DatCol&amp;"$"&amp;TEXT(C2805,"###")):INDIRECT(DatCol&amp;"$"&amp;TEXT(C2805+57,"###"))&gt;0,INDIRECT(DatCol&amp;"$"&amp;TEXT(C2805,"###")):INDIRECT(DatCol&amp;"$"&amp;TEXT(C2805+57,"###"))))</f>
        <v>24237.615384615383</v>
      </c>
      <c r="F2805" s="26" t="str">
        <f t="shared" si="2815"/>
        <v>O</v>
      </c>
      <c r="G2805" s="8"/>
      <c r="H2805" s="8"/>
      <c r="I2805" s="8"/>
      <c r="J2805" s="8"/>
      <c r="K2805" s="8"/>
      <c r="L2805" s="12"/>
      <c r="BN2805" s="8">
        <f t="shared" si="2822"/>
        <v>0</v>
      </c>
      <c r="BO2805" s="8">
        <f t="shared" si="2823"/>
        <v>0</v>
      </c>
      <c r="BP2805" s="8">
        <f t="shared" si="2824"/>
        <v>0</v>
      </c>
      <c r="BQ2805" s="12">
        <f t="shared" si="2825"/>
        <v>0</v>
      </c>
    </row>
    <row r="2806" spans="1:69">
      <c r="A2806" s="28">
        <v>1975</v>
      </c>
      <c r="B2806" s="1" t="s">
        <v>267</v>
      </c>
      <c r="C2806" s="24">
        <f t="shared" si="2826"/>
        <v>2786</v>
      </c>
      <c r="D2806" s="7" t="e">
        <f t="shared" ca="1" si="2796"/>
        <v>#N/A</v>
      </c>
      <c r="E2806" s="26">
        <f t="array" aca="1" ref="E2806" ca="1">AVERAGE(IF(INDIRECT(DatCol&amp;"$"&amp;TEXT(C2806,"###")):INDIRECT(DatCol&amp;"$"&amp;TEXT(C2806+57,"###"))&gt;0,INDIRECT(DatCol&amp;"$"&amp;TEXT(C2806,"###")):INDIRECT(DatCol&amp;"$"&amp;TEXT(C2806+57,"###"))))</f>
        <v>24237.615384615383</v>
      </c>
      <c r="F2806" s="26" t="str">
        <f t="shared" si="2815"/>
        <v>O</v>
      </c>
      <c r="G2806" s="8"/>
      <c r="H2806" s="8"/>
      <c r="I2806" s="8"/>
      <c r="J2806" s="8"/>
      <c r="K2806" s="8"/>
      <c r="L2806" s="12"/>
      <c r="BN2806" s="8">
        <f t="shared" si="2822"/>
        <v>0</v>
      </c>
      <c r="BO2806" s="8">
        <f t="shared" si="2823"/>
        <v>0</v>
      </c>
      <c r="BP2806" s="8">
        <f t="shared" si="2824"/>
        <v>0</v>
      </c>
      <c r="BQ2806" s="12">
        <f t="shared" si="2825"/>
        <v>0</v>
      </c>
    </row>
    <row r="2807" spans="1:69">
      <c r="A2807" s="28">
        <v>1976</v>
      </c>
      <c r="B2807" s="1" t="s">
        <v>267</v>
      </c>
      <c r="C2807" s="24">
        <f t="shared" si="2826"/>
        <v>2786</v>
      </c>
      <c r="D2807" s="7" t="e">
        <f t="shared" ca="1" si="2796"/>
        <v>#N/A</v>
      </c>
      <c r="E2807" s="26">
        <f t="array" aca="1" ref="E2807" ca="1">AVERAGE(IF(INDIRECT(DatCol&amp;"$"&amp;TEXT(C2807,"###")):INDIRECT(DatCol&amp;"$"&amp;TEXT(C2807+57,"###"))&gt;0,INDIRECT(DatCol&amp;"$"&amp;TEXT(C2807,"###")):INDIRECT(DatCol&amp;"$"&amp;TEXT(C2807+57,"###"))))</f>
        <v>24237.615384615383</v>
      </c>
      <c r="F2807" s="26" t="str">
        <f t="shared" si="2815"/>
        <v>O</v>
      </c>
      <c r="G2807" s="8"/>
      <c r="H2807" s="8"/>
      <c r="I2807" s="8"/>
      <c r="J2807" s="8"/>
      <c r="K2807" s="8"/>
      <c r="L2807" s="12"/>
      <c r="BN2807" s="8">
        <f t="shared" si="2822"/>
        <v>0</v>
      </c>
      <c r="BO2807" s="8">
        <f t="shared" si="2823"/>
        <v>0</v>
      </c>
      <c r="BP2807" s="8">
        <f t="shared" si="2824"/>
        <v>0</v>
      </c>
      <c r="BQ2807" s="12">
        <f t="shared" si="2825"/>
        <v>0</v>
      </c>
    </row>
    <row r="2808" spans="1:69">
      <c r="A2808" s="28">
        <v>1977</v>
      </c>
      <c r="B2808" s="1" t="s">
        <v>267</v>
      </c>
      <c r="C2808" s="24">
        <f t="shared" si="2826"/>
        <v>2786</v>
      </c>
      <c r="D2808" s="7" t="e">
        <f t="shared" ca="1" si="2796"/>
        <v>#N/A</v>
      </c>
      <c r="E2808" s="26">
        <f t="array" aca="1" ref="E2808" ca="1">AVERAGE(IF(INDIRECT(DatCol&amp;"$"&amp;TEXT(C2808,"###")):INDIRECT(DatCol&amp;"$"&amp;TEXT(C2808+57,"###"))&gt;0,INDIRECT(DatCol&amp;"$"&amp;TEXT(C2808,"###")):INDIRECT(DatCol&amp;"$"&amp;TEXT(C2808+57,"###"))))</f>
        <v>24237.615384615383</v>
      </c>
      <c r="F2808" s="26" t="str">
        <f t="shared" si="2815"/>
        <v>O</v>
      </c>
      <c r="G2808" s="8"/>
      <c r="H2808" s="8"/>
      <c r="I2808" s="8"/>
      <c r="J2808" s="8"/>
      <c r="K2808" s="8"/>
      <c r="L2808" s="12"/>
      <c r="BN2808" s="8">
        <f t="shared" si="2822"/>
        <v>0</v>
      </c>
      <c r="BO2808" s="8">
        <f t="shared" si="2823"/>
        <v>0</v>
      </c>
      <c r="BP2808" s="8">
        <f t="shared" si="2824"/>
        <v>0</v>
      </c>
      <c r="BQ2808" s="12">
        <f t="shared" si="2825"/>
        <v>0</v>
      </c>
    </row>
    <row r="2809" spans="1:69">
      <c r="A2809" s="28">
        <v>1978</v>
      </c>
      <c r="B2809" s="1" t="s">
        <v>267</v>
      </c>
      <c r="C2809" s="24">
        <f t="shared" si="2826"/>
        <v>2786</v>
      </c>
      <c r="D2809" s="7" t="e">
        <f t="shared" ca="1" si="2796"/>
        <v>#N/A</v>
      </c>
      <c r="E2809" s="26">
        <f t="array" aca="1" ref="E2809" ca="1">AVERAGE(IF(INDIRECT(DatCol&amp;"$"&amp;TEXT(C2809,"###")):INDIRECT(DatCol&amp;"$"&amp;TEXT(C2809+57,"###"))&gt;0,INDIRECT(DatCol&amp;"$"&amp;TEXT(C2809,"###")):INDIRECT(DatCol&amp;"$"&amp;TEXT(C2809+57,"###"))))</f>
        <v>24237.615384615383</v>
      </c>
      <c r="F2809" s="26" t="str">
        <f t="shared" si="2815"/>
        <v>O</v>
      </c>
      <c r="G2809" s="8"/>
      <c r="H2809" s="8"/>
      <c r="I2809" s="8"/>
      <c r="J2809" s="8"/>
      <c r="K2809" s="8"/>
      <c r="L2809" s="12"/>
      <c r="BN2809" s="8">
        <f t="shared" si="2822"/>
        <v>0</v>
      </c>
      <c r="BO2809" s="8">
        <f t="shared" si="2823"/>
        <v>0</v>
      </c>
      <c r="BP2809" s="8">
        <f t="shared" si="2824"/>
        <v>0</v>
      </c>
      <c r="BQ2809" s="12">
        <f t="shared" si="2825"/>
        <v>0</v>
      </c>
    </row>
    <row r="2810" spans="1:69">
      <c r="A2810" s="28">
        <v>1979</v>
      </c>
      <c r="B2810" s="1" t="s">
        <v>267</v>
      </c>
      <c r="C2810" s="24">
        <f t="shared" si="2826"/>
        <v>2786</v>
      </c>
      <c r="D2810" s="7" t="e">
        <f t="shared" ca="1" si="2796"/>
        <v>#N/A</v>
      </c>
      <c r="E2810" s="26">
        <f t="array" aca="1" ref="E2810" ca="1">AVERAGE(IF(INDIRECT(DatCol&amp;"$"&amp;TEXT(C2810,"###")):INDIRECT(DatCol&amp;"$"&amp;TEXT(C2810+57,"###"))&gt;0,INDIRECT(DatCol&amp;"$"&amp;TEXT(C2810,"###")):INDIRECT(DatCol&amp;"$"&amp;TEXT(C2810+57,"###"))))</f>
        <v>24237.615384615383</v>
      </c>
      <c r="F2810" s="26" t="str">
        <f t="shared" si="2815"/>
        <v>O</v>
      </c>
      <c r="G2810" s="8"/>
      <c r="H2810" s="8"/>
      <c r="I2810" s="8"/>
      <c r="J2810" s="8"/>
      <c r="K2810" s="8"/>
      <c r="L2810" s="12"/>
      <c r="BN2810" s="8">
        <f t="shared" si="2822"/>
        <v>0</v>
      </c>
      <c r="BO2810" s="8">
        <f t="shared" si="2823"/>
        <v>0</v>
      </c>
      <c r="BP2810" s="8">
        <f t="shared" si="2824"/>
        <v>0</v>
      </c>
      <c r="BQ2810" s="12">
        <f t="shared" si="2825"/>
        <v>0</v>
      </c>
    </row>
    <row r="2811" spans="1:69">
      <c r="A2811" s="28">
        <v>1980</v>
      </c>
      <c r="B2811" s="1" t="s">
        <v>267</v>
      </c>
      <c r="C2811" s="24">
        <f t="shared" si="2826"/>
        <v>2786</v>
      </c>
      <c r="D2811" s="7" t="e">
        <f t="shared" ca="1" si="2796"/>
        <v>#N/A</v>
      </c>
      <c r="E2811" s="26">
        <f t="array" aca="1" ref="E2811" ca="1">AVERAGE(IF(INDIRECT(DatCol&amp;"$"&amp;TEXT(C2811,"###")):INDIRECT(DatCol&amp;"$"&amp;TEXT(C2811+57,"###"))&gt;0,INDIRECT(DatCol&amp;"$"&amp;TEXT(C2811,"###")):INDIRECT(DatCol&amp;"$"&amp;TEXT(C2811+57,"###"))))</f>
        <v>24237.615384615383</v>
      </c>
      <c r="F2811" s="26" t="str">
        <f t="shared" si="2815"/>
        <v>O</v>
      </c>
      <c r="G2811" s="8"/>
      <c r="H2811" s="8"/>
      <c r="I2811" s="8"/>
      <c r="J2811" s="8"/>
      <c r="K2811" s="8"/>
      <c r="L2811" s="12"/>
      <c r="BN2811" s="8">
        <f t="shared" si="2822"/>
        <v>0</v>
      </c>
      <c r="BO2811" s="8">
        <f t="shared" si="2823"/>
        <v>0</v>
      </c>
      <c r="BP2811" s="8">
        <f t="shared" si="2824"/>
        <v>0</v>
      </c>
      <c r="BQ2811" s="12">
        <f t="shared" si="2825"/>
        <v>0</v>
      </c>
    </row>
    <row r="2812" spans="1:69">
      <c r="A2812" s="28">
        <v>1981</v>
      </c>
      <c r="B2812" s="1" t="s">
        <v>267</v>
      </c>
      <c r="C2812" s="24">
        <f t="shared" si="2826"/>
        <v>2786</v>
      </c>
      <c r="D2812" s="7" t="e">
        <f t="shared" ca="1" si="2796"/>
        <v>#N/A</v>
      </c>
      <c r="E2812" s="26">
        <f t="array" aca="1" ref="E2812" ca="1">AVERAGE(IF(INDIRECT(DatCol&amp;"$"&amp;TEXT(C2812,"###")):INDIRECT(DatCol&amp;"$"&amp;TEXT(C2812+57,"###"))&gt;0,INDIRECT(DatCol&amp;"$"&amp;TEXT(C2812,"###")):INDIRECT(DatCol&amp;"$"&amp;TEXT(C2812+57,"###"))))</f>
        <v>24237.615384615383</v>
      </c>
      <c r="F2812" s="26" t="str">
        <f t="shared" si="2815"/>
        <v>O</v>
      </c>
      <c r="G2812" s="8"/>
      <c r="H2812" s="8"/>
      <c r="I2812" s="8"/>
      <c r="J2812" s="8"/>
      <c r="K2812" s="8"/>
      <c r="L2812" s="12"/>
      <c r="BN2812" s="8">
        <f t="shared" si="2822"/>
        <v>0</v>
      </c>
      <c r="BO2812" s="8">
        <f t="shared" si="2823"/>
        <v>0</v>
      </c>
      <c r="BP2812" s="8">
        <f t="shared" si="2824"/>
        <v>0</v>
      </c>
      <c r="BQ2812" s="12">
        <f t="shared" si="2825"/>
        <v>0</v>
      </c>
    </row>
    <row r="2813" spans="1:69">
      <c r="A2813" s="28">
        <v>1982</v>
      </c>
      <c r="B2813" s="1" t="s">
        <v>267</v>
      </c>
      <c r="C2813" s="24">
        <f t="shared" si="2826"/>
        <v>2786</v>
      </c>
      <c r="D2813" s="7" t="e">
        <f t="shared" ca="1" si="2796"/>
        <v>#N/A</v>
      </c>
      <c r="E2813" s="26">
        <f t="array" aca="1" ref="E2813" ca="1">AVERAGE(IF(INDIRECT(DatCol&amp;"$"&amp;TEXT(C2813,"###")):INDIRECT(DatCol&amp;"$"&amp;TEXT(C2813+57,"###"))&gt;0,INDIRECT(DatCol&amp;"$"&amp;TEXT(C2813,"###")):INDIRECT(DatCol&amp;"$"&amp;TEXT(C2813+57,"###"))))</f>
        <v>24237.615384615383</v>
      </c>
      <c r="F2813" s="26" t="str">
        <f t="shared" si="2815"/>
        <v>O</v>
      </c>
      <c r="G2813" s="8"/>
      <c r="H2813" s="8"/>
      <c r="I2813" s="8"/>
      <c r="J2813" s="8"/>
      <c r="K2813" s="8"/>
      <c r="L2813" s="12"/>
      <c r="BN2813" s="8">
        <f t="shared" si="2822"/>
        <v>0</v>
      </c>
      <c r="BO2813" s="8">
        <f t="shared" si="2823"/>
        <v>0</v>
      </c>
      <c r="BP2813" s="8">
        <f t="shared" si="2824"/>
        <v>0</v>
      </c>
      <c r="BQ2813" s="12">
        <f t="shared" si="2825"/>
        <v>0</v>
      </c>
    </row>
    <row r="2814" spans="1:69">
      <c r="A2814" s="28">
        <v>1983</v>
      </c>
      <c r="B2814" s="1" t="s">
        <v>267</v>
      </c>
      <c r="C2814" s="24">
        <f t="shared" si="2826"/>
        <v>2786</v>
      </c>
      <c r="D2814" s="7" t="e">
        <f t="shared" ca="1" si="2796"/>
        <v>#N/A</v>
      </c>
      <c r="E2814" s="26">
        <f t="array" aca="1" ref="E2814" ca="1">AVERAGE(IF(INDIRECT(DatCol&amp;"$"&amp;TEXT(C2814,"###")):INDIRECT(DatCol&amp;"$"&amp;TEXT(C2814+57,"###"))&gt;0,INDIRECT(DatCol&amp;"$"&amp;TEXT(C2814,"###")):INDIRECT(DatCol&amp;"$"&amp;TEXT(C2814+57,"###"))))</f>
        <v>24237.615384615383</v>
      </c>
      <c r="F2814" s="26" t="str">
        <f t="shared" si="2815"/>
        <v>O</v>
      </c>
      <c r="G2814" s="8"/>
      <c r="H2814" s="8"/>
      <c r="I2814" s="8"/>
      <c r="J2814" s="8"/>
      <c r="K2814" s="8"/>
      <c r="L2814" s="12"/>
      <c r="BN2814" s="8">
        <f t="shared" si="2822"/>
        <v>0</v>
      </c>
      <c r="BO2814" s="8">
        <f t="shared" si="2823"/>
        <v>0</v>
      </c>
      <c r="BP2814" s="8">
        <f t="shared" si="2824"/>
        <v>0</v>
      </c>
      <c r="BQ2814" s="12">
        <f t="shared" si="2825"/>
        <v>0</v>
      </c>
    </row>
    <row r="2815" spans="1:69">
      <c r="A2815" s="28">
        <v>1984</v>
      </c>
      <c r="B2815" s="1" t="s">
        <v>267</v>
      </c>
      <c r="C2815" s="24">
        <f t="shared" si="2826"/>
        <v>2786</v>
      </c>
      <c r="D2815" s="7" t="e">
        <f t="shared" ca="1" si="2796"/>
        <v>#N/A</v>
      </c>
      <c r="E2815" s="26">
        <f t="array" aca="1" ref="E2815" ca="1">AVERAGE(IF(INDIRECT(DatCol&amp;"$"&amp;TEXT(C2815,"###")):INDIRECT(DatCol&amp;"$"&amp;TEXT(C2815+57,"###"))&gt;0,INDIRECT(DatCol&amp;"$"&amp;TEXT(C2815,"###")):INDIRECT(DatCol&amp;"$"&amp;TEXT(C2815+57,"###"))))</f>
        <v>24237.615384615383</v>
      </c>
      <c r="F2815" s="26" t="str">
        <f t="shared" si="2815"/>
        <v>O</v>
      </c>
      <c r="G2815" s="8"/>
      <c r="H2815" s="8"/>
      <c r="I2815" s="8"/>
      <c r="J2815" s="8"/>
      <c r="K2815" s="8"/>
      <c r="L2815" s="12"/>
      <c r="BN2815" s="8">
        <f t="shared" si="2822"/>
        <v>0</v>
      </c>
      <c r="BO2815" s="8">
        <f t="shared" si="2823"/>
        <v>0</v>
      </c>
      <c r="BP2815" s="8">
        <f t="shared" si="2824"/>
        <v>0</v>
      </c>
      <c r="BQ2815" s="12">
        <f t="shared" si="2825"/>
        <v>0</v>
      </c>
    </row>
    <row r="2816" spans="1:69">
      <c r="A2816" s="28">
        <v>1985</v>
      </c>
      <c r="B2816" s="1" t="s">
        <v>267</v>
      </c>
      <c r="C2816" s="24">
        <f t="shared" si="2826"/>
        <v>2786</v>
      </c>
      <c r="D2816" s="7" t="e">
        <f t="shared" ca="1" si="2796"/>
        <v>#N/A</v>
      </c>
      <c r="E2816" s="26">
        <f t="array" aca="1" ref="E2816" ca="1">AVERAGE(IF(INDIRECT(DatCol&amp;"$"&amp;TEXT(C2816,"###")):INDIRECT(DatCol&amp;"$"&amp;TEXT(C2816+57,"###"))&gt;0,INDIRECT(DatCol&amp;"$"&amp;TEXT(C2816,"###")):INDIRECT(DatCol&amp;"$"&amp;TEXT(C2816+57,"###"))))</f>
        <v>24237.615384615383</v>
      </c>
      <c r="F2816" s="26" t="str">
        <f t="shared" si="2815"/>
        <v>O</v>
      </c>
      <c r="G2816" s="8"/>
      <c r="H2816" s="8"/>
      <c r="I2816" s="8"/>
      <c r="J2816" s="8"/>
      <c r="K2816" s="8"/>
      <c r="L2816" s="12"/>
      <c r="BN2816" s="8">
        <f t="shared" si="2822"/>
        <v>0</v>
      </c>
      <c r="BO2816" s="8">
        <f t="shared" si="2823"/>
        <v>0</v>
      </c>
      <c r="BP2816" s="8">
        <f t="shared" si="2824"/>
        <v>0</v>
      </c>
      <c r="BQ2816" s="12">
        <f t="shared" si="2825"/>
        <v>0</v>
      </c>
    </row>
    <row r="2817" spans="1:69">
      <c r="A2817" s="28">
        <v>1986</v>
      </c>
      <c r="B2817" s="1" t="s">
        <v>267</v>
      </c>
      <c r="C2817" s="24">
        <f t="shared" si="2826"/>
        <v>2786</v>
      </c>
      <c r="D2817" s="7" t="e">
        <f t="shared" ca="1" si="2796"/>
        <v>#N/A</v>
      </c>
      <c r="E2817" s="26">
        <f t="array" aca="1" ref="E2817" ca="1">AVERAGE(IF(INDIRECT(DatCol&amp;"$"&amp;TEXT(C2817,"###")):INDIRECT(DatCol&amp;"$"&amp;TEXT(C2817+57,"###"))&gt;0,INDIRECT(DatCol&amp;"$"&amp;TEXT(C2817,"###")):INDIRECT(DatCol&amp;"$"&amp;TEXT(C2817+57,"###"))))</f>
        <v>24237.615384615383</v>
      </c>
      <c r="F2817" s="26" t="str">
        <f t="shared" si="2815"/>
        <v>O</v>
      </c>
      <c r="G2817" s="8"/>
      <c r="H2817" s="8"/>
      <c r="I2817" s="8"/>
      <c r="J2817" s="8"/>
      <c r="K2817" s="8"/>
      <c r="L2817" s="12"/>
      <c r="BN2817" s="8">
        <f t="shared" si="2822"/>
        <v>0</v>
      </c>
      <c r="BO2817" s="8">
        <f t="shared" si="2823"/>
        <v>0</v>
      </c>
      <c r="BP2817" s="8">
        <f t="shared" si="2824"/>
        <v>0</v>
      </c>
      <c r="BQ2817" s="12">
        <f t="shared" si="2825"/>
        <v>0</v>
      </c>
    </row>
    <row r="2818" spans="1:69">
      <c r="A2818" s="28">
        <v>1987</v>
      </c>
      <c r="B2818" s="1" t="s">
        <v>267</v>
      </c>
      <c r="C2818" s="24">
        <f t="shared" si="2826"/>
        <v>2786</v>
      </c>
      <c r="D2818" s="7" t="e">
        <f t="shared" ref="D2818:D2843" ca="1" si="2827">IF(AND((INDIRECT(DatCol&amp;TEXT(ROW(),"###"))&gt;0),((F2818=RegionSelect)+(RegionSelect="A"))),INDIRECT(DatCol&amp;TEXT(ROW(),"###"))/E2818,NA())</f>
        <v>#N/A</v>
      </c>
      <c r="E2818" s="26">
        <f t="array" aca="1" ref="E2818" ca="1">AVERAGE(IF(INDIRECT(DatCol&amp;"$"&amp;TEXT(C2818,"###")):INDIRECT(DatCol&amp;"$"&amp;TEXT(C2818+57,"###"))&gt;0,INDIRECT(DatCol&amp;"$"&amp;TEXT(C2818,"###")):INDIRECT(DatCol&amp;"$"&amp;TEXT(C2818+57,"###"))))</f>
        <v>24237.615384615383</v>
      </c>
      <c r="F2818" s="26" t="str">
        <f t="shared" si="2815"/>
        <v>O</v>
      </c>
      <c r="G2818" s="8"/>
      <c r="H2818" s="8"/>
      <c r="I2818" s="8"/>
      <c r="J2818" s="8"/>
      <c r="K2818" s="8"/>
      <c r="L2818" s="12"/>
      <c r="BN2818" s="8">
        <f t="shared" si="2822"/>
        <v>0</v>
      </c>
      <c r="BO2818" s="8">
        <f t="shared" si="2823"/>
        <v>0</v>
      </c>
      <c r="BP2818" s="8">
        <f t="shared" si="2824"/>
        <v>0</v>
      </c>
      <c r="BQ2818" s="12">
        <f t="shared" si="2825"/>
        <v>0</v>
      </c>
    </row>
    <row r="2819" spans="1:69">
      <c r="A2819" s="28">
        <v>1988</v>
      </c>
      <c r="B2819" s="1" t="s">
        <v>267</v>
      </c>
      <c r="C2819" s="24">
        <f t="shared" si="2826"/>
        <v>2786</v>
      </c>
      <c r="D2819" s="7" t="e">
        <f t="shared" ca="1" si="2827"/>
        <v>#N/A</v>
      </c>
      <c r="E2819" s="26">
        <f t="array" aca="1" ref="E2819" ca="1">AVERAGE(IF(INDIRECT(DatCol&amp;"$"&amp;TEXT(C2819,"###")):INDIRECT(DatCol&amp;"$"&amp;TEXT(C2819+57,"###"))&gt;0,INDIRECT(DatCol&amp;"$"&amp;TEXT(C2819,"###")):INDIRECT(DatCol&amp;"$"&amp;TEXT(C2819+57,"###"))))</f>
        <v>24237.615384615383</v>
      </c>
      <c r="F2819" s="26" t="str">
        <f t="shared" si="2815"/>
        <v>O</v>
      </c>
      <c r="G2819" s="8"/>
      <c r="H2819" s="8"/>
      <c r="I2819" s="8"/>
      <c r="J2819" s="8"/>
      <c r="K2819" s="8"/>
      <c r="L2819" s="12"/>
      <c r="BN2819" s="8">
        <f t="shared" si="2822"/>
        <v>0</v>
      </c>
      <c r="BO2819" s="8">
        <f t="shared" si="2823"/>
        <v>0</v>
      </c>
      <c r="BP2819" s="8">
        <f t="shared" si="2824"/>
        <v>0</v>
      </c>
      <c r="BQ2819" s="12">
        <f t="shared" si="2825"/>
        <v>0</v>
      </c>
    </row>
    <row r="2820" spans="1:69">
      <c r="A2820" s="28">
        <v>1989</v>
      </c>
      <c r="B2820" s="1" t="s">
        <v>267</v>
      </c>
      <c r="C2820" s="24">
        <f t="shared" si="2826"/>
        <v>2786</v>
      </c>
      <c r="D2820" s="7" t="e">
        <f t="shared" ca="1" si="2827"/>
        <v>#N/A</v>
      </c>
      <c r="E2820" s="26">
        <f t="array" aca="1" ref="E2820" ca="1">AVERAGE(IF(INDIRECT(DatCol&amp;"$"&amp;TEXT(C2820,"###")):INDIRECT(DatCol&amp;"$"&amp;TEXT(C2820+57,"###"))&gt;0,INDIRECT(DatCol&amp;"$"&amp;TEXT(C2820,"###")):INDIRECT(DatCol&amp;"$"&amp;TEXT(C2820+57,"###"))))</f>
        <v>24237.615384615383</v>
      </c>
      <c r="F2820" s="26" t="str">
        <f t="shared" si="2815"/>
        <v>O</v>
      </c>
      <c r="G2820" s="8"/>
      <c r="H2820" s="8"/>
      <c r="I2820" s="8"/>
      <c r="J2820" s="8"/>
      <c r="K2820" s="8"/>
      <c r="L2820" s="12"/>
      <c r="AW2820" s="11" t="s">
        <v>135</v>
      </c>
      <c r="BN2820" s="8">
        <f t="shared" si="2822"/>
        <v>0</v>
      </c>
      <c r="BO2820" s="8">
        <f t="shared" si="2823"/>
        <v>0</v>
      </c>
      <c r="BP2820" s="8">
        <f t="shared" si="2824"/>
        <v>0</v>
      </c>
      <c r="BQ2820" s="12">
        <f t="shared" si="2825"/>
        <v>0</v>
      </c>
    </row>
    <row r="2821" spans="1:69">
      <c r="A2821" s="28">
        <v>1990</v>
      </c>
      <c r="B2821" s="1" t="s">
        <v>267</v>
      </c>
      <c r="C2821" s="24">
        <f t="shared" si="2826"/>
        <v>2786</v>
      </c>
      <c r="D2821" s="7" t="e">
        <f t="shared" ca="1" si="2827"/>
        <v>#N/A</v>
      </c>
      <c r="E2821" s="26">
        <f t="array" aca="1" ref="E2821" ca="1">AVERAGE(IF(INDIRECT(DatCol&amp;"$"&amp;TEXT(C2821,"###")):INDIRECT(DatCol&amp;"$"&amp;TEXT(C2821+57,"###"))&gt;0,INDIRECT(DatCol&amp;"$"&amp;TEXT(C2821,"###")):INDIRECT(DatCol&amp;"$"&amp;TEXT(C2821+57,"###"))))</f>
        <v>24237.615384615383</v>
      </c>
      <c r="F2821" s="26" t="str">
        <f t="shared" si="2815"/>
        <v>O</v>
      </c>
      <c r="G2821" s="8"/>
      <c r="H2821" s="8"/>
      <c r="I2821" s="8"/>
      <c r="J2821" s="8"/>
      <c r="K2821" s="8"/>
      <c r="L2821" s="12"/>
      <c r="AW2821" s="11">
        <v>2622901</v>
      </c>
      <c r="BN2821" s="8">
        <f t="shared" si="2822"/>
        <v>0</v>
      </c>
      <c r="BO2821" s="8">
        <f t="shared" si="2823"/>
        <v>2622901</v>
      </c>
      <c r="BP2821" s="8">
        <f t="shared" si="2824"/>
        <v>0</v>
      </c>
      <c r="BQ2821" s="12">
        <f t="shared" si="2825"/>
        <v>0</v>
      </c>
    </row>
    <row r="2822" spans="1:69">
      <c r="A2822" s="28">
        <v>1991</v>
      </c>
      <c r="B2822" s="1" t="s">
        <v>267</v>
      </c>
      <c r="C2822" s="24">
        <f t="shared" si="2826"/>
        <v>2786</v>
      </c>
      <c r="D2822" s="7" t="e">
        <f t="shared" ca="1" si="2827"/>
        <v>#N/A</v>
      </c>
      <c r="E2822" s="26">
        <f t="array" aca="1" ref="E2822" ca="1">AVERAGE(IF(INDIRECT(DatCol&amp;"$"&amp;TEXT(C2822,"###")):INDIRECT(DatCol&amp;"$"&amp;TEXT(C2822+57,"###"))&gt;0,INDIRECT(DatCol&amp;"$"&amp;TEXT(C2822,"###")):INDIRECT(DatCol&amp;"$"&amp;TEXT(C2822+57,"###"))))</f>
        <v>24237.615384615383</v>
      </c>
      <c r="F2822" s="26" t="str">
        <f t="shared" si="2815"/>
        <v>O</v>
      </c>
      <c r="G2822" s="8"/>
      <c r="H2822" s="8"/>
      <c r="I2822" s="8"/>
      <c r="J2822" s="8"/>
      <c r="K2822" s="8"/>
      <c r="L2822" s="12"/>
      <c r="AW2822" s="11">
        <v>37785502</v>
      </c>
      <c r="BN2822" s="8">
        <f t="shared" si="2822"/>
        <v>0</v>
      </c>
      <c r="BO2822" s="8">
        <f t="shared" si="2823"/>
        <v>37785502</v>
      </c>
      <c r="BP2822" s="8">
        <f t="shared" si="2824"/>
        <v>0</v>
      </c>
      <c r="BQ2822" s="12">
        <f t="shared" si="2825"/>
        <v>0</v>
      </c>
    </row>
    <row r="2823" spans="1:69">
      <c r="A2823" s="28">
        <v>1992</v>
      </c>
      <c r="B2823" s="1" t="s">
        <v>267</v>
      </c>
      <c r="C2823" s="24">
        <f t="shared" si="2826"/>
        <v>2786</v>
      </c>
      <c r="D2823" s="7" t="e">
        <f t="shared" ca="1" si="2827"/>
        <v>#N/A</v>
      </c>
      <c r="E2823" s="26">
        <f t="array" aca="1" ref="E2823" ca="1">AVERAGE(IF(INDIRECT(DatCol&amp;"$"&amp;TEXT(C2823,"###")):INDIRECT(DatCol&amp;"$"&amp;TEXT(C2823+57,"###"))&gt;0,INDIRECT(DatCol&amp;"$"&amp;TEXT(C2823,"###")):INDIRECT(DatCol&amp;"$"&amp;TEXT(C2823+57,"###"))))</f>
        <v>24237.615384615383</v>
      </c>
      <c r="F2823" s="26" t="str">
        <f t="shared" si="2815"/>
        <v>O</v>
      </c>
      <c r="G2823" s="8"/>
      <c r="H2823" s="8"/>
      <c r="I2823" s="8"/>
      <c r="J2823" s="8"/>
      <c r="K2823" s="8"/>
      <c r="L2823" s="12"/>
      <c r="AW2823" s="11">
        <v>2902054</v>
      </c>
      <c r="BN2823" s="8">
        <f t="shared" si="2822"/>
        <v>0</v>
      </c>
      <c r="BO2823" s="8">
        <f t="shared" si="2823"/>
        <v>2902054</v>
      </c>
      <c r="BP2823" s="8">
        <f t="shared" si="2824"/>
        <v>0</v>
      </c>
      <c r="BQ2823" s="12">
        <f t="shared" si="2825"/>
        <v>0</v>
      </c>
    </row>
    <row r="2824" spans="1:69">
      <c r="A2824" s="28">
        <v>1993</v>
      </c>
      <c r="B2824" s="1" t="s">
        <v>267</v>
      </c>
      <c r="C2824" s="24">
        <f t="shared" si="2826"/>
        <v>2786</v>
      </c>
      <c r="D2824" s="7" t="e">
        <f t="shared" ca="1" si="2827"/>
        <v>#N/A</v>
      </c>
      <c r="E2824" s="26">
        <f t="array" aca="1" ref="E2824" ca="1">AVERAGE(IF(INDIRECT(DatCol&amp;"$"&amp;TEXT(C2824,"###")):INDIRECT(DatCol&amp;"$"&amp;TEXT(C2824+57,"###"))&gt;0,INDIRECT(DatCol&amp;"$"&amp;TEXT(C2824,"###")):INDIRECT(DatCol&amp;"$"&amp;TEXT(C2824+57,"###"))))</f>
        <v>24237.615384615383</v>
      </c>
      <c r="F2824" s="26" t="str">
        <f t="shared" si="2815"/>
        <v>O</v>
      </c>
      <c r="G2824" s="8"/>
      <c r="H2824" s="8"/>
      <c r="I2824" s="8"/>
      <c r="J2824" s="8"/>
      <c r="K2824" s="8"/>
      <c r="L2824" s="12"/>
      <c r="AW2824" s="11">
        <v>2162613</v>
      </c>
      <c r="BN2824" s="8">
        <f t="shared" si="2822"/>
        <v>0</v>
      </c>
      <c r="BO2824" s="8">
        <f t="shared" si="2823"/>
        <v>2162613</v>
      </c>
      <c r="BP2824" s="8">
        <f t="shared" si="2824"/>
        <v>0</v>
      </c>
      <c r="BQ2824" s="12">
        <f t="shared" si="2825"/>
        <v>0</v>
      </c>
    </row>
    <row r="2825" spans="1:69">
      <c r="A2825" s="28">
        <v>1994</v>
      </c>
      <c r="B2825" s="1" t="s">
        <v>267</v>
      </c>
      <c r="C2825" s="24">
        <f t="shared" si="2826"/>
        <v>2786</v>
      </c>
      <c r="D2825" s="7" t="e">
        <f t="shared" ca="1" si="2827"/>
        <v>#N/A</v>
      </c>
      <c r="E2825" s="26">
        <f t="array" aca="1" ref="E2825" ca="1">AVERAGE(IF(INDIRECT(DatCol&amp;"$"&amp;TEXT(C2825,"###")):INDIRECT(DatCol&amp;"$"&amp;TEXT(C2825+57,"###"))&gt;0,INDIRECT(DatCol&amp;"$"&amp;TEXT(C2825,"###")):INDIRECT(DatCol&amp;"$"&amp;TEXT(C2825+57,"###"))))</f>
        <v>24237.615384615383</v>
      </c>
      <c r="F2825" s="26" t="str">
        <f t="shared" si="2815"/>
        <v>O</v>
      </c>
      <c r="G2825" s="8"/>
      <c r="H2825" s="8"/>
      <c r="I2825" s="8"/>
      <c r="J2825" s="8"/>
      <c r="K2825" s="8"/>
      <c r="L2825" s="12"/>
      <c r="N2825" s="12"/>
      <c r="O2825" s="13"/>
      <c r="P2825" s="12"/>
      <c r="Q2825" s="13"/>
      <c r="R2825" s="12"/>
      <c r="S2825" s="13"/>
      <c r="T2825" s="12"/>
      <c r="U2825" s="13"/>
      <c r="V2825" s="12"/>
      <c r="W2825" s="13"/>
      <c r="X2825" s="12"/>
      <c r="Y2825" s="13"/>
      <c r="Z2825" s="12"/>
      <c r="AA2825" s="13"/>
      <c r="AB2825" s="12"/>
      <c r="AC2825" s="13"/>
      <c r="AD2825" s="12"/>
      <c r="AE2825" s="13"/>
      <c r="AF2825" s="12"/>
      <c r="AG2825" s="13"/>
      <c r="AH2825" s="12"/>
      <c r="AI2825" s="13"/>
      <c r="AJ2825" s="12"/>
      <c r="AK2825" s="13"/>
      <c r="AL2825" s="12"/>
      <c r="AM2825" s="13"/>
      <c r="AN2825" s="12"/>
      <c r="AO2825" s="13"/>
      <c r="AP2825" s="12"/>
      <c r="AQ2825" s="13"/>
      <c r="AR2825" s="12"/>
      <c r="AS2825" s="13"/>
      <c r="AT2825" s="12"/>
      <c r="AU2825" s="13"/>
      <c r="AV2825" s="12"/>
      <c r="AW2825" s="13">
        <v>1722935</v>
      </c>
      <c r="AX2825" s="12"/>
      <c r="AY2825" s="13"/>
      <c r="AZ2825" s="12"/>
      <c r="BA2825" s="13"/>
      <c r="BB2825" s="12"/>
      <c r="BC2825" s="13"/>
      <c r="BD2825" s="12"/>
      <c r="BE2825" s="13"/>
      <c r="BF2825" s="12"/>
      <c r="BG2825" s="13"/>
      <c r="BH2825" s="13"/>
      <c r="BI2825" s="13"/>
      <c r="BJ2825" s="12"/>
      <c r="BK2825" s="13"/>
      <c r="BL2825" s="12"/>
      <c r="BM2825" s="13"/>
      <c r="BN2825" s="8">
        <f t="shared" si="2822"/>
        <v>0</v>
      </c>
      <c r="BO2825" s="8">
        <f t="shared" si="2823"/>
        <v>1722935</v>
      </c>
      <c r="BP2825" s="8">
        <f t="shared" si="2824"/>
        <v>0</v>
      </c>
      <c r="BQ2825" s="12">
        <f t="shared" si="2825"/>
        <v>0</v>
      </c>
    </row>
    <row r="2826" spans="1:69">
      <c r="A2826" s="28">
        <v>1995</v>
      </c>
      <c r="B2826" s="1" t="s">
        <v>267</v>
      </c>
      <c r="C2826" s="24">
        <f t="shared" si="2826"/>
        <v>2786</v>
      </c>
      <c r="D2826" s="7" t="e">
        <f t="shared" ca="1" si="2827"/>
        <v>#N/A</v>
      </c>
      <c r="E2826" s="26">
        <f t="array" aca="1" ref="E2826" ca="1">AVERAGE(IF(INDIRECT(DatCol&amp;"$"&amp;TEXT(C2826,"###")):INDIRECT(DatCol&amp;"$"&amp;TEXT(C2826+57,"###"))&gt;0,INDIRECT(DatCol&amp;"$"&amp;TEXT(C2826,"###")):INDIRECT(DatCol&amp;"$"&amp;TEXT(C2826+57,"###"))))</f>
        <v>24237.615384615383</v>
      </c>
      <c r="F2826" s="26" t="str">
        <f t="shared" si="2815"/>
        <v>O</v>
      </c>
      <c r="G2826" s="8"/>
      <c r="H2826" s="8"/>
      <c r="I2826" s="8"/>
      <c r="J2826" s="8"/>
      <c r="K2826" s="8"/>
      <c r="L2826" s="12"/>
      <c r="N2826" s="12"/>
      <c r="O2826" s="13"/>
      <c r="P2826" s="12"/>
      <c r="Q2826" s="13"/>
      <c r="R2826" s="12"/>
      <c r="S2826" s="13"/>
      <c r="T2826" s="12"/>
      <c r="U2826" s="13"/>
      <c r="V2826" s="12"/>
      <c r="W2826" s="13"/>
      <c r="X2826" s="12"/>
      <c r="Y2826" s="13"/>
      <c r="Z2826" s="12"/>
      <c r="AA2826" s="13"/>
      <c r="AB2826" s="12"/>
      <c r="AC2826" s="13"/>
      <c r="AD2826" s="12"/>
      <c r="AE2826" s="13"/>
      <c r="AF2826" s="12"/>
      <c r="AG2826" s="13"/>
      <c r="AH2826" s="12"/>
      <c r="AI2826" s="13"/>
      <c r="AJ2826" s="12"/>
      <c r="AK2826" s="13"/>
      <c r="AL2826" s="12"/>
      <c r="AM2826" s="13"/>
      <c r="AN2826" s="12"/>
      <c r="AO2826" s="13"/>
      <c r="AP2826" s="12"/>
      <c r="AQ2826" s="13"/>
      <c r="AR2826" s="12"/>
      <c r="AS2826" s="13"/>
      <c r="AT2826" s="12"/>
      <c r="AU2826" s="13"/>
      <c r="AV2826" s="12"/>
      <c r="AW2826" s="13">
        <v>1670737</v>
      </c>
      <c r="AX2826" s="12"/>
      <c r="AY2826" s="13"/>
      <c r="AZ2826" s="12"/>
      <c r="BA2826" s="13"/>
      <c r="BB2826" s="12"/>
      <c r="BC2826" s="13"/>
      <c r="BD2826" s="12"/>
      <c r="BE2826" s="13"/>
      <c r="BF2826" s="12"/>
      <c r="BG2826" s="13"/>
      <c r="BH2826" s="13"/>
      <c r="BI2826" s="13"/>
      <c r="BJ2826" s="12"/>
      <c r="BK2826" s="13"/>
      <c r="BL2826" s="12"/>
      <c r="BM2826" s="13"/>
      <c r="BN2826" s="8">
        <f t="shared" si="2822"/>
        <v>0</v>
      </c>
      <c r="BO2826" s="8">
        <f t="shared" si="2823"/>
        <v>1670737</v>
      </c>
      <c r="BP2826" s="8">
        <f t="shared" si="2824"/>
        <v>0</v>
      </c>
      <c r="BQ2826" s="12">
        <f t="shared" si="2825"/>
        <v>0</v>
      </c>
    </row>
    <row r="2827" spans="1:69" ht="22.5">
      <c r="A2827" s="28">
        <v>1996</v>
      </c>
      <c r="B2827" s="1" t="s">
        <v>267</v>
      </c>
      <c r="C2827" s="24">
        <f t="shared" si="2826"/>
        <v>2786</v>
      </c>
      <c r="D2827" s="7" t="e">
        <f t="shared" ca="1" si="2827"/>
        <v>#N/A</v>
      </c>
      <c r="E2827" s="26">
        <f t="array" aca="1" ref="E2827" ca="1">AVERAGE(IF(INDIRECT(DatCol&amp;"$"&amp;TEXT(C2827,"###")):INDIRECT(DatCol&amp;"$"&amp;TEXT(C2827+57,"###"))&gt;0,INDIRECT(DatCol&amp;"$"&amp;TEXT(C2827,"###")):INDIRECT(DatCol&amp;"$"&amp;TEXT(C2827+57,"###"))))</f>
        <v>24237.615384615383</v>
      </c>
      <c r="F2827" s="26" t="str">
        <f t="shared" si="2815"/>
        <v>O</v>
      </c>
      <c r="G2827" s="8"/>
      <c r="H2827" s="8"/>
      <c r="I2827" s="8"/>
      <c r="J2827" s="8"/>
      <c r="K2827" s="8"/>
      <c r="L2827" s="43" t="s">
        <v>140</v>
      </c>
      <c r="M2827" s="44" t="s">
        <v>139</v>
      </c>
      <c r="N2827" s="45" t="s">
        <v>270</v>
      </c>
      <c r="Q2827" s="13"/>
      <c r="R2827" s="12"/>
      <c r="S2827" s="13"/>
      <c r="T2827" s="12"/>
      <c r="U2827" s="13"/>
      <c r="V2827" s="12"/>
      <c r="W2827" s="13"/>
      <c r="X2827" s="12"/>
      <c r="Y2827" s="13"/>
      <c r="Z2827" s="12"/>
      <c r="AA2827" s="13"/>
      <c r="AB2827" s="12"/>
      <c r="AC2827" s="13"/>
      <c r="AD2827" s="12"/>
      <c r="AE2827" s="13"/>
      <c r="AF2827" s="12"/>
      <c r="AG2827" s="13"/>
      <c r="AH2827" s="12"/>
      <c r="AI2827" s="13"/>
      <c r="AJ2827" s="12"/>
      <c r="AK2827" s="13"/>
      <c r="AL2827" s="12"/>
      <c r="AM2827" s="13"/>
      <c r="AN2827" s="12"/>
      <c r="AO2827" s="13"/>
      <c r="AP2827" s="12"/>
      <c r="AQ2827" s="13"/>
      <c r="AR2827" s="12"/>
      <c r="AS2827" s="13"/>
      <c r="AT2827" s="12"/>
      <c r="AU2827" s="13"/>
      <c r="AV2827" s="12"/>
      <c r="AW2827" s="13">
        <v>2028532</v>
      </c>
      <c r="AX2827" s="12"/>
      <c r="AY2827" s="13"/>
      <c r="AZ2827" s="12"/>
      <c r="BA2827" s="13"/>
      <c r="BB2827" s="12"/>
      <c r="BC2827" s="13"/>
      <c r="BD2827" s="12"/>
      <c r="BE2827" s="13"/>
      <c r="BF2827" s="12"/>
      <c r="BG2827" s="13"/>
      <c r="BH2827" s="13"/>
      <c r="BI2827" s="13"/>
      <c r="BJ2827" s="12"/>
      <c r="BK2827" s="13"/>
      <c r="BL2827" s="12"/>
      <c r="BM2827" s="13"/>
      <c r="BN2827" s="8">
        <f t="shared" si="2822"/>
        <v>0</v>
      </c>
      <c r="BO2827" s="8">
        <f t="shared" si="2823"/>
        <v>2028532</v>
      </c>
      <c r="BP2827" s="8">
        <f t="shared" si="2824"/>
        <v>0</v>
      </c>
      <c r="BQ2827" s="12">
        <f t="shared" si="2825"/>
        <v>0</v>
      </c>
    </row>
    <row r="2828" spans="1:69">
      <c r="A2828" s="28">
        <v>1997</v>
      </c>
      <c r="B2828" s="1" t="s">
        <v>267</v>
      </c>
      <c r="C2828" s="24">
        <f t="shared" si="2826"/>
        <v>2786</v>
      </c>
      <c r="D2828" s="7" t="e">
        <f t="shared" ca="1" si="2827"/>
        <v>#N/A</v>
      </c>
      <c r="E2828" s="26">
        <f t="array" aca="1" ref="E2828" ca="1">AVERAGE(IF(INDIRECT(DatCol&amp;"$"&amp;TEXT(C2828,"###")):INDIRECT(DatCol&amp;"$"&amp;TEXT(C2828+57,"###"))&gt;0,INDIRECT(DatCol&amp;"$"&amp;TEXT(C2828,"###")):INDIRECT(DatCol&amp;"$"&amp;TEXT(C2828+57,"###"))))</f>
        <v>24237.615384615383</v>
      </c>
      <c r="F2828" s="26" t="str">
        <f t="shared" si="2815"/>
        <v>O</v>
      </c>
      <c r="G2828" s="8"/>
      <c r="H2828" s="8"/>
      <c r="I2828" s="8"/>
      <c r="J2828" s="8"/>
      <c r="K2828" s="8"/>
      <c r="L2828" s="12">
        <f t="shared" ref="L2828:L2840" si="2828">N2828*0.8</f>
        <v>42326.400000000001</v>
      </c>
      <c r="M2828" s="10">
        <f t="shared" ref="M2828:M2840" si="2829">(0.8*N2828)*50</f>
        <v>2116320</v>
      </c>
      <c r="N2828" s="13">
        <v>52908</v>
      </c>
      <c r="Q2828" s="13"/>
      <c r="R2828" s="12"/>
      <c r="S2828" s="13"/>
      <c r="T2828" s="12"/>
      <c r="U2828" s="13"/>
      <c r="V2828" s="12"/>
      <c r="W2828" s="13"/>
      <c r="X2828" s="12"/>
      <c r="Y2828" s="13"/>
      <c r="Z2828" s="12"/>
      <c r="AA2828" s="13"/>
      <c r="AB2828" s="12"/>
      <c r="AC2828" s="13"/>
      <c r="AD2828" s="12"/>
      <c r="AE2828" s="13"/>
      <c r="AF2828" s="12"/>
      <c r="AG2828" s="13"/>
      <c r="AH2828" s="12"/>
      <c r="AI2828" s="13"/>
      <c r="AJ2828" s="12"/>
      <c r="AK2828" s="13"/>
      <c r="AL2828" s="12"/>
      <c r="AM2828" s="13"/>
      <c r="AN2828" s="12"/>
      <c r="AO2828" s="13"/>
      <c r="AP2828" s="12"/>
      <c r="AQ2828" s="13"/>
      <c r="AR2828" s="12"/>
      <c r="AS2828" s="13"/>
      <c r="AT2828" s="12"/>
      <c r="AU2828" s="13"/>
      <c r="AV2828" s="12"/>
      <c r="AW2828" s="13">
        <v>1597571</v>
      </c>
      <c r="AX2828" s="12"/>
      <c r="AY2828" s="13"/>
      <c r="AZ2828" s="12"/>
      <c r="BA2828" s="13"/>
      <c r="BB2828" s="12"/>
      <c r="BC2828" s="13"/>
      <c r="BD2828" s="12"/>
      <c r="BE2828" s="13"/>
      <c r="BF2828" s="12"/>
      <c r="BG2828" s="13"/>
      <c r="BH2828" s="13"/>
      <c r="BI2828" s="13"/>
      <c r="BJ2828" s="12"/>
      <c r="BK2828" s="13"/>
      <c r="BL2828" s="12"/>
      <c r="BM2828" s="13"/>
      <c r="BN2828" s="8">
        <f t="shared" si="2822"/>
        <v>42326.400000000001</v>
      </c>
      <c r="BO2828" s="8">
        <f t="shared" si="2823"/>
        <v>3713891</v>
      </c>
      <c r="BP2828" s="8">
        <f t="shared" si="2824"/>
        <v>52908</v>
      </c>
      <c r="BQ2828" s="12">
        <f t="shared" si="2825"/>
        <v>0</v>
      </c>
    </row>
    <row r="2829" spans="1:69">
      <c r="A2829" s="28">
        <v>1998</v>
      </c>
      <c r="B2829" s="1" t="s">
        <v>267</v>
      </c>
      <c r="C2829" s="24">
        <f t="shared" si="2826"/>
        <v>2786</v>
      </c>
      <c r="D2829" s="7" t="e">
        <f t="shared" ca="1" si="2827"/>
        <v>#N/A</v>
      </c>
      <c r="E2829" s="26">
        <f t="array" aca="1" ref="E2829" ca="1">AVERAGE(IF(INDIRECT(DatCol&amp;"$"&amp;TEXT(C2829,"###")):INDIRECT(DatCol&amp;"$"&amp;TEXT(C2829+57,"###"))&gt;0,INDIRECT(DatCol&amp;"$"&amp;TEXT(C2829,"###")):INDIRECT(DatCol&amp;"$"&amp;TEXT(C2829+57,"###"))))</f>
        <v>24237.615384615383</v>
      </c>
      <c r="F2829" s="26" t="str">
        <f t="shared" si="2815"/>
        <v>O</v>
      </c>
      <c r="H2829" s="8"/>
      <c r="I2829" s="8"/>
      <c r="J2829" s="8"/>
      <c r="K2829" s="8"/>
      <c r="L2829" s="12">
        <f t="shared" si="2828"/>
        <v>32475.200000000001</v>
      </c>
      <c r="M2829" s="10">
        <f t="shared" si="2829"/>
        <v>1623760</v>
      </c>
      <c r="N2829" s="13">
        <v>40594</v>
      </c>
      <c r="Q2829" s="13"/>
      <c r="R2829" s="12"/>
      <c r="S2829" s="13"/>
      <c r="T2829" s="12"/>
      <c r="U2829" s="13"/>
      <c r="V2829" s="12"/>
      <c r="W2829" s="13"/>
      <c r="X2829" s="12"/>
      <c r="Y2829" s="13"/>
      <c r="Z2829" s="12"/>
      <c r="AA2829" s="13"/>
      <c r="AB2829" s="12"/>
      <c r="AC2829" s="13"/>
      <c r="AD2829" s="12"/>
      <c r="AE2829" s="13"/>
      <c r="AF2829" s="12"/>
      <c r="AG2829" s="13"/>
      <c r="AH2829" s="12"/>
      <c r="AI2829" s="13"/>
      <c r="AJ2829" s="12"/>
      <c r="AK2829" s="13"/>
      <c r="AL2829" s="12"/>
      <c r="AM2829" s="13"/>
      <c r="AN2829" s="12"/>
      <c r="AO2829" s="13"/>
      <c r="AP2829" s="12"/>
      <c r="AQ2829" s="13"/>
      <c r="AR2829" s="12"/>
      <c r="AS2829" s="13"/>
      <c r="AT2829" s="12"/>
      <c r="AU2829" s="13"/>
      <c r="AV2829" s="12"/>
      <c r="AW2829" s="13">
        <v>1801661</v>
      </c>
      <c r="AX2829" s="12"/>
      <c r="AY2829" s="13"/>
      <c r="AZ2829" s="12"/>
      <c r="BA2829" s="13"/>
      <c r="BB2829" s="12"/>
      <c r="BC2829" s="13"/>
      <c r="BD2829" s="12"/>
      <c r="BE2829" s="13"/>
      <c r="BF2829" s="12"/>
      <c r="BG2829" s="13"/>
      <c r="BH2829" s="13"/>
      <c r="BI2829" s="13"/>
      <c r="BJ2829" s="12"/>
      <c r="BK2829" s="13"/>
      <c r="BL2829" s="12"/>
      <c r="BM2829" s="13"/>
      <c r="BN2829" s="8">
        <f t="shared" si="2822"/>
        <v>32475.200000000001</v>
      </c>
      <c r="BO2829" s="8">
        <f t="shared" si="2823"/>
        <v>3425421</v>
      </c>
      <c r="BP2829" s="8">
        <f t="shared" si="2824"/>
        <v>40594</v>
      </c>
      <c r="BQ2829" s="12">
        <f t="shared" si="2825"/>
        <v>0</v>
      </c>
    </row>
    <row r="2830" spans="1:69">
      <c r="A2830" s="28">
        <v>1999</v>
      </c>
      <c r="B2830" s="1" t="s">
        <v>267</v>
      </c>
      <c r="C2830" s="24">
        <f t="shared" si="2826"/>
        <v>2786</v>
      </c>
      <c r="D2830" s="7" t="e">
        <f t="shared" ca="1" si="2827"/>
        <v>#N/A</v>
      </c>
      <c r="E2830" s="26">
        <f t="array" aca="1" ref="E2830" ca="1">AVERAGE(IF(INDIRECT(DatCol&amp;"$"&amp;TEXT(C2830,"###")):INDIRECT(DatCol&amp;"$"&amp;TEXT(C2830+57,"###"))&gt;0,INDIRECT(DatCol&amp;"$"&amp;TEXT(C2830,"###")):INDIRECT(DatCol&amp;"$"&amp;TEXT(C2830+57,"###"))))</f>
        <v>24237.615384615383</v>
      </c>
      <c r="F2830" s="26" t="str">
        <f t="shared" si="2815"/>
        <v>O</v>
      </c>
      <c r="H2830" s="8"/>
      <c r="I2830" s="8"/>
      <c r="J2830" s="8"/>
      <c r="K2830" s="8"/>
      <c r="L2830" s="12">
        <f t="shared" si="2828"/>
        <v>29861.600000000002</v>
      </c>
      <c r="M2830" s="10">
        <f t="shared" si="2829"/>
        <v>1493080</v>
      </c>
      <c r="N2830" s="13">
        <v>37327</v>
      </c>
      <c r="Q2830" s="13"/>
      <c r="R2830" s="12"/>
      <c r="S2830" s="13"/>
      <c r="T2830" s="12"/>
      <c r="U2830" s="13"/>
      <c r="V2830" s="12"/>
      <c r="W2830" s="13"/>
      <c r="X2830" s="12"/>
      <c r="Y2830" s="13"/>
      <c r="Z2830" s="12"/>
      <c r="AA2830" s="13"/>
      <c r="AB2830" s="12"/>
      <c r="AC2830" s="13"/>
      <c r="AD2830" s="12"/>
      <c r="AE2830" s="13"/>
      <c r="AF2830" s="12"/>
      <c r="AG2830" s="13"/>
      <c r="AH2830" s="12"/>
      <c r="AI2830" s="13"/>
      <c r="AJ2830" s="12"/>
      <c r="AK2830" s="13"/>
      <c r="AL2830" s="12"/>
      <c r="AM2830" s="13"/>
      <c r="AN2830" s="12"/>
      <c r="AO2830" s="13"/>
      <c r="AP2830" s="12"/>
      <c r="AQ2830" s="13"/>
      <c r="AR2830" s="12"/>
      <c r="AS2830" s="13"/>
      <c r="AT2830" s="12"/>
      <c r="AU2830" s="13"/>
      <c r="AV2830" s="12"/>
      <c r="AW2830" s="13"/>
      <c r="AX2830" s="12"/>
      <c r="AY2830" s="13"/>
      <c r="AZ2830" s="12"/>
      <c r="BA2830" s="13"/>
      <c r="BB2830" s="12"/>
      <c r="BC2830" s="13"/>
      <c r="BD2830" s="12"/>
      <c r="BE2830" s="13"/>
      <c r="BF2830" s="12"/>
      <c r="BG2830" s="13"/>
      <c r="BH2830" s="13"/>
      <c r="BI2830" s="13"/>
      <c r="BJ2830" s="12"/>
      <c r="BK2830" s="13"/>
      <c r="BL2830" s="12"/>
      <c r="BM2830" s="13"/>
      <c r="BN2830" s="8">
        <f t="shared" si="2822"/>
        <v>29861.600000000002</v>
      </c>
      <c r="BO2830" s="8">
        <f t="shared" si="2823"/>
        <v>1493080</v>
      </c>
      <c r="BP2830" s="8">
        <f t="shared" si="2824"/>
        <v>37327</v>
      </c>
      <c r="BQ2830" s="12">
        <f t="shared" si="2825"/>
        <v>0</v>
      </c>
    </row>
    <row r="2831" spans="1:69">
      <c r="A2831" s="28">
        <v>2000</v>
      </c>
      <c r="B2831" s="1" t="s">
        <v>267</v>
      </c>
      <c r="C2831" s="24">
        <f t="shared" si="2826"/>
        <v>2786</v>
      </c>
      <c r="D2831" s="7" t="e">
        <f t="shared" ca="1" si="2827"/>
        <v>#N/A</v>
      </c>
      <c r="E2831" s="26">
        <f t="array" aca="1" ref="E2831" ca="1">AVERAGE(IF(INDIRECT(DatCol&amp;"$"&amp;TEXT(C2831,"###")):INDIRECT(DatCol&amp;"$"&amp;TEXT(C2831+57,"###"))&gt;0,INDIRECT(DatCol&amp;"$"&amp;TEXT(C2831,"###")):INDIRECT(DatCol&amp;"$"&amp;TEXT(C2831+57,"###"))))</f>
        <v>24237.615384615383</v>
      </c>
      <c r="F2831" s="26" t="str">
        <f t="shared" si="2815"/>
        <v>O</v>
      </c>
      <c r="H2831" s="8"/>
      <c r="I2831" s="8"/>
      <c r="J2831" s="8"/>
      <c r="K2831" s="8"/>
      <c r="L2831" s="12">
        <f t="shared" si="2828"/>
        <v>24151.200000000001</v>
      </c>
      <c r="M2831" s="10">
        <f t="shared" si="2829"/>
        <v>1207560</v>
      </c>
      <c r="N2831" s="13">
        <v>30189</v>
      </c>
      <c r="Q2831" s="13"/>
      <c r="R2831" s="12"/>
      <c r="S2831" s="13"/>
      <c r="T2831" s="12"/>
      <c r="U2831" s="13"/>
      <c r="V2831" s="12"/>
      <c r="W2831" s="13"/>
      <c r="X2831" s="12"/>
      <c r="Y2831" s="13"/>
      <c r="Z2831" s="12"/>
      <c r="AA2831" s="13"/>
      <c r="AB2831" s="12"/>
      <c r="AC2831" s="13"/>
      <c r="AD2831" s="12"/>
      <c r="AE2831" s="13"/>
      <c r="AF2831" s="12"/>
      <c r="AG2831" s="13"/>
      <c r="AH2831" s="12"/>
      <c r="AI2831" s="13"/>
      <c r="AJ2831" s="12"/>
      <c r="AK2831" s="13"/>
      <c r="AL2831" s="12"/>
      <c r="AM2831" s="13"/>
      <c r="AN2831" s="12"/>
      <c r="AO2831" s="13"/>
      <c r="AP2831" s="12"/>
      <c r="AQ2831" s="13"/>
      <c r="AR2831" s="12"/>
      <c r="AS2831" s="13"/>
      <c r="AT2831" s="12"/>
      <c r="AU2831" s="13"/>
      <c r="AV2831" s="12"/>
      <c r="AW2831" s="13"/>
      <c r="AX2831" s="12"/>
      <c r="AY2831" s="13"/>
      <c r="AZ2831" s="12"/>
      <c r="BA2831" s="13"/>
      <c r="BB2831" s="12"/>
      <c r="BC2831" s="13"/>
      <c r="BD2831" s="12"/>
      <c r="BE2831" s="13"/>
      <c r="BF2831" s="12"/>
      <c r="BG2831" s="13"/>
      <c r="BH2831" s="13"/>
      <c r="BI2831" s="13"/>
      <c r="BJ2831" s="12"/>
      <c r="BK2831" s="13"/>
      <c r="BL2831" s="12"/>
      <c r="BM2831" s="13"/>
      <c r="BN2831" s="8">
        <f t="shared" si="2822"/>
        <v>24151.200000000001</v>
      </c>
      <c r="BO2831" s="8">
        <f t="shared" si="2823"/>
        <v>1207560</v>
      </c>
      <c r="BP2831" s="8">
        <f t="shared" si="2824"/>
        <v>30189</v>
      </c>
      <c r="BQ2831" s="12">
        <f t="shared" si="2825"/>
        <v>0</v>
      </c>
    </row>
    <row r="2832" spans="1:69">
      <c r="A2832" s="28">
        <v>2001</v>
      </c>
      <c r="B2832" s="1" t="s">
        <v>267</v>
      </c>
      <c r="C2832" s="24">
        <f t="shared" si="2826"/>
        <v>2786</v>
      </c>
      <c r="D2832" s="7" t="e">
        <f t="shared" ca="1" si="2827"/>
        <v>#N/A</v>
      </c>
      <c r="E2832" s="26">
        <f t="array" aca="1" ref="E2832" ca="1">AVERAGE(IF(INDIRECT(DatCol&amp;"$"&amp;TEXT(C2832,"###")):INDIRECT(DatCol&amp;"$"&amp;TEXT(C2832+57,"###"))&gt;0,INDIRECT(DatCol&amp;"$"&amp;TEXT(C2832,"###")):INDIRECT(DatCol&amp;"$"&amp;TEXT(C2832+57,"###"))))</f>
        <v>24237.615384615383</v>
      </c>
      <c r="F2832" s="26" t="str">
        <f t="shared" si="2815"/>
        <v>O</v>
      </c>
      <c r="H2832" s="8"/>
      <c r="I2832" s="8"/>
      <c r="J2832" s="8"/>
      <c r="K2832" s="8"/>
      <c r="L2832" s="12">
        <f t="shared" si="2828"/>
        <v>21246.400000000001</v>
      </c>
      <c r="M2832" s="10">
        <f t="shared" si="2829"/>
        <v>1062320</v>
      </c>
      <c r="N2832" s="13">
        <v>26558</v>
      </c>
      <c r="Q2832" s="13"/>
      <c r="R2832" s="12"/>
      <c r="S2832" s="13"/>
      <c r="T2832" s="12"/>
      <c r="U2832" s="13"/>
      <c r="V2832" s="12"/>
      <c r="W2832" s="13"/>
      <c r="X2832" s="12"/>
      <c r="Y2832" s="13"/>
      <c r="Z2832" s="12"/>
      <c r="AA2832" s="13"/>
      <c r="AB2832" s="12"/>
      <c r="AC2832" s="13"/>
      <c r="AD2832" s="12"/>
      <c r="AE2832" s="13"/>
      <c r="AF2832" s="12"/>
      <c r="AG2832" s="13"/>
      <c r="AH2832" s="12"/>
      <c r="AI2832" s="13"/>
      <c r="AJ2832" s="12"/>
      <c r="AK2832" s="13"/>
      <c r="AL2832" s="12"/>
      <c r="AM2832" s="13"/>
      <c r="AN2832" s="12"/>
      <c r="AO2832" s="13"/>
      <c r="AP2832" s="12"/>
      <c r="AQ2832" s="13"/>
      <c r="AR2832" s="12"/>
      <c r="AS2832" s="13"/>
      <c r="AT2832" s="12"/>
      <c r="AU2832" s="13"/>
      <c r="AV2832" s="12"/>
      <c r="AW2832" s="13"/>
      <c r="AX2832" s="12"/>
      <c r="AY2832" s="13"/>
      <c r="AZ2832" s="12"/>
      <c r="BA2832" s="13"/>
      <c r="BB2832" s="12"/>
      <c r="BC2832" s="13"/>
      <c r="BD2832" s="12"/>
      <c r="BE2832" s="13"/>
      <c r="BF2832" s="12"/>
      <c r="BG2832" s="13"/>
      <c r="BH2832" s="13"/>
      <c r="BI2832" s="13"/>
      <c r="BJ2832" s="12"/>
      <c r="BK2832" s="13"/>
      <c r="BL2832" s="12"/>
      <c r="BM2832" s="13"/>
      <c r="BN2832" s="8">
        <f t="shared" si="2822"/>
        <v>21246.400000000001</v>
      </c>
      <c r="BO2832" s="8">
        <f t="shared" si="2823"/>
        <v>1062320</v>
      </c>
      <c r="BP2832" s="8">
        <f t="shared" si="2824"/>
        <v>26558</v>
      </c>
      <c r="BQ2832" s="12">
        <f t="shared" si="2825"/>
        <v>0</v>
      </c>
    </row>
    <row r="2833" spans="1:69">
      <c r="A2833" s="28">
        <v>2002</v>
      </c>
      <c r="B2833" s="1" t="s">
        <v>267</v>
      </c>
      <c r="C2833" s="24">
        <f t="shared" si="2826"/>
        <v>2786</v>
      </c>
      <c r="D2833" s="7" t="e">
        <f t="shared" ca="1" si="2827"/>
        <v>#N/A</v>
      </c>
      <c r="E2833" s="26">
        <f t="array" aca="1" ref="E2833" ca="1">AVERAGE(IF(INDIRECT(DatCol&amp;"$"&amp;TEXT(C2833,"###")):INDIRECT(DatCol&amp;"$"&amp;TEXT(C2833+57,"###"))&gt;0,INDIRECT(DatCol&amp;"$"&amp;TEXT(C2833,"###")):INDIRECT(DatCol&amp;"$"&amp;TEXT(C2833+57,"###"))))</f>
        <v>24237.615384615383</v>
      </c>
      <c r="F2833" s="26" t="str">
        <f t="shared" si="2815"/>
        <v>O</v>
      </c>
      <c r="H2833" s="8"/>
      <c r="I2833" s="8"/>
      <c r="J2833" s="8"/>
      <c r="K2833" s="8"/>
      <c r="L2833" s="12">
        <f t="shared" si="2828"/>
        <v>13433.6</v>
      </c>
      <c r="M2833" s="10">
        <f t="shared" si="2829"/>
        <v>671680</v>
      </c>
      <c r="N2833" s="13">
        <v>16792</v>
      </c>
      <c r="Q2833" s="13"/>
      <c r="R2833" s="12"/>
      <c r="S2833" s="13"/>
      <c r="T2833" s="12"/>
      <c r="U2833" s="13"/>
      <c r="V2833" s="12"/>
      <c r="W2833" s="13"/>
      <c r="X2833" s="12"/>
      <c r="Y2833" s="13"/>
      <c r="Z2833" s="12"/>
      <c r="AA2833" s="13"/>
      <c r="AB2833" s="12"/>
      <c r="AC2833" s="13"/>
      <c r="AD2833" s="12"/>
      <c r="AE2833" s="13"/>
      <c r="AF2833" s="12"/>
      <c r="AG2833" s="13"/>
      <c r="AH2833" s="12"/>
      <c r="AI2833" s="13"/>
      <c r="AJ2833" s="12"/>
      <c r="AK2833" s="13"/>
      <c r="AL2833" s="12"/>
      <c r="AM2833" s="13"/>
      <c r="AN2833" s="12"/>
      <c r="AO2833" s="13"/>
      <c r="AP2833" s="12"/>
      <c r="AQ2833" s="13"/>
      <c r="AR2833" s="12"/>
      <c r="AS2833" s="13"/>
      <c r="AT2833" s="12"/>
      <c r="AU2833" s="13"/>
      <c r="AV2833" s="12"/>
      <c r="AW2833" s="13"/>
      <c r="AX2833" s="12"/>
      <c r="AY2833" s="13"/>
      <c r="AZ2833" s="12"/>
      <c r="BA2833" s="13"/>
      <c r="BB2833" s="12"/>
      <c r="BC2833" s="13"/>
      <c r="BD2833" s="12"/>
      <c r="BE2833" s="13"/>
      <c r="BF2833" s="12"/>
      <c r="BG2833" s="13"/>
      <c r="BH2833" s="13"/>
      <c r="BI2833" s="13"/>
      <c r="BJ2833" s="12"/>
      <c r="BK2833" s="13"/>
      <c r="BL2833" s="12"/>
      <c r="BM2833" s="13"/>
      <c r="BN2833" s="8">
        <f t="shared" si="2822"/>
        <v>13433.6</v>
      </c>
      <c r="BO2833" s="8">
        <f t="shared" si="2823"/>
        <v>671680</v>
      </c>
      <c r="BP2833" s="8">
        <f t="shared" si="2824"/>
        <v>16792</v>
      </c>
      <c r="BQ2833" s="12">
        <f t="shared" si="2825"/>
        <v>0</v>
      </c>
    </row>
    <row r="2834" spans="1:69">
      <c r="A2834" s="28">
        <v>2003</v>
      </c>
      <c r="B2834" s="1" t="s">
        <v>267</v>
      </c>
      <c r="C2834" s="24">
        <f t="shared" si="2826"/>
        <v>2786</v>
      </c>
      <c r="D2834" s="7" t="e">
        <f t="shared" ca="1" si="2827"/>
        <v>#N/A</v>
      </c>
      <c r="E2834" s="26">
        <f t="array" aca="1" ref="E2834" ca="1">AVERAGE(IF(INDIRECT(DatCol&amp;"$"&amp;TEXT(C2834,"###")):INDIRECT(DatCol&amp;"$"&amp;TEXT(C2834+57,"###"))&gt;0,INDIRECT(DatCol&amp;"$"&amp;TEXT(C2834,"###")):INDIRECT(DatCol&amp;"$"&amp;TEXT(C2834+57,"###"))))</f>
        <v>24237.615384615383</v>
      </c>
      <c r="F2834" s="26" t="str">
        <f t="shared" ref="F2834:F2840" si="2830">VLOOKUP(B2834,town_region,2,FALSE)</f>
        <v>O</v>
      </c>
      <c r="H2834" s="8"/>
      <c r="I2834" s="8"/>
      <c r="J2834" s="8"/>
      <c r="K2834" s="8"/>
      <c r="L2834" s="12">
        <f t="shared" si="2828"/>
        <v>18950.400000000001</v>
      </c>
      <c r="M2834" s="10">
        <f t="shared" si="2829"/>
        <v>947520.00000000012</v>
      </c>
      <c r="N2834" s="13">
        <v>23688</v>
      </c>
      <c r="Q2834" s="13"/>
      <c r="R2834" s="12"/>
      <c r="S2834" s="13"/>
      <c r="T2834" s="12"/>
      <c r="U2834" s="13"/>
      <c r="V2834" s="12"/>
      <c r="W2834" s="13"/>
      <c r="X2834" s="12"/>
      <c r="Y2834" s="13"/>
      <c r="Z2834" s="12"/>
      <c r="AA2834" s="13"/>
      <c r="AB2834" s="12"/>
      <c r="AC2834" s="13"/>
      <c r="AD2834" s="12"/>
      <c r="AE2834" s="13"/>
      <c r="AF2834" s="12"/>
      <c r="AG2834" s="13"/>
      <c r="AH2834" s="12"/>
      <c r="AI2834" s="13"/>
      <c r="AJ2834" s="12"/>
      <c r="AK2834" s="13"/>
      <c r="AL2834" s="12"/>
      <c r="AM2834" s="13"/>
      <c r="AN2834" s="12"/>
      <c r="AO2834" s="13"/>
      <c r="AP2834" s="12"/>
      <c r="AQ2834" s="13"/>
      <c r="AR2834" s="12"/>
      <c r="AS2834" s="13"/>
      <c r="AT2834" s="12"/>
      <c r="AU2834" s="13"/>
      <c r="AV2834" s="12"/>
      <c r="AW2834" s="13"/>
      <c r="AX2834" s="12"/>
      <c r="AY2834" s="13"/>
      <c r="AZ2834" s="12"/>
      <c r="BA2834" s="13"/>
      <c r="BB2834" s="12"/>
      <c r="BC2834" s="13"/>
      <c r="BD2834" s="12"/>
      <c r="BE2834" s="13"/>
      <c r="BF2834" s="12"/>
      <c r="BG2834" s="13"/>
      <c r="BH2834" s="13"/>
      <c r="BI2834" s="13"/>
      <c r="BJ2834" s="12"/>
      <c r="BK2834" s="13"/>
      <c r="BL2834" s="12"/>
      <c r="BM2834" s="13"/>
      <c r="BN2834" s="8">
        <f t="shared" si="2822"/>
        <v>18950.400000000001</v>
      </c>
      <c r="BO2834" s="8">
        <f t="shared" si="2823"/>
        <v>947520.00000000012</v>
      </c>
      <c r="BP2834" s="8">
        <f t="shared" si="2824"/>
        <v>23688</v>
      </c>
      <c r="BQ2834" s="12">
        <f t="shared" si="2825"/>
        <v>0</v>
      </c>
    </row>
    <row r="2835" spans="1:69">
      <c r="A2835" s="28">
        <v>2004</v>
      </c>
      <c r="B2835" s="1" t="s">
        <v>267</v>
      </c>
      <c r="C2835" s="24">
        <f t="shared" si="2826"/>
        <v>2786</v>
      </c>
      <c r="D2835" s="7" t="e">
        <f t="shared" ca="1" si="2827"/>
        <v>#N/A</v>
      </c>
      <c r="E2835" s="26">
        <f t="array" aca="1" ref="E2835" ca="1">AVERAGE(IF(INDIRECT(DatCol&amp;"$"&amp;TEXT(C2835,"###")):INDIRECT(DatCol&amp;"$"&amp;TEXT(C2835+57,"###"))&gt;0,INDIRECT(DatCol&amp;"$"&amp;TEXT(C2835,"###")):INDIRECT(DatCol&amp;"$"&amp;TEXT(C2835+57,"###"))))</f>
        <v>24237.615384615383</v>
      </c>
      <c r="F2835" s="26" t="str">
        <f t="shared" si="2830"/>
        <v>O</v>
      </c>
      <c r="H2835" s="8"/>
      <c r="I2835" s="8"/>
      <c r="J2835" s="8"/>
      <c r="K2835" s="8"/>
      <c r="L2835" s="12">
        <f t="shared" si="2828"/>
        <v>13617.6</v>
      </c>
      <c r="M2835" s="10">
        <f t="shared" si="2829"/>
        <v>680880</v>
      </c>
      <c r="N2835" s="13">
        <v>17022</v>
      </c>
      <c r="Q2835" s="13"/>
      <c r="R2835" s="12"/>
      <c r="S2835" s="13"/>
      <c r="T2835" s="12"/>
      <c r="U2835" s="13"/>
      <c r="V2835" s="12"/>
      <c r="W2835" s="13"/>
      <c r="X2835" s="12"/>
      <c r="Y2835" s="13"/>
      <c r="Z2835" s="12"/>
      <c r="AA2835" s="13"/>
      <c r="AB2835" s="12"/>
      <c r="AC2835" s="13"/>
      <c r="AD2835" s="12"/>
      <c r="AE2835" s="13"/>
      <c r="AF2835" s="12"/>
      <c r="AG2835" s="13"/>
      <c r="AH2835" s="12"/>
      <c r="AI2835" s="13"/>
      <c r="AJ2835" s="12"/>
      <c r="AK2835" s="13"/>
      <c r="AL2835" s="12"/>
      <c r="AM2835" s="13"/>
      <c r="AN2835" s="12"/>
      <c r="AO2835" s="13"/>
      <c r="AP2835" s="12"/>
      <c r="AQ2835" s="13"/>
      <c r="AR2835" s="12"/>
      <c r="AS2835" s="13"/>
      <c r="AT2835" s="12"/>
      <c r="AU2835" s="13"/>
      <c r="AV2835" s="12"/>
      <c r="AW2835" s="13"/>
      <c r="AX2835" s="12"/>
      <c r="AY2835" s="13"/>
      <c r="AZ2835" s="12"/>
      <c r="BA2835" s="13"/>
      <c r="BB2835" s="12"/>
      <c r="BC2835" s="13"/>
      <c r="BD2835" s="12"/>
      <c r="BE2835" s="13"/>
      <c r="BF2835" s="12"/>
      <c r="BG2835" s="13"/>
      <c r="BH2835" s="13"/>
      <c r="BI2835" s="13"/>
      <c r="BJ2835" s="12"/>
      <c r="BK2835" s="13"/>
      <c r="BL2835" s="12"/>
      <c r="BM2835" s="13"/>
      <c r="BN2835" s="8">
        <f t="shared" si="2822"/>
        <v>13617.6</v>
      </c>
      <c r="BO2835" s="8">
        <f t="shared" si="2823"/>
        <v>680880</v>
      </c>
      <c r="BP2835" s="8">
        <f t="shared" si="2824"/>
        <v>17022</v>
      </c>
      <c r="BQ2835" s="12">
        <f t="shared" si="2825"/>
        <v>0</v>
      </c>
    </row>
    <row r="2836" spans="1:69">
      <c r="A2836" s="28">
        <v>2005</v>
      </c>
      <c r="B2836" s="1" t="s">
        <v>267</v>
      </c>
      <c r="C2836" s="24">
        <f t="shared" si="2826"/>
        <v>2786</v>
      </c>
      <c r="D2836" s="7" t="e">
        <f t="shared" ca="1" si="2827"/>
        <v>#N/A</v>
      </c>
      <c r="E2836" s="26">
        <f t="array" aca="1" ref="E2836" ca="1">AVERAGE(IF(INDIRECT(DatCol&amp;"$"&amp;TEXT(C2836,"###")):INDIRECT(DatCol&amp;"$"&amp;TEXT(C2836+57,"###"))&gt;0,INDIRECT(DatCol&amp;"$"&amp;TEXT(C2836,"###")):INDIRECT(DatCol&amp;"$"&amp;TEXT(C2836+57,"###"))))</f>
        <v>24237.615384615383</v>
      </c>
      <c r="F2836" s="26" t="str">
        <f t="shared" si="2830"/>
        <v>O</v>
      </c>
      <c r="H2836" s="8"/>
      <c r="I2836" s="8"/>
      <c r="J2836" s="8"/>
      <c r="K2836" s="8"/>
      <c r="L2836" s="12">
        <f t="shared" si="2828"/>
        <v>10477.6</v>
      </c>
      <c r="M2836" s="10">
        <f t="shared" si="2829"/>
        <v>523880</v>
      </c>
      <c r="N2836" s="13">
        <v>13097</v>
      </c>
      <c r="Q2836" s="13"/>
      <c r="R2836" s="12"/>
      <c r="S2836" s="13"/>
      <c r="T2836" s="12"/>
      <c r="U2836" s="13"/>
      <c r="V2836" s="12"/>
      <c r="W2836" s="13"/>
      <c r="X2836" s="12"/>
      <c r="Y2836" s="13"/>
      <c r="Z2836" s="12"/>
      <c r="AA2836" s="13"/>
      <c r="AB2836" s="12"/>
      <c r="AC2836" s="13"/>
      <c r="AD2836" s="12"/>
      <c r="AE2836" s="13"/>
      <c r="AF2836" s="12"/>
      <c r="AG2836" s="13"/>
      <c r="AH2836" s="12"/>
      <c r="AI2836" s="13"/>
      <c r="AJ2836" s="12"/>
      <c r="AK2836" s="13"/>
      <c r="AL2836" s="12"/>
      <c r="AM2836" s="13"/>
      <c r="AN2836" s="12"/>
      <c r="AO2836" s="13"/>
      <c r="AP2836" s="12"/>
      <c r="AQ2836" s="13"/>
      <c r="AR2836" s="12"/>
      <c r="AS2836" s="13"/>
      <c r="AT2836" s="12"/>
      <c r="AU2836" s="13"/>
      <c r="AV2836" s="12"/>
      <c r="AW2836" s="13"/>
      <c r="AX2836" s="12"/>
      <c r="AY2836" s="13"/>
      <c r="AZ2836" s="12"/>
      <c r="BA2836" s="13"/>
      <c r="BB2836" s="12"/>
      <c r="BC2836" s="13"/>
      <c r="BD2836" s="12"/>
      <c r="BE2836" s="13"/>
      <c r="BF2836" s="12"/>
      <c r="BG2836" s="13"/>
      <c r="BH2836" s="13"/>
      <c r="BI2836" s="13"/>
      <c r="BJ2836" s="12"/>
      <c r="BK2836" s="13"/>
      <c r="BL2836" s="12"/>
      <c r="BM2836" s="13"/>
      <c r="BN2836" s="8">
        <f t="shared" si="2822"/>
        <v>10477.6</v>
      </c>
      <c r="BO2836" s="8">
        <f t="shared" si="2823"/>
        <v>523880</v>
      </c>
      <c r="BP2836" s="8">
        <f t="shared" si="2824"/>
        <v>13097</v>
      </c>
      <c r="BQ2836" s="12">
        <f t="shared" si="2825"/>
        <v>0</v>
      </c>
    </row>
    <row r="2837" spans="1:69">
      <c r="A2837" s="28">
        <v>2006</v>
      </c>
      <c r="B2837" s="1" t="s">
        <v>267</v>
      </c>
      <c r="C2837" s="24">
        <f t="shared" si="2826"/>
        <v>2786</v>
      </c>
      <c r="D2837" s="7" t="e">
        <f t="shared" ca="1" si="2827"/>
        <v>#N/A</v>
      </c>
      <c r="E2837" s="26">
        <f t="array" aca="1" ref="E2837" ca="1">AVERAGE(IF(INDIRECT(DatCol&amp;"$"&amp;TEXT(C2837,"###")):INDIRECT(DatCol&amp;"$"&amp;TEXT(C2837+57,"###"))&gt;0,INDIRECT(DatCol&amp;"$"&amp;TEXT(C2837,"###")):INDIRECT(DatCol&amp;"$"&amp;TEXT(C2837+57,"###"))))</f>
        <v>24237.615384615383</v>
      </c>
      <c r="F2837" s="26" t="str">
        <f t="shared" si="2830"/>
        <v>O</v>
      </c>
      <c r="H2837" s="8"/>
      <c r="I2837" s="8"/>
      <c r="J2837" s="8"/>
      <c r="K2837" s="8"/>
      <c r="L2837" s="12">
        <f t="shared" si="2828"/>
        <v>10892.800000000001</v>
      </c>
      <c r="M2837" s="10">
        <f t="shared" si="2829"/>
        <v>544640</v>
      </c>
      <c r="N2837" s="13">
        <v>13616</v>
      </c>
      <c r="Q2837" s="13"/>
      <c r="R2837" s="12"/>
      <c r="S2837" s="13"/>
      <c r="T2837" s="12"/>
      <c r="U2837" s="13"/>
      <c r="V2837" s="12"/>
      <c r="W2837" s="13"/>
      <c r="X2837" s="12"/>
      <c r="Y2837" s="13"/>
      <c r="Z2837" s="12"/>
      <c r="AA2837" s="13"/>
      <c r="AB2837" s="12"/>
      <c r="AC2837" s="13"/>
      <c r="AD2837" s="12"/>
      <c r="AE2837" s="13"/>
      <c r="AF2837" s="12"/>
      <c r="AG2837" s="13"/>
      <c r="AH2837" s="12"/>
      <c r="AI2837" s="13"/>
      <c r="AJ2837" s="12"/>
      <c r="AK2837" s="13"/>
      <c r="AL2837" s="12"/>
      <c r="AM2837" s="13"/>
      <c r="AN2837" s="12"/>
      <c r="AO2837" s="13"/>
      <c r="AP2837" s="12"/>
      <c r="AQ2837" s="13"/>
      <c r="AR2837" s="12"/>
      <c r="AS2837" s="13"/>
      <c r="AT2837" s="12"/>
      <c r="AU2837" s="13"/>
      <c r="AV2837" s="12"/>
      <c r="AW2837" s="13"/>
      <c r="AX2837" s="12"/>
      <c r="AY2837" s="13"/>
      <c r="AZ2837" s="12"/>
      <c r="BA2837" s="13"/>
      <c r="BB2837" s="12"/>
      <c r="BC2837" s="13"/>
      <c r="BD2837" s="12"/>
      <c r="BE2837" s="13"/>
      <c r="BF2837" s="12"/>
      <c r="BG2837" s="13"/>
      <c r="BH2837" s="13"/>
      <c r="BI2837" s="13"/>
      <c r="BJ2837" s="12"/>
      <c r="BK2837" s="13"/>
      <c r="BL2837" s="12"/>
      <c r="BM2837" s="13"/>
      <c r="BN2837" s="8">
        <f t="shared" si="2822"/>
        <v>10892.800000000001</v>
      </c>
      <c r="BO2837" s="8">
        <f t="shared" si="2823"/>
        <v>544640</v>
      </c>
      <c r="BP2837" s="8">
        <f t="shared" si="2824"/>
        <v>13616</v>
      </c>
      <c r="BQ2837" s="12">
        <f t="shared" si="2825"/>
        <v>0</v>
      </c>
    </row>
    <row r="2838" spans="1:69">
      <c r="A2838" s="28">
        <v>2007</v>
      </c>
      <c r="B2838" s="1" t="s">
        <v>267</v>
      </c>
      <c r="C2838" s="24">
        <f t="shared" si="2826"/>
        <v>2786</v>
      </c>
      <c r="D2838" s="7" t="e">
        <f t="shared" ca="1" si="2827"/>
        <v>#N/A</v>
      </c>
      <c r="E2838" s="26">
        <f t="array" aca="1" ref="E2838" ca="1">AVERAGE(IF(INDIRECT(DatCol&amp;"$"&amp;TEXT(C2838,"###")):INDIRECT(DatCol&amp;"$"&amp;TEXT(C2838+57,"###"))&gt;0,INDIRECT(DatCol&amp;"$"&amp;TEXT(C2838,"###")):INDIRECT(DatCol&amp;"$"&amp;TEXT(C2838+57,"###"))))</f>
        <v>24237.615384615383</v>
      </c>
      <c r="F2838" s="26" t="str">
        <f t="shared" si="2830"/>
        <v>O</v>
      </c>
      <c r="H2838" s="8"/>
      <c r="I2838" s="8"/>
      <c r="J2838" s="8"/>
      <c r="K2838" s="8"/>
      <c r="L2838" s="12">
        <f t="shared" si="2828"/>
        <v>11872.800000000001</v>
      </c>
      <c r="M2838" s="10">
        <f t="shared" si="2829"/>
        <v>593640</v>
      </c>
      <c r="N2838" s="13">
        <v>14841</v>
      </c>
      <c r="Q2838" s="13"/>
      <c r="R2838" s="12"/>
      <c r="S2838" s="13"/>
      <c r="T2838" s="12"/>
      <c r="U2838" s="13"/>
      <c r="V2838" s="12"/>
      <c r="W2838" s="13"/>
      <c r="X2838" s="12"/>
      <c r="Y2838" s="13"/>
      <c r="Z2838" s="12"/>
      <c r="AA2838" s="13"/>
      <c r="AB2838" s="12"/>
      <c r="AC2838" s="13"/>
      <c r="AD2838" s="12"/>
      <c r="AE2838" s="13"/>
      <c r="AF2838" s="12"/>
      <c r="AG2838" s="13"/>
      <c r="AH2838" s="12"/>
      <c r="AI2838" s="13"/>
      <c r="AJ2838" s="12"/>
      <c r="AK2838" s="13"/>
      <c r="AL2838" s="12"/>
      <c r="AM2838" s="13"/>
      <c r="AN2838" s="12"/>
      <c r="AO2838" s="13"/>
      <c r="AP2838" s="12"/>
      <c r="AQ2838" s="13"/>
      <c r="AR2838" s="12"/>
      <c r="AS2838" s="13"/>
      <c r="AT2838" s="12"/>
      <c r="AU2838" s="13"/>
      <c r="AV2838" s="12"/>
      <c r="AW2838" s="13"/>
      <c r="AX2838" s="12"/>
      <c r="AY2838" s="13"/>
      <c r="AZ2838" s="12"/>
      <c r="BA2838" s="13"/>
      <c r="BB2838" s="12"/>
      <c r="BC2838" s="13"/>
      <c r="BD2838" s="12"/>
      <c r="BE2838" s="13"/>
      <c r="BF2838" s="12"/>
      <c r="BG2838" s="13"/>
      <c r="BH2838" s="13"/>
      <c r="BI2838" s="13"/>
      <c r="BJ2838" s="12"/>
      <c r="BK2838" s="13"/>
      <c r="BL2838" s="12"/>
      <c r="BM2838" s="13"/>
      <c r="BN2838" s="8">
        <f t="shared" si="2822"/>
        <v>11872.800000000001</v>
      </c>
      <c r="BO2838" s="8">
        <f t="shared" si="2823"/>
        <v>593640</v>
      </c>
      <c r="BP2838" s="8">
        <f t="shared" si="2824"/>
        <v>14841</v>
      </c>
      <c r="BQ2838" s="12">
        <f t="shared" si="2825"/>
        <v>0</v>
      </c>
    </row>
    <row r="2839" spans="1:69">
      <c r="A2839" s="28">
        <v>2008</v>
      </c>
      <c r="B2839" s="1" t="s">
        <v>267</v>
      </c>
      <c r="C2839" s="24">
        <f t="shared" si="2826"/>
        <v>2786</v>
      </c>
      <c r="D2839" s="7" t="e">
        <f t="shared" ca="1" si="2827"/>
        <v>#N/A</v>
      </c>
      <c r="E2839" s="26">
        <f t="array" aca="1" ref="E2839" ca="1">AVERAGE(IF(INDIRECT(DatCol&amp;"$"&amp;TEXT(C2839,"###")):INDIRECT(DatCol&amp;"$"&amp;TEXT(C2839+57,"###"))&gt;0,INDIRECT(DatCol&amp;"$"&amp;TEXT(C2839,"###")):INDIRECT(DatCol&amp;"$"&amp;TEXT(C2839+57,"###"))))</f>
        <v>24237.615384615383</v>
      </c>
      <c r="F2839" s="26" t="str">
        <f t="shared" si="2830"/>
        <v>O</v>
      </c>
      <c r="H2839" s="8"/>
      <c r="I2839" s="8"/>
      <c r="J2839" s="8"/>
      <c r="K2839" s="8"/>
      <c r="L2839" s="12">
        <f t="shared" si="2828"/>
        <v>10771.2</v>
      </c>
      <c r="M2839" s="12">
        <f t="shared" si="2829"/>
        <v>538560</v>
      </c>
      <c r="N2839" s="13">
        <v>13464</v>
      </c>
      <c r="Q2839" s="13"/>
      <c r="R2839" s="12"/>
      <c r="S2839" s="13"/>
      <c r="T2839" s="12"/>
      <c r="U2839" s="13"/>
      <c r="V2839" s="12"/>
      <c r="W2839" s="13"/>
      <c r="X2839" s="12"/>
      <c r="Y2839" s="13"/>
      <c r="Z2839" s="12"/>
      <c r="AA2839" s="13"/>
      <c r="AB2839" s="12"/>
      <c r="AC2839" s="13"/>
      <c r="AD2839" s="12"/>
      <c r="AE2839" s="13"/>
      <c r="AF2839" s="12"/>
      <c r="AG2839" s="13"/>
      <c r="AH2839" s="12"/>
      <c r="AI2839" s="13"/>
      <c r="AJ2839" s="12"/>
      <c r="AK2839" s="13"/>
      <c r="AL2839" s="12"/>
      <c r="AM2839" s="13"/>
      <c r="AN2839" s="12"/>
      <c r="AO2839" s="13"/>
      <c r="AP2839" s="12"/>
      <c r="AQ2839" s="13"/>
      <c r="AR2839" s="12"/>
      <c r="AS2839" s="13"/>
      <c r="AT2839" s="12"/>
      <c r="AU2839" s="13"/>
      <c r="AV2839" s="12"/>
      <c r="AW2839" s="13"/>
      <c r="AX2839" s="12"/>
      <c r="AY2839" s="13"/>
      <c r="AZ2839" s="12"/>
      <c r="BA2839" s="13"/>
      <c r="BB2839" s="12"/>
      <c r="BC2839" s="13"/>
      <c r="BD2839" s="12"/>
      <c r="BE2839" s="13"/>
      <c r="BF2839" s="12"/>
      <c r="BG2839" s="13"/>
      <c r="BH2839" s="13"/>
      <c r="BI2839" s="13"/>
      <c r="BJ2839" s="12"/>
      <c r="BK2839" s="13"/>
      <c r="BL2839" s="12"/>
      <c r="BM2839" s="13"/>
      <c r="BN2839" s="8">
        <f t="shared" si="2822"/>
        <v>10771.2</v>
      </c>
      <c r="BO2839" s="8">
        <f t="shared" si="2823"/>
        <v>538560</v>
      </c>
      <c r="BP2839" s="8">
        <f t="shared" si="2824"/>
        <v>13464</v>
      </c>
      <c r="BQ2839" s="12">
        <f t="shared" si="2825"/>
        <v>0</v>
      </c>
    </row>
    <row r="2840" spans="1:69">
      <c r="A2840" s="28">
        <v>2009</v>
      </c>
      <c r="B2840" s="1" t="s">
        <v>267</v>
      </c>
      <c r="C2840" s="24">
        <f t="shared" si="2826"/>
        <v>2786</v>
      </c>
      <c r="D2840" s="7" t="e">
        <f t="shared" ca="1" si="2827"/>
        <v>#N/A</v>
      </c>
      <c r="E2840" s="26">
        <f t="array" aca="1" ref="E2840" ca="1">AVERAGE(IF(INDIRECT(DatCol&amp;"$"&amp;TEXT(C2840,"###")):INDIRECT(DatCol&amp;"$"&amp;TEXT(C2840+57,"###"))&gt;0,INDIRECT(DatCol&amp;"$"&amp;TEXT(C2840,"###")):INDIRECT(DatCol&amp;"$"&amp;TEXT(C2840+57,"###"))))</f>
        <v>24237.615384615383</v>
      </c>
      <c r="F2840" s="26" t="str">
        <f t="shared" si="2830"/>
        <v>O</v>
      </c>
      <c r="H2840" s="8"/>
      <c r="I2840" s="8"/>
      <c r="J2840" s="8"/>
      <c r="K2840" s="8"/>
      <c r="L2840" s="12">
        <f t="shared" si="2828"/>
        <v>11994.400000000001</v>
      </c>
      <c r="M2840" s="12">
        <f t="shared" si="2829"/>
        <v>599720.00000000012</v>
      </c>
      <c r="N2840" s="13">
        <v>14993</v>
      </c>
      <c r="Q2840" s="13"/>
      <c r="R2840" s="12"/>
      <c r="S2840" s="13"/>
      <c r="T2840" s="12"/>
      <c r="U2840" s="13"/>
      <c r="V2840" s="12"/>
      <c r="W2840" s="13"/>
      <c r="X2840" s="12"/>
      <c r="Y2840" s="13"/>
      <c r="Z2840" s="12"/>
      <c r="AA2840" s="13"/>
      <c r="AB2840" s="12"/>
      <c r="AC2840" s="13"/>
      <c r="AD2840" s="12"/>
      <c r="AE2840" s="13"/>
      <c r="AF2840" s="12"/>
      <c r="AG2840" s="13"/>
      <c r="AH2840" s="12"/>
      <c r="AI2840" s="13"/>
      <c r="AJ2840" s="12"/>
      <c r="AK2840" s="13"/>
      <c r="AL2840" s="12"/>
      <c r="AM2840" s="13"/>
      <c r="AN2840" s="12"/>
      <c r="AO2840" s="13"/>
      <c r="AP2840" s="12"/>
      <c r="AQ2840" s="13"/>
      <c r="AR2840" s="12"/>
      <c r="AS2840" s="13"/>
      <c r="AT2840" s="12"/>
      <c r="AU2840" s="13"/>
      <c r="AV2840" s="12"/>
      <c r="AW2840" s="13"/>
      <c r="AX2840" s="12"/>
      <c r="AY2840" s="13"/>
      <c r="AZ2840" s="12"/>
      <c r="BA2840" s="13"/>
      <c r="BB2840" s="12"/>
      <c r="BC2840" s="13"/>
      <c r="BD2840" s="12"/>
      <c r="BE2840" s="13"/>
      <c r="BF2840" s="12"/>
      <c r="BG2840" s="13"/>
      <c r="BH2840" s="13"/>
      <c r="BI2840" s="13"/>
      <c r="BJ2840" s="12"/>
      <c r="BK2840" s="13"/>
      <c r="BL2840" s="12"/>
      <c r="BM2840" s="13"/>
      <c r="BN2840" s="8">
        <f t="shared" si="2822"/>
        <v>11994.400000000001</v>
      </c>
      <c r="BO2840" s="8">
        <f t="shared" si="2823"/>
        <v>599720.00000000012</v>
      </c>
      <c r="BP2840" s="8">
        <f t="shared" si="2824"/>
        <v>14993</v>
      </c>
      <c r="BQ2840" s="12">
        <f t="shared" si="2825"/>
        <v>0</v>
      </c>
    </row>
    <row r="2841" spans="1:69">
      <c r="A2841" s="28">
        <v>2010</v>
      </c>
      <c r="B2841" s="1" t="s">
        <v>267</v>
      </c>
      <c r="C2841" s="24">
        <f t="shared" si="2826"/>
        <v>2786</v>
      </c>
      <c r="D2841" s="7" t="e">
        <f t="shared" ca="1" si="2827"/>
        <v>#N/A</v>
      </c>
      <c r="E2841" s="26">
        <f t="array" aca="1" ref="E2841" ca="1">AVERAGE(IF(INDIRECT(DatCol&amp;"$"&amp;TEXT(C2841,"###")):INDIRECT(DatCol&amp;"$"&amp;TEXT(C2841+57,"###"))&gt;0,INDIRECT(DatCol&amp;"$"&amp;TEXT(C2841,"###")):INDIRECT(DatCol&amp;"$"&amp;TEXT(C2841+57,"###"))))</f>
        <v>24237.615384615383</v>
      </c>
      <c r="F2841" s="26" t="str">
        <f t="shared" ref="F2841:F2843" si="2831">VLOOKUP(B2841,town_region,2,FALSE)</f>
        <v>O</v>
      </c>
      <c r="H2841" s="8"/>
      <c r="I2841" s="8"/>
      <c r="J2841" s="8"/>
      <c r="K2841" s="8"/>
      <c r="L2841" s="12"/>
      <c r="M2841" s="13"/>
      <c r="N2841" s="12"/>
      <c r="O2841" s="13"/>
      <c r="P2841" s="12"/>
      <c r="Q2841" s="13"/>
      <c r="R2841" s="12"/>
      <c r="S2841" s="13"/>
      <c r="T2841" s="12"/>
      <c r="U2841" s="13"/>
      <c r="V2841" s="12"/>
      <c r="W2841" s="13"/>
      <c r="X2841" s="12"/>
      <c r="Y2841" s="13"/>
      <c r="Z2841" s="12"/>
      <c r="AA2841" s="13"/>
      <c r="AB2841" s="12"/>
      <c r="AC2841" s="13"/>
      <c r="AD2841" s="12"/>
      <c r="AE2841" s="13"/>
      <c r="AF2841" s="12"/>
      <c r="AG2841" s="13"/>
      <c r="AH2841" s="12"/>
      <c r="AI2841" s="13"/>
      <c r="AJ2841" s="12"/>
      <c r="AK2841" s="13"/>
      <c r="AL2841" s="12"/>
      <c r="AM2841" s="13"/>
      <c r="AN2841" s="12"/>
      <c r="AO2841" s="13"/>
      <c r="AP2841" s="12"/>
      <c r="AQ2841" s="13"/>
      <c r="AR2841" s="12"/>
      <c r="AS2841" s="13"/>
      <c r="AT2841" s="12"/>
      <c r="AU2841" s="13"/>
      <c r="AV2841" s="12"/>
      <c r="AW2841" s="13"/>
      <c r="AX2841" s="12"/>
      <c r="AY2841" s="13"/>
      <c r="AZ2841" s="12"/>
      <c r="BA2841" s="13"/>
      <c r="BB2841" s="12"/>
      <c r="BC2841" s="13"/>
      <c r="BD2841" s="12"/>
      <c r="BE2841" s="13"/>
      <c r="BF2841" s="12"/>
      <c r="BG2841" s="13"/>
      <c r="BH2841" s="13"/>
      <c r="BI2841" s="13"/>
      <c r="BJ2841" s="12"/>
      <c r="BK2841" s="13"/>
      <c r="BL2841" s="12"/>
      <c r="BM2841" s="13"/>
      <c r="BN2841" s="8">
        <f t="shared" si="2822"/>
        <v>0</v>
      </c>
      <c r="BO2841" s="8">
        <f t="shared" si="2823"/>
        <v>0</v>
      </c>
      <c r="BP2841" s="8">
        <f t="shared" si="2824"/>
        <v>0</v>
      </c>
      <c r="BQ2841" s="12">
        <f t="shared" si="2825"/>
        <v>0</v>
      </c>
    </row>
    <row r="2842" spans="1:69">
      <c r="A2842" s="28">
        <v>2011</v>
      </c>
      <c r="B2842" s="1" t="s">
        <v>267</v>
      </c>
      <c r="C2842" s="24">
        <f t="shared" si="2826"/>
        <v>2786</v>
      </c>
      <c r="D2842" s="7" t="e">
        <f t="shared" ca="1" si="2827"/>
        <v>#N/A</v>
      </c>
      <c r="E2842" s="26">
        <f t="array" aca="1" ref="E2842" ca="1">AVERAGE(IF(INDIRECT(DatCol&amp;"$"&amp;TEXT(C2842,"###")):INDIRECT(DatCol&amp;"$"&amp;TEXT(C2842+57,"###"))&gt;0,INDIRECT(DatCol&amp;"$"&amp;TEXT(C2842,"###")):INDIRECT(DatCol&amp;"$"&amp;TEXT(C2842+57,"###"))))</f>
        <v>24237.615384615383</v>
      </c>
      <c r="F2842" s="26" t="str">
        <f t="shared" si="2831"/>
        <v>O</v>
      </c>
      <c r="H2842" s="8"/>
      <c r="I2842" s="8"/>
      <c r="J2842" s="8"/>
      <c r="K2842" s="8"/>
      <c r="L2842" s="12"/>
      <c r="M2842" s="13"/>
      <c r="N2842" s="12"/>
      <c r="O2842" s="13"/>
      <c r="P2842" s="12"/>
      <c r="Q2842" s="13"/>
      <c r="R2842" s="12"/>
      <c r="S2842" s="13"/>
      <c r="T2842" s="12"/>
      <c r="U2842" s="13"/>
      <c r="V2842" s="12"/>
      <c r="W2842" s="13"/>
      <c r="X2842" s="12"/>
      <c r="Y2842" s="13"/>
      <c r="Z2842" s="12"/>
      <c r="AA2842" s="13"/>
      <c r="AB2842" s="12"/>
      <c r="AC2842" s="13"/>
      <c r="AD2842" s="12"/>
      <c r="AE2842" s="13"/>
      <c r="AF2842" s="12"/>
      <c r="AG2842" s="13"/>
      <c r="AH2842" s="12"/>
      <c r="AI2842" s="13"/>
      <c r="AJ2842" s="12"/>
      <c r="AK2842" s="13"/>
      <c r="AL2842" s="12"/>
      <c r="AM2842" s="13"/>
      <c r="AN2842" s="12"/>
      <c r="AO2842" s="13"/>
      <c r="AP2842" s="12"/>
      <c r="AQ2842" s="13"/>
      <c r="AR2842" s="12"/>
      <c r="AS2842" s="13"/>
      <c r="AT2842" s="12"/>
      <c r="AU2842" s="13"/>
      <c r="AV2842" s="12"/>
      <c r="AW2842" s="13"/>
      <c r="AX2842" s="12"/>
      <c r="AY2842" s="13"/>
      <c r="AZ2842" s="12"/>
      <c r="BA2842" s="13"/>
      <c r="BB2842" s="12"/>
      <c r="BC2842" s="13"/>
      <c r="BD2842" s="12"/>
      <c r="BE2842" s="13"/>
      <c r="BF2842" s="12"/>
      <c r="BG2842" s="13"/>
      <c r="BH2842" s="13"/>
      <c r="BI2842" s="13"/>
      <c r="BJ2842" s="12"/>
      <c r="BK2842" s="13"/>
      <c r="BL2842" s="12"/>
      <c r="BM2842" s="13"/>
      <c r="BN2842" s="8">
        <f t="shared" si="2822"/>
        <v>0</v>
      </c>
      <c r="BO2842" s="8">
        <f t="shared" si="2823"/>
        <v>0</v>
      </c>
      <c r="BP2842" s="8">
        <f t="shared" si="2824"/>
        <v>0</v>
      </c>
      <c r="BQ2842" s="12">
        <f t="shared" si="2825"/>
        <v>0</v>
      </c>
    </row>
    <row r="2843" spans="1:69">
      <c r="A2843" s="28">
        <v>2012</v>
      </c>
      <c r="B2843" s="1" t="s">
        <v>267</v>
      </c>
      <c r="C2843" s="24">
        <f t="shared" si="2826"/>
        <v>2786</v>
      </c>
      <c r="D2843" s="7" t="e">
        <f t="shared" ca="1" si="2827"/>
        <v>#N/A</v>
      </c>
      <c r="E2843" s="26">
        <f t="array" aca="1" ref="E2843" ca="1">AVERAGE(IF(INDIRECT(DatCol&amp;"$"&amp;TEXT(C2843,"###")):INDIRECT(DatCol&amp;"$"&amp;TEXT(C2843+57,"###"))&gt;0,INDIRECT(DatCol&amp;"$"&amp;TEXT(C2843,"###")):INDIRECT(DatCol&amp;"$"&amp;TEXT(C2843+57,"###"))))</f>
        <v>24237.615384615383</v>
      </c>
      <c r="F2843" s="26" t="str">
        <f t="shared" si="2831"/>
        <v>O</v>
      </c>
      <c r="H2843" s="8"/>
      <c r="I2843" s="8"/>
      <c r="J2843" s="8"/>
      <c r="K2843" s="8"/>
      <c r="L2843" s="12"/>
      <c r="M2843" s="13"/>
      <c r="N2843" s="12"/>
      <c r="O2843" s="13"/>
      <c r="P2843" s="12"/>
      <c r="Q2843" s="13"/>
      <c r="R2843" s="12"/>
      <c r="S2843" s="13"/>
      <c r="T2843" s="12"/>
      <c r="U2843" s="13"/>
      <c r="V2843" s="12"/>
      <c r="W2843" s="13"/>
      <c r="X2843" s="12"/>
      <c r="Y2843" s="13"/>
      <c r="Z2843" s="12"/>
      <c r="AA2843" s="13"/>
      <c r="AB2843" s="12"/>
      <c r="AC2843" s="13"/>
      <c r="AD2843" s="12"/>
      <c r="AE2843" s="13"/>
      <c r="AF2843" s="12"/>
      <c r="AG2843" s="13"/>
      <c r="AH2843" s="12"/>
      <c r="AI2843" s="13"/>
      <c r="AJ2843" s="12"/>
      <c r="AK2843" s="13"/>
      <c r="AL2843" s="12"/>
      <c r="AM2843" s="13"/>
      <c r="AN2843" s="12"/>
      <c r="AO2843" s="13"/>
      <c r="AP2843" s="12"/>
      <c r="AQ2843" s="13"/>
      <c r="AR2843" s="12"/>
      <c r="AS2843" s="13"/>
      <c r="AT2843" s="12"/>
      <c r="AU2843" s="13"/>
      <c r="AV2843" s="12"/>
      <c r="AW2843" s="13"/>
      <c r="AX2843" s="12"/>
      <c r="AY2843" s="13"/>
      <c r="AZ2843" s="12"/>
      <c r="BA2843" s="13"/>
      <c r="BB2843" s="12"/>
      <c r="BC2843" s="13"/>
      <c r="BD2843" s="12"/>
      <c r="BE2843" s="13"/>
      <c r="BF2843" s="12"/>
      <c r="BG2843" s="13"/>
      <c r="BH2843" s="13"/>
      <c r="BI2843" s="13"/>
      <c r="BJ2843" s="12"/>
      <c r="BK2843" s="13"/>
      <c r="BL2843" s="12"/>
      <c r="BM2843" s="13"/>
      <c r="BN2843" s="8">
        <f t="shared" si="2822"/>
        <v>0</v>
      </c>
      <c r="BO2843" s="8">
        <f t="shared" si="2823"/>
        <v>0</v>
      </c>
      <c r="BP2843" s="8">
        <f t="shared" si="2824"/>
        <v>0</v>
      </c>
      <c r="BQ2843" s="12">
        <f t="shared" si="2825"/>
        <v>0</v>
      </c>
    </row>
    <row r="2844" spans="1:69">
      <c r="A2844" s="29"/>
      <c r="H2844" s="8"/>
      <c r="I2844" s="8"/>
      <c r="J2844" s="8"/>
      <c r="K2844" s="8"/>
      <c r="L2844" s="12"/>
      <c r="M2844" s="13"/>
      <c r="N2844" s="12"/>
      <c r="O2844" s="13"/>
      <c r="P2844" s="12"/>
      <c r="Q2844" s="13"/>
      <c r="R2844" s="12"/>
      <c r="S2844" s="13"/>
      <c r="T2844" s="12"/>
      <c r="U2844" s="13"/>
      <c r="V2844" s="12"/>
      <c r="W2844" s="13"/>
      <c r="X2844" s="12"/>
      <c r="Y2844" s="13"/>
      <c r="Z2844" s="12"/>
      <c r="AA2844" s="13"/>
      <c r="AB2844" s="12"/>
      <c r="AC2844" s="13"/>
      <c r="AD2844" s="12"/>
      <c r="AE2844" s="13"/>
      <c r="AF2844" s="12"/>
      <c r="AG2844" s="13"/>
      <c r="AH2844" s="12"/>
      <c r="AI2844" s="13"/>
      <c r="AJ2844" s="12"/>
      <c r="AK2844" s="13"/>
      <c r="AL2844" s="12"/>
      <c r="AM2844" s="13"/>
      <c r="AN2844" s="12"/>
      <c r="AO2844" s="13"/>
      <c r="AP2844" s="12"/>
      <c r="AQ2844" s="13"/>
      <c r="AR2844" s="12"/>
      <c r="AS2844" s="13"/>
      <c r="AT2844" s="12"/>
      <c r="AU2844" s="13"/>
      <c r="AV2844" s="12"/>
      <c r="AW2844" s="13"/>
      <c r="AX2844" s="12"/>
      <c r="AY2844" s="13"/>
      <c r="AZ2844" s="12"/>
      <c r="BA2844" s="13"/>
      <c r="BB2844" s="12"/>
      <c r="BC2844" s="13"/>
      <c r="BD2844" s="12"/>
      <c r="BE2844" s="13"/>
      <c r="BF2844" s="12"/>
      <c r="BG2844" s="13"/>
      <c r="BH2844" s="13"/>
      <c r="BI2844" s="13"/>
      <c r="BJ2844" s="12"/>
      <c r="BK2844" s="13"/>
      <c r="BL2844" s="12"/>
      <c r="BM2844" s="13"/>
      <c r="BN2844" s="2"/>
      <c r="BO2844" s="2"/>
    </row>
    <row r="2845" spans="1:69">
      <c r="A2845" s="29"/>
      <c r="H2845" s="8"/>
      <c r="I2845" s="8"/>
      <c r="J2845" s="8"/>
      <c r="K2845" s="8"/>
      <c r="L2845" s="12"/>
      <c r="M2845" s="13"/>
      <c r="N2845" s="12"/>
      <c r="O2845" s="13"/>
      <c r="P2845" s="12"/>
      <c r="Q2845" s="13"/>
      <c r="R2845" s="12"/>
      <c r="S2845" s="13"/>
      <c r="T2845" s="12"/>
      <c r="U2845" s="13"/>
      <c r="V2845" s="12"/>
      <c r="W2845" s="13"/>
      <c r="X2845" s="12"/>
      <c r="Y2845" s="13"/>
      <c r="Z2845" s="12"/>
      <c r="AA2845" s="13"/>
      <c r="AB2845" s="12"/>
      <c r="AC2845" s="13"/>
      <c r="AD2845" s="12"/>
      <c r="AE2845" s="13"/>
      <c r="AF2845" s="12"/>
      <c r="AG2845" s="13"/>
      <c r="AH2845" s="12"/>
      <c r="AI2845" s="13"/>
      <c r="AJ2845" s="12"/>
      <c r="AK2845" s="13"/>
      <c r="AL2845" s="12"/>
      <c r="AM2845" s="13"/>
      <c r="AN2845" s="12"/>
      <c r="AO2845" s="13"/>
      <c r="AP2845" s="12"/>
      <c r="AQ2845" s="13"/>
      <c r="AR2845" s="12"/>
      <c r="AS2845" s="13"/>
      <c r="AT2845" s="12"/>
      <c r="AU2845" s="13"/>
      <c r="AV2845" s="12"/>
      <c r="AW2845" s="13"/>
      <c r="AX2845" s="12"/>
      <c r="AY2845" s="13"/>
      <c r="AZ2845" s="12"/>
      <c r="BA2845" s="13"/>
      <c r="BB2845" s="12"/>
      <c r="BC2845" s="13"/>
      <c r="BD2845" s="12"/>
      <c r="BE2845" s="13"/>
      <c r="BF2845" s="12"/>
      <c r="BG2845" s="13"/>
      <c r="BH2845" s="13"/>
      <c r="BI2845" s="13"/>
      <c r="BJ2845" s="12"/>
      <c r="BK2845" s="13"/>
      <c r="BL2845" s="12"/>
      <c r="BM2845" s="13"/>
      <c r="BN2845" s="2"/>
      <c r="BO2845" s="2"/>
    </row>
    <row r="2846" spans="1:69">
      <c r="A2846" s="29"/>
      <c r="H2846" s="8"/>
      <c r="I2846" s="8"/>
      <c r="J2846" s="8"/>
      <c r="K2846" s="8"/>
      <c r="L2846" s="12"/>
      <c r="M2846" s="13"/>
      <c r="N2846" s="12"/>
      <c r="O2846" s="13"/>
      <c r="P2846" s="12"/>
      <c r="Q2846" s="13"/>
      <c r="R2846" s="12"/>
      <c r="S2846" s="13"/>
      <c r="T2846" s="12"/>
      <c r="U2846" s="13"/>
      <c r="V2846" s="12"/>
      <c r="W2846" s="13"/>
      <c r="X2846" s="12"/>
      <c r="Y2846" s="13"/>
      <c r="Z2846" s="12"/>
      <c r="AA2846" s="13"/>
      <c r="AB2846" s="12"/>
      <c r="AC2846" s="13"/>
      <c r="AD2846" s="12"/>
      <c r="AE2846" s="13"/>
      <c r="AF2846" s="12"/>
      <c r="AG2846" s="13"/>
      <c r="AH2846" s="12"/>
      <c r="AI2846" s="13"/>
      <c r="AJ2846" s="12"/>
      <c r="AK2846" s="13"/>
      <c r="AL2846" s="12"/>
      <c r="AM2846" s="13"/>
      <c r="AN2846" s="12"/>
      <c r="AO2846" s="13"/>
      <c r="AP2846" s="12"/>
      <c r="AQ2846" s="13"/>
      <c r="AR2846" s="12"/>
      <c r="AS2846" s="13"/>
      <c r="AT2846" s="12"/>
      <c r="AU2846" s="13"/>
      <c r="AV2846" s="12"/>
      <c r="AW2846" s="13"/>
      <c r="AX2846" s="12"/>
      <c r="AY2846" s="13"/>
      <c r="AZ2846" s="12"/>
      <c r="BA2846" s="13"/>
      <c r="BB2846" s="12"/>
      <c r="BC2846" s="13"/>
      <c r="BD2846" s="12"/>
      <c r="BE2846" s="13"/>
      <c r="BF2846" s="12"/>
      <c r="BG2846" s="13"/>
      <c r="BH2846" s="13"/>
      <c r="BI2846" s="13"/>
      <c r="BJ2846" s="12"/>
      <c r="BK2846" s="13"/>
      <c r="BL2846" s="12"/>
      <c r="BM2846" s="13"/>
      <c r="BN2846" s="2"/>
      <c r="BO2846" s="2"/>
    </row>
    <row r="2847" spans="1:69">
      <c r="A2847" s="29"/>
      <c r="H2847" s="8"/>
      <c r="I2847" s="8"/>
      <c r="J2847" s="8"/>
      <c r="K2847" s="8"/>
      <c r="L2847" s="12"/>
      <c r="M2847" s="13"/>
      <c r="N2847" s="12"/>
      <c r="O2847" s="13"/>
      <c r="P2847" s="12"/>
      <c r="Q2847" s="13"/>
      <c r="R2847" s="12"/>
      <c r="S2847" s="13"/>
      <c r="T2847" s="12"/>
      <c r="U2847" s="13"/>
      <c r="V2847" s="12"/>
      <c r="W2847" s="13"/>
      <c r="X2847" s="12"/>
      <c r="Y2847" s="13"/>
      <c r="Z2847" s="12"/>
      <c r="AA2847" s="13"/>
      <c r="AB2847" s="12"/>
      <c r="AC2847" s="13"/>
      <c r="AD2847" s="12"/>
      <c r="AE2847" s="13"/>
      <c r="AF2847" s="12"/>
      <c r="AG2847" s="13"/>
      <c r="AH2847" s="12"/>
      <c r="AI2847" s="13"/>
      <c r="AJ2847" s="12"/>
      <c r="AK2847" s="13"/>
      <c r="AL2847" s="12"/>
      <c r="AM2847" s="13"/>
      <c r="AN2847" s="12"/>
      <c r="AO2847" s="13"/>
      <c r="AP2847" s="12"/>
      <c r="AQ2847" s="13"/>
      <c r="AR2847" s="12"/>
      <c r="AS2847" s="13"/>
      <c r="AT2847" s="12"/>
      <c r="AU2847" s="13"/>
      <c r="AV2847" s="12"/>
      <c r="AW2847" s="13"/>
      <c r="AX2847" s="12"/>
      <c r="AY2847" s="13"/>
      <c r="AZ2847" s="12"/>
      <c r="BA2847" s="13"/>
      <c r="BB2847" s="12"/>
      <c r="BC2847" s="13"/>
      <c r="BD2847" s="12"/>
      <c r="BE2847" s="13"/>
      <c r="BF2847" s="12"/>
      <c r="BG2847" s="13"/>
      <c r="BH2847" s="13"/>
      <c r="BI2847" s="13"/>
      <c r="BJ2847" s="12"/>
      <c r="BK2847" s="13"/>
      <c r="BL2847" s="12"/>
      <c r="BM2847" s="13"/>
      <c r="BN2847" s="2"/>
      <c r="BO2847" s="2"/>
    </row>
    <row r="2848" spans="1:69">
      <c r="A2848" s="29"/>
      <c r="H2848" s="8"/>
      <c r="I2848" s="8"/>
      <c r="J2848" s="8"/>
      <c r="K2848" s="8"/>
      <c r="L2848" s="12"/>
      <c r="M2848" s="13"/>
      <c r="N2848" s="12"/>
      <c r="O2848" s="13"/>
      <c r="P2848" s="12"/>
      <c r="Q2848" s="13"/>
      <c r="R2848" s="12"/>
      <c r="S2848" s="13"/>
      <c r="T2848" s="12"/>
      <c r="U2848" s="13"/>
      <c r="V2848" s="12"/>
      <c r="W2848" s="13"/>
      <c r="X2848" s="12"/>
      <c r="Y2848" s="13"/>
      <c r="Z2848" s="12"/>
      <c r="AA2848" s="13"/>
      <c r="AB2848" s="12"/>
      <c r="AC2848" s="13"/>
      <c r="AD2848" s="12"/>
      <c r="AE2848" s="13"/>
      <c r="AF2848" s="12"/>
      <c r="AG2848" s="13"/>
      <c r="AH2848" s="12"/>
      <c r="AI2848" s="13"/>
      <c r="AJ2848" s="12"/>
      <c r="AK2848" s="13"/>
      <c r="AL2848" s="12"/>
      <c r="AM2848" s="13"/>
      <c r="AN2848" s="12"/>
      <c r="AO2848" s="13"/>
      <c r="AP2848" s="12"/>
      <c r="AQ2848" s="13"/>
      <c r="AR2848" s="12"/>
      <c r="AS2848" s="13"/>
      <c r="AT2848" s="12"/>
      <c r="AU2848" s="13"/>
      <c r="AV2848" s="12"/>
      <c r="AW2848" s="13"/>
      <c r="AX2848" s="12"/>
      <c r="AY2848" s="13"/>
      <c r="AZ2848" s="12"/>
      <c r="BA2848" s="13"/>
      <c r="BB2848" s="12"/>
      <c r="BC2848" s="13"/>
      <c r="BD2848" s="12"/>
      <c r="BE2848" s="13"/>
      <c r="BF2848" s="12"/>
      <c r="BG2848" s="13"/>
      <c r="BH2848" s="13"/>
      <c r="BI2848" s="13"/>
      <c r="BJ2848" s="12"/>
      <c r="BK2848" s="13"/>
      <c r="BL2848" s="12"/>
      <c r="BM2848" s="13"/>
      <c r="BN2848" s="2"/>
      <c r="BO2848" s="2"/>
    </row>
    <row r="2849" spans="1:67">
      <c r="A2849" s="29"/>
      <c r="H2849" s="8"/>
      <c r="I2849" s="8"/>
      <c r="J2849" s="8"/>
      <c r="K2849" s="8"/>
      <c r="L2849" s="12"/>
      <c r="M2849" s="13"/>
      <c r="N2849" s="12"/>
      <c r="O2849" s="13"/>
      <c r="P2849" s="12"/>
      <c r="Q2849" s="13"/>
      <c r="R2849" s="12"/>
      <c r="S2849" s="13"/>
      <c r="T2849" s="12"/>
      <c r="U2849" s="13"/>
      <c r="V2849" s="12"/>
      <c r="W2849" s="13"/>
      <c r="X2849" s="12"/>
      <c r="Y2849" s="13"/>
      <c r="Z2849" s="12"/>
      <c r="AA2849" s="13"/>
      <c r="AB2849" s="12"/>
      <c r="AC2849" s="13"/>
      <c r="AD2849" s="12"/>
      <c r="AE2849" s="13"/>
      <c r="AF2849" s="12"/>
      <c r="AG2849" s="13"/>
      <c r="AH2849" s="12"/>
      <c r="AI2849" s="13"/>
      <c r="AJ2849" s="12"/>
      <c r="AK2849" s="13"/>
      <c r="AL2849" s="12"/>
      <c r="AM2849" s="13"/>
      <c r="AN2849" s="12"/>
      <c r="AO2849" s="13"/>
      <c r="AP2849" s="12"/>
      <c r="AQ2849" s="13"/>
      <c r="AR2849" s="12"/>
      <c r="AS2849" s="13"/>
      <c r="AT2849" s="12"/>
      <c r="AU2849" s="13"/>
      <c r="AV2849" s="12"/>
      <c r="AW2849" s="13"/>
      <c r="AX2849" s="12"/>
      <c r="AY2849" s="13"/>
      <c r="AZ2849" s="12"/>
      <c r="BA2849" s="13"/>
      <c r="BB2849" s="12"/>
      <c r="BC2849" s="13"/>
      <c r="BD2849" s="12"/>
      <c r="BE2849" s="13"/>
      <c r="BF2849" s="12"/>
      <c r="BG2849" s="13"/>
      <c r="BH2849" s="13"/>
      <c r="BI2849" s="13"/>
      <c r="BJ2849" s="12"/>
      <c r="BK2849" s="13"/>
      <c r="BL2849" s="12"/>
      <c r="BM2849" s="13"/>
      <c r="BN2849" s="2"/>
      <c r="BO2849" s="2"/>
    </row>
    <row r="2850" spans="1:67">
      <c r="A2850" s="29"/>
      <c r="H2850" s="8"/>
      <c r="I2850" s="8"/>
      <c r="J2850" s="8"/>
      <c r="K2850" s="8"/>
      <c r="L2850" s="12"/>
      <c r="M2850" s="13"/>
      <c r="N2850" s="12"/>
      <c r="O2850" s="13"/>
      <c r="P2850" s="12"/>
      <c r="Q2850" s="13"/>
      <c r="R2850" s="12"/>
      <c r="S2850" s="13"/>
      <c r="T2850" s="12"/>
      <c r="U2850" s="13"/>
      <c r="V2850" s="12"/>
      <c r="W2850" s="13"/>
      <c r="X2850" s="12"/>
      <c r="Y2850" s="13"/>
      <c r="Z2850" s="12"/>
      <c r="AA2850" s="13"/>
      <c r="AB2850" s="12"/>
      <c r="AC2850" s="13"/>
      <c r="AD2850" s="12"/>
      <c r="AE2850" s="13"/>
      <c r="AF2850" s="12"/>
      <c r="AG2850" s="13"/>
      <c r="AH2850" s="12"/>
      <c r="AI2850" s="13"/>
      <c r="AJ2850" s="12"/>
      <c r="AK2850" s="13"/>
      <c r="AL2850" s="12"/>
      <c r="AM2850" s="13"/>
      <c r="AN2850" s="12"/>
      <c r="AO2850" s="13"/>
      <c r="AP2850" s="12"/>
      <c r="AQ2850" s="13"/>
      <c r="AR2850" s="12"/>
      <c r="AS2850" s="13"/>
      <c r="AT2850" s="12"/>
      <c r="AU2850" s="13"/>
      <c r="AV2850" s="12"/>
      <c r="AW2850" s="13"/>
      <c r="AX2850" s="12"/>
      <c r="AY2850" s="13"/>
      <c r="AZ2850" s="12"/>
      <c r="BA2850" s="13"/>
      <c r="BB2850" s="12"/>
      <c r="BC2850" s="13"/>
      <c r="BD2850" s="12"/>
      <c r="BE2850" s="13"/>
      <c r="BF2850" s="12"/>
      <c r="BG2850" s="13"/>
      <c r="BH2850" s="13"/>
      <c r="BI2850" s="13"/>
      <c r="BJ2850" s="12"/>
      <c r="BK2850" s="13"/>
      <c r="BL2850" s="12"/>
      <c r="BM2850" s="13"/>
      <c r="BN2850" s="2"/>
      <c r="BO2850" s="2"/>
    </row>
    <row r="2851" spans="1:67">
      <c r="A2851" s="29"/>
      <c r="H2851" s="8"/>
      <c r="I2851" s="8"/>
      <c r="J2851" s="8"/>
      <c r="K2851" s="8"/>
      <c r="L2851" s="12"/>
      <c r="M2851" s="13"/>
      <c r="N2851" s="12"/>
      <c r="O2851" s="13"/>
      <c r="P2851" s="12"/>
      <c r="Q2851" s="13"/>
      <c r="R2851" s="12"/>
      <c r="S2851" s="13"/>
      <c r="T2851" s="12"/>
      <c r="U2851" s="13"/>
      <c r="V2851" s="12"/>
      <c r="W2851" s="13"/>
      <c r="X2851" s="12"/>
      <c r="Y2851" s="13"/>
      <c r="Z2851" s="12"/>
      <c r="AA2851" s="13"/>
      <c r="AB2851" s="12"/>
      <c r="AC2851" s="13"/>
      <c r="AD2851" s="12"/>
      <c r="AE2851" s="13"/>
      <c r="AF2851" s="12"/>
      <c r="AG2851" s="13"/>
      <c r="AH2851" s="12"/>
      <c r="AI2851" s="13"/>
      <c r="AJ2851" s="12"/>
      <c r="AK2851" s="13"/>
      <c r="AL2851" s="12"/>
      <c r="AM2851" s="13"/>
      <c r="AN2851" s="12"/>
      <c r="AO2851" s="13"/>
      <c r="AP2851" s="12"/>
      <c r="AQ2851" s="13"/>
      <c r="AR2851" s="12"/>
      <c r="AS2851" s="13"/>
      <c r="AT2851" s="12"/>
      <c r="AU2851" s="13"/>
      <c r="AV2851" s="12"/>
      <c r="AW2851" s="13"/>
      <c r="AX2851" s="12"/>
      <c r="AY2851" s="13"/>
      <c r="AZ2851" s="12"/>
      <c r="BA2851" s="13"/>
      <c r="BB2851" s="12"/>
      <c r="BC2851" s="13"/>
      <c r="BD2851" s="12"/>
      <c r="BE2851" s="13"/>
      <c r="BF2851" s="12"/>
      <c r="BG2851" s="13"/>
      <c r="BH2851" s="13"/>
      <c r="BI2851" s="13"/>
      <c r="BJ2851" s="12"/>
      <c r="BK2851" s="13"/>
      <c r="BL2851" s="12"/>
      <c r="BM2851" s="13"/>
      <c r="BN2851" s="2"/>
      <c r="BO2851" s="2"/>
    </row>
    <row r="2852" spans="1:67">
      <c r="A2852" s="29"/>
      <c r="H2852" s="8"/>
      <c r="I2852" s="8"/>
      <c r="J2852" s="8"/>
      <c r="K2852" s="8"/>
      <c r="L2852" s="12"/>
      <c r="M2852" s="13"/>
      <c r="N2852" s="12"/>
      <c r="O2852" s="13"/>
      <c r="P2852" s="12"/>
      <c r="Q2852" s="13"/>
      <c r="R2852" s="12"/>
      <c r="S2852" s="13"/>
      <c r="T2852" s="12"/>
      <c r="U2852" s="13"/>
      <c r="V2852" s="12"/>
      <c r="W2852" s="13"/>
      <c r="X2852" s="12"/>
      <c r="Y2852" s="13"/>
      <c r="Z2852" s="12"/>
      <c r="AA2852" s="13"/>
      <c r="AB2852" s="12"/>
      <c r="AC2852" s="13"/>
      <c r="AD2852" s="12"/>
      <c r="AE2852" s="13"/>
      <c r="AF2852" s="12"/>
      <c r="AG2852" s="13"/>
      <c r="AH2852" s="12"/>
      <c r="AI2852" s="13"/>
      <c r="AJ2852" s="12"/>
      <c r="AK2852" s="13"/>
      <c r="AL2852" s="12"/>
      <c r="AM2852" s="13"/>
      <c r="AN2852" s="12"/>
      <c r="AO2852" s="13"/>
      <c r="AP2852" s="12"/>
      <c r="AQ2852" s="13"/>
      <c r="AR2852" s="12"/>
      <c r="AS2852" s="13"/>
      <c r="AT2852" s="12"/>
      <c r="AU2852" s="13"/>
      <c r="AV2852" s="12"/>
      <c r="AW2852" s="13"/>
      <c r="AX2852" s="12"/>
      <c r="AY2852" s="13"/>
      <c r="AZ2852" s="12"/>
      <c r="BA2852" s="13"/>
      <c r="BB2852" s="12"/>
      <c r="BC2852" s="13"/>
      <c r="BD2852" s="12"/>
      <c r="BE2852" s="13"/>
      <c r="BF2852" s="12"/>
      <c r="BG2852" s="13"/>
      <c r="BH2852" s="13"/>
      <c r="BI2852" s="13"/>
      <c r="BJ2852" s="12"/>
      <c r="BK2852" s="13"/>
      <c r="BL2852" s="12"/>
      <c r="BM2852" s="13"/>
      <c r="BN2852" s="2"/>
      <c r="BO2852" s="2"/>
    </row>
    <row r="2853" spans="1:67">
      <c r="A2853" s="29"/>
      <c r="H2853" s="8"/>
      <c r="I2853" s="8"/>
      <c r="J2853" s="8"/>
      <c r="K2853" s="8"/>
      <c r="L2853" s="12"/>
      <c r="M2853" s="13"/>
      <c r="N2853" s="12"/>
      <c r="O2853" s="13"/>
      <c r="P2853" s="12"/>
      <c r="Q2853" s="13"/>
      <c r="R2853" s="12"/>
      <c r="S2853" s="13"/>
      <c r="T2853" s="12"/>
      <c r="U2853" s="13"/>
      <c r="V2853" s="12"/>
      <c r="W2853" s="13"/>
      <c r="X2853" s="12"/>
      <c r="Y2853" s="13"/>
      <c r="Z2853" s="12"/>
      <c r="AA2853" s="13"/>
      <c r="AB2853" s="12"/>
      <c r="AC2853" s="13"/>
      <c r="AD2853" s="12"/>
      <c r="AE2853" s="13"/>
      <c r="AF2853" s="12"/>
      <c r="AG2853" s="13"/>
      <c r="AH2853" s="12"/>
      <c r="AI2853" s="13"/>
      <c r="AJ2853" s="12"/>
      <c r="AK2853" s="13"/>
      <c r="AL2853" s="12"/>
      <c r="AM2853" s="13"/>
      <c r="AN2853" s="12"/>
      <c r="AO2853" s="13"/>
      <c r="AP2853" s="12"/>
      <c r="AQ2853" s="13"/>
      <c r="AR2853" s="12"/>
      <c r="AS2853" s="13"/>
      <c r="AT2853" s="12"/>
      <c r="AU2853" s="13"/>
      <c r="AV2853" s="12"/>
      <c r="AW2853" s="13"/>
      <c r="AX2853" s="12"/>
      <c r="AY2853" s="13"/>
      <c r="AZ2853" s="12"/>
      <c r="BA2853" s="13"/>
      <c r="BB2853" s="12"/>
      <c r="BC2853" s="13"/>
      <c r="BD2853" s="12"/>
      <c r="BE2853" s="13"/>
      <c r="BF2853" s="12"/>
      <c r="BG2853" s="13"/>
      <c r="BH2853" s="13"/>
      <c r="BI2853" s="13"/>
      <c r="BJ2853" s="12"/>
      <c r="BK2853" s="13"/>
      <c r="BL2853" s="12"/>
      <c r="BM2853" s="13"/>
      <c r="BN2853" s="2"/>
      <c r="BO2853" s="2"/>
    </row>
    <row r="2854" spans="1:67">
      <c r="H2854" s="8"/>
      <c r="I2854" s="8"/>
      <c r="J2854" s="8"/>
      <c r="K2854" s="8"/>
      <c r="L2854" s="12"/>
      <c r="M2854" s="13"/>
      <c r="N2854" s="12"/>
      <c r="O2854" s="13"/>
      <c r="P2854" s="12"/>
      <c r="Q2854" s="13"/>
      <c r="R2854" s="12"/>
      <c r="S2854" s="13"/>
      <c r="T2854" s="12"/>
      <c r="U2854" s="13"/>
      <c r="V2854" s="12"/>
      <c r="W2854" s="13"/>
      <c r="X2854" s="12"/>
      <c r="Y2854" s="13"/>
      <c r="Z2854" s="12"/>
      <c r="AA2854" s="13"/>
      <c r="AB2854" s="12"/>
      <c r="AC2854" s="13"/>
      <c r="AD2854" s="12"/>
      <c r="AE2854" s="13"/>
      <c r="AF2854" s="12"/>
      <c r="AG2854" s="13"/>
      <c r="AH2854" s="12"/>
      <c r="AI2854" s="13"/>
      <c r="AJ2854" s="12"/>
      <c r="AK2854" s="13"/>
      <c r="AL2854" s="12"/>
      <c r="AM2854" s="13"/>
      <c r="AN2854" s="12"/>
      <c r="AO2854" s="13"/>
      <c r="AP2854" s="12"/>
      <c r="AQ2854" s="13"/>
      <c r="AR2854" s="12"/>
      <c r="AS2854" s="13"/>
      <c r="AT2854" s="12"/>
      <c r="AU2854" s="13"/>
      <c r="AV2854" s="12"/>
      <c r="AW2854" s="13"/>
      <c r="AX2854" s="12"/>
      <c r="AY2854" s="13"/>
      <c r="AZ2854" s="12"/>
      <c r="BA2854" s="13"/>
      <c r="BB2854" s="12"/>
      <c r="BC2854" s="13"/>
      <c r="BD2854" s="12"/>
      <c r="BE2854" s="13"/>
      <c r="BF2854" s="12"/>
      <c r="BG2854" s="13"/>
      <c r="BH2854" s="13"/>
      <c r="BI2854" s="13"/>
      <c r="BJ2854" s="12"/>
      <c r="BK2854" s="13"/>
      <c r="BL2854" s="12"/>
    </row>
    <row r="2855" spans="1:67">
      <c r="H2855" s="8"/>
      <c r="I2855" s="8"/>
      <c r="J2855" s="8"/>
      <c r="K2855" s="8"/>
      <c r="L2855" s="12"/>
      <c r="M2855" s="13"/>
      <c r="N2855" s="12"/>
      <c r="O2855" s="13"/>
      <c r="P2855" s="12"/>
      <c r="Q2855" s="13"/>
      <c r="R2855" s="12"/>
      <c r="S2855" s="13"/>
      <c r="T2855" s="12"/>
      <c r="U2855" s="13"/>
      <c r="V2855" s="12"/>
      <c r="W2855" s="13"/>
      <c r="X2855" s="12"/>
      <c r="Y2855" s="13"/>
      <c r="Z2855" s="12"/>
      <c r="AA2855" s="13"/>
      <c r="AB2855" s="12"/>
      <c r="AC2855" s="13"/>
      <c r="AD2855" s="12"/>
      <c r="AE2855" s="13"/>
      <c r="AF2855" s="12"/>
      <c r="AG2855" s="13"/>
      <c r="AH2855" s="12"/>
      <c r="AI2855" s="13"/>
      <c r="AJ2855" s="12"/>
      <c r="AK2855" s="13"/>
      <c r="AL2855" s="12"/>
      <c r="AM2855" s="13"/>
      <c r="AN2855" s="12"/>
      <c r="AO2855" s="13"/>
      <c r="AP2855" s="12"/>
      <c r="AQ2855" s="13"/>
      <c r="AR2855" s="12"/>
      <c r="AS2855" s="13"/>
      <c r="AT2855" s="12"/>
      <c r="AU2855" s="13"/>
      <c r="AV2855" s="12"/>
      <c r="AW2855" s="13"/>
      <c r="AX2855" s="12"/>
      <c r="AY2855" s="13"/>
      <c r="AZ2855" s="12"/>
      <c r="BA2855" s="13"/>
      <c r="BB2855" s="12"/>
      <c r="BC2855" s="13"/>
      <c r="BD2855" s="12"/>
      <c r="BE2855" s="13"/>
      <c r="BF2855" s="12"/>
      <c r="BG2855" s="13"/>
      <c r="BH2855" s="13"/>
      <c r="BI2855" s="13"/>
      <c r="BJ2855" s="12"/>
      <c r="BK2855" s="13"/>
      <c r="BL2855" s="12"/>
    </row>
    <row r="2856" spans="1:67">
      <c r="H2856" s="8"/>
      <c r="I2856" s="8"/>
      <c r="J2856" s="8"/>
      <c r="K2856" s="8"/>
      <c r="L2856" s="12"/>
      <c r="M2856" s="13"/>
      <c r="N2856" s="12"/>
      <c r="O2856" s="13"/>
      <c r="P2856" s="12"/>
      <c r="Q2856" s="13"/>
      <c r="R2856" s="12"/>
      <c r="S2856" s="13"/>
      <c r="T2856" s="12"/>
      <c r="U2856" s="13"/>
      <c r="V2856" s="12"/>
      <c r="W2856" s="13"/>
      <c r="X2856" s="12"/>
      <c r="Y2856" s="13"/>
      <c r="Z2856" s="12"/>
      <c r="AA2856" s="13"/>
      <c r="AB2856" s="12"/>
      <c r="AC2856" s="13"/>
      <c r="AD2856" s="12"/>
      <c r="AE2856" s="13"/>
      <c r="AF2856" s="12"/>
      <c r="AG2856" s="13"/>
      <c r="AH2856" s="12"/>
      <c r="AI2856" s="13"/>
      <c r="AJ2856" s="12"/>
      <c r="AK2856" s="13"/>
      <c r="AL2856" s="12"/>
      <c r="AM2856" s="13"/>
      <c r="AN2856" s="12"/>
      <c r="AO2856" s="13"/>
      <c r="AP2856" s="12"/>
      <c r="AQ2856" s="13"/>
      <c r="AR2856" s="12"/>
      <c r="AS2856" s="13"/>
      <c r="AT2856" s="12"/>
      <c r="AU2856" s="13"/>
      <c r="AV2856" s="12"/>
      <c r="AW2856" s="13"/>
      <c r="AX2856" s="12"/>
      <c r="AY2856" s="13"/>
      <c r="AZ2856" s="12"/>
      <c r="BA2856" s="13"/>
      <c r="BB2856" s="12"/>
      <c r="BC2856" s="13"/>
      <c r="BD2856" s="12"/>
      <c r="BE2856" s="13"/>
      <c r="BF2856" s="12"/>
      <c r="BG2856" s="13"/>
      <c r="BH2856" s="13"/>
      <c r="BI2856" s="13"/>
      <c r="BJ2856" s="12"/>
      <c r="BK2856" s="13"/>
      <c r="BL2856" s="12"/>
    </row>
    <row r="2857" spans="1:67">
      <c r="H2857" s="8"/>
      <c r="I2857" s="8"/>
      <c r="J2857" s="8"/>
      <c r="K2857" s="8"/>
      <c r="L2857" s="12"/>
      <c r="M2857" s="13"/>
      <c r="N2857" s="12"/>
      <c r="O2857" s="13"/>
      <c r="P2857" s="12"/>
      <c r="Q2857" s="13"/>
      <c r="R2857" s="12"/>
      <c r="S2857" s="13"/>
      <c r="T2857" s="12"/>
      <c r="U2857" s="13"/>
      <c r="V2857" s="12"/>
      <c r="W2857" s="13"/>
      <c r="X2857" s="12"/>
      <c r="Y2857" s="13"/>
      <c r="Z2857" s="12"/>
      <c r="AA2857" s="13"/>
      <c r="AB2857" s="12"/>
      <c r="AC2857" s="13"/>
      <c r="AD2857" s="12"/>
      <c r="AE2857" s="13"/>
      <c r="AF2857" s="12"/>
      <c r="AG2857" s="13"/>
      <c r="AH2857" s="12"/>
      <c r="AI2857" s="13"/>
      <c r="AJ2857" s="12"/>
      <c r="AK2857" s="13"/>
      <c r="AL2857" s="12"/>
      <c r="AM2857" s="13"/>
      <c r="AN2857" s="12"/>
      <c r="AO2857" s="13"/>
      <c r="AP2857" s="12"/>
      <c r="AQ2857" s="13"/>
      <c r="AR2857" s="12"/>
      <c r="AS2857" s="13"/>
      <c r="AT2857" s="12"/>
      <c r="AU2857" s="13"/>
      <c r="AV2857" s="12"/>
      <c r="AW2857" s="13"/>
      <c r="AX2857" s="12"/>
      <c r="AY2857" s="13"/>
      <c r="AZ2857" s="12"/>
      <c r="BA2857" s="13"/>
      <c r="BB2857" s="12"/>
      <c r="BC2857" s="13"/>
      <c r="BD2857" s="12"/>
      <c r="BE2857" s="13"/>
      <c r="BF2857" s="12"/>
      <c r="BG2857" s="13"/>
      <c r="BH2857" s="13"/>
      <c r="BI2857" s="13"/>
      <c r="BJ2857" s="12"/>
      <c r="BK2857" s="13"/>
      <c r="BL2857" s="12"/>
    </row>
    <row r="2858" spans="1:67">
      <c r="H2858" s="8"/>
      <c r="I2858" s="8"/>
      <c r="J2858" s="8"/>
      <c r="K2858" s="8"/>
      <c r="L2858" s="12"/>
      <c r="M2858" s="13"/>
      <c r="N2858" s="12"/>
      <c r="O2858" s="13"/>
      <c r="P2858" s="12"/>
      <c r="Q2858" s="13"/>
      <c r="R2858" s="12"/>
      <c r="S2858" s="13"/>
      <c r="T2858" s="12"/>
      <c r="U2858" s="13"/>
      <c r="V2858" s="12"/>
      <c r="W2858" s="13"/>
      <c r="X2858" s="12"/>
      <c r="Y2858" s="13"/>
      <c r="Z2858" s="12"/>
      <c r="AA2858" s="13"/>
      <c r="AB2858" s="12"/>
      <c r="AC2858" s="13"/>
      <c r="AD2858" s="12"/>
      <c r="AE2858" s="13"/>
      <c r="AF2858" s="12"/>
      <c r="AG2858" s="13"/>
      <c r="AH2858" s="12"/>
      <c r="AI2858" s="13"/>
      <c r="AJ2858" s="12"/>
      <c r="AK2858" s="13"/>
      <c r="AL2858" s="12"/>
      <c r="AM2858" s="13"/>
      <c r="AN2858" s="12"/>
      <c r="AO2858" s="13"/>
      <c r="AP2858" s="12"/>
      <c r="AQ2858" s="13"/>
      <c r="AR2858" s="12"/>
      <c r="AS2858" s="13"/>
      <c r="AT2858" s="12"/>
      <c r="AU2858" s="13"/>
      <c r="AV2858" s="12"/>
      <c r="AW2858" s="13"/>
      <c r="AX2858" s="12"/>
      <c r="AY2858" s="13"/>
      <c r="AZ2858" s="12"/>
      <c r="BA2858" s="13"/>
      <c r="BB2858" s="12"/>
      <c r="BC2858" s="13"/>
      <c r="BD2858" s="12"/>
      <c r="BE2858" s="13"/>
      <c r="BF2858" s="12"/>
      <c r="BG2858" s="13"/>
      <c r="BH2858" s="13"/>
      <c r="BI2858" s="13"/>
      <c r="BJ2858" s="12"/>
      <c r="BK2858" s="13"/>
      <c r="BL2858" s="12"/>
    </row>
    <row r="2859" spans="1:67">
      <c r="H2859" s="8"/>
      <c r="I2859" s="8"/>
      <c r="J2859" s="8"/>
      <c r="K2859" s="8"/>
      <c r="L2859" s="12"/>
      <c r="M2859" s="13"/>
      <c r="N2859" s="12"/>
      <c r="O2859" s="13"/>
      <c r="P2859" s="12"/>
      <c r="Q2859" s="13"/>
      <c r="R2859" s="12"/>
      <c r="S2859" s="13"/>
      <c r="T2859" s="12"/>
      <c r="U2859" s="13"/>
      <c r="V2859" s="12"/>
      <c r="W2859" s="13"/>
      <c r="X2859" s="12"/>
      <c r="Y2859" s="13"/>
      <c r="Z2859" s="12"/>
      <c r="AA2859" s="13"/>
      <c r="AB2859" s="12"/>
      <c r="AC2859" s="13"/>
      <c r="AD2859" s="12"/>
      <c r="AE2859" s="13"/>
      <c r="AF2859" s="12"/>
      <c r="AG2859" s="13"/>
      <c r="AH2859" s="12"/>
      <c r="AI2859" s="13"/>
      <c r="AJ2859" s="12"/>
      <c r="AK2859" s="13"/>
      <c r="AL2859" s="12"/>
      <c r="AM2859" s="13"/>
      <c r="AN2859" s="12"/>
      <c r="AO2859" s="13"/>
      <c r="AP2859" s="12"/>
      <c r="AQ2859" s="13"/>
      <c r="AR2859" s="12"/>
      <c r="AS2859" s="13"/>
      <c r="AT2859" s="12"/>
      <c r="AU2859" s="13"/>
      <c r="AV2859" s="12"/>
      <c r="AW2859" s="13"/>
      <c r="AX2859" s="12"/>
      <c r="AY2859" s="13"/>
      <c r="AZ2859" s="12"/>
      <c r="BA2859" s="13"/>
      <c r="BB2859" s="12"/>
      <c r="BC2859" s="13"/>
      <c r="BD2859" s="12"/>
      <c r="BE2859" s="13"/>
      <c r="BF2859" s="12"/>
      <c r="BG2859" s="13"/>
      <c r="BH2859" s="13"/>
      <c r="BI2859" s="13"/>
      <c r="BJ2859" s="12"/>
      <c r="BK2859" s="13"/>
      <c r="BL2859" s="12"/>
    </row>
    <row r="2860" spans="1:67">
      <c r="H2860" s="8"/>
      <c r="I2860" s="8"/>
      <c r="J2860" s="8"/>
      <c r="K2860" s="8"/>
      <c r="L2860" s="12"/>
      <c r="M2860" s="13"/>
      <c r="N2860" s="12"/>
      <c r="O2860" s="13"/>
      <c r="P2860" s="12"/>
      <c r="Q2860" s="13"/>
      <c r="R2860" s="12"/>
      <c r="S2860" s="13"/>
      <c r="T2860" s="12"/>
      <c r="U2860" s="13"/>
      <c r="V2860" s="12"/>
      <c r="W2860" s="13"/>
      <c r="X2860" s="12"/>
      <c r="Y2860" s="13"/>
      <c r="Z2860" s="12"/>
      <c r="AA2860" s="13"/>
      <c r="AB2860" s="12"/>
      <c r="AC2860" s="13"/>
      <c r="AD2860" s="12"/>
      <c r="AE2860" s="13"/>
      <c r="AF2860" s="12"/>
      <c r="AG2860" s="13"/>
      <c r="AH2860" s="12"/>
      <c r="AI2860" s="13"/>
      <c r="AJ2860" s="12"/>
      <c r="AK2860" s="13"/>
      <c r="AL2860" s="12"/>
      <c r="AM2860" s="13"/>
      <c r="AN2860" s="12"/>
      <c r="AO2860" s="13"/>
      <c r="AP2860" s="12"/>
      <c r="AQ2860" s="13"/>
      <c r="AR2860" s="12"/>
      <c r="AS2860" s="13"/>
      <c r="AT2860" s="12"/>
      <c r="AU2860" s="13"/>
      <c r="AV2860" s="12"/>
      <c r="AW2860" s="13"/>
      <c r="AX2860" s="12"/>
      <c r="AY2860" s="13"/>
      <c r="AZ2860" s="12"/>
      <c r="BA2860" s="13"/>
      <c r="BB2860" s="12"/>
      <c r="BC2860" s="13"/>
      <c r="BD2860" s="12"/>
      <c r="BE2860" s="13"/>
      <c r="BF2860" s="12"/>
      <c r="BG2860" s="13"/>
      <c r="BH2860" s="13"/>
      <c r="BI2860" s="13"/>
      <c r="BJ2860" s="12"/>
      <c r="BK2860" s="13"/>
      <c r="BL2860" s="12"/>
    </row>
    <row r="2861" spans="1:67">
      <c r="H2861" s="8"/>
      <c r="I2861" s="8"/>
      <c r="J2861" s="8"/>
      <c r="K2861" s="8"/>
      <c r="L2861" s="12"/>
      <c r="M2861" s="13"/>
      <c r="N2861" s="12"/>
      <c r="O2861" s="13"/>
      <c r="P2861" s="12"/>
      <c r="Q2861" s="13"/>
      <c r="R2861" s="12"/>
      <c r="S2861" s="13"/>
      <c r="T2861" s="12"/>
      <c r="U2861" s="13"/>
      <c r="V2861" s="12"/>
      <c r="W2861" s="13"/>
      <c r="X2861" s="12"/>
      <c r="Y2861" s="13"/>
      <c r="Z2861" s="12"/>
      <c r="AA2861" s="13"/>
      <c r="AB2861" s="12"/>
      <c r="AC2861" s="13"/>
      <c r="AD2861" s="12"/>
      <c r="AE2861" s="13"/>
      <c r="AF2861" s="12"/>
      <c r="AG2861" s="13"/>
      <c r="AH2861" s="12"/>
      <c r="AI2861" s="13"/>
      <c r="AJ2861" s="12"/>
      <c r="AK2861" s="13"/>
      <c r="AL2861" s="12"/>
      <c r="AM2861" s="13"/>
      <c r="AN2861" s="12"/>
      <c r="AO2861" s="13"/>
      <c r="AP2861" s="12"/>
      <c r="AQ2861" s="13"/>
      <c r="AR2861" s="12"/>
      <c r="AS2861" s="13"/>
      <c r="AT2861" s="12"/>
      <c r="AU2861" s="13"/>
      <c r="AV2861" s="12"/>
      <c r="AW2861" s="13"/>
      <c r="AX2861" s="12"/>
      <c r="AY2861" s="13"/>
      <c r="AZ2861" s="12"/>
      <c r="BA2861" s="13"/>
      <c r="BB2861" s="12"/>
      <c r="BC2861" s="13"/>
      <c r="BD2861" s="12"/>
      <c r="BE2861" s="13"/>
      <c r="BF2861" s="12"/>
      <c r="BG2861" s="13"/>
      <c r="BH2861" s="13"/>
      <c r="BI2861" s="13"/>
      <c r="BJ2861" s="12"/>
      <c r="BK2861" s="13"/>
      <c r="BL2861" s="12"/>
    </row>
    <row r="2862" spans="1:67">
      <c r="H2862" s="8"/>
      <c r="I2862" s="8"/>
      <c r="J2862" s="8"/>
      <c r="K2862" s="8"/>
      <c r="L2862" s="12"/>
      <c r="M2862" s="13"/>
      <c r="N2862" s="12"/>
      <c r="O2862" s="13"/>
      <c r="P2862" s="12"/>
      <c r="Q2862" s="13"/>
      <c r="R2862" s="12"/>
      <c r="S2862" s="13"/>
      <c r="T2862" s="12"/>
      <c r="U2862" s="13"/>
      <c r="V2862" s="12"/>
      <c r="W2862" s="13"/>
      <c r="X2862" s="12"/>
      <c r="Y2862" s="13"/>
      <c r="Z2862" s="12"/>
      <c r="AA2862" s="13"/>
      <c r="AB2862" s="12"/>
      <c r="AC2862" s="13"/>
      <c r="AD2862" s="12"/>
      <c r="AE2862" s="13"/>
      <c r="AF2862" s="12"/>
      <c r="AG2862" s="13"/>
      <c r="AH2862" s="12"/>
      <c r="AI2862" s="13"/>
      <c r="AJ2862" s="12"/>
      <c r="AK2862" s="13"/>
      <c r="AL2862" s="12"/>
      <c r="AM2862" s="13"/>
      <c r="AN2862" s="12"/>
      <c r="AO2862" s="13"/>
      <c r="AP2862" s="12"/>
      <c r="AQ2862" s="13"/>
      <c r="AR2862" s="12"/>
      <c r="AS2862" s="13"/>
      <c r="AT2862" s="12"/>
      <c r="AU2862" s="13"/>
      <c r="AV2862" s="12"/>
      <c r="AW2862" s="13"/>
      <c r="AX2862" s="12"/>
      <c r="AY2862" s="13"/>
      <c r="AZ2862" s="12"/>
      <c r="BA2862" s="13"/>
      <c r="BB2862" s="12"/>
      <c r="BC2862" s="13"/>
      <c r="BD2862" s="12"/>
      <c r="BE2862" s="13"/>
      <c r="BF2862" s="12"/>
      <c r="BG2862" s="13"/>
      <c r="BH2862" s="13"/>
      <c r="BI2862" s="13"/>
      <c r="BJ2862" s="12"/>
      <c r="BK2862" s="13"/>
      <c r="BL2862" s="12"/>
    </row>
    <row r="2863" spans="1:67">
      <c r="H2863" s="8"/>
      <c r="I2863" s="8"/>
      <c r="J2863" s="8"/>
      <c r="K2863" s="8"/>
      <c r="L2863" s="12"/>
      <c r="M2863" s="13"/>
      <c r="N2863" s="12"/>
      <c r="O2863" s="13"/>
      <c r="P2863" s="12"/>
      <c r="Q2863" s="13"/>
      <c r="R2863" s="12"/>
      <c r="S2863" s="13"/>
      <c r="T2863" s="12"/>
      <c r="U2863" s="13"/>
      <c r="V2863" s="12"/>
      <c r="W2863" s="13"/>
      <c r="X2863" s="12"/>
      <c r="Y2863" s="13"/>
      <c r="Z2863" s="12"/>
      <c r="AA2863" s="13"/>
      <c r="AB2863" s="12"/>
      <c r="AC2863" s="13"/>
      <c r="AD2863" s="12"/>
      <c r="AE2863" s="13"/>
      <c r="AF2863" s="12"/>
      <c r="AG2863" s="13"/>
      <c r="AH2863" s="12"/>
      <c r="AI2863" s="13"/>
      <c r="AJ2863" s="12"/>
      <c r="AK2863" s="13"/>
      <c r="AL2863" s="12"/>
      <c r="AM2863" s="13"/>
      <c r="AN2863" s="12"/>
      <c r="AO2863" s="13"/>
      <c r="AP2863" s="12"/>
      <c r="AQ2863" s="13"/>
      <c r="AR2863" s="12"/>
      <c r="AS2863" s="13"/>
      <c r="AT2863" s="12"/>
      <c r="AU2863" s="13"/>
      <c r="AV2863" s="12"/>
      <c r="AW2863" s="13"/>
      <c r="AX2863" s="12"/>
      <c r="AY2863" s="13"/>
      <c r="AZ2863" s="12"/>
      <c r="BA2863" s="13"/>
      <c r="BB2863" s="12"/>
      <c r="BC2863" s="13"/>
      <c r="BD2863" s="12"/>
      <c r="BE2863" s="13"/>
      <c r="BF2863" s="12"/>
      <c r="BG2863" s="13"/>
      <c r="BH2863" s="13"/>
      <c r="BI2863" s="13"/>
      <c r="BJ2863" s="12"/>
      <c r="BK2863" s="13"/>
      <c r="BL2863" s="12"/>
    </row>
    <row r="2864" spans="1:67">
      <c r="H2864" s="8"/>
      <c r="I2864" s="8"/>
      <c r="J2864" s="8"/>
      <c r="K2864" s="8"/>
      <c r="L2864" s="12"/>
      <c r="M2864" s="13"/>
      <c r="N2864" s="12"/>
      <c r="O2864" s="13"/>
      <c r="P2864" s="12"/>
      <c r="Q2864" s="13"/>
      <c r="R2864" s="12"/>
      <c r="S2864" s="13"/>
      <c r="T2864" s="12"/>
      <c r="U2864" s="13"/>
      <c r="V2864" s="12"/>
      <c r="W2864" s="13"/>
      <c r="X2864" s="12"/>
      <c r="Y2864" s="13"/>
      <c r="Z2864" s="12"/>
      <c r="AA2864" s="13"/>
      <c r="AB2864" s="12"/>
      <c r="AC2864" s="13"/>
      <c r="AD2864" s="12"/>
      <c r="AE2864" s="13"/>
      <c r="AF2864" s="12"/>
      <c r="AG2864" s="13"/>
      <c r="AH2864" s="12"/>
      <c r="AI2864" s="13"/>
      <c r="AJ2864" s="12"/>
      <c r="AK2864" s="13"/>
      <c r="AL2864" s="12"/>
      <c r="AM2864" s="13"/>
      <c r="AN2864" s="12"/>
      <c r="AO2864" s="13"/>
      <c r="AP2864" s="12"/>
      <c r="AQ2864" s="13"/>
      <c r="AR2864" s="12"/>
      <c r="AS2864" s="13"/>
      <c r="AT2864" s="12"/>
      <c r="AU2864" s="13"/>
      <c r="AV2864" s="12"/>
      <c r="AW2864" s="13"/>
      <c r="AX2864" s="12"/>
      <c r="AY2864" s="13"/>
      <c r="AZ2864" s="12"/>
      <c r="BA2864" s="13"/>
      <c r="BB2864" s="12"/>
      <c r="BC2864" s="13"/>
      <c r="BD2864" s="12"/>
      <c r="BE2864" s="13"/>
      <c r="BF2864" s="12"/>
      <c r="BG2864" s="13"/>
      <c r="BH2864" s="13"/>
      <c r="BI2864" s="13"/>
      <c r="BJ2864" s="12"/>
      <c r="BK2864" s="13"/>
      <c r="BL2864" s="12"/>
    </row>
    <row r="2865" spans="8:64">
      <c r="H2865" s="8"/>
      <c r="I2865" s="8"/>
      <c r="J2865" s="8"/>
      <c r="K2865" s="8"/>
      <c r="L2865" s="12"/>
      <c r="M2865" s="13"/>
      <c r="N2865" s="12"/>
      <c r="O2865" s="13"/>
      <c r="P2865" s="12"/>
      <c r="Q2865" s="13"/>
      <c r="R2865" s="12"/>
      <c r="S2865" s="13"/>
      <c r="T2865" s="12"/>
      <c r="U2865" s="13"/>
      <c r="V2865" s="12"/>
      <c r="W2865" s="13"/>
      <c r="X2865" s="12"/>
      <c r="Y2865" s="13"/>
      <c r="Z2865" s="12"/>
      <c r="AA2865" s="13"/>
      <c r="AB2865" s="12"/>
      <c r="AC2865" s="13"/>
      <c r="AD2865" s="12"/>
      <c r="AE2865" s="13"/>
      <c r="AF2865" s="12"/>
      <c r="AG2865" s="13"/>
      <c r="AH2865" s="12"/>
      <c r="AI2865" s="13"/>
      <c r="AJ2865" s="12"/>
      <c r="AK2865" s="13"/>
      <c r="AL2865" s="12"/>
      <c r="AM2865" s="13"/>
      <c r="AN2865" s="12"/>
      <c r="AO2865" s="13"/>
      <c r="AP2865" s="12"/>
      <c r="AQ2865" s="13"/>
      <c r="AR2865" s="12"/>
      <c r="AS2865" s="13"/>
      <c r="AT2865" s="12"/>
      <c r="AU2865" s="13"/>
      <c r="AV2865" s="12"/>
      <c r="AW2865" s="13"/>
      <c r="AX2865" s="12"/>
      <c r="AY2865" s="13"/>
      <c r="AZ2865" s="12"/>
      <c r="BA2865" s="13"/>
      <c r="BB2865" s="12"/>
      <c r="BC2865" s="13"/>
      <c r="BD2865" s="12"/>
      <c r="BE2865" s="13"/>
      <c r="BF2865" s="12"/>
      <c r="BG2865" s="13"/>
      <c r="BH2865" s="13"/>
      <c r="BI2865" s="13"/>
      <c r="BJ2865" s="12"/>
      <c r="BK2865" s="13"/>
      <c r="BL2865" s="12"/>
    </row>
    <row r="2866" spans="8:64">
      <c r="H2866" s="8"/>
      <c r="I2866" s="8"/>
      <c r="J2866" s="8"/>
      <c r="K2866" s="8"/>
      <c r="L2866" s="12"/>
      <c r="M2866" s="13"/>
      <c r="N2866" s="12"/>
      <c r="O2866" s="13"/>
      <c r="P2866" s="12"/>
      <c r="Q2866" s="13"/>
      <c r="R2866" s="12"/>
      <c r="S2866" s="13"/>
      <c r="T2866" s="12"/>
      <c r="U2866" s="13"/>
      <c r="V2866" s="12"/>
      <c r="W2866" s="13"/>
      <c r="X2866" s="12"/>
      <c r="Y2866" s="13"/>
      <c r="Z2866" s="12"/>
      <c r="AA2866" s="13"/>
      <c r="AB2866" s="12"/>
      <c r="AC2866" s="13"/>
      <c r="AD2866" s="12"/>
      <c r="AE2866" s="13"/>
      <c r="AF2866" s="12"/>
      <c r="AG2866" s="13"/>
      <c r="AH2866" s="12"/>
      <c r="AI2866" s="13"/>
      <c r="AJ2866" s="12"/>
      <c r="AK2866" s="13"/>
      <c r="AL2866" s="12"/>
      <c r="AM2866" s="13"/>
      <c r="AN2866" s="12"/>
      <c r="AO2866" s="13"/>
      <c r="AP2866" s="12"/>
      <c r="AQ2866" s="13"/>
      <c r="AR2866" s="12"/>
      <c r="AS2866" s="13"/>
      <c r="AT2866" s="12"/>
      <c r="AU2866" s="13"/>
      <c r="AV2866" s="12"/>
      <c r="AW2866" s="13"/>
      <c r="AX2866" s="12"/>
      <c r="AY2866" s="13"/>
      <c r="AZ2866" s="12"/>
      <c r="BA2866" s="13"/>
      <c r="BB2866" s="12"/>
      <c r="BC2866" s="13"/>
      <c r="BD2866" s="12"/>
      <c r="BE2866" s="13"/>
      <c r="BF2866" s="12"/>
      <c r="BG2866" s="13"/>
      <c r="BH2866" s="13"/>
      <c r="BI2866" s="13"/>
      <c r="BJ2866" s="12"/>
      <c r="BK2866" s="13"/>
      <c r="BL2866" s="12"/>
    </row>
    <row r="2867" spans="8:64">
      <c r="H2867" s="8"/>
      <c r="I2867" s="8"/>
      <c r="J2867" s="8"/>
      <c r="K2867" s="8"/>
      <c r="L2867" s="12"/>
      <c r="M2867" s="13"/>
      <c r="N2867" s="12"/>
      <c r="O2867" s="13"/>
      <c r="P2867" s="12"/>
      <c r="Q2867" s="13"/>
      <c r="R2867" s="12"/>
      <c r="S2867" s="13"/>
      <c r="T2867" s="12"/>
      <c r="U2867" s="13"/>
      <c r="V2867" s="12"/>
      <c r="W2867" s="13"/>
      <c r="X2867" s="12"/>
      <c r="Y2867" s="13"/>
      <c r="Z2867" s="12"/>
      <c r="AA2867" s="13"/>
      <c r="AB2867" s="12"/>
      <c r="AC2867" s="13"/>
      <c r="AD2867" s="12"/>
      <c r="AE2867" s="13"/>
      <c r="AF2867" s="12"/>
      <c r="AG2867" s="13"/>
      <c r="AH2867" s="12"/>
      <c r="AI2867" s="13"/>
      <c r="AJ2867" s="12"/>
      <c r="AK2867" s="13"/>
      <c r="AL2867" s="12"/>
      <c r="AM2867" s="13"/>
      <c r="AN2867" s="12"/>
      <c r="AO2867" s="13"/>
      <c r="AP2867" s="12"/>
      <c r="AQ2867" s="13"/>
      <c r="AR2867" s="12"/>
      <c r="AS2867" s="13"/>
      <c r="AT2867" s="12"/>
      <c r="AU2867" s="13"/>
      <c r="AV2867" s="12"/>
      <c r="AW2867" s="13"/>
      <c r="AX2867" s="12"/>
      <c r="AY2867" s="13"/>
      <c r="AZ2867" s="12"/>
      <c r="BA2867" s="13"/>
      <c r="BB2867" s="12"/>
      <c r="BC2867" s="13"/>
      <c r="BD2867" s="12"/>
      <c r="BE2867" s="13"/>
      <c r="BF2867" s="12"/>
      <c r="BG2867" s="13"/>
      <c r="BH2867" s="13"/>
      <c r="BI2867" s="13"/>
      <c r="BJ2867" s="12"/>
      <c r="BK2867" s="13"/>
      <c r="BL2867" s="12"/>
    </row>
    <row r="2868" spans="8:64">
      <c r="H2868" s="8"/>
      <c r="I2868" s="8"/>
      <c r="J2868" s="8"/>
      <c r="K2868" s="8"/>
      <c r="L2868" s="12"/>
      <c r="M2868" s="13"/>
      <c r="N2868" s="12"/>
      <c r="O2868" s="13"/>
      <c r="P2868" s="12"/>
      <c r="Q2868" s="13"/>
      <c r="R2868" s="12"/>
      <c r="S2868" s="13"/>
      <c r="T2868" s="12"/>
      <c r="U2868" s="13"/>
      <c r="V2868" s="12"/>
      <c r="W2868" s="13"/>
      <c r="X2868" s="12"/>
      <c r="Y2868" s="13"/>
      <c r="Z2868" s="12"/>
      <c r="AA2868" s="13"/>
      <c r="AB2868" s="12"/>
      <c r="AC2868" s="13"/>
      <c r="AD2868" s="12"/>
      <c r="AE2868" s="13"/>
      <c r="AF2868" s="12"/>
      <c r="AG2868" s="13"/>
      <c r="AH2868" s="12"/>
      <c r="AI2868" s="13"/>
      <c r="AJ2868" s="12"/>
      <c r="AK2868" s="13"/>
      <c r="AL2868" s="12"/>
      <c r="AM2868" s="13"/>
      <c r="AN2868" s="12"/>
      <c r="AO2868" s="13"/>
      <c r="AP2868" s="12"/>
      <c r="AQ2868" s="13"/>
      <c r="AR2868" s="12"/>
      <c r="AS2868" s="13"/>
      <c r="AT2868" s="12"/>
      <c r="AU2868" s="13"/>
      <c r="AV2868" s="12"/>
      <c r="AW2868" s="13"/>
      <c r="AX2868" s="12"/>
      <c r="AY2868" s="13"/>
      <c r="AZ2868" s="12"/>
      <c r="BA2868" s="13"/>
      <c r="BB2868" s="12"/>
      <c r="BC2868" s="13"/>
      <c r="BD2868" s="12"/>
      <c r="BE2868" s="13"/>
      <c r="BF2868" s="12"/>
      <c r="BG2868" s="13"/>
      <c r="BH2868" s="13"/>
      <c r="BI2868" s="13"/>
      <c r="BJ2868" s="12"/>
      <c r="BK2868" s="13"/>
      <c r="BL2868" s="12"/>
    </row>
  </sheetData>
  <phoneticPr fontId="3" type="noConversion"/>
  <printOptions gridLinesSet="0"/>
  <pageMargins left="0.75" right="0.75" top="1" bottom="1" header="0.5" footer="0.5"/>
  <pageSetup orientation="portrait" horizontalDpi="300" verticalDpi="300" r:id="rId1"/>
  <headerFooter alignWithMargins="0">
    <oddHeader>&amp;LNeil Churchill&amp;CPage &amp;P&amp;R&amp;D</oddHeader>
    <oddFooter>&amp;A</oddFooter>
  </headerFooter>
  <legacyDrawing r:id="rId2"/>
</worksheet>
</file>

<file path=xl/worksheets/sheet4.xml><?xml version="1.0" encoding="utf-8"?>
<worksheet xmlns="http://schemas.openxmlformats.org/spreadsheetml/2006/main" xmlns:r="http://schemas.openxmlformats.org/officeDocument/2006/relationships">
  <dimension ref="A1:I50"/>
  <sheetViews>
    <sheetView workbookViewId="0">
      <selection activeCell="A2" sqref="A2:A50"/>
    </sheetView>
  </sheetViews>
  <sheetFormatPr defaultRowHeight="12"/>
  <cols>
    <col min="1" max="1" width="26.375" bestFit="1" customWidth="1"/>
    <col min="2" max="2" width="9.375" style="53" customWidth="1"/>
    <col min="5" max="5" width="14.625" bestFit="1" customWidth="1"/>
    <col min="6" max="6" width="16.125" bestFit="1" customWidth="1"/>
  </cols>
  <sheetData>
    <row r="1" spans="1:9">
      <c r="A1" s="4" t="s">
        <v>272</v>
      </c>
      <c r="B1" s="51" t="s">
        <v>273</v>
      </c>
      <c r="C1" s="4" t="s">
        <v>276</v>
      </c>
      <c r="E1" s="40" t="s">
        <v>268</v>
      </c>
      <c r="F1" t="s">
        <v>275</v>
      </c>
      <c r="G1" s="4" t="s">
        <v>274</v>
      </c>
      <c r="H1" s="4" t="s">
        <v>301</v>
      </c>
    </row>
    <row r="2" spans="1:9">
      <c r="A2" t="s">
        <v>136</v>
      </c>
      <c r="B2" s="51" t="s">
        <v>202</v>
      </c>
      <c r="E2" s="41" t="s">
        <v>274</v>
      </c>
      <c r="F2" s="42">
        <v>10</v>
      </c>
      <c r="G2" s="4" t="s">
        <v>265</v>
      </c>
      <c r="H2" s="4" t="s">
        <v>277</v>
      </c>
    </row>
    <row r="3" spans="1:9">
      <c r="A3" t="s">
        <v>137</v>
      </c>
      <c r="B3" s="51" t="s">
        <v>265</v>
      </c>
      <c r="E3" s="41" t="s">
        <v>265</v>
      </c>
      <c r="F3" s="42">
        <v>13</v>
      </c>
      <c r="G3" s="4" t="s">
        <v>202</v>
      </c>
      <c r="H3" s="4" t="s">
        <v>280</v>
      </c>
    </row>
    <row r="4" spans="1:9" ht="15">
      <c r="A4" t="s">
        <v>16</v>
      </c>
      <c r="B4" s="52" t="s">
        <v>274</v>
      </c>
      <c r="C4" s="4" t="s">
        <v>265</v>
      </c>
      <c r="E4" s="41" t="s">
        <v>202</v>
      </c>
      <c r="F4" s="42">
        <v>7</v>
      </c>
      <c r="G4" s="46" t="s">
        <v>207</v>
      </c>
      <c r="H4" s="4" t="s">
        <v>278</v>
      </c>
    </row>
    <row r="5" spans="1:9">
      <c r="A5" t="s">
        <v>17</v>
      </c>
      <c r="B5" s="51" t="s">
        <v>265</v>
      </c>
      <c r="E5" s="41" t="s">
        <v>207</v>
      </c>
      <c r="F5" s="42">
        <v>8</v>
      </c>
      <c r="G5" s="46" t="s">
        <v>212</v>
      </c>
      <c r="H5" s="4" t="s">
        <v>279</v>
      </c>
    </row>
    <row r="6" spans="1:9">
      <c r="A6" t="s">
        <v>22</v>
      </c>
      <c r="B6" s="51" t="s">
        <v>265</v>
      </c>
      <c r="E6" s="41" t="s">
        <v>208</v>
      </c>
      <c r="F6" s="42">
        <v>2</v>
      </c>
      <c r="G6" s="46" t="s">
        <v>208</v>
      </c>
      <c r="H6" s="4" t="s">
        <v>299</v>
      </c>
      <c r="I6" s="4" t="s">
        <v>300</v>
      </c>
    </row>
    <row r="7" spans="1:9">
      <c r="A7" t="s">
        <v>23</v>
      </c>
      <c r="B7" s="51" t="s">
        <v>202</v>
      </c>
      <c r="E7" s="41" t="s">
        <v>212</v>
      </c>
      <c r="F7" s="42">
        <v>9</v>
      </c>
      <c r="G7" s="46" t="s">
        <v>293</v>
      </c>
      <c r="H7" s="4" t="s">
        <v>297</v>
      </c>
    </row>
    <row r="8" spans="1:9">
      <c r="A8" t="s">
        <v>25</v>
      </c>
      <c r="B8" s="51" t="s">
        <v>212</v>
      </c>
      <c r="E8" s="41" t="s">
        <v>269</v>
      </c>
      <c r="F8" s="42">
        <v>49</v>
      </c>
    </row>
    <row r="9" spans="1:9">
      <c r="A9" t="s">
        <v>30</v>
      </c>
      <c r="B9" s="51" t="s">
        <v>274</v>
      </c>
    </row>
    <row r="10" spans="1:9">
      <c r="A10" t="s">
        <v>31</v>
      </c>
      <c r="B10" s="51" t="s">
        <v>265</v>
      </c>
    </row>
    <row r="11" spans="1:9">
      <c r="A11" t="s">
        <v>47</v>
      </c>
      <c r="B11" s="51" t="s">
        <v>212</v>
      </c>
    </row>
    <row r="12" spans="1:9">
      <c r="A12" t="s">
        <v>49</v>
      </c>
      <c r="B12" s="51" t="s">
        <v>265</v>
      </c>
    </row>
    <row r="13" spans="1:9">
      <c r="A13" t="s">
        <v>55</v>
      </c>
      <c r="B13" s="51" t="s">
        <v>202</v>
      </c>
    </row>
    <row r="14" spans="1:9">
      <c r="A14" t="s">
        <v>56</v>
      </c>
      <c r="B14" s="51" t="s">
        <v>207</v>
      </c>
    </row>
    <row r="15" spans="1:9">
      <c r="A15" t="s">
        <v>57</v>
      </c>
      <c r="B15" s="51" t="s">
        <v>274</v>
      </c>
    </row>
    <row r="16" spans="1:9" ht="15">
      <c r="A16" t="s">
        <v>58</v>
      </c>
      <c r="B16" s="52" t="s">
        <v>274</v>
      </c>
      <c r="C16" s="4" t="s">
        <v>265</v>
      </c>
      <c r="D16" s="54" t="s">
        <v>296</v>
      </c>
    </row>
    <row r="17" spans="1:3">
      <c r="A17" t="s">
        <v>59</v>
      </c>
      <c r="B17" s="51" t="s">
        <v>207</v>
      </c>
    </row>
    <row r="18" spans="1:3" ht="15">
      <c r="A18" t="s">
        <v>60</v>
      </c>
      <c r="B18" s="52" t="s">
        <v>274</v>
      </c>
      <c r="C18" s="4" t="s">
        <v>202</v>
      </c>
    </row>
    <row r="19" spans="1:3">
      <c r="A19" t="s">
        <v>61</v>
      </c>
      <c r="B19" s="51" t="s">
        <v>265</v>
      </c>
    </row>
    <row r="20" spans="1:3">
      <c r="A20" t="s">
        <v>62</v>
      </c>
      <c r="B20" s="51" t="s">
        <v>212</v>
      </c>
    </row>
    <row r="21" spans="1:3">
      <c r="A21" t="s">
        <v>63</v>
      </c>
      <c r="B21" s="51" t="s">
        <v>212</v>
      </c>
    </row>
    <row r="22" spans="1:3">
      <c r="A22" t="s">
        <v>65</v>
      </c>
      <c r="B22" s="51" t="s">
        <v>207</v>
      </c>
    </row>
    <row r="23" spans="1:3">
      <c r="A23" t="s">
        <v>67</v>
      </c>
      <c r="B23" s="51" t="s">
        <v>212</v>
      </c>
    </row>
    <row r="24" spans="1:3">
      <c r="A24" t="s">
        <v>68</v>
      </c>
      <c r="B24" s="51" t="s">
        <v>207</v>
      </c>
    </row>
    <row r="25" spans="1:3">
      <c r="A25" t="s">
        <v>69</v>
      </c>
      <c r="B25" s="51" t="s">
        <v>274</v>
      </c>
    </row>
    <row r="26" spans="1:3">
      <c r="A26" t="s">
        <v>71</v>
      </c>
      <c r="B26" s="51" t="s">
        <v>212</v>
      </c>
    </row>
    <row r="27" spans="1:3">
      <c r="A27" t="s">
        <v>72</v>
      </c>
      <c r="B27" s="51" t="s">
        <v>265</v>
      </c>
    </row>
    <row r="28" spans="1:3">
      <c r="A28" t="s">
        <v>74</v>
      </c>
      <c r="B28" s="51" t="s">
        <v>274</v>
      </c>
    </row>
    <row r="29" spans="1:3">
      <c r="A29" t="s">
        <v>75</v>
      </c>
      <c r="B29" s="51" t="s">
        <v>202</v>
      </c>
    </row>
    <row r="30" spans="1:3">
      <c r="A30" t="s">
        <v>79</v>
      </c>
      <c r="B30" s="51" t="s">
        <v>274</v>
      </c>
    </row>
    <row r="31" spans="1:3">
      <c r="A31" t="s">
        <v>80</v>
      </c>
      <c r="B31" s="51" t="s">
        <v>207</v>
      </c>
    </row>
    <row r="32" spans="1:3">
      <c r="A32" t="s">
        <v>81</v>
      </c>
      <c r="B32" s="51" t="s">
        <v>207</v>
      </c>
    </row>
    <row r="33" spans="1:2">
      <c r="A33" t="s">
        <v>82</v>
      </c>
      <c r="B33" s="51" t="s">
        <v>202</v>
      </c>
    </row>
    <row r="34" spans="1:2">
      <c r="A34" t="s">
        <v>85</v>
      </c>
      <c r="B34" s="51" t="s">
        <v>265</v>
      </c>
    </row>
    <row r="35" spans="1:2">
      <c r="A35" t="s">
        <v>89</v>
      </c>
      <c r="B35" s="51" t="s">
        <v>212</v>
      </c>
    </row>
    <row r="36" spans="1:2">
      <c r="A36" t="s">
        <v>88</v>
      </c>
      <c r="B36" s="51" t="s">
        <v>265</v>
      </c>
    </row>
    <row r="37" spans="1:2">
      <c r="A37" t="s">
        <v>90</v>
      </c>
      <c r="B37" s="51" t="s">
        <v>212</v>
      </c>
    </row>
    <row r="38" spans="1:2">
      <c r="A38" t="s">
        <v>91</v>
      </c>
      <c r="B38" s="51" t="s">
        <v>207</v>
      </c>
    </row>
    <row r="39" spans="1:2">
      <c r="A39" t="s">
        <v>92</v>
      </c>
      <c r="B39" s="51" t="s">
        <v>265</v>
      </c>
    </row>
    <row r="40" spans="1:2">
      <c r="A40" t="s">
        <v>101</v>
      </c>
      <c r="B40" s="51" t="s">
        <v>207</v>
      </c>
    </row>
    <row r="41" spans="1:2">
      <c r="A41" t="s">
        <v>102</v>
      </c>
      <c r="B41" s="51" t="s">
        <v>212</v>
      </c>
    </row>
    <row r="42" spans="1:2">
      <c r="A42" t="s">
        <v>267</v>
      </c>
      <c r="B42" s="51" t="s">
        <v>208</v>
      </c>
    </row>
    <row r="43" spans="1:2">
      <c r="A43" t="s">
        <v>103</v>
      </c>
      <c r="B43" s="51" t="s">
        <v>208</v>
      </c>
    </row>
    <row r="44" spans="1:2">
      <c r="A44" t="s">
        <v>107</v>
      </c>
      <c r="B44" s="51" t="s">
        <v>202</v>
      </c>
    </row>
    <row r="45" spans="1:2">
      <c r="A45" t="s">
        <v>108</v>
      </c>
      <c r="B45" s="51" t="s">
        <v>265</v>
      </c>
    </row>
    <row r="46" spans="1:2">
      <c r="A46" t="s">
        <v>110</v>
      </c>
      <c r="B46" s="51" t="s">
        <v>274</v>
      </c>
    </row>
    <row r="47" spans="1:2">
      <c r="A47" t="s">
        <v>116</v>
      </c>
      <c r="B47" s="51" t="s">
        <v>265</v>
      </c>
    </row>
    <row r="48" spans="1:2">
      <c r="A48" t="s">
        <v>126</v>
      </c>
      <c r="B48" s="51" t="s">
        <v>202</v>
      </c>
    </row>
    <row r="49" spans="1:2">
      <c r="A49" t="s">
        <v>125</v>
      </c>
      <c r="B49" s="51" t="s">
        <v>274</v>
      </c>
    </row>
    <row r="50" spans="1:2">
      <c r="A50" t="s">
        <v>127</v>
      </c>
      <c r="B50" s="51" t="s">
        <v>265</v>
      </c>
    </row>
  </sheetData>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ReadMe</vt:lpstr>
      <vt:lpstr>Relative</vt:lpstr>
      <vt:lpstr>COMBINED</vt:lpstr>
      <vt:lpstr>regions</vt:lpstr>
      <vt:lpstr>alltowndata</vt:lpstr>
      <vt:lpstr>DatCol</vt:lpstr>
      <vt:lpstr>RegionLookup</vt:lpstr>
      <vt:lpstr>Regions</vt:lpstr>
      <vt:lpstr>RegionSelect</vt:lpstr>
      <vt:lpstr>ResourceColumn</vt:lpstr>
      <vt:lpstr>town_region</vt:lpstr>
      <vt:lpstr>towns</vt:lpstr>
      <vt:lpstr>TownSelect</vt:lpstr>
      <vt:lpstr>yr_relative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Churchill</dc:creator>
  <cp:lastModifiedBy>J</cp:lastModifiedBy>
  <cp:lastPrinted>2003-03-05T14:04:59Z</cp:lastPrinted>
  <dcterms:created xsi:type="dcterms:W3CDTF">1998-11-27T15:24:30Z</dcterms:created>
  <dcterms:modified xsi:type="dcterms:W3CDTF">2012-01-25T21:37:51Z</dcterms:modified>
</cp:coreProperties>
</file>